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<sst xmlns="http://schemas.openxmlformats.org/spreadsheetml/2006/main" count="38542" uniqueCount="28741">
  <si>
    <t>Extension Name</t>
  </si>
  <si>
    <t>Chrome Store URL</t>
  </si>
  <si>
    <t>Total Users</t>
  </si>
  <si>
    <t>Avg. Ratings</t>
  </si>
  <si>
    <t>Total Ratings</t>
  </si>
  <si>
    <t>uBlock Origin</t>
  </si>
  <si>
    <t>https://chromewebstore.google.com/detail/cjpalhdlnbpafiamejdnhcphjbkeiagm</t>
  </si>
  <si>
    <t>IDM Integration Module</t>
  </si>
  <si>
    <t>https://chromewebstore.google.com/detail/ngpampappnmepgilojfohadhhmbhlaek</t>
  </si>
  <si>
    <t>Office - Enable Copy and Paste</t>
  </si>
  <si>
    <t>https://chromewebstore.google.com/detail/ifbmcpbgkhlpfcodhjhdbllhiaomkdej</t>
  </si>
  <si>
    <t>Video Editor for Chromebook &amp; more: Free app</t>
  </si>
  <si>
    <t>https://chromewebstore.google.com/detail/okgjbfikepgflmlelgfgecmgjnmnmnnb</t>
  </si>
  <si>
    <t>ColorPick Eyedropper</t>
  </si>
  <si>
    <t>https://chromewebstore.google.com/detail/ohcpnigalekghcmgcdcenkpelffpdolg</t>
  </si>
  <si>
    <t>Proxy SwitchyOmega</t>
  </si>
  <si>
    <t>https://chromewebstore.google.com/detail/padekgcemlokbadohgkifijomclgjgif</t>
  </si>
  <si>
    <t>Postman</t>
  </si>
  <si>
    <t>https://chromewebstore.google.com/detail/fhbjgbiflinjbdggehcddcbncdddomop</t>
  </si>
  <si>
    <t>Use Immersive Reader on Websites</t>
  </si>
  <si>
    <t>https://chromewebstore.google.com/detail/fmidkjgknpkbmninbmklhcgaalfalbdh</t>
  </si>
  <si>
    <t>JSON Viewer</t>
  </si>
  <si>
    <t>https://chromewebstore.google.com/detail/gbmdgpbipfallnflgajpaliibnhdgobh</t>
  </si>
  <si>
    <t>Microsoft Power Automate (Legacy)</t>
  </si>
  <si>
    <t>https://chromewebstore.google.com/detail/gjgfobnenmnljakmhboildkafdkicala</t>
  </si>
  <si>
    <t>Dropbox</t>
  </si>
  <si>
    <t>https://chromewebstore.google.com/detail/ioekoebejdcmnlefjiknokhhafglcjdl</t>
  </si>
  <si>
    <t>CKAuthenticator</t>
  </si>
  <si>
    <t>https://chromewebstore.google.com/detail/jdogphakondfdmcanpapfahkdomaicfa</t>
  </si>
  <si>
    <t>Violentmonkey</t>
  </si>
  <si>
    <t>https://chromewebstore.google.com/detail/jinjaccalgkegednnccohejagnlnfdag</t>
  </si>
  <si>
    <t>Save to Facebook</t>
  </si>
  <si>
    <t>https://chromewebstore.google.com/detail/jmfikkaogpplgnfjmbjdpalkhclendgd</t>
  </si>
  <si>
    <t>iboss cloud Enterprise</t>
  </si>
  <si>
    <t>https://chromewebstore.google.com/detail/kmffehbidlalibfeklaefnckpidbodff</t>
  </si>
  <si>
    <t>Evernote Web</t>
  </si>
  <si>
    <t>https://chromewebstore.google.com/detail/lbfehkoinhhcknnbdgnnmjhiladcgbol</t>
  </si>
  <si>
    <t>Internet-Start</t>
  </si>
  <si>
    <t>https://chromewebstore.google.com/detail/llcdellnofncikmhimjdbkdjgpmcjbik</t>
  </si>
  <si>
    <t>Hotspot Shield</t>
  </si>
  <si>
    <t>https://chromewebstore.google.com/detail/nlbejmccbhkncgokjcmghpfloaajcffj</t>
  </si>
  <si>
    <t>Yandex Access</t>
  </si>
  <si>
    <t>https://chromewebstore.google.com/detail/oakfpjifgmfpainopanfgfckhkcfgacb</t>
  </si>
  <si>
    <t>Обход блокировок Рунета</t>
  </si>
  <si>
    <t>https://chromewebstore.google.com/detail/npgcnondjocldhldegnakemclmfkngch</t>
  </si>
  <si>
    <t>OneNote Online</t>
  </si>
  <si>
    <t>https://chromewebstore.google.com/detail/ciniambnphakdoflgeamacamhfllbkmo</t>
  </si>
  <si>
    <t>Destiny Discover</t>
  </si>
  <si>
    <t>https://chromewebstore.google.com/detail/eebnbmbhdfnfhfhigoklhaklkodghbla</t>
  </si>
  <si>
    <t>ChatGPT Assistant - GPT Search</t>
  </si>
  <si>
    <t>https://chromewebstore.google.com/detail/gadbpecoinogdkljjbjffmiijpebooce</t>
  </si>
  <si>
    <t>iboss Chromebook App Compatibility Plugin</t>
  </si>
  <si>
    <t>https://chromewebstore.google.com/detail/oejigobjchedidhlafnpdpccihgbmbka</t>
  </si>
  <si>
    <t>HP Network Check Launcher</t>
  </si>
  <si>
    <t>https://chromewebstore.google.com/detail/jkfpchpiljkaemlpmpebnglgkomamfeo</t>
  </si>
  <si>
    <t>Assinatura Digital para Navegador - BRy</t>
  </si>
  <si>
    <t>https://chromewebstore.google.com/detail/dhikfimimcjpoaliefjlffaebdeomeni</t>
  </si>
  <si>
    <t>Vysor</t>
  </si>
  <si>
    <t>https://chromewebstore.google.com/detail/gidgenkbbabolejbgbpnhbimgjbffefm</t>
  </si>
  <si>
    <t>Dyknow Cloud</t>
  </si>
  <si>
    <t>https://chromewebstore.google.com/detail/kmpjlilnemjciohjckjadmgmicoldglf</t>
  </si>
  <si>
    <t>MyJDownloader Browser Extension</t>
  </si>
  <si>
    <t>https://chromewebstore.google.com/detail/fbcohnmimjicjdomonkcbcpbpnhggkip</t>
  </si>
  <si>
    <t>VPN Free - Betternet Unlimited VPN Proxy</t>
  </si>
  <si>
    <t>https://chromewebstore.google.com/detail/gjknjjomckknofjidppipffbpoekiipm</t>
  </si>
  <si>
    <t>Ace Script</t>
  </si>
  <si>
    <t>https://chromewebstore.google.com/detail/mjbepbhonbojpoaenhckjocchgfiaofo</t>
  </si>
  <si>
    <t>Little Alchemy</t>
  </si>
  <si>
    <t>https://chromewebstore.google.com/detail/knkapnclbofjjgicpkfoagdjohlfjhpd</t>
  </si>
  <si>
    <t>Padlet</t>
  </si>
  <si>
    <t>https://chromewebstore.google.com/detail/ppckapbnfhikdajgehibjapcohbaomhd</t>
  </si>
  <si>
    <t>uberAgent MV2</t>
  </si>
  <si>
    <t>https://chromewebstore.google.com/detail/cmcmennehclgdccnlmnjladhlkmclbkb</t>
  </si>
  <si>
    <t>Web Apps by 123apps</t>
  </si>
  <si>
    <t>https://chromewebstore.google.com/detail/dpplndkoilcedkdjicmbeoahnckdcnle</t>
  </si>
  <si>
    <t>Absolute Enable Right Click &amp; Copy</t>
  </si>
  <si>
    <t>https://chromewebstore.google.com/detail/jdocbkpgdakpekjlhemmfcncgdjeiika</t>
  </si>
  <si>
    <t>Selenium IDE</t>
  </si>
  <si>
    <t>https://chromewebstore.google.com/detail/mooikfkahbdckldjjndioackbalphokd</t>
  </si>
  <si>
    <t>Cisco Webex Content Sharing</t>
  </si>
  <si>
    <t>https://chromewebstore.google.com/detail/ifbdadgbpalmagalacllfaflfakmfkac</t>
  </si>
  <si>
    <t>Impero Education Pro</t>
  </si>
  <si>
    <t>https://chromewebstore.google.com/detail/pdmhilamamchgnnipghbjakjpbenbcdj</t>
  </si>
  <si>
    <t>Pushbullet</t>
  </si>
  <si>
    <t>https://chromewebstore.google.com/detail/chlffgpmiacpedhhbkiomidkjlcfhogd</t>
  </si>
  <si>
    <t>Dynatrace Real User Monitoring</t>
  </si>
  <si>
    <t>https://chromewebstore.google.com/detail/fklgmciohehgadlafhljjhgdojfjihhk</t>
  </si>
  <si>
    <t>Ears: Bass Boost, EQ Any Audio!</t>
  </si>
  <si>
    <t>https://chromewebstore.google.com/detail/nfdfiepdkbnoanddpianalelglmfooik</t>
  </si>
  <si>
    <t>Automatic Twitch: Drops, Moments and Points</t>
  </si>
  <si>
    <t>https://chromewebstore.google.com/detail/kfhgpagdjjoieckminnmigmpeclkdmjm</t>
  </si>
  <si>
    <t>Google Docs Quick Create</t>
  </si>
  <si>
    <t>https://chromewebstore.google.com/detail/bldgenmjegcnjebiongilahhcjldgmlm</t>
  </si>
  <si>
    <t>VK Styles - Themes for vk.com</t>
  </si>
  <si>
    <t>https://chromewebstore.google.com/detail/ceibjdigmfbbgcpkkdpmjokkokklodmc</t>
  </si>
  <si>
    <t>Hyland NilRead WinMan</t>
  </si>
  <si>
    <t>https://chromewebstore.google.com/detail/jkchgejbjikoopancfjpbofabaoceohd</t>
  </si>
  <si>
    <t>Collage</t>
  </si>
  <si>
    <t>https://chromewebstore.google.com/detail/amjidnnemammipglldbeihmhokepmkoc</t>
  </si>
  <si>
    <t>Page Analytics (by Google)</t>
  </si>
  <si>
    <t>https://chromewebstore.google.com/detail/fnbdnhhicmebfgdgglcdacdapkcihcoh</t>
  </si>
  <si>
    <t>ClickOnce for Google Chrome</t>
  </si>
  <si>
    <t>https://chromewebstore.google.com/detail/kekahkplibinaibelipdcikofmedafmb</t>
  </si>
  <si>
    <t>Salesforce inspector</t>
  </si>
  <si>
    <t>https://chromewebstore.google.com/detail/aodjmnfhjibkcdimpodiifdjnnncaafh</t>
  </si>
  <si>
    <t>E START Startup-page Setting Tool</t>
  </si>
  <si>
    <t>https://chromewebstore.google.com/detail/hehmkjmjappgeijgebepcnnckihfjbol</t>
  </si>
  <si>
    <t>Reproductor M3U8 - HLS + DASH Player</t>
  </si>
  <si>
    <t>https://chromewebstore.google.com/detail/lcipembjfkmeggpihdpdgnjildgniffl</t>
  </si>
  <si>
    <t>Password Alert</t>
  </si>
  <si>
    <t>https://chromewebstore.google.com/detail/noondiphcddnnabmjcihcjfbhfklnnep</t>
  </si>
  <si>
    <t>BankID CryptoPlugin</t>
  </si>
  <si>
    <t>https://chromewebstore.google.com/detail/pgfbdgicjmhenccemcijooffohcdanic</t>
  </si>
  <si>
    <t>Affixa - Gmail (TM) Draft Display</t>
  </si>
  <si>
    <t>https://chromewebstore.google.com/detail/ceimgagkkofjoalgojpkdcmhmbljbbaa</t>
  </si>
  <si>
    <t>ActivCast Sender</t>
  </si>
  <si>
    <t>https://chromewebstore.google.com/detail/dcdfjddkdjkaohjceimnbgniajaholfl</t>
  </si>
  <si>
    <t>Microsoft Teams Screen sharing</t>
  </si>
  <si>
    <t>https://chromewebstore.google.com/detail/dhheiegalgcabbcobinipgmhepkkeidk</t>
  </si>
  <si>
    <t>directprint.io printing</t>
  </si>
  <si>
    <t>https://chromewebstore.google.com/detail/gnddkmpjjjcimefninepfmmddpgaaado</t>
  </si>
  <si>
    <t>Omnissa Horizon URL Content Redirection Helper</t>
  </si>
  <si>
    <t>https://chromewebstore.google.com/detail/lfidjngibpklhhijphdmbmedchiiolgk</t>
  </si>
  <si>
    <t>Tab Glue</t>
  </si>
  <si>
    <t>https://chromewebstore.google.com/detail/mfedioikeigljhjfpghdejnogniddhna</t>
  </si>
  <si>
    <t>Flip</t>
  </si>
  <si>
    <t>https://chromewebstore.google.com/detail/nijejdnikeoaldbcboagjlibadkabiae</t>
  </si>
  <si>
    <t>Crypto-Plugin</t>
  </si>
  <si>
    <t>https://chromewebstore.google.com/detail/idfiabaafjemgcecklpgnebaebonghka</t>
  </si>
  <si>
    <t>Saladict - Pop-up Dictionary and Page Translator</t>
  </si>
  <si>
    <t>https://chromewebstore.google.com/detail/cdonnmffkdaoajfknoeeecmchibpmkmg</t>
  </si>
  <si>
    <t>Social Blade</t>
  </si>
  <si>
    <t>https://chromewebstore.google.com/detail/cfidkbgamfhdgmedldkagjopnbobdmdn</t>
  </si>
  <si>
    <t>Proxy SwitchySharp</t>
  </si>
  <si>
    <t>https://chromewebstore.google.com/detail/dpplabbmogkhghncfbfdeeokoefdjegm</t>
  </si>
  <si>
    <t>Discord Token Login</t>
  </si>
  <si>
    <t>https://chromewebstore.google.com/detail/ealjoeebhfijfimofmecjcjcigmadcai</t>
  </si>
  <si>
    <t>AdBlock on YouTube™</t>
  </si>
  <si>
    <t>https://chromewebstore.google.com/detail/emngkmlligggbbiioginlkphcmffbncb</t>
  </si>
  <si>
    <t>ClearPass Onboard</t>
  </si>
  <si>
    <t>https://chromewebstore.google.com/detail/gdkddcndonbadjjminbeeokgcknciebo</t>
  </si>
  <si>
    <t>Chrome Web Store Launcher (by Google)</t>
  </si>
  <si>
    <t>https://chromewebstore.google.com/detail/gecgipfabdickgidpmbicneamekgbaej</t>
  </si>
  <si>
    <t>Imagus</t>
  </si>
  <si>
    <t>https://chromewebstore.google.com/detail/immpkjjlgappgfkkfieppnmlhakdmaab</t>
  </si>
  <si>
    <t>Roblox Friend Removal Button</t>
  </si>
  <si>
    <t>https://chromewebstore.google.com/detail/jgllchbkhjeiaombmpkapalbmpolmelp</t>
  </si>
  <si>
    <t>Senso Client</t>
  </si>
  <si>
    <t>https://chromewebstore.google.com/detail/jnhblfnklpfpbbadlfbikhhifadinfho</t>
  </si>
  <si>
    <t>Caret</t>
  </si>
  <si>
    <t>https://chromewebstore.google.com/detail/fljalecfjciodhpcledpamjachpmelml</t>
  </si>
  <si>
    <t>健康提醒</t>
  </si>
  <si>
    <t>https://chromewebstore.google.com/detail/gefpceefdmmojbgmfmnkeanmpclobjgj</t>
  </si>
  <si>
    <t>Cut the Rope</t>
  </si>
  <si>
    <t>https://chromewebstore.google.com/detail/jfbadlndcminbkfojhlimnkgaackjmdo</t>
  </si>
  <si>
    <t>Yandex search</t>
  </si>
  <si>
    <t>https://chromewebstore.google.com/detail/kbpnbonnhilfdihhodnflcplajklibbc</t>
  </si>
  <si>
    <t>Desktopify</t>
  </si>
  <si>
    <t>https://chromewebstore.google.com/detail/nlhjgcligpbnjphflfdbmabbmjidnmek</t>
  </si>
  <si>
    <t>DownThemAll!</t>
  </si>
  <si>
    <t>https://chromewebstore.google.com/detail/nljkibfhlpcnanjgbnlnbjecgicbjkge</t>
  </si>
  <si>
    <t>Desktop For Instagram</t>
  </si>
  <si>
    <t>https://chromewebstore.google.com/detail/odlpjhnipdekfkdkadoecooboghijleh</t>
  </si>
  <si>
    <t>Web Server for Chrome</t>
  </si>
  <si>
    <t>https://chromewebstore.google.com/detail/ofhbbkphhbklhfoeikjpcbhemlocgigb</t>
  </si>
  <si>
    <t>Hover Zoom+</t>
  </si>
  <si>
    <t>https://chromewebstore.google.com/detail/pccckmaobkjjboncdfnnofkonhgpceea</t>
  </si>
  <si>
    <t>Premium Sender</t>
  </si>
  <si>
    <t>https://chromewebstore.google.com/detail/pggchepbleikpkhffahfabfeodghbafd</t>
  </si>
  <si>
    <t>Psykopaint</t>
  </si>
  <si>
    <t>https://chromewebstore.google.com/detail/pgjchkcfmigkkhedgjedmffdepgmpfil</t>
  </si>
  <si>
    <t>NflxMultiSubs (Netflix Multi. Subtitles)</t>
  </si>
  <si>
    <t>https://chromewebstore.google.com/detail/pjhnilfooknlkdonmjnleaomamfehkli</t>
  </si>
  <si>
    <t>DEPRECATED Secure Shell App</t>
  </si>
  <si>
    <t>https://chromewebstore.google.com/detail/pnhechapfaindjhompbnflcldabbghjo</t>
  </si>
  <si>
    <t>Bkav Pro plugin - Tiện ích bảo vệ trình duyệt</t>
  </si>
  <si>
    <t>https://chromewebstore.google.com/detail/kjomkjjpbjeennhagfmlahfnlgleecmn</t>
  </si>
  <si>
    <t>Single Sign-on Assistant</t>
  </si>
  <si>
    <t>https://chromewebstore.google.com/detail/abjopieldicnknjgiplcjgepeijbealm</t>
  </si>
  <si>
    <t>Pesticide</t>
  </si>
  <si>
    <t>https://chromewebstore.google.com/detail/bakpbgckdnepkmkeaiomhmfcnejndkbi</t>
  </si>
  <si>
    <t>Block Unenroll</t>
  </si>
  <si>
    <t>https://chromewebstore.google.com/detail/bgopeekkgpfombjklfdiakchdnhjafij</t>
  </si>
  <si>
    <t>Location Guard</t>
  </si>
  <si>
    <t>https://chromewebstore.google.com/detail/cfohepagpmnodfdmjliccbbigdkfcgia</t>
  </si>
  <si>
    <t>DownAlbum</t>
  </si>
  <si>
    <t>https://chromewebstore.google.com/detail/cgjnhhjpfcdhbhlcmmjppicjmgfkppok</t>
  </si>
  <si>
    <t>Windows Remix ClickOnce Helper</t>
  </si>
  <si>
    <t>https://chromewebstore.google.com/detail/dgpgholdldjjbcmpeckiephjigdpikan</t>
  </si>
  <si>
    <t>High Contrast</t>
  </si>
  <si>
    <t>https://chromewebstore.google.com/detail/djcfdncoelnlbldjfhinnjlhdjlikmph</t>
  </si>
  <si>
    <t>Copy All Urls</t>
  </si>
  <si>
    <t>https://chromewebstore.google.com/detail/djdmadneanknadilpjiknlnanaolmbfk</t>
  </si>
  <si>
    <t>Selection Reader (Text to Speech)</t>
  </si>
  <si>
    <t>https://chromewebstore.google.com/detail/fdffijlhedcdiblbingmagmdnokokgbi</t>
  </si>
  <si>
    <t>Screen sharing for Video Call</t>
  </si>
  <si>
    <t>https://chromewebstore.google.com/detail/ffmglcfbbhidemlkdgbpdcadbmdffgbc</t>
  </si>
  <si>
    <t>Select and Speak - Text to Speech</t>
  </si>
  <si>
    <t>https://chromewebstore.google.com/detail/gfjopfpjmkcfgjpogepmdjmcnihfpokn</t>
  </si>
  <si>
    <t>XPath Helper</t>
  </si>
  <si>
    <t>https://chromewebstore.google.com/detail/hgimnogjllphhhkhlmebbmlgjoejdpjl</t>
  </si>
  <si>
    <t>Minijuegos.com - Juegos Gratis</t>
  </si>
  <si>
    <t>https://chromewebstore.google.com/detail/hnmdigodnlhofkojgehfeefbnmfnaodk</t>
  </si>
  <si>
    <t>Downloads</t>
  </si>
  <si>
    <t>https://chromewebstore.google.com/detail/jfchnphgogjhineanplmfkofljiagjfb</t>
  </si>
  <si>
    <t>Ads Killer</t>
  </si>
  <si>
    <t>https://chromewebstore.google.com/detail/jjckigopagkhaikodedjnmbccfpnmiea</t>
  </si>
  <si>
    <t>Linkclump</t>
  </si>
  <si>
    <t>https://chromewebstore.google.com/detail/lfpjkncokllnfokkgpkobnkbkmelfefj</t>
  </si>
  <si>
    <t>Marinara: Pomodoro® Assistant</t>
  </si>
  <si>
    <t>https://chromewebstore.google.com/detail/lojgmehidjdhhbmpjfamhpkpodfcodef</t>
  </si>
  <si>
    <t>LinkedIn Extension</t>
  </si>
  <si>
    <t>https://chromewebstore.google.com/detail/meajfmicibjppdgbjfkpdikfjcflabpk</t>
  </si>
  <si>
    <t>SessionBox - Multi login to any website</t>
  </si>
  <si>
    <t>https://chromewebstore.google.com/detail/megbklhjamjbcafknkgmokldgolkdfig</t>
  </si>
  <si>
    <t>DF Tube (Distraction Free for YouTube™)</t>
  </si>
  <si>
    <t>https://chromewebstore.google.com/detail/mjdepdfccjgcndkmemponafgioodelna</t>
  </si>
  <si>
    <t>Project Naptha</t>
  </si>
  <si>
    <t>https://chromewebstore.google.com/detail/molncoemjfmpgdkbdlbjmhlcgniigdnf</t>
  </si>
  <si>
    <t>Mic Note -Voice Recorder &amp; Notepad</t>
  </si>
  <si>
    <t>https://chromewebstore.google.com/detail/nhkoenoennbjnibepkjdheodiaojdgpk</t>
  </si>
  <si>
    <t>ProxFlow</t>
  </si>
  <si>
    <t>https://chromewebstore.google.com/detail/aakchaleigkohafkfjfjbblobjifikek</t>
  </si>
  <si>
    <t>Grepper</t>
  </si>
  <si>
    <t>https://chromewebstore.google.com/detail/amaaokahonnfjjemodnpmeenfpnnbkco</t>
  </si>
  <si>
    <t>BeFunky Photo Editor</t>
  </si>
  <si>
    <t>https://chromewebstore.google.com/detail/apfkepiiddolifkgjmfdgpnipgnfejab</t>
  </si>
  <si>
    <t>Error</t>
  </si>
  <si>
    <t>https://chromewebstore.google.com/detail/baocaagndhipibgklemoalmkljaimfdj</t>
  </si>
  <si>
    <t>Fotor Photo Editor</t>
  </si>
  <si>
    <t>https://chromewebstore.google.com/detail/bfbckhhmjfnmedpakkaaflpnmkamdppf</t>
  </si>
  <si>
    <t>Cog - System Info Viewer</t>
  </si>
  <si>
    <t>https://chromewebstore.google.com/detail/difcjdggkffcfgcfconafogflmmaadco</t>
  </si>
  <si>
    <t>Talk &amp; Comment - Voice notes anywhere</t>
  </si>
  <si>
    <t>https://chromewebstore.google.com/detail/djnhkfljnimcpelfndpcjcgngmefaobl</t>
  </si>
  <si>
    <t>Polarr Photo Editor</t>
  </si>
  <si>
    <t>https://chromewebstore.google.com/detail/djonnbgfieijldcieafgjcnhmpcfpmgg</t>
  </si>
  <si>
    <t>Revolver - Tabs</t>
  </si>
  <si>
    <t>https://chromewebstore.google.com/detail/dlknooajieciikpedpldejhhijacnbda</t>
  </si>
  <si>
    <t>ICBC Chrome Extension from Tendyron</t>
  </si>
  <si>
    <t>https://chromewebstore.google.com/detail/dlombpffcodogboaljnamhpphpdkjdam</t>
  </si>
  <si>
    <t>Xdebug helper</t>
  </si>
  <si>
    <t>https://chromewebstore.google.com/detail/eadndfjplgieldjbigjakmdgkmoaaaoc</t>
  </si>
  <si>
    <t>TinySketch</t>
  </si>
  <si>
    <t>https://chromewebstore.google.com/detail/eekbbmglbfldjpgbmajenafphnfjonnc</t>
  </si>
  <si>
    <t>Native HLS Playback</t>
  </si>
  <si>
    <t>https://chromewebstore.google.com/detail/emnphkkblegpebimobpbekeedfgemhof</t>
  </si>
  <si>
    <t>Header Editor</t>
  </si>
  <si>
    <t>https://chromewebstore.google.com/detail/eningockdidmgiojffjmkdblpjocbhgh</t>
  </si>
  <si>
    <t>Notepad</t>
  </si>
  <si>
    <t>https://chromewebstore.google.com/detail/ffbhefmlcoihbjcmibbfkocmnaiacinp</t>
  </si>
  <si>
    <t>Auto HD/4k/8k for YouTube™ - YouTube™ Auto HD</t>
  </si>
  <si>
    <t>https://chromewebstore.google.com/detail/fjdmkanbdloodhegphphhklnjfngoffa</t>
  </si>
  <si>
    <t>Jobalytics - Resume Keyword Analyzer</t>
  </si>
  <si>
    <t>https://chromewebstore.google.com/detail/fkiljfkkceaopbpfgfmjdnkiejaifkgd</t>
  </si>
  <si>
    <t>Scientific Calculator</t>
  </si>
  <si>
    <t>https://chromewebstore.google.com/detail/fnplhdldnhaodknidfddmkfdhlhjihpd</t>
  </si>
  <si>
    <t>Dark theme for VK.COM | Night Mode for Vkontakte™</t>
  </si>
  <si>
    <t>https://chromewebstore.google.com/detail/gamlckmepdclkglolaedeigblmmpmfhf</t>
  </si>
  <si>
    <t>NetSupport School Student</t>
  </si>
  <si>
    <t>https://chromewebstore.google.com/detail/gcjpefhffmcgplgklffgbebganmhffje</t>
  </si>
  <si>
    <t>CSSViewer</t>
  </si>
  <si>
    <t>https://chromewebstore.google.com/detail/ggfgijbpiheegefliciemofobhmofgce</t>
  </si>
  <si>
    <t>Saba Meeting Chrome Connector</t>
  </si>
  <si>
    <t>https://chromewebstore.google.com/detail/gjedkhmeelbomjafdlehdcomjhobcnbk</t>
  </si>
  <si>
    <t>Full Page Screenshot</t>
  </si>
  <si>
    <t>https://chromewebstore.google.com/detail/glgomjpomoahpeekneidkinhcfjnnhmb</t>
  </si>
  <si>
    <t>Download Plus</t>
  </si>
  <si>
    <t>https://chromewebstore.google.com/detail/gokgophibdidjjpildcdbfpmcahilaaf</t>
  </si>
  <si>
    <t>NetBeans Connector</t>
  </si>
  <si>
    <t>https://chromewebstore.google.com/detail/hafdlehgocfcodbgjnpecfajgkeejnaa</t>
  </si>
  <si>
    <t>Play HLS</t>
  </si>
  <si>
    <t>https://chromewebstore.google.com/detail/hahkjjkedonglpienpfiganogikkkoii</t>
  </si>
  <si>
    <t>CloudConvert</t>
  </si>
  <si>
    <t>https://chromewebstore.google.com/detail/hfpmbfgodkfcebpgheiedaddoikmljkk</t>
  </si>
  <si>
    <t>Pixlr Express</t>
  </si>
  <si>
    <t>https://chromewebstore.google.com/detail/hojmjpdlmjopaeginhldhiokeidchjid</t>
  </si>
  <si>
    <t>JSON-handle</t>
  </si>
  <si>
    <t>https://chromewebstore.google.com/detail/iahnhfdhidomcpggpaimmmahffihkfnj</t>
  </si>
  <si>
    <t>My Downloads</t>
  </si>
  <si>
    <t>https://chromewebstore.google.com/detail/ienfdfooajmkbebiaplehejbamefbboi</t>
  </si>
  <si>
    <t>Download All Images</t>
  </si>
  <si>
    <t>https://chromewebstore.google.com/detail/ifipmflagepipjokmbdecpmjbibjnakm</t>
  </si>
  <si>
    <t>AutoPagerize</t>
  </si>
  <si>
    <t>https://chromewebstore.google.com/detail/igiofjhpmpihnifddepnpngfjhkfenbp</t>
  </si>
  <si>
    <t>NICE Browser Connector</t>
  </si>
  <si>
    <t>https://chromewebstore.google.com/detail/ijickplbjolieoligpppakdmfdajmgij</t>
  </si>
  <si>
    <t>Automa</t>
  </si>
  <si>
    <t>https://chromewebstore.google.com/detail/infppggnoaenmfagbfknfkancpbljcca</t>
  </si>
  <si>
    <t>Impero Backdrop</t>
  </si>
  <si>
    <t>https://chromewebstore.google.com/detail/jjpmjccpemllnmgiaojaocgnakpmfgjg</t>
  </si>
  <si>
    <t>CORS Unblock</t>
  </si>
  <si>
    <t>https://chromewebstore.google.com/detail/lfhmikememgdcahcdlaciloancbhjino</t>
  </si>
  <si>
    <t>TV for Google Chrome™</t>
  </si>
  <si>
    <t>https://chromewebstore.google.com/detail/licccgnfdlgmmmgaddmbcepikfadcmpe</t>
  </si>
  <si>
    <t>Vivi</t>
  </si>
  <si>
    <t>https://chromewebstore.google.com/detail/lmaghghbppffhmndhlneljdcikhdckcn</t>
  </si>
  <si>
    <t>Bass Boost: HD Audio</t>
  </si>
  <si>
    <t>https://chromewebstore.google.com/detail/mghabdfikjldejcdcmclcmpcmknjahli</t>
  </si>
  <si>
    <t>YouTube Party</t>
  </si>
  <si>
    <t>https://chromewebstore.google.com/detail/ngmncgebkdchkdokiecifpmodajbaopj</t>
  </si>
  <si>
    <t>Video Cutter</t>
  </si>
  <si>
    <t>https://chromewebstore.google.com/detail/nodkcjollmmjidmcnhloaoahmciabnai</t>
  </si>
  <si>
    <t>VK video saver - загрузчик видео из вконтакте</t>
  </si>
  <si>
    <t>https://chromewebstore.google.com/detail/npknlajilknlnfgeihkpdaaeonbdcnia</t>
  </si>
  <si>
    <t>Camera</t>
  </si>
  <si>
    <t>https://chromewebstore.google.com/detail/ofmpffnppnlgkgmbgidhhjcglloeejpg</t>
  </si>
  <si>
    <t>e-pity - dodatek</t>
  </si>
  <si>
    <t>https://chromewebstore.google.com/detail/ofoeigeaodhbjogdigckajfhjbonaofg</t>
  </si>
  <si>
    <t>Clevershare</t>
  </si>
  <si>
    <t>https://chromewebstore.google.com/detail/pjpiknifcdmhabpbikmkhhfgppafidna</t>
  </si>
  <si>
    <t>Simple mass downloader</t>
  </si>
  <si>
    <t>https://chromewebstore.google.com/detail/abdkkegmcbiomijcbdaodaflgehfffed</t>
  </si>
  <si>
    <t>楽天リーベイツ ポイントアシスト</t>
  </si>
  <si>
    <t>https://chromewebstore.google.com/detail/accllpimnoffllpeblphooameaofhnah</t>
  </si>
  <si>
    <t>Cloudy Calculator</t>
  </si>
  <si>
    <t>https://chromewebstore.google.com/detail/acgimceffoceigocablmjdpebeodphgc</t>
  </si>
  <si>
    <t>Insight Web Helper</t>
  </si>
  <si>
    <t>https://chromewebstore.google.com/detail/adepkmleadimefolboaaedghfnnbfpnp</t>
  </si>
  <si>
    <t>FEV Tutor Screen Share</t>
  </si>
  <si>
    <t>https://chromewebstore.google.com/detail/aghldgpdpmfhlmlojfpeeepcjdopcmgn</t>
  </si>
  <si>
    <t>Yandex Music Downloader</t>
  </si>
  <si>
    <t>https://chromewebstore.google.com/detail/agkcaldeglaadeknkclfbpdojhhclfej</t>
  </si>
  <si>
    <t>Logitech Unifying for Chrome</t>
  </si>
  <si>
    <t>https://chromewebstore.google.com/detail/agpmgihmmmfkbhckmciedmhincdggomo</t>
  </si>
  <si>
    <t>Batch Link Downloader</t>
  </si>
  <si>
    <t>https://chromewebstore.google.com/detail/aiahkbnnpafepcgnhhecilboebmmolnn</t>
  </si>
  <si>
    <t>AODocs – Legacy Smartbar for Google Workspace</t>
  </si>
  <si>
    <t>https://chromewebstore.google.com/detail/aikbehojjdffmangolfbohjdigfdnepa</t>
  </si>
  <si>
    <t>Dr.Web Link Checker</t>
  </si>
  <si>
    <t>https://chromewebstore.google.com/detail/aleggpabliehgbeagmfhnodcijcmbonb</t>
  </si>
  <si>
    <t>FEPWeb CMS Digital Signature Extension</t>
  </si>
  <si>
    <t>https://chromewebstore.google.com/detail/bcellnicpceplkigjnldelfglfmomhon</t>
  </si>
  <si>
    <t>RescueTime for Chrome and Chrome OS</t>
  </si>
  <si>
    <t>https://chromewebstore.google.com/detail/bdakmnplckeopfghnlpocafcepegjeap</t>
  </si>
  <si>
    <t>Nyan Cat Progress Bar for YouTube™</t>
  </si>
  <si>
    <t>https://chromewebstore.google.com/detail/bdjaekjkckpdknkfncfnaibkabdcgmkg</t>
  </si>
  <si>
    <t>TunnelBear Blocker</t>
  </si>
  <si>
    <t>https://chromewebstore.google.com/detail/bebdhgdigjiiamnkcenegafmfjoghafk</t>
  </si>
  <si>
    <t>myViewBoard extension</t>
  </si>
  <si>
    <t>https://chromewebstore.google.com/detail/bflolcmnokpcochfhappdfipeficedjf</t>
  </si>
  <si>
    <t>Alternate Player for Twitch.tv</t>
  </si>
  <si>
    <t>https://chromewebstore.google.com/detail/bhplkbgoehhhddaoolmakpocnenplmhf</t>
  </si>
  <si>
    <t>Softdreams công cụ ký điện tử</t>
  </si>
  <si>
    <t>https://chromewebstore.google.com/detail/bkfagmnjmfjalbbaiphoiiafghlknpog</t>
  </si>
  <si>
    <t>Night Mode</t>
  </si>
  <si>
    <t>https://chromewebstore.google.com/detail/bkiiljdcpccihhoigelmohcfkehdnjej</t>
  </si>
  <si>
    <t>Edge Translate</t>
  </si>
  <si>
    <t>https://chromewebstore.google.com/detail/bocbaocobfecmglnmeaeppambideimao</t>
  </si>
  <si>
    <t>Netflix 1080p</t>
  </si>
  <si>
    <t>https://chromewebstore.google.com/detail/cankofcoohmbhfpcemhmaaeennfbnmgp</t>
  </si>
  <si>
    <t>돌려돌려 돌림판</t>
  </si>
  <si>
    <t>https://chromewebstore.google.com/detail/cbhdjmlgamciejnfglfejgbgmjdddckh</t>
  </si>
  <si>
    <t>Google Meet Mirror / Flip Camera</t>
  </si>
  <si>
    <t>https://chromewebstore.google.com/detail/cbnfajeeaebnldmgnodjlkfeomdacjlc</t>
  </si>
  <si>
    <t>8-Ball Pool</t>
  </si>
  <si>
    <t>https://chromewebstore.google.com/detail/cedbddnnmhgnedpamoenmdkhnpnfbpjb</t>
  </si>
  <si>
    <t>Goobric Web App Launcher</t>
  </si>
  <si>
    <t>https://chromewebstore.google.com/detail/cepmakjlanepojocakadfpohnhhalfol</t>
  </si>
  <si>
    <t>Twitter Media Assist</t>
  </si>
  <si>
    <t>https://chromewebstore.google.com/detail/cledppeceojodgghbbkaciochldmpdfk</t>
  </si>
  <si>
    <t>Dolby Voice 1.3</t>
  </si>
  <si>
    <t>https://chromewebstore.google.com/detail/clloobkgbdighillbfomkhjhgeempchd</t>
  </si>
  <si>
    <t>Online Seller Addon</t>
  </si>
  <si>
    <t>https://chromewebstore.google.com/detail/cmjihoeplpkmlmbbiiognkceoechmand</t>
  </si>
  <si>
    <t>Tabbed Postman - REST Client</t>
  </si>
  <si>
    <t>https://chromewebstore.google.com/detail/coohjcphdfgbiolnekdpbcijmhambjff</t>
  </si>
  <si>
    <t>Skoletube</t>
  </si>
  <si>
    <t>https://chromewebstore.google.com/detail/cpnngmckccgcopllekpgppnfhaefbaam</t>
  </si>
  <si>
    <t>阻擋廣告 for YouTube™</t>
  </si>
  <si>
    <t>https://chromewebstore.google.com/detail/daocgoilgdmkpilllpkjbaankampnbmj</t>
  </si>
  <si>
    <t>Easy Accent Marks</t>
  </si>
  <si>
    <t>https://chromewebstore.google.com/detail/defhgdcldhhmoenjjpaiekkenhnbledj</t>
  </si>
  <si>
    <t>Sourcegraph</t>
  </si>
  <si>
    <t>https://chromewebstore.google.com/detail/dgjhfomjieaadpoljlnidmbgkdffpack</t>
  </si>
  <si>
    <t>LostFilm.TV - официальный плагин</t>
  </si>
  <si>
    <t>https://chromewebstore.google.com/detail/dhccaifficimfjcpbapjockkipmmlkab</t>
  </si>
  <si>
    <t>«Такском-Сертификаты»</t>
  </si>
  <si>
    <t>https://chromewebstore.google.com/detail/dlagkjochbkkfmcgofjlipnjneahkfjn</t>
  </si>
  <si>
    <t>HTML Tree Generator</t>
  </si>
  <si>
    <t>https://chromewebstore.google.com/detail/dlbbmhhaadfnbbdnjalilhdakfmiffeg</t>
  </si>
  <si>
    <t>Disable HTML5 Autoplay</t>
  </si>
  <si>
    <t>https://chromewebstore.google.com/detail/efdhoaajjjgckpbkoglidkeendpkolai</t>
  </si>
  <si>
    <t>AutoTube - YouTube nonstop v2</t>
  </si>
  <si>
    <t>https://chromewebstore.google.com/detail/egobelhdffdoidcnhpgkngoghpiebial</t>
  </si>
  <si>
    <t>Rajiko</t>
  </si>
  <si>
    <t>https://chromewebstore.google.com/detail/ejcfdikabeebbgbopoagpabbdokepnff</t>
  </si>
  <si>
    <t>AutoplayStopper</t>
  </si>
  <si>
    <t>https://chromewebstore.google.com/detail/ejddcgojdblidajhngkogefpkknnebdh</t>
  </si>
  <si>
    <t>Avaya Screen Sharing</t>
  </si>
  <si>
    <t>https://chromewebstore.google.com/detail/ekmpmkmabbkjmceejhcdeckofhmbnoen</t>
  </si>
  <si>
    <t>Ultimate Enable Right Click ─ Allow Copy</t>
  </si>
  <si>
    <t>https://chromewebstore.google.com/detail/emfeppdfcjnldjgmofdkbggeacapegen</t>
  </si>
  <si>
    <t>SimpleUndoClose</t>
  </si>
  <si>
    <t>https://chromewebstore.google.com/detail/emhohdghchmjepmigjojkehidlielknj</t>
  </si>
  <si>
    <t>minerBlock</t>
  </si>
  <si>
    <t>https://chromewebstore.google.com/detail/emikbbbebcdfohonlaifafnoanocnebl</t>
  </si>
  <si>
    <t>Google Apps Script</t>
  </si>
  <si>
    <t>https://chromewebstore.google.com/detail/eoieeedlomnegifmaghhjnghhmcldobl</t>
  </si>
  <si>
    <t>网易有道翻译</t>
  </si>
  <si>
    <t>https://chromewebstore.google.com/detail/eopjamdnofihpioajgfdikhhbobonhbb</t>
  </si>
  <si>
    <t>Fullscreen Interactive Google Slides(TM)</t>
  </si>
  <si>
    <t>https://chromewebstore.google.com/detail/fcdbimocephnflhcladjelkceaefdcjh</t>
  </si>
  <si>
    <t>Pasar Lista en Meet</t>
  </si>
  <si>
    <t>https://chromewebstore.google.com/detail/fcikoaljfkfdofbhmfeonmpkmmagnokd</t>
  </si>
  <si>
    <t>Datalayer Checker</t>
  </si>
  <si>
    <t>https://chromewebstore.google.com/detail/ffljdddodmkedhkcjhpmdajhjdbkogke</t>
  </si>
  <si>
    <t>Cookie AutoDelete</t>
  </si>
  <si>
    <t>https://chromewebstore.google.com/detail/fhcgjolkccmbidfldomjliifgaodjagh</t>
  </si>
  <si>
    <t>Tab Suspender</t>
  </si>
  <si>
    <t>https://chromewebstore.google.com/detail/fiabciakcmgepblmdkmemdbbkilneeeh</t>
  </si>
  <si>
    <t>Photopea</t>
  </si>
  <si>
    <t>https://chromewebstore.google.com/detail/fmophgdjdipcbfjiopifpngdjmemonko</t>
  </si>
  <si>
    <t>Advertising Terminator</t>
  </si>
  <si>
    <t>https://chromewebstore.google.com/detail/fpdnjdlbdmifoocedhkighhlbchbiikl</t>
  </si>
  <si>
    <t>Word Counter Plus</t>
  </si>
  <si>
    <t>https://chromewebstore.google.com/detail/fpjegfbcdijjfkceenlfoehpcakfgldj</t>
  </si>
  <si>
    <t>XML Tree</t>
  </si>
  <si>
    <t>https://chromewebstore.google.com/detail/gbammbheopgpmaagmckhpjbfgdfkpadb</t>
  </si>
  <si>
    <t>Farmville2 X-Press</t>
  </si>
  <si>
    <t>https://chromewebstore.google.com/detail/gbgjpdhhnbgmnafojckjmjogcpoinlim</t>
  </si>
  <si>
    <t>Python Shell</t>
  </si>
  <si>
    <t>https://chromewebstore.google.com/detail/gdiimmpmdoofmahingpgabiikimjgcia</t>
  </si>
  <si>
    <t>Screen Capture</t>
  </si>
  <si>
    <t>https://chromewebstore.google.com/detail/ghihpjhpgdepnohngpgfcmcijmkggpaf</t>
  </si>
  <si>
    <t>Planner 5D</t>
  </si>
  <si>
    <t>https://chromewebstore.google.com/detail/gjfkgdpkecnmfcgfpfibpcnkeakahllc</t>
  </si>
  <si>
    <t>vCastSender</t>
  </si>
  <si>
    <t>https://chromewebstore.google.com/detail/gkjmdfbjkkodgpmkahekmcammibhimdi</t>
  </si>
  <si>
    <t>Website Blocker (Beta)</t>
  </si>
  <si>
    <t>https://chromewebstore.google.com/detail/hclgegipaehbigmbhdpfapmjadbaldib</t>
  </si>
  <si>
    <t>Timer</t>
  </si>
  <si>
    <t>https://chromewebstore.google.com/detail/hepmlgghomccjinhcnkkikjpgkjibglj</t>
  </si>
  <si>
    <t>WiFi printer driver for Chromebooks</t>
  </si>
  <si>
    <t>https://chromewebstore.google.com/detail/hhcgnlnhaapiekdelngjichnccjfkbnc</t>
  </si>
  <si>
    <t>Voice Search</t>
  </si>
  <si>
    <t>https://chromewebstore.google.com/detail/hhfkcobomkalfdlmkongnhnhahkmnaad</t>
  </si>
  <si>
    <t>Enable right click</t>
  </si>
  <si>
    <t>https://chromewebstore.google.com/detail/hhojmcideegachlhfgfdhailpfhgknjm</t>
  </si>
  <si>
    <t>JustBlock Security</t>
  </si>
  <si>
    <t>https://chromewebstore.google.com/detail/hiajdlfgbgnnjakkbnpdhmhfhklkbiol</t>
  </si>
  <si>
    <t>Fabasoft Folio 2016</t>
  </si>
  <si>
    <t>https://chromewebstore.google.com/detail/hiejidhjgjpelfgldfhmnaoahnephhfg</t>
  </si>
  <si>
    <t>Referer Control</t>
  </si>
  <si>
    <t>https://chromewebstore.google.com/detail/hnkcfpcejkafcihlgbojoidoihckciin</t>
  </si>
  <si>
    <t>Netop Vision Student Extension</t>
  </si>
  <si>
    <t>https://chromewebstore.google.com/detail/hppkmolfkplaopacolakfekiejedjapl</t>
  </si>
  <si>
    <t>Smart Searching Tab</t>
  </si>
  <si>
    <t>https://chromewebstore.google.com/detail/iacoifmgngnkjphlhpencjhenbngoheg</t>
  </si>
  <si>
    <t>Super Netflix</t>
  </si>
  <si>
    <t>https://chromewebstore.google.com/detail/iakpdiefpdniabbekcbofaanjcpjkloe</t>
  </si>
  <si>
    <t>Cool Clock</t>
  </si>
  <si>
    <t>https://chromewebstore.google.com/detail/icegcmhgphfkgglbljbkdegiaaihifce</t>
  </si>
  <si>
    <t>Stealthy</t>
  </si>
  <si>
    <t>https://chromewebstore.google.com/detail/ieaebnkibonmpbhdaanjkmedikadnoje</t>
  </si>
  <si>
    <t>Alice Keeler Classroom Split</t>
  </si>
  <si>
    <t>https://chromewebstore.google.com/detail/ifkgpacemihiplnocjocpgmoiefcojik</t>
  </si>
  <si>
    <t>Social Fixer for Facebook</t>
  </si>
  <si>
    <t>https://chromewebstore.google.com/detail/ifmhoabcaeehkljcfclfiieohkohdgbb</t>
  </si>
  <si>
    <t>FortiClient Chromebook Webfilter Extension</t>
  </si>
  <si>
    <t>https://chromewebstore.google.com/detail/igbgpehnbmhgdgjbhkkpedommgmfbeao</t>
  </si>
  <si>
    <t>SimpRead - Reader View</t>
  </si>
  <si>
    <t>https://chromewebstore.google.com/detail/ijllcpnolfcooahcekpamkbidhejabll</t>
  </si>
  <si>
    <t>dataslayer</t>
  </si>
  <si>
    <t>https://chromewebstore.google.com/detail/ikbablmmjldhamhcldjjigniffkkjgpo</t>
  </si>
  <si>
    <t>GAuth Authenticator</t>
  </si>
  <si>
    <t>https://chromewebstore.google.com/detail/ilgcnhelpchnceeipipijaljkblbcobl</t>
  </si>
  <si>
    <t>iPiccy Photo Editor</t>
  </si>
  <si>
    <t>https://chromewebstore.google.com/detail/imokeandodnlammaoenbgcnbhigjbpjh</t>
  </si>
  <si>
    <t>New XKit</t>
  </si>
  <si>
    <t>https://chromewebstore.google.com/detail/inobiceghmpkaklcknpniboilbjmlald</t>
  </si>
  <si>
    <t>Palette Creator</t>
  </si>
  <si>
    <t>https://chromewebstore.google.com/detail/iofmialeiddolmdlkbheakaefefkjokp</t>
  </si>
  <si>
    <t>Secret Server Clipboard Utility</t>
  </si>
  <si>
    <t>https://chromewebstore.google.com/detail/jhmhfmkkefhodppadapgpnaiccboohef</t>
  </si>
  <si>
    <t>Multi Forward for Gmail</t>
  </si>
  <si>
    <t>https://chromewebstore.google.com/detail/jjmdplljmniahpamcmabdnahmjdlikpm</t>
  </si>
  <si>
    <t>TLDR This - Free automatic text summary tool</t>
  </si>
  <si>
    <t>https://chromewebstore.google.com/detail/jjmnbidkmmabkalampbilajnheeokpoj</t>
  </si>
  <si>
    <t>Clear Cache Shortcut</t>
  </si>
  <si>
    <t>https://chromewebstore.google.com/detail/jnajhcakejgchhbjlchkfmdidgjefleg</t>
  </si>
  <si>
    <t>PlayTo for Chromecast™</t>
  </si>
  <si>
    <t>https://chromewebstore.google.com/detail/jngkenaoceimiimeokpdbmejeonaaami</t>
  </si>
  <si>
    <t>LiveReload</t>
  </si>
  <si>
    <t>https://chromewebstore.google.com/detail/jnihajbhpnppcggbcgedagnkighmdlei</t>
  </si>
  <si>
    <t>Impero Client Extension 8.6.23</t>
  </si>
  <si>
    <t>https://chromewebstore.google.com/detail/jonmpbbljdciehhpdfmdiapidmnogkcp</t>
  </si>
  <si>
    <t>Chrometana - Redirect Bing Somewhere Better</t>
  </si>
  <si>
    <t>https://chromewebstore.google.com/detail/kaicbfmipfpfpjmlbpejaoaflfdnabnc</t>
  </si>
  <si>
    <t>Betaflight - Configurator</t>
  </si>
  <si>
    <t>https://chromewebstore.google.com/detail/kdaghagfopacdngbohiknlhcocjccjao</t>
  </si>
  <si>
    <t>Astro</t>
  </si>
  <si>
    <t>https://chromewebstore.google.com/detail/keibmolmaeiahiahfgenlaidmokmfcfm</t>
  </si>
  <si>
    <t>Screen Reader</t>
  </si>
  <si>
    <t>https://chromewebstore.google.com/detail/kgejglhpjiefppelpmljglcjbhoiplfn</t>
  </si>
  <si>
    <t>WordPress.com</t>
  </si>
  <si>
    <t>https://chromewebstore.google.com/detail/khjnjifipfkgglficmipimgjpbmlbemd</t>
  </si>
  <si>
    <t>Noisli</t>
  </si>
  <si>
    <t>https://chromewebstore.google.com/detail/klejemegaoblahjdpcajmpcnjjmkmkkf</t>
  </si>
  <si>
    <t>Youtube Chat in Fullscreen</t>
  </si>
  <si>
    <t>https://chromewebstore.google.com/detail/kmhclnjhlejdjlkgeebolkigafpaijkp</t>
  </si>
  <si>
    <t>SimpleExtManager</t>
  </si>
  <si>
    <t>https://chromewebstore.google.com/detail/kniehgiejgnnpgojkdhhjbgbllnfkfdk</t>
  </si>
  <si>
    <t>Allow Select And Copy</t>
  </si>
  <si>
    <t>https://chromewebstore.google.com/detail/lamaakaemgdclpnfbofmhpkanfnojjch</t>
  </si>
  <si>
    <t>ClearURLs</t>
  </si>
  <si>
    <t>https://chromewebstore.google.com/detail/lckanjgmijmafbedllaakclkaicjfmnk</t>
  </si>
  <si>
    <t>Cisco Network Setup Assistant</t>
  </si>
  <si>
    <t>https://chromewebstore.google.com/detail/ldlfakmjimohnhnpgnjmjkdnaiegiebg</t>
  </si>
  <si>
    <t>稀土掘金</t>
  </si>
  <si>
    <t>https://chromewebstore.google.com/detail/lecdifefmmfjnjjinhaennhdlmcaeeeb</t>
  </si>
  <si>
    <t>JSON Editor</t>
  </si>
  <si>
    <t>https://chromewebstore.google.com/detail/lhkmoheomjbkfloacpgllgjcamhihfaj</t>
  </si>
  <si>
    <t>Ahoy!</t>
  </si>
  <si>
    <t>https://chromewebstore.google.com/detail/ljighgeflmhnpljodhpcifcojkpancpm</t>
  </si>
  <si>
    <t>Codebender App</t>
  </si>
  <si>
    <t>https://chromewebstore.google.com/detail/magknjdfniglanojbpadmpjlglepnlko</t>
  </si>
  <si>
    <t>EPUB READER</t>
  </si>
  <si>
    <t>https://chromewebstore.google.com/detail/mbcgbbpomkkndfbpiepjimakkbocjgkh</t>
  </si>
  <si>
    <t>Scraper</t>
  </si>
  <si>
    <t>https://chromewebstore.google.com/detail/mbigbapnjcgaffohmbkdlecaccepngjd</t>
  </si>
  <si>
    <t>SpotiAds - Ads remover for Spotify™</t>
  </si>
  <si>
    <t>https://chromewebstore.google.com/detail/mghhlojofjipigjobacbjdngmjafdeim</t>
  </si>
  <si>
    <t>Wicked Good Unarchiver</t>
  </si>
  <si>
    <t>https://chromewebstore.google.com/detail/mljpablpddhocfbnokacjggdbmafjnon</t>
  </si>
  <si>
    <t>Такском Выпуск сертификатов</t>
  </si>
  <si>
    <t>https://chromewebstore.google.com/detail/mmjindpbjjflhaojplclpcjfoaepgnhm</t>
  </si>
  <si>
    <t>UET Tag Helper (by Microsoft Advertising)</t>
  </si>
  <si>
    <t>https://chromewebstore.google.com/detail/naijndjklgmffmpembnkfbcjbognokbf</t>
  </si>
  <si>
    <t>Download</t>
  </si>
  <si>
    <t>https://chromewebstore.google.com/detail/nccjoeeljedbmkidebclpoabijggpbdp</t>
  </si>
  <si>
    <t>Parsys</t>
  </si>
  <si>
    <t>https://chromewebstore.google.com/detail/nidndciakmfgmeidifobfpiffbkcemnc</t>
  </si>
  <si>
    <t>CFCA CryptoKit.CIB Extension</t>
  </si>
  <si>
    <t>https://chromewebstore.google.com/detail/nnahcpdajidknipglinmjmcmhckpbhnk</t>
  </si>
  <si>
    <t>The Marvellous Suspender</t>
  </si>
  <si>
    <t>https://chromewebstore.google.com/detail/noogafoofpebimajpfpamcfhoaifemoa</t>
  </si>
  <si>
    <t>TabCloud</t>
  </si>
  <si>
    <t>https://chromewebstore.google.com/detail/npecfdijgoblfcgagoijgmgejmcpnhof</t>
  </si>
  <si>
    <t>AutoScroll</t>
  </si>
  <si>
    <t>https://chromewebstore.google.com/detail/occjjkgifpmdgodlplnacmkejpdionan</t>
  </si>
  <si>
    <t>Redirector</t>
  </si>
  <si>
    <t>https://chromewebstore.google.com/detail/ocgpenflpmgnfapjedencafcfakcekcd</t>
  </si>
  <si>
    <t>Wizdler</t>
  </si>
  <si>
    <t>https://chromewebstore.google.com/detail/oebpmncolmhiapingjaagmapififiakb</t>
  </si>
  <si>
    <t>Charset</t>
  </si>
  <si>
    <t>https://chromewebstore.google.com/detail/oenllhgkiiljibhfagbfogdbchhdchml</t>
  </si>
  <si>
    <t>TTV LOL</t>
  </si>
  <si>
    <t>https://chromewebstore.google.com/detail/ofbbahodfeppoklmgjiokgfdgcndngjm</t>
  </si>
  <si>
    <t>Page Monitor</t>
  </si>
  <si>
    <t>https://chromewebstore.google.com/detail/ogeebjpdeabhncjpfhgdibjajcajepgg</t>
  </si>
  <si>
    <t>ScriptSafe</t>
  </si>
  <si>
    <t>https://chromewebstore.google.com/detail/oiigbmnaadbkfbmpbfijlflahbdbdgdf</t>
  </si>
  <si>
    <t>Google Meet Attendees &amp; Breakout Rooms</t>
  </si>
  <si>
    <t>https://chromewebstore.google.com/detail/olmgpgbhojeoalaimckcpgkadjkejacl</t>
  </si>
  <si>
    <t>Twitch Channel Points Autoclicker</t>
  </si>
  <si>
    <t>https://chromewebstore.google.com/detail/pbeamibpehihpjljabhnchghlbneiane</t>
  </si>
  <si>
    <t>IBM Cognos TM1 Web Clipboard Extension</t>
  </si>
  <si>
    <t>https://chromewebstore.google.com/detail/pfcpjkoiknombhfcjnjihpafmkhmdcjb</t>
  </si>
  <si>
    <t>Simple WebSocket Client</t>
  </si>
  <si>
    <t>https://chromewebstore.google.com/detail/pfdhoblngboilpfeibdedpjgfnlcodoo</t>
  </si>
  <si>
    <t>Global Twitch Emotes</t>
  </si>
  <si>
    <t>https://chromewebstore.google.com/detail/pgniedifoejifjkndekolimjeclnokkb</t>
  </si>
  <si>
    <t>Resource Override</t>
  </si>
  <si>
    <t>https://chromewebstore.google.com/detail/pkoacgokdfckfpndoffpifphamojphii</t>
  </si>
  <si>
    <t>Free Visio Viewer (Mac, Windows, Linux)</t>
  </si>
  <si>
    <t>https://chromewebstore.google.com/detail/mcpmofnlkemfkhgngcdppgbhncoflmpe</t>
  </si>
  <si>
    <t>Writefull for Overleaf</t>
  </si>
  <si>
    <t>https://chromewebstore.google.com/detail/edhnemgfcihjcpfhkoiiejgedkbefnhg</t>
  </si>
  <si>
    <t>HTML to Figma - by Builder.io</t>
  </si>
  <si>
    <t>https://chromewebstore.google.com/detail/efjcmgblfpkhbjpkpopkgeomfkokpaim</t>
  </si>
  <si>
    <t>Cleanflight - Configurator</t>
  </si>
  <si>
    <t>https://chromewebstore.google.com/detail/enacoimjcgeinfnnnpajinjgmkahmfgb</t>
  </si>
  <si>
    <t>Serasa Experian - Certificado Digital</t>
  </si>
  <si>
    <t>https://chromewebstore.google.com/detail/geenaogahfiljnpdafiobohipggenddh</t>
  </si>
  <si>
    <t>Call with Jabber</t>
  </si>
  <si>
    <t>https://chromewebstore.google.com/detail/gkdkpnimfmkkhlffjbijibpoimhihjea</t>
  </si>
  <si>
    <t>Enable local file links</t>
  </si>
  <si>
    <t>https://chromewebstore.google.com/detail/hbmcflodcpmdbpelmchgmekkbdbmlmfh</t>
  </si>
  <si>
    <t>SMS from Gmail ™ &amp; Facebook™ (MightyText)</t>
  </si>
  <si>
    <t>https://chromewebstore.google.com/detail/iffdacemhfpnchinokehhnppllonacfj</t>
  </si>
  <si>
    <t>有道云笔记网页剪报</t>
  </si>
  <si>
    <t>https://chromewebstore.google.com/detail/joinpgckiioeklibflapokicmndlcnef</t>
  </si>
  <si>
    <t>Fuze for Chrome</t>
  </si>
  <si>
    <t>https://chromewebstore.google.com/detail/kcehcblfpidimbihdfophhhdejckolgh</t>
  </si>
  <si>
    <t>Smart Card Connector</t>
  </si>
  <si>
    <t>https://chromewebstore.google.com/detail/khpfeaanjngmcnplbdlpegiifgpfgdco</t>
  </si>
  <si>
    <t>Tab Save</t>
  </si>
  <si>
    <t>https://chromewebstore.google.com/detail/lkngoeaeclaebmpkgapchgjdbaekacki</t>
  </si>
  <si>
    <t>Google Verified Access by Duo</t>
  </si>
  <si>
    <t>https://chromewebstore.google.com/detail/lojeokmpinkpmpbakfkfpgfhpapbgdnd</t>
  </si>
  <si>
    <t>UiBot Native Message Plugin</t>
  </si>
  <si>
    <t>https://chromewebstore.google.com/detail/nbacobmbjgnmmdangdadkbjiabhamnco</t>
  </si>
  <si>
    <t>TTSReader | Text to Speech In Page Reader</t>
  </si>
  <si>
    <t>https://chromewebstore.google.com/detail/pakknklefcjdhejnffafpeelofiekebg</t>
  </si>
  <si>
    <t>Skyroom Screen Sharing and Recording</t>
  </si>
  <si>
    <t>https://chromewebstore.google.com/detail/pejdnafppnpfimpnipdkiidjancinenc</t>
  </si>
  <si>
    <t>Separate Window</t>
  </si>
  <si>
    <t>https://chromewebstore.google.com/detail/cbgkkbaghihhnaeabfcmmglhnfkfnpon</t>
  </si>
  <si>
    <t>CTabs</t>
  </si>
  <si>
    <t>https://chromewebstore.google.com/detail/ccljlmmlgpdlbpgafhnejagfjdlonnij</t>
  </si>
  <si>
    <t>Disable Automatic Gain Control</t>
  </si>
  <si>
    <t>https://chromewebstore.google.com/detail/clpapnmmlmecieknddelobgikompchkk</t>
  </si>
  <si>
    <t>WebRTC Leak Prevent</t>
  </si>
  <si>
    <t>https://chromewebstore.google.com/detail/eiadekoaikejlgdbkbdfeijglgfdalml</t>
  </si>
  <si>
    <t>Woocommerce Spy</t>
  </si>
  <si>
    <t>https://chromewebstore.google.com/detail/elnocalmhgohlhjlpabeanaplckehhpl</t>
  </si>
  <si>
    <t>Ad 'n Popup-Blocker</t>
  </si>
  <si>
    <t>https://chromewebstore.google.com/detail/eofhamhgcjpjmipbpegbjeododphaoep</t>
  </si>
  <si>
    <t>Signa - Prodemge</t>
  </si>
  <si>
    <t>https://chromewebstore.google.com/detail/idbpfpeogbhifooiagnbbdbffplkfcke</t>
  </si>
  <si>
    <t>ESPNCricinfo</t>
  </si>
  <si>
    <t>https://chromewebstore.google.com/detail/ijhlikjoigjegofbedmfmlcfkmhabldh</t>
  </si>
  <si>
    <t>Darkness - Beautiful Dark Themes</t>
  </si>
  <si>
    <t>https://chromewebstore.google.com/detail/imilbobhamcfahccagbncamhpnbkaenm</t>
  </si>
  <si>
    <t>Công cụ ký điện tử kê khai BHXH VIETTEL</t>
  </si>
  <si>
    <t>https://chromewebstore.google.com/detail/iomllmalelddmfnfpnhoginkolncgnbb</t>
  </si>
  <si>
    <t>PixelBlock</t>
  </si>
  <si>
    <t>https://chromewebstore.google.com/detail/jmpmfcjnflbcoidlgapblgpgbilinlem</t>
  </si>
  <si>
    <t>Unblock Bilibili - The only official version</t>
  </si>
  <si>
    <t>https://chromewebstore.google.com/detail/jpegpdbkhceiipenjmaglmphmfjjpbmp</t>
  </si>
  <si>
    <t>OPALS Catalog Search Extension</t>
  </si>
  <si>
    <t>https://chromewebstore.google.com/detail/kfjfndohjinjlkfhgbmginlaomcagikg</t>
  </si>
  <si>
    <t>right-click QRcode reader</t>
  </si>
  <si>
    <t>https://chromewebstore.google.com/detail/lnhgdalhhjkfmmdjbkhilkinoomigdkc</t>
  </si>
  <si>
    <t>AssetView 2</t>
  </si>
  <si>
    <t>https://chromewebstore.google.com/detail/mfbagbfobinbfmiehbnbfpngjmcgjgfl</t>
  </si>
  <si>
    <t>Awesome New Tab Page</t>
  </si>
  <si>
    <t>https://chromewebstore.google.com/detail/mgmiemnjjchgkmgbeljfocdjjnpjnmcg</t>
  </si>
  <si>
    <t>Font Picker</t>
  </si>
  <si>
    <t>https://chromewebstore.google.com/detail/mmjbimgpcbaegjiieojddickpjbdkeej</t>
  </si>
  <si>
    <t>scrible</t>
  </si>
  <si>
    <t>https://chromewebstore.google.com/detail/ncjdkbfljbfclahddicjlandcamhkpii</t>
  </si>
  <si>
    <t>Pesticide for Chrome (without hover bar)</t>
  </si>
  <si>
    <t>https://chromewebstore.google.com/detail/neonnmencpneifkhlmhmfhfiklgjmloi</t>
  </si>
  <si>
    <t>uMatrix</t>
  </si>
  <si>
    <t>https://chromewebstore.google.com/detail/ogfcmafjalglgifnmanfmnieipoejdcf</t>
  </si>
  <si>
    <t>4chan X</t>
  </si>
  <si>
    <t>https://chromewebstore.google.com/detail/ohnjgmpcibpbafdlkimncjhflgedgpam</t>
  </si>
  <si>
    <t>Web Cache Viewer</t>
  </si>
  <si>
    <t>https://chromewebstore.google.com/detail/pbkloffickinnlnmefmjmjbacohecpbd</t>
  </si>
  <si>
    <t>SlitherPlus - Zoom, Skin Creator, Mod,  Bots</t>
  </si>
  <si>
    <t>https://chromewebstore.google.com/detail/cpbghpalffgmgocmnigfhalghmaemffo</t>
  </si>
  <si>
    <t>FUTBIN</t>
  </si>
  <si>
    <t>https://chromewebstore.google.com/detail/adicaaffkmhgnfheifkjhopmambgfihl</t>
  </si>
  <si>
    <t>The Great Suspender (notrack)</t>
  </si>
  <si>
    <t>https://chromewebstore.google.com/detail/ahkbmjhfoplmfkpncgoedjgkajkehcgo</t>
  </si>
  <si>
    <t>Permanent Inspect Element</t>
  </si>
  <si>
    <t>https://chromewebstore.google.com/detail/alfgclaljdbleenfjjnkefddlgbknllp</t>
  </si>
  <si>
    <t>Riddr - Text To Speech reader for Chrome</t>
  </si>
  <si>
    <t>https://chromewebstore.google.com/detail/aljmkoflmjkklddjideacgmofobfkhkd</t>
  </si>
  <si>
    <t>Reminders</t>
  </si>
  <si>
    <t>https://chromewebstore.google.com/detail/aplgdhgdhfeipojcjbhchmolaolealnd</t>
  </si>
  <si>
    <t>YourTV Chrome extension</t>
  </si>
  <si>
    <t>https://chromewebstore.google.com/detail/bdlhpbalhdjobabgbacbgclpjjelainj</t>
  </si>
  <si>
    <t>Panorama Viewer</t>
  </si>
  <si>
    <t>https://chromewebstore.google.com/detail/cbplklgcjnhehkoigoankacpmehafhfk</t>
  </si>
  <si>
    <t>Cleanbrowser</t>
  </si>
  <si>
    <t>https://chromewebstore.google.com/detail/cdceffomlakcmodkiilmcbpkcpmbgoem</t>
  </si>
  <si>
    <t>I'm not robot captcha clicker</t>
  </si>
  <si>
    <t>https://chromewebstore.google.com/detail/ceipnlhmjohemhfpbjdgeigkababhmjc</t>
  </si>
  <si>
    <t>SalesLoft Connect - Legacy</t>
  </si>
  <si>
    <t>https://chromewebstore.google.com/detail/cffgjgigjfgjkfdopbobbdadaelbhepo</t>
  </si>
  <si>
    <t>Strict Workflow</t>
  </si>
  <si>
    <t>https://chromewebstore.google.com/detail/cgmnfnmlficgeijcalkgnnkigkefkbhd</t>
  </si>
  <si>
    <t>Roblox Multi Accounts</t>
  </si>
  <si>
    <t>https://chromewebstore.google.com/detail/cmeicimcdhgohgjmpmcdpakjjdohhocg</t>
  </si>
  <si>
    <t>Color Contrast Analyzer</t>
  </si>
  <si>
    <t>https://chromewebstore.google.com/detail/dagdlcijhfbmgkjokkjicnnfimlebcll</t>
  </si>
  <si>
    <t>Five9 Agent Desktop Toolkit</t>
  </si>
  <si>
    <t>https://chromewebstore.google.com/detail/dpbjglmkcdbkbclmdonbkcgeiebaibkf</t>
  </si>
  <si>
    <t>Passport</t>
  </si>
  <si>
    <t>https://chromewebstore.google.com/detail/dpinfolakhcnlgkdbodgabnliglebhbg</t>
  </si>
  <si>
    <t>Cast with MkChromecast</t>
  </si>
  <si>
    <t>https://chromewebstore.google.com/detail/edeepcccaejnnodlpmcoackkdgaijakg</t>
  </si>
  <si>
    <t>Strong Password Generator</t>
  </si>
  <si>
    <t>https://chromewebstore.google.com/detail/emehklffcaphknhhfhadkjhpfapcbpco</t>
  </si>
  <si>
    <t>Daxab Ultimate</t>
  </si>
  <si>
    <t>https://chromewebstore.google.com/detail/enakmcmeealkdoeindgoeogldodhdeda</t>
  </si>
  <si>
    <t>Torch Search</t>
  </si>
  <si>
    <t>https://chromewebstore.google.com/detail/enkjnfoecgdifjldcgfaefkmmiijafcj</t>
  </si>
  <si>
    <t>Individual Software’s Typing Flash Enabler</t>
  </si>
  <si>
    <t>https://chromewebstore.google.com/detail/fjphfpnhpdppbninfececlllgdedghpp</t>
  </si>
  <si>
    <t>OP.GG Extension</t>
  </si>
  <si>
    <t>https://chromewebstore.google.com/detail/gbipjohhadjcagjjjhcooalfnkdlnfim</t>
  </si>
  <si>
    <t>AdGuard AdBlocker MV2</t>
  </si>
  <si>
    <t>https://chromewebstore.google.com/detail/gfggjaccafhcbfogfkogggoepomehbjl</t>
  </si>
  <si>
    <t>CastBuddy</t>
  </si>
  <si>
    <t>https://chromewebstore.google.com/detail/ghagedffjalchgcgdgfindabkpnmalel</t>
  </si>
  <si>
    <t>Unblocker for YouTube</t>
  </si>
  <si>
    <t>https://chromewebstore.google.com/detail/gpnebajhkedajplkepiafghcfoljbgmk</t>
  </si>
  <si>
    <t>ChromeLens</t>
  </si>
  <si>
    <t>https://chromewebstore.google.com/detail/idikgljglpfilbhaboonnpnnincjhjkd</t>
  </si>
  <si>
    <t>AutoDS - Dropshipping Helper</t>
  </si>
  <si>
    <t>https://chromewebstore.google.com/detail/inblpolgchbcgmocpnalobjmmaldkjap</t>
  </si>
  <si>
    <t>Free One Touch VPN</t>
  </si>
  <si>
    <t>https://chromewebstore.google.com/detail/inligpkjkhbpifecbdjhmdpcfhnlelja</t>
  </si>
  <si>
    <t>Ethereum Gas Price Extension</t>
  </si>
  <si>
    <t>https://chromewebstore.google.com/detail/innfmlnnhfcebjcnfopadflecemoddnp</t>
  </si>
  <si>
    <t>sFTP Client</t>
  </si>
  <si>
    <t>https://chromewebstore.google.com/detail/jajcoljhdglkjpfefjkgiohbhnkkmipm</t>
  </si>
  <si>
    <t>FatRank - SEO Rank Checker</t>
  </si>
  <si>
    <t>https://chromewebstore.google.com/detail/jcnfkjjanbdfabigknbedgkfjkljhbdn</t>
  </si>
  <si>
    <t>IP Whois &amp; Flags Chrome &amp; Websites Rating</t>
  </si>
  <si>
    <t>https://chromewebstore.google.com/detail/kmdfbacgombndnllogoijhnggalgmkon</t>
  </si>
  <si>
    <t>KTX Macro</t>
  </si>
  <si>
    <t>https://chromewebstore.google.com/detail/knbnfbamcpabcpkimmfoefmjdcgdmelh</t>
  </si>
  <si>
    <t>Khan Academy Helper</t>
  </si>
  <si>
    <t>https://chromewebstore.google.com/detail/kpmpdolpcgcihifeihogalecdkpjhiko</t>
  </si>
  <si>
    <t>ShiftEdit</t>
  </si>
  <si>
    <t>https://chromewebstore.google.com/detail/lcgmndephhjcabhhjfcmncnhbmgbkpij</t>
  </si>
  <si>
    <t>Ugly Email</t>
  </si>
  <si>
    <t>https://chromewebstore.google.com/detail/ldgiafaliifpknmgofiifianlnbgflgj</t>
  </si>
  <si>
    <t>VK Flex</t>
  </si>
  <si>
    <t>https://chromewebstore.google.com/detail/ljbmkjikheoaglnnifnghjbknejbmhap</t>
  </si>
  <si>
    <t>User-Agent Switcher</t>
  </si>
  <si>
    <t>https://chromewebstore.google.com/detail/lkmofgnohbedopheiphabfhfjgkhfcgf</t>
  </si>
  <si>
    <t>CroxyProxy Free Web Proxy</t>
  </si>
  <si>
    <t>https://chromewebstore.google.com/detail/lmmpgfjnchldhcieiiegcpdmaidkaanb</t>
  </si>
  <si>
    <t>Yellow highlighter pen for web</t>
  </si>
  <si>
    <t>https://chromewebstore.google.com/detail/lnmengjdnfjbochkdkcjbbpildacancp</t>
  </si>
  <si>
    <t>BLHeli - Configurator</t>
  </si>
  <si>
    <t>https://chromewebstore.google.com/detail/mejfjggmbnocnfibbibmoogocnjbcjnk</t>
  </si>
  <si>
    <t>FreeConferenceCall.com Scheduler</t>
  </si>
  <si>
    <t>https://chromewebstore.google.com/detail/mfhjonocnlnodflomblbjnjdpllkeljo</t>
  </si>
  <si>
    <t>Steam Profile Assistant</t>
  </si>
  <si>
    <t>https://chromewebstore.google.com/detail/mjmabgdoainclinjecbkdancpamdiaih</t>
  </si>
  <si>
    <t>SAML Message Decoder</t>
  </si>
  <si>
    <t>https://chromewebstore.google.com/detail/mpabchoaimgbdbbjjieoaeiibojelbhm</t>
  </si>
  <si>
    <t>Pubmed Impact Factor</t>
  </si>
  <si>
    <t>https://chromewebstore.google.com/detail/npblmhpjbopmmaadpmheopjelggjnogh</t>
  </si>
  <si>
    <t>Neater Bookmarks</t>
  </si>
  <si>
    <t>https://chromewebstore.google.com/detail/ofgjggbjanlhbgaemjbkiegeebmccifi</t>
  </si>
  <si>
    <t>Avatar Maker</t>
  </si>
  <si>
    <t>https://chromewebstore.google.com/detail/ofknlbikfofijlcjkfcihomkedmchfbn</t>
  </si>
  <si>
    <t>Fullscreen Anything</t>
  </si>
  <si>
    <t>https://chromewebstore.google.com/detail/olcfgpmjldkkjdclidhcbonieibfhhdh</t>
  </si>
  <si>
    <t>GOK eProcurement Digital Signer</t>
  </si>
  <si>
    <t>https://chromewebstore.google.com/detail/oneboplbahpaldoloieajnbibaeocdlj</t>
  </si>
  <si>
    <t>Call Timer for Meet</t>
  </si>
  <si>
    <t>https://chromewebstore.google.com/detail/pappcjmimkmjekiaiedkhfogpclanicb</t>
  </si>
  <si>
    <t>MarkDownload - Markdown Web Clipper</t>
  </si>
  <si>
    <t>https://chromewebstore.google.com/detail/pcmpcfapbekmbjjkdalcgopdkipoggdi</t>
  </si>
  <si>
    <t>Webtime Tracker</t>
  </si>
  <si>
    <t>https://chromewebstore.google.com/detail/ppaojnbmmaigjmlpjaldnkgnklhicppk</t>
  </si>
  <si>
    <t>Browser History Plus</t>
  </si>
  <si>
    <t>https://chromewebstore.google.com/detail/adjifobelhoemalljgnjdlockheiacmc</t>
  </si>
  <si>
    <t>Px Downloader</t>
  </si>
  <si>
    <t>https://chromewebstore.google.com/detail/bcbibglkpaimhgmoomembjhclhipoack</t>
  </si>
  <si>
    <t>Dark Night Mode</t>
  </si>
  <si>
    <t>https://chromewebstore.google.com/detail/bhbekkddpbpbibiknkcjamlkhoghieie</t>
  </si>
  <si>
    <t>TFT Trade Extension</t>
  </si>
  <si>
    <t>https://chromewebstore.google.com/detail/bikeebdigkompjnpcljicocidefgbhgl</t>
  </si>
  <si>
    <t>Double-click Image Downloader</t>
  </si>
  <si>
    <t>https://chromewebstore.google.com/detail/bkijmpolkanhdehnlnabfooghjdokakc</t>
  </si>
  <si>
    <t>Get Styles</t>
  </si>
  <si>
    <t>https://chromewebstore.google.com/detail/cammakhaipbljopbkbbffhachjekcfki</t>
  </si>
  <si>
    <t>Color Dropper</t>
  </si>
  <si>
    <t>https://chromewebstore.google.com/detail/cbagleaaaocejmdeichhdkmjebpljckh</t>
  </si>
  <si>
    <t>USO  Chrome  Extension</t>
  </si>
  <si>
    <t>https://chromewebstore.google.com/detail/cfaiemjbjcbagnibmlflmmfccfdmnbek</t>
  </si>
  <si>
    <t>Save Turtle Tab</t>
  </si>
  <si>
    <t>https://chromewebstore.google.com/detail/cjbclahodcgffgpcdokophcaeahpjddj</t>
  </si>
  <si>
    <t>Single click Flash games access</t>
  </si>
  <si>
    <t>https://chromewebstore.google.com/detail/cngjoacjdpnadhhjpdppcdjboiclnclc</t>
  </si>
  <si>
    <t>Farmville Flash Helper</t>
  </si>
  <si>
    <t>https://chromewebstore.google.com/detail/ddakejacccpjkpbjblhaiajdadpkejeb</t>
  </si>
  <si>
    <t>Parallax IDE</t>
  </si>
  <si>
    <t>https://chromewebstore.google.com/detail/djbdelcnligmaaddjeenddjodmiaoffo</t>
  </si>
  <si>
    <t>Dragon Medical Web Extension</t>
  </si>
  <si>
    <t>https://chromewebstore.google.com/detail/dkidoflkcabkfmcpnndogifoldoegnmk</t>
  </si>
  <si>
    <t>Comtrade DigSig plugin</t>
  </si>
  <si>
    <t>https://chromewebstore.google.com/detail/dpfapjogmljlpglmpmkkmopacibdajgm</t>
  </si>
  <si>
    <t>Yet Another REST Client</t>
  </si>
  <si>
    <t>https://chromewebstore.google.com/detail/ehafadccdcdedbhcbddihehiodgcddpl</t>
  </si>
  <si>
    <t>Time Calculator</t>
  </si>
  <si>
    <t>https://chromewebstore.google.com/detail/ehildbclipkplmjfidlkkplaieiglaml</t>
  </si>
  <si>
    <t>Block Yourself from Analytics</t>
  </si>
  <si>
    <t>https://chromewebstore.google.com/detail/fadgflmigmogfionelcpalhohefbnehm</t>
  </si>
  <si>
    <t>SwissTransfer by Infomaniak</t>
  </si>
  <si>
    <t>https://chromewebstore.google.com/detail/fgnamjpfdanadgjchlokpiclkdgnnkdj</t>
  </si>
  <si>
    <t>Tab Position Options</t>
  </si>
  <si>
    <t>https://chromewebstore.google.com/detail/fjccjnfkdkdmjohojoggodkigkjkkjhl</t>
  </si>
  <si>
    <t>ReviewMeta.com Review Analyzer</t>
  </si>
  <si>
    <t>https://chromewebstore.google.com/detail/fjifglfkcaipnmhngbigdebkoikioend</t>
  </si>
  <si>
    <t>Altair GraphQL Client</t>
  </si>
  <si>
    <t>https://chromewebstore.google.com/detail/flnheeellpciglgpaodhkhmapeljopja</t>
  </si>
  <si>
    <t>Avaya Agent for Desktop Extension</t>
  </si>
  <si>
    <t>https://chromewebstore.google.com/detail/gbgfbmopppnjeabmjdinikeidmgblchn</t>
  </si>
  <si>
    <t>StopAll Ads</t>
  </si>
  <si>
    <t>https://chromewebstore.google.com/detail/gikbpaigdncgooaokibbmbmginfbgjaa</t>
  </si>
  <si>
    <t>DriveLock Smart Card Middleware (CSSI)</t>
  </si>
  <si>
    <t>https://chromewebstore.google.com/detail/haeblkpifdemlfnkogkipmghfcbonief</t>
  </si>
  <si>
    <t>Never Ending Netflix</t>
  </si>
  <si>
    <t>https://chromewebstore.google.com/detail/hdadmgabliibighlbejhlglfjgplfmhb</t>
  </si>
  <si>
    <t>Домашняя страница и поиск от Mail.Ru</t>
  </si>
  <si>
    <t>https://chromewebstore.google.com/detail/hdlndkkjgnpjjhcmfpehjinjbmfmglpp</t>
  </si>
  <si>
    <t>MyIPCam</t>
  </si>
  <si>
    <t>https://chromewebstore.google.com/detail/hehdcdgdfhanbcbdkakahgpfinojokob</t>
  </si>
  <si>
    <t>MQTTLens</t>
  </si>
  <si>
    <t>https://chromewebstore.google.com/detail/hemojaaeigabkbcookmlgmdigohjobjm</t>
  </si>
  <si>
    <t>Google Search "View Image" Button</t>
  </si>
  <si>
    <t>https://chromewebstore.google.com/detail/hgngncnljacgakaiifjcgdnknaglfipo</t>
  </si>
  <si>
    <t>TiltShiftMaker</t>
  </si>
  <si>
    <t>https://chromewebstore.google.com/detail/hjjofhgnhekhkccpcnnloagmdpafifeo</t>
  </si>
  <si>
    <t>WordStater для Wordstat - сбор ключевых слов</t>
  </si>
  <si>
    <t>https://chromewebstore.google.com/detail/hjlgbdmfljafjdkpgdiefkplpkcjlphh</t>
  </si>
  <si>
    <t>Card Color Titles for Trello</t>
  </si>
  <si>
    <t>https://chromewebstore.google.com/detail/hpmobkglehhleflhaefmfajhbdnjmgim</t>
  </si>
  <si>
    <t>Event Merge for Google Calendar™</t>
  </si>
  <si>
    <t>https://chromewebstore.google.com/detail/idehaflielbgpaokehlhidbjlehlfcep</t>
  </si>
  <si>
    <t>xPath Finder</t>
  </si>
  <si>
    <t>https://chromewebstore.google.com/detail/ihnknokegkbpmofmafnkoadfjkhlogph</t>
  </si>
  <si>
    <t>Send to Kindle (by Klip.me)</t>
  </si>
  <si>
    <t>https://chromewebstore.google.com/detail/ipkfnchcgalnafehpglfbommidgmalan</t>
  </si>
  <si>
    <t>Naver Cafe Free Pass</t>
  </si>
  <si>
    <t>https://chromewebstore.google.com/detail/jojlddfolpiejckahpinefdikdogenjg</t>
  </si>
  <si>
    <t>Trello Card Numbers</t>
  </si>
  <si>
    <t>https://chromewebstore.google.com/detail/kadpkdielickimifpinkknemjdipghaf</t>
  </si>
  <si>
    <t>Trellix Endpoint Security For Mac Web Control</t>
  </si>
  <si>
    <t>https://chromewebstore.google.com/detail/kaedchgajfpgipflgbgeeiiajekblklm</t>
  </si>
  <si>
    <t>集装箱</t>
  </si>
  <si>
    <t>https://chromewebstore.google.com/detail/kbgigmcnifmaklccibmlepmahpfdhjch</t>
  </si>
  <si>
    <t>Aerys - Tab Manager</t>
  </si>
  <si>
    <t>https://chromewebstore.google.com/detail/kclbicheojedbinfjdjjolmciodoihkl</t>
  </si>
  <si>
    <t>NooBox</t>
  </si>
  <si>
    <t>https://chromewebstore.google.com/detail/kidibbfcblfbbafhnlanccjjdehoahep</t>
  </si>
  <si>
    <t>Anti Adblock Detector</t>
  </si>
  <si>
    <t>https://chromewebstore.google.com/detail/kjhdffcfinhkdfbbhjlfoadcdfgihmlp</t>
  </si>
  <si>
    <t>Auto.Sky Platform Plugin</t>
  </si>
  <si>
    <t>https://chromewebstore.google.com/detail/kpbgepniagkhbpbnbelghdjcmgladefd</t>
  </si>
  <si>
    <t>Roblox Pro</t>
  </si>
  <si>
    <t>https://chromewebstore.google.com/detail/lajchlhgfdaopdpingpkefbggcegkgla</t>
  </si>
  <si>
    <t>OKIOCAM Snapshot and Recorder</t>
  </si>
  <si>
    <t>https://chromewebstore.google.com/detail/lhcnbocbalolokdppbnnamdhpclimhoa</t>
  </si>
  <si>
    <t>Tide - Focus Timer &amp; White Noise</t>
  </si>
  <si>
    <t>https://chromewebstore.google.com/detail/lmbegcmkonokdjbhbamhpmkihpachdbk</t>
  </si>
  <si>
    <t>AwardWallet</t>
  </si>
  <si>
    <t>https://chromewebstore.google.com/detail/lppkddfmnlpjbojooindbmcokchjgbib</t>
  </si>
  <si>
    <t>VIA Screen Share</t>
  </si>
  <si>
    <t>https://chromewebstore.google.com/detail/mafjndpogghbanhhkaclhkbknfdgjngm</t>
  </si>
  <si>
    <t>nFollowers – Unfollowers Tracker</t>
  </si>
  <si>
    <t>https://chromewebstore.google.com/detail/mbomllgopkebhhnljlgikdicedmnpknl</t>
  </si>
  <si>
    <t>Roblox Statistics</t>
  </si>
  <si>
    <t>https://chromewebstore.google.com/detail/mfdbamkphjbmacjbmaipkdicefagjjlp</t>
  </si>
  <si>
    <t>Session Manager</t>
  </si>
  <si>
    <t>https://chromewebstore.google.com/detail/mghenlmbmjcpehccoangkdpagbcbkdpc</t>
  </si>
  <si>
    <t>DarkCloud</t>
  </si>
  <si>
    <t>https://chromewebstore.google.com/detail/mjicdmidmifkppilbbcanmnljpffmfmh</t>
  </si>
  <si>
    <t>SignDoc DeviceConnector</t>
  </si>
  <si>
    <t>https://chromewebstore.google.com/detail/mjmgfgodldapcfepblcemihhdenlnimk</t>
  </si>
  <si>
    <t>Open-as-Popup</t>
  </si>
  <si>
    <t>https://chromewebstore.google.com/detail/ncppfjladdkdaemaghochfikpmghbcpc</t>
  </si>
  <si>
    <t>fillUp Formularze - dodatek</t>
  </si>
  <si>
    <t>https://chromewebstore.google.com/detail/nlnpeeaafijaebcdgkdeojkpnkfkjdnh</t>
  </si>
  <si>
    <t>Album Downloader for Facebook</t>
  </si>
  <si>
    <t>https://chromewebstore.google.com/detail/oallcdoceahndjmaalbicbcgpfnajgae</t>
  </si>
  <si>
    <t>piZap Photo Editor</t>
  </si>
  <si>
    <t>https://chromewebstore.google.com/detail/occpjibghkbopohbefbejkklnfdkdmok</t>
  </si>
  <si>
    <t>Midnight Lizard</t>
  </si>
  <si>
    <t>https://chromewebstore.google.com/detail/pbnndmlekkboofhnbonilimejonapojg</t>
  </si>
  <si>
    <t>Open local file links</t>
  </si>
  <si>
    <t>https://chromewebstore.google.com/detail/pffnpnkjfbkdecgjajdjailghedhgnfg</t>
  </si>
  <si>
    <t>Blocksi Web Filter</t>
  </si>
  <si>
    <t>https://chromewebstore.google.com/detail/pgmjaihnmedpcdkjcgigocogcbffgkbn</t>
  </si>
  <si>
    <t>ROSE Wallet</t>
  </si>
  <si>
    <t>https://chromewebstore.google.com/detail/ppdadbejkmjnefldpcdjhnkpbjkikoip</t>
  </si>
  <si>
    <t>Cluster - Window &amp; Tab Manager</t>
  </si>
  <si>
    <t>https://chromewebstore.google.com/detail/aadahadfdmiibmdhfmpbeeebejmjnkef</t>
  </si>
  <si>
    <t>Chrome Currency Converter</t>
  </si>
  <si>
    <t>https://chromewebstore.google.com/detail/anbfhidldjknonaihbalghlebaijealk</t>
  </si>
  <si>
    <t>Think Exam</t>
  </si>
  <si>
    <t>https://chromewebstore.google.com/detail/bbebbhmelpcfmijoanocdliephmoahln</t>
  </si>
  <si>
    <t>Sexy Undo Close Tab</t>
  </si>
  <si>
    <t>https://chromewebstore.google.com/detail/bcennaiejdjpomgmmohhpgnjlmpcjmbg</t>
  </si>
  <si>
    <t>Alpia Web Search</t>
  </si>
  <si>
    <t>https://chromewebstore.google.com/detail/bdkjmbcncndimgnfckabiinbjdfnkahj</t>
  </si>
  <si>
    <t>Auto Copy</t>
  </si>
  <si>
    <t>https://chromewebstore.google.com/detail/bijpdibkloghppkbmhcklkogpjaenfkg</t>
  </si>
  <si>
    <t>Ribbet Photo Editor</t>
  </si>
  <si>
    <t>https://chromewebstore.google.com/detail/bikpkcdadljalhghbbipfkkhocppkhob</t>
  </si>
  <si>
    <t>Focused Reader Extension</t>
  </si>
  <si>
    <t>https://chromewebstore.google.com/detail/caahnegbjfcllcodihpdjahggfbeleie</t>
  </si>
  <si>
    <t>Flash Master</t>
  </si>
  <si>
    <t>https://chromewebstore.google.com/detail/cacfnookefkldifaigjdedpophfjkjeh</t>
  </si>
  <si>
    <t>Loola TV</t>
  </si>
  <si>
    <t>https://chromewebstore.google.com/detail/cegddajdfabllncgnkadccjdkffbnolk</t>
  </si>
  <si>
    <t>网盘助手</t>
  </si>
  <si>
    <t>https://chromewebstore.google.com/detail/cfaglmggimoleoclaghmmboppofffdda</t>
  </si>
  <si>
    <t>Scratch Device Plugin Helper</t>
  </si>
  <si>
    <t>https://chromewebstore.google.com/detail/clmabinlolakdafkoajkfjjengcdmnpm</t>
  </si>
  <si>
    <t>Cookie Watch</t>
  </si>
  <si>
    <t>https://chromewebstore.google.com/detail/cmogeohlpljgihhbafbnincahfmafbfn</t>
  </si>
  <si>
    <t>Custom JavaScript for Websites 2</t>
  </si>
  <si>
    <t>https://chromewebstore.google.com/detail/ddbjnfjiigjmcpcpkmhogomapikjbjdk</t>
  </si>
  <si>
    <t>Meet Mute</t>
  </si>
  <si>
    <t>https://chromewebstore.google.com/detail/dkgoclojlihiolngeagmhkjiglmoeeic</t>
  </si>
  <si>
    <t>https://chromewebstore.google.com/detail/dkkfampndkdnjffkleokegfnibnnjfah</t>
  </si>
  <si>
    <t>Confetti Cannon!</t>
  </si>
  <si>
    <t>https://chromewebstore.google.com/detail/dminbokeajnkkikeiepfhlgijfjjmdkf</t>
  </si>
  <si>
    <t>Session Share</t>
  </si>
  <si>
    <t>https://chromewebstore.google.com/detail/dnacggjlcbpfcfchkkogedlkenpnlfbi</t>
  </si>
  <si>
    <t>Firebug Lite for Google Chrome</t>
  </si>
  <si>
    <t>https://chromewebstore.google.com/detail/ehemiojjcpldeipjhjkepfdaohajpbdo</t>
  </si>
  <si>
    <t>HP Classroom Manager Student</t>
  </si>
  <si>
    <t>https://chromewebstore.google.com/detail/enakdcohihakipecmneppjlneaaaiffe</t>
  </si>
  <si>
    <t>JavaScript Editor</t>
  </si>
  <si>
    <t>https://chromewebstore.google.com/detail/enhkeonpomkliaedmafeniofidolfmdd</t>
  </si>
  <si>
    <t>UX Check</t>
  </si>
  <si>
    <t>https://chromewebstore.google.com/detail/giekhiebdpmljgchjojblnekkcgpdobp</t>
  </si>
  <si>
    <t>TeX for Gmail</t>
  </si>
  <si>
    <t>https://chromewebstore.google.com/detail/gjnmclkoadjdljnfmbnnhaahilafoeji</t>
  </si>
  <si>
    <t>Panda New Tab</t>
  </si>
  <si>
    <t>https://chromewebstore.google.com/detail/haafibkemckmbknhfkiiniobjpgkebko</t>
  </si>
  <si>
    <t>Unsplash For Chrome</t>
  </si>
  <si>
    <t>https://chromewebstore.google.com/detail/hliiefogghiapfajokakaehafbdpokgh</t>
  </si>
  <si>
    <t>xStyle</t>
  </si>
  <si>
    <t>https://chromewebstore.google.com/detail/hncgkmhphmncjohllpoleelnibpmccpj</t>
  </si>
  <si>
    <t>mysms - SMS/Text from Computer</t>
  </si>
  <si>
    <t>https://chromewebstore.google.com/detail/hobgfokkfmmdehpedkjgkhjcnejfoodf</t>
  </si>
  <si>
    <t>Sipuni Communicator</t>
  </si>
  <si>
    <t>https://chromewebstore.google.com/detail/hogplamgfpbbbkdbjebamjacelgpmnpl</t>
  </si>
  <si>
    <t>Twitch DVR player</t>
  </si>
  <si>
    <t>https://chromewebstore.google.com/detail/iaeibhcmabccclfnafahihdndonfgebo</t>
  </si>
  <si>
    <t>Speedtest Pro-Free Online Internet Speed Test</t>
  </si>
  <si>
    <t>https://chromewebstore.google.com/detail/ibiejjpajlfljcgjndbonclhcbdcamai</t>
  </si>
  <si>
    <t>CrapApi Http Test</t>
  </si>
  <si>
    <t>https://chromewebstore.google.com/detail/ieoejemkppmjcdfbnfphhpbfmallhfnc</t>
  </si>
  <si>
    <t>Skip Redirect</t>
  </si>
  <si>
    <t>https://chromewebstore.google.com/detail/jaoafjdoijdconemdmodhbfpianehlon</t>
  </si>
  <si>
    <t>NflxMultiSubs 2021 (Netflix Multi. Subtitles)</t>
  </si>
  <si>
    <t>https://chromewebstore.google.com/detail/jepfhfjlkgobooomdgpcjikalfpcldmm</t>
  </si>
  <si>
    <t>NebulaCertURLMon</t>
  </si>
  <si>
    <t>https://chromewebstore.google.com/detail/jffllllkcjoncomfjcdeplijmfnlpnbb</t>
  </si>
  <si>
    <t>MUA Web Unicode Converter</t>
  </si>
  <si>
    <t>https://chromewebstore.google.com/detail/jnmdbgnckbbmblkbammnfagdmikchhnp</t>
  </si>
  <si>
    <t>Save In…</t>
  </si>
  <si>
    <t>https://chromewebstore.google.com/detail/jpblofcpgfjikaapfedldfeilmpgkedf</t>
  </si>
  <si>
    <t>Dolby Voice 1.2</t>
  </si>
  <si>
    <t>https://chromewebstore.google.com/detail/kaimfhiiegblglllpkcpoegelgefonef</t>
  </si>
  <si>
    <t>스마트스토어 판매건수 뷰어</t>
  </si>
  <si>
    <t>https://chromewebstore.google.com/detail/keigmbfdafflbnbceacbignhkigddiph</t>
  </si>
  <si>
    <t>Robot Mesh Connect Extension</t>
  </si>
  <si>
    <t>https://chromewebstore.google.com/detail/kneikgicddfadmnpnjhbfiaoomchignh</t>
  </si>
  <si>
    <t>Locale Switcher</t>
  </si>
  <si>
    <t>https://chromewebstore.google.com/detail/kngfjpghaokedippaapkfihdlmmlafcc</t>
  </si>
  <si>
    <t>Ivacy VPN - Best Free VPN to Unblock Websites</t>
  </si>
  <si>
    <t>https://chromewebstore.google.com/detail/lblebdecfhdegbeoejplcpmhibbkbkin</t>
  </si>
  <si>
    <t>Monosnap</t>
  </si>
  <si>
    <t>https://chromewebstore.google.com/detail/lhgadannddhdpkfhfjjgcpdjhpmjhkfm</t>
  </si>
  <si>
    <t>CFCA CryptoKit.Paperless.zybank Extension</t>
  </si>
  <si>
    <t>https://chromewebstore.google.com/detail/lmplfbilpbnjhafalmhlkpggbefibode</t>
  </si>
  <si>
    <t>AlphaText - Make text readable!</t>
  </si>
  <si>
    <t>https://chromewebstore.google.com/detail/lpcaoilgpobajbkiamaojipjddpkkida</t>
  </si>
  <si>
    <t>Cookiebro</t>
  </si>
  <si>
    <t>https://chromewebstore.google.com/detail/lpmockibcakojclnfmhchibmdpmollgn</t>
  </si>
  <si>
    <t>Calendar + for Google Chrome™</t>
  </si>
  <si>
    <t>https://chromewebstore.google.com/detail/lpnepegcocaajhgbpcfajmdnninbjppf</t>
  </si>
  <si>
    <t>Glider Screen</t>
  </si>
  <si>
    <t>https://chromewebstore.google.com/detail/mcekgmccnieoopjfhjoekehkjkojjnfd</t>
  </si>
  <si>
    <t>GoToMeeting Redirect</t>
  </si>
  <si>
    <t>https://chromewebstore.google.com/detail/mjdchcigpimjbnldeiiaakooipceanbo</t>
  </si>
  <si>
    <t>Cloud9</t>
  </si>
  <si>
    <t>https://chromewebstore.google.com/detail/nbdmccoknlfggadpfkmcpnamfnbkmkcp</t>
  </si>
  <si>
    <t>Export for Trello</t>
  </si>
  <si>
    <t>https://chromewebstore.google.com/detail/nhdelomnagopgaealggpgojkhcafhnin</t>
  </si>
  <si>
    <t>WASP.inspector: Analytics Solution Profiler</t>
  </si>
  <si>
    <t>https://chromewebstore.google.com/detail/niaoghengfohplclhbjnjheodgkejpih</t>
  </si>
  <si>
    <t>IE View WE</t>
  </si>
  <si>
    <t>https://chromewebstore.google.com/detail/nifnmbbelnhfhgeiampkfghakhmgggcf</t>
  </si>
  <si>
    <t>Capti Voice</t>
  </si>
  <si>
    <t>https://chromewebstore.google.com/detail/nlngjmhlfdekmgoaaiendhkcbhdcedjh</t>
  </si>
  <si>
    <t>Calendar Selector for Google Calendar</t>
  </si>
  <si>
    <t>https://chromewebstore.google.com/detail/nmliklikilkjommabacojbijjimlgjck</t>
  </si>
  <si>
    <t>Converter365 - Free online converter</t>
  </si>
  <si>
    <t>https://chromewebstore.google.com/detail/ohecpopkeajmibbdepdebfaepkjkimgl</t>
  </si>
  <si>
    <t>VeilDuck</t>
  </si>
  <si>
    <t>https://chromewebstore.google.com/detail/onpjdedikjphpmpfjcafkmdmngchfaid</t>
  </si>
  <si>
    <t>Salesforce Lightning Inspector</t>
  </si>
  <si>
    <t>https://chromewebstore.google.com/detail/pcpmcffcomlcjgpcheokdfcjipanjdpc</t>
  </si>
  <si>
    <t>Disney Plus Ultrawide Fullscreen Support</t>
  </si>
  <si>
    <t>https://chromewebstore.google.com/detail/pdnmlnhalemfcehgdnfkpehgoniobnph</t>
  </si>
  <si>
    <t>緊急地震速報 by Extension</t>
  </si>
  <si>
    <t>https://chromewebstore.google.com/detail/pebgngldogenhmnokpncolbajkelhjba</t>
  </si>
  <si>
    <t>NetEaseMusicWorld+</t>
  </si>
  <si>
    <t>https://chromewebstore.google.com/detail/pjcgkmiglhiambjngnljkdpoggonlnfe</t>
  </si>
  <si>
    <t>AwesomeDrive for Google Drive</t>
  </si>
  <si>
    <t>https://chromewebstore.google.com/detail/aaebjepcfidgkojljbgoilgkgklehldj</t>
  </si>
  <si>
    <t>Power Text for Google Chrome™</t>
  </si>
  <si>
    <t>https://chromewebstore.google.com/detail/abbedfhgcpfnmhonjhdlmndigalhandb</t>
  </si>
  <si>
    <t>LeetHub</t>
  </si>
  <si>
    <t>https://chromewebstore.google.com/detail/aciombdipochlnkbpcbgdpjffcfdbggi</t>
  </si>
  <si>
    <t>Power Camera</t>
  </si>
  <si>
    <t>https://chromewebstore.google.com/detail/aebccligckccmbgebeogmcgdcggiinkk</t>
  </si>
  <si>
    <t>Fabasoft Folio 2020</t>
  </si>
  <si>
    <t>https://chromewebstore.google.com/detail/aicohdnbjhigmdoeilbigahinnmcnnnk</t>
  </si>
  <si>
    <t>Movavi ScreenShot Chrome Extension</t>
  </si>
  <si>
    <t>https://chromewebstore.google.com/detail/ajndhiajffnfkngbocimjhkkcngeheme</t>
  </si>
  <si>
    <t>Pinukim - חיפוש סרטים וסדרות</t>
  </si>
  <si>
    <t>https://chromewebstore.google.com/detail/apajbjmfhhnbgpjjnhlhnhciammcnbag</t>
  </si>
  <si>
    <t>FUTBIN Updater</t>
  </si>
  <si>
    <t>https://chromewebstore.google.com/detail/beejegoimbgpafoobegjmhjnehlmnbcn</t>
  </si>
  <si>
    <t>Adobe Creative Cloud</t>
  </si>
  <si>
    <t>https://chromewebstore.google.com/detail/bhbmbcgcieopphpjcakcadfphkejpnpn</t>
  </si>
  <si>
    <t>image-picker</t>
  </si>
  <si>
    <t>https://chromewebstore.google.com/detail/bhibldekjicdbnjeeecmgoogcihoalhe</t>
  </si>
  <si>
    <t>Swagger Inspector Extension</t>
  </si>
  <si>
    <t>https://chromewebstore.google.com/detail/biemppheiopfggogojnfpkngdkchelik</t>
  </si>
  <si>
    <t>Proxy + Free VPN DEEPRISM</t>
  </si>
  <si>
    <t>https://chromewebstore.google.com/detail/bihhflimonbpcfagfadcnbbdngpopnjb</t>
  </si>
  <si>
    <t>CS.Money Antiscam</t>
  </si>
  <si>
    <t>https://chromewebstore.google.com/detail/bocdepodnagbohblgjmooobalmcojkpg</t>
  </si>
  <si>
    <t>YouTube With Friends</t>
  </si>
  <si>
    <t>https://chromewebstore.google.com/detail/boifjkmdjemnjadceofnlcnnfmjfjcoj</t>
  </si>
  <si>
    <t>Chrome Regex Search</t>
  </si>
  <si>
    <t>https://chromewebstore.google.com/detail/bpelaihoicobbkgmhcbikncnpacdbknn</t>
  </si>
  <si>
    <t>reCAPTCHA Autoclick</t>
  </si>
  <si>
    <t>https://chromewebstore.google.com/detail/caahalkghnhbabknipmconmbicpkcopl</t>
  </si>
  <si>
    <t>TeX All the Things</t>
  </si>
  <si>
    <t>https://chromewebstore.google.com/detail/cbimabofgmfdkicghcadidpemeenbffn</t>
  </si>
  <si>
    <t>Camera360网页版</t>
  </si>
  <si>
    <t>https://chromewebstore.google.com/detail/cfojbadjlaaiddllnogeohfgamgedcfd</t>
  </si>
  <si>
    <t>Slid: AI-powered Video Note-taking App</t>
  </si>
  <si>
    <t>https://chromewebstore.google.com/detail/cgajiilhmpfemmdihjnodpibaffakjhj</t>
  </si>
  <si>
    <t>Hola Video Accelerator</t>
  </si>
  <si>
    <t>https://chromewebstore.google.com/detail/chgpmaaockmdehmidghebcjafhihlgha</t>
  </si>
  <si>
    <t>Do Not Track</t>
  </si>
  <si>
    <t>https://chromewebstore.google.com/detail/ckdcpbflcbeillmamogkpmdhnbeggfja</t>
  </si>
  <si>
    <t>Better BTTV</t>
  </si>
  <si>
    <t>https://chromewebstore.google.com/detail/cmfeooimdhjkcoiohoodihbccehncajo</t>
  </si>
  <si>
    <t>I'm Feeling Lucky</t>
  </si>
  <si>
    <t>https://chromewebstore.google.com/detail/cnlabakikmdekpfaflaihcepfkjopgll</t>
  </si>
  <si>
    <t>Firma con token</t>
  </si>
  <si>
    <t>https://chromewebstore.google.com/detail/copfinchbmcbjdffipaphabmjnnhijhe</t>
  </si>
  <si>
    <t>KeePassHttp-Connector</t>
  </si>
  <si>
    <t>https://chromewebstore.google.com/detail/dafgdjggglmmknipkhngniifhplpcldb</t>
  </si>
  <si>
    <t>Salesforce Show Api Name</t>
  </si>
  <si>
    <t>https://chromewebstore.google.com/detail/dcfecmnffjopafbbbaepgopfcphnoham</t>
  </si>
  <si>
    <t>Netfencer Porn Block</t>
  </si>
  <si>
    <t>https://chromewebstore.google.com/detail/dconijmceladdfbjhmjpkfacjemmfeei</t>
  </si>
  <si>
    <t>Word Replacer II</t>
  </si>
  <si>
    <t>https://chromewebstore.google.com/detail/djakfbefalbkkdgnhkkdiihelkjdpbfh</t>
  </si>
  <si>
    <t>RTF Viewer</t>
  </si>
  <si>
    <t>https://chromewebstore.google.com/detail/djalaeippddcgflofefafkgijpefkjef</t>
  </si>
  <si>
    <t>Flip this</t>
  </si>
  <si>
    <t>https://chromewebstore.google.com/detail/donljlliiecjcagcenoeohjmabfegkph</t>
  </si>
  <si>
    <t>Multi-File Downloader</t>
  </si>
  <si>
    <t>https://chromewebstore.google.com/detail/dpecplbkinpdbedgejddhepkgcppgchk</t>
  </si>
  <si>
    <t>ADB</t>
  </si>
  <si>
    <t>https://chromewebstore.google.com/detail/dpngiggdglpdnjdoaefidgiigpemgage</t>
  </si>
  <si>
    <t>Torrent Downloader</t>
  </si>
  <si>
    <t>https://chromewebstore.google.com/detail/edbijgkcdlhbnpgkoodblaecmkfmngbg</t>
  </si>
  <si>
    <t>Accent Grid</t>
  </si>
  <si>
    <t>https://chromewebstore.google.com/detail/efedjomeallaomheefphgnbleieplnfk</t>
  </si>
  <si>
    <t>Bug Magnet</t>
  </si>
  <si>
    <t>https://chromewebstore.google.com/detail/efhedldbjahpgjcneebmbolkalbhckfi</t>
  </si>
  <si>
    <t>Добавьте Mail.Ru как домашнюю страницу</t>
  </si>
  <si>
    <t>https://chromewebstore.google.com/detail/egfgboclmgbokjeenpnghneoaogefnjn</t>
  </si>
  <si>
    <t>Text to speech that brings productivity</t>
  </si>
  <si>
    <t>https://chromewebstore.google.com/detail/eidcpcpmmfiolomceegcagooodnaplmp</t>
  </si>
  <si>
    <t>원신 플로우</t>
  </si>
  <si>
    <t>https://chromewebstore.google.com/detail/ekabamngknbdckokfeedhbjlbfhiejkj</t>
  </si>
  <si>
    <t>喵喵折</t>
  </si>
  <si>
    <t>https://chromewebstore.google.com/detail/ekbmhggedfdlajiikminikhcjffbleac</t>
  </si>
  <si>
    <t>Photovisi - Photo Collage Maker</t>
  </si>
  <si>
    <t>https://chromewebstore.google.com/detail/emkkfkcbnpdnhgeolpbggbdogfngiadf</t>
  </si>
  <si>
    <t>Lotus Notes Link/URL Generator</t>
  </si>
  <si>
    <t>https://chromewebstore.google.com/detail/fbbaddabgkepmddhhpcdejamiijhaeme</t>
  </si>
  <si>
    <t>Голосовой блокнот</t>
  </si>
  <si>
    <t>https://chromewebstore.google.com/detail/fcmhccenbjblgnbblnlhmebpknoednjd</t>
  </si>
  <si>
    <t>Scrollbar Customizer</t>
  </si>
  <si>
    <t>https://chromewebstore.google.com/detail/flffekjijpabhjgpoapooggncnmcjopa</t>
  </si>
  <si>
    <t>PixelZoomer</t>
  </si>
  <si>
    <t>https://chromewebstore.google.com/detail/fogkjckfkdcnmnnfmbieljpkmmihhpao</t>
  </si>
  <si>
    <t>Carrot</t>
  </si>
  <si>
    <t>https://chromewebstore.google.com/detail/gakohpplicjdhhfllilcjpfildodfnnn</t>
  </si>
  <si>
    <t>找货神器</t>
  </si>
  <si>
    <t>https://chromewebstore.google.com/detail/gcmfngnfcfkfpllkoheelacaikcahhjk</t>
  </si>
  <si>
    <t>Scan QR from App Store</t>
  </si>
  <si>
    <t>https://chromewebstore.google.com/detail/gechpodbjheoedahmjkgooljlfflmbpf</t>
  </si>
  <si>
    <t>京价保 - 京东价保助手</t>
  </si>
  <si>
    <t>https://chromewebstore.google.com/detail/gfgkebiommjpiaomalcbfefimhhanlfd</t>
  </si>
  <si>
    <t>AIX Downloader(Picture/Video/Music) Pro</t>
  </si>
  <si>
    <t>https://chromewebstore.google.com/detail/ggcihihkaidbkkolahhliaaepdjhngli</t>
  </si>
  <si>
    <t>Pastebin.com</t>
  </si>
  <si>
    <t>https://chromewebstore.google.com/detail/ghipmampnddcpdlppkkamoankmkmcbmh</t>
  </si>
  <si>
    <t>Etymonline</t>
  </si>
  <si>
    <t>https://chromewebstore.google.com/detail/giehjnnlopapngdjbjjgddpaagoimmgl</t>
  </si>
  <si>
    <t>RiteTag</t>
  </si>
  <si>
    <t>https://chromewebstore.google.com/detail/hclhpnhohpmlbadmeieecaandnglfodm</t>
  </si>
  <si>
    <t>Pong</t>
  </si>
  <si>
    <t>https://chromewebstore.google.com/detail/hebpbmepdiaagnenlpjclmncidmljlgl</t>
  </si>
  <si>
    <t>Testing Playground</t>
  </si>
  <si>
    <t>https://chromewebstore.google.com/detail/hejbmebodbijjdhflfknehhcgaklhano</t>
  </si>
  <si>
    <t>Fluvid - Screen Video Recorder</t>
  </si>
  <si>
    <t>https://chromewebstore.google.com/detail/hfadalcgppcbffdnichplalnmhjbabbm</t>
  </si>
  <si>
    <t>Video Downloader for reddit - Redditsave</t>
  </si>
  <si>
    <t>https://chromewebstore.google.com/detail/hhienkkjhkcdeaolmcniloflgpjhdefi</t>
  </si>
  <si>
    <t>Papier</t>
  </si>
  <si>
    <t>https://chromewebstore.google.com/detail/hhjeaokafplhjoogdemakihhdhffacia</t>
  </si>
  <si>
    <t>Tamper Chrome (extension)</t>
  </si>
  <si>
    <t>https://chromewebstore.google.com/detail/hifhgpdkfodlpnlmlnmhchnkepplebkb</t>
  </si>
  <si>
    <t>https://chromewebstore.google.com/detail/hifjegnejppkpnikhppoafdghppgcjpj</t>
  </si>
  <si>
    <t>ProxyControl</t>
  </si>
  <si>
    <t>https://chromewebstore.google.com/detail/hjocpjdeacglfchomobaagbmipeggnjg</t>
  </si>
  <si>
    <t>KanColle Command Center 改</t>
  </si>
  <si>
    <t>https://chromewebstore.google.com/detail/hkgmldnainaglpjngpajnnjfhpdjkohh</t>
  </si>
  <si>
    <t>Web Developer Checklist</t>
  </si>
  <si>
    <t>https://chromewebstore.google.com/detail/iahamcpedabephpcgkeikbclmaljebjp</t>
  </si>
  <si>
    <t>NAS Download Manager (for Synology)</t>
  </si>
  <si>
    <t>https://chromewebstore.google.com/detail/iaijiochiiocodhamehbpmdlobhgghgi</t>
  </si>
  <si>
    <t>Quick launch of Flash-based games</t>
  </si>
  <si>
    <t>https://chromewebstore.google.com/detail/idalinkinmdgcofhpbfklbdkfadfapki</t>
  </si>
  <si>
    <t>GDPlay</t>
  </si>
  <si>
    <t>https://chromewebstore.google.com/detail/idjmioilgmedmbfabcfnpeaclcndeekb</t>
  </si>
  <si>
    <t>Music Downloader</t>
  </si>
  <si>
    <t>https://chromewebstore.google.com/detail/iempladfkphdpimdljfckjlmgklmdchc</t>
  </si>
  <si>
    <t>easySearch</t>
  </si>
  <si>
    <t>https://chromewebstore.google.com/detail/igieognglkjfefoldlaachcoimjecojk</t>
  </si>
  <si>
    <t>Netflix Sync Party</t>
  </si>
  <si>
    <t>https://chromewebstore.google.com/detail/iglgjeoppncgpbbaildpifdnncgbpofl</t>
  </si>
  <si>
    <t>WordWeb Dictionary Lookup</t>
  </si>
  <si>
    <t>https://chromewebstore.google.com/detail/ilikenhndcpmliapkmmhoimckaokmihm</t>
  </si>
  <si>
    <t>Language Learning with Frogly</t>
  </si>
  <si>
    <t>https://chromewebstore.google.com/detail/jfmlfmpdclmcknhmonpdhppojbnoinpb</t>
  </si>
  <si>
    <t>SAML DevTools extension</t>
  </si>
  <si>
    <t>https://chromewebstore.google.com/detail/jndllhgbinhiiddokbeoeepbppdnhhio</t>
  </si>
  <si>
    <t>Printix</t>
  </si>
  <si>
    <t>https://chromewebstore.google.com/detail/jnhgefjoahogmkkekdnafldkdgppfehd</t>
  </si>
  <si>
    <t>Mango Helper</t>
  </si>
  <si>
    <t>https://chromewebstore.google.com/detail/joioophepbodkfjcjpoeofkgdblahbfe</t>
  </si>
  <si>
    <t>Automation 360</t>
  </si>
  <si>
    <t>https://chromewebstore.google.com/detail/kammdlphdfejlopponbapgpbgakimokm</t>
  </si>
  <si>
    <t>Shareaholic for Pinterest</t>
  </si>
  <si>
    <t>https://chromewebstore.google.com/detail/kfjkehmceppcpjoaoegdmffmkdhiegmc</t>
  </si>
  <si>
    <t>Saviscio eID Reader</t>
  </si>
  <si>
    <t>https://chromewebstore.google.com/detail/kfkbmijfkphkfehjgjkchldojnefgice</t>
  </si>
  <si>
    <t>Translation Comparison</t>
  </si>
  <si>
    <t>https://chromewebstore.google.com/detail/kicpmhgmcajloefloefojbfdmenhmhjf</t>
  </si>
  <si>
    <t>GO-Global</t>
  </si>
  <si>
    <t>https://chromewebstore.google.com/detail/kkehppgllpkfohejllckommnpfeomhnc</t>
  </si>
  <si>
    <t>Quicker Connector</t>
  </si>
  <si>
    <t>https://chromewebstore.google.com/detail/klggbkjfmbonefdcfkiidhcmfjdfnepa</t>
  </si>
  <si>
    <t>Wonde</t>
  </si>
  <si>
    <t>https://chromewebstore.google.com/detail/kmhfkeaanbokocpddnjlocbefjcpohhl</t>
  </si>
  <si>
    <t>Hola ad remover</t>
  </si>
  <si>
    <t>https://chromewebstore.google.com/detail/lalfpjdbhpmnhfofkckdpkljeilmogfl</t>
  </si>
  <si>
    <t>Disable Extensions Temporarily</t>
  </si>
  <si>
    <t>https://chromewebstore.google.com/detail/lcfdefmogcogicollfebhgjiiakbjdje</t>
  </si>
  <si>
    <t>Content Farm Terminator</t>
  </si>
  <si>
    <t>https://chromewebstore.google.com/detail/lcghoajegeldpfkfaejegfobkapnemjl</t>
  </si>
  <si>
    <t>Codenvy</t>
  </si>
  <si>
    <t>https://chromewebstore.google.com/detail/lefigjbiimiemfhjmibbgemkpenelmag</t>
  </si>
  <si>
    <t>Secure Bookmarks</t>
  </si>
  <si>
    <t>https://chromewebstore.google.com/detail/leocjgngiajhfiikjolfhcpiokgbinep</t>
  </si>
  <si>
    <t>Track24.ru</t>
  </si>
  <si>
    <t>https://chromewebstore.google.com/detail/lfijgegefgcgbfcgjgnhnkclenhfijhk</t>
  </si>
  <si>
    <t>Shopify App Detector by Fera.ai</t>
  </si>
  <si>
    <t>https://chromewebstore.google.com/detail/lhfdhjladfcmghahdbcmlceajdlbkale</t>
  </si>
  <si>
    <t>No History</t>
  </si>
  <si>
    <t>https://chromewebstore.google.com/detail/ljamgkbcojbnmcaonjokopmcblmmpfch</t>
  </si>
  <si>
    <t>Ecustsd signature on website</t>
  </si>
  <si>
    <t>https://chromewebstore.google.com/detail/ljelghodcnccegncomkbfpkacbkagecf</t>
  </si>
  <si>
    <t>Bypass AdBlock Detection</t>
  </si>
  <si>
    <t>https://chromewebstore.google.com/detail/lppagnomjcaohgkfljlebenbmbdmbkdj</t>
  </si>
  <si>
    <t>Robot Mesh Connect App</t>
  </si>
  <si>
    <t>https://chromewebstore.google.com/detail/mapfkcmnklanficcnnjkgeneakedmjkp</t>
  </si>
  <si>
    <t>Feedbro</t>
  </si>
  <si>
    <t>https://chromewebstore.google.com/detail/mefgmmbdailogpfhfblcnnjfmnpnmdfa</t>
  </si>
  <si>
    <t>Dialpad Extension</t>
  </si>
  <si>
    <t>https://chromewebstore.google.com/detail/mhoeffeimbfbmpccjcodjeeglinbpicp</t>
  </si>
  <si>
    <t>WebRank SEO</t>
  </si>
  <si>
    <t>https://chromewebstore.google.com/detail/mkhilblbmkdnapffblmecglknalglfji</t>
  </si>
  <si>
    <t>店侦探&amp;看店宝-淘宝卖家数据分析工具</t>
  </si>
  <si>
    <t>https://chromewebstore.google.com/detail/mndpomcndmohjljbimojnnfnennikjmk</t>
  </si>
  <si>
    <t>QuickSearch - חיפוש בטוח</t>
  </si>
  <si>
    <t>https://chromewebstore.google.com/detail/mocjldcbnkegopdodplogkdpbfmoeclk</t>
  </si>
  <si>
    <t>Pitch shifter - HTML5 Video audio FX</t>
  </si>
  <si>
    <t>https://chromewebstore.google.com/detail/mpmkclglcbkjchakihfpblainfncennj</t>
  </si>
  <si>
    <t>ChromeReloadPlus</t>
  </si>
  <si>
    <t>https://chromewebstore.google.com/detail/nbbpjdmdkcmpimmhloehkojhbhjlboog</t>
  </si>
  <si>
    <t>脚本猫</t>
  </si>
  <si>
    <t>https://chromewebstore.google.com/detail/ndcooeababalnlpkfedmmbbbgkljhpjf</t>
  </si>
  <si>
    <t>Color Picker</t>
  </si>
  <si>
    <t>https://chromewebstore.google.com/detail/oghcfpacbadjkebhegcollgfhhjkalep</t>
  </si>
  <si>
    <t>ProductivityTab — Custom Homepage Dashboard</t>
  </si>
  <si>
    <t>https://chromewebstore.google.com/detail/oghkljobbhapacbahlneolfclkniiami</t>
  </si>
  <si>
    <t>Screen Recorder</t>
  </si>
  <si>
    <t>https://chromewebstore.google.com/detail/olfiakiemgabphalhjfjbcmganhfkbcg</t>
  </si>
  <si>
    <t>Mute Tab Shortcuts</t>
  </si>
  <si>
    <t>https://chromewebstore.google.com/detail/opcjanmpjbdbdpnjfjbboacibokblbhl</t>
  </si>
  <si>
    <t>Simple Proxy Switcher</t>
  </si>
  <si>
    <t>https://chromewebstore.google.com/detail/pcboajngloecgmaailkmphmpbacmbcfb</t>
  </si>
  <si>
    <t>TabMemFree</t>
  </si>
  <si>
    <t>https://chromewebstore.google.com/detail/pdanbocphccpmidkhloklnlfplehiikb</t>
  </si>
  <si>
    <t>Stray Kitty</t>
  </si>
  <si>
    <t>https://chromewebstore.google.com/detail/pdiefgmeejbkamgippdjdchpgkdnelbl</t>
  </si>
  <si>
    <t>MeetInOne Extension for Google Meet</t>
  </si>
  <si>
    <t>https://chromewebstore.google.com/detail/pfmeokkodfbbeckenogobokoaiahclmp</t>
  </si>
  <si>
    <t>MonkiBu TV y Radios Online</t>
  </si>
  <si>
    <t>https://chromewebstore.google.com/detail/phimhnckkaofkllcoledjilakgbeohli</t>
  </si>
  <si>
    <t>Lunar Reader - Dark Theme &amp; Night Shift Mode</t>
  </si>
  <si>
    <t>https://chromewebstore.google.com/detail/pifalnbglchfojkfmechjalgbjoodlpg</t>
  </si>
  <si>
    <t>Lifesize Scheduler for Google Calendar</t>
  </si>
  <si>
    <t>https://chromewebstore.google.com/detail/pkdaplneajgbalnnmaoflooakgijjkhc</t>
  </si>
  <si>
    <t>Sửa lỗi "Missing Plug-in"</t>
  </si>
  <si>
    <t>https://chromewebstore.google.com/detail/plkplgmhfkkhokgkdkblfcnfeccpippe</t>
  </si>
  <si>
    <t>Slope Wallet</t>
  </si>
  <si>
    <t>https://chromewebstore.google.com/detail/pocmplpaccanhmnllbbkpgfliimjljgo</t>
  </si>
  <si>
    <t>ato-ichinen</t>
  </si>
  <si>
    <t>https://chromewebstore.google.com/detail/pojaolkbbklmcifckclknpolncdmbaph</t>
  </si>
  <si>
    <t>Oh No You Didn't!</t>
  </si>
  <si>
    <t>https://chromewebstore.google.com/detail/acdablfhjbhkjbcifldncdkmlophfgda</t>
  </si>
  <si>
    <t>Code Pad Text Editor</t>
  </si>
  <si>
    <t>https://chromewebstore.google.com/detail/adaepfiocmagdimjecpifghcgfjlfmkh</t>
  </si>
  <si>
    <t>ezpp!</t>
  </si>
  <si>
    <t>https://chromewebstore.google.com/detail/aimihpobjpagjiakhcpijibnaafdniol</t>
  </si>
  <si>
    <t>PhotoMania</t>
  </si>
  <si>
    <t>https://chromewebstore.google.com/detail/ajjfnbkfaofifbiflcicanlgaiafcamj</t>
  </si>
  <si>
    <t>Media Hint</t>
  </si>
  <si>
    <t>https://chromewebstore.google.com/detail/akipcefbjlmpbcejgdaopmmidpnjlhnb</t>
  </si>
  <si>
    <t>[DEPRECATED] List Layouts for Trello</t>
  </si>
  <si>
    <t>https://chromewebstore.google.com/detail/aldklnbenbdgfgfbflalmlddkkndgnlc</t>
  </si>
  <si>
    <t>https://chromewebstore.google.com/detail/aognaapdfnnldnjglanfbbklaakbpejm</t>
  </si>
  <si>
    <t>Validity</t>
  </si>
  <si>
    <t>https://chromewebstore.google.com/detail/bbicmjjbohdfglopkidebfccilipgeif</t>
  </si>
  <si>
    <t>FastAccess Face Recognition Web Login</t>
  </si>
  <si>
    <t>https://chromewebstore.google.com/detail/bcebepcbopnpbdhimpgfbbdkbimaoafn</t>
  </si>
  <si>
    <t>Stickers Packer</t>
  </si>
  <si>
    <t>https://chromewebstore.google.com/detail/bngfikljchleddkelnfgohdfcobkggin</t>
  </si>
  <si>
    <t>VeeeVPN - #1 VPN Proxy Extension for Chrome</t>
  </si>
  <si>
    <t>https://chromewebstore.google.com/detail/bnijmipndnicefcdbhgcjoognndbgkep</t>
  </si>
  <si>
    <t>podStation Podcast Player</t>
  </si>
  <si>
    <t>https://chromewebstore.google.com/detail/bpcagekijmfcocgjlnnhpdogbplajjfn</t>
  </si>
  <si>
    <t>Disable HTML5 Autoplay (Reloaded)</t>
  </si>
  <si>
    <t>https://chromewebstore.google.com/detail/cafckninonjkogajnihihlnnimmkndgf</t>
  </si>
  <si>
    <t>Solitaire Social Flash Allow</t>
  </si>
  <si>
    <t>https://chromewebstore.google.com/detail/cdgadiikjdgddgfhacgjbacflhoimogn</t>
  </si>
  <si>
    <t>AutoShopee Kit</t>
  </si>
  <si>
    <t>https://chromewebstore.google.com/detail/cenipjndcfljmplhjhcnfajnkmbjmppi</t>
  </si>
  <si>
    <t>Expedia Member Only Deals</t>
  </si>
  <si>
    <t>https://chromewebstore.google.com/detail/cfbpcgmafclgfmpoelldpmiolgblgbel</t>
  </si>
  <si>
    <t>Quick source viewer</t>
  </si>
  <si>
    <t>https://chromewebstore.google.com/detail/cfmcghennfbpmhemnnfjhkdmnbidpanb</t>
  </si>
  <si>
    <t>NetSupport DNA Agent</t>
  </si>
  <si>
    <t>https://chromewebstore.google.com/detail/cmpcofplgblhofbilhpjbgabfmignpdh</t>
  </si>
  <si>
    <t>AssetView Web filter extension</t>
  </si>
  <si>
    <t>https://chromewebstore.google.com/detail/cnijaadaiajakknmlhoffefpoadaedam</t>
  </si>
  <si>
    <t>HTML Editor</t>
  </si>
  <si>
    <t>https://chromewebstore.google.com/detail/dacmeeeegjoaddfondbeaaafohldgfof</t>
  </si>
  <si>
    <t>Email Finder</t>
  </si>
  <si>
    <t>https://chromewebstore.google.com/detail/dbmjjcmdhfjbgkgigdndfnfddminlpgb</t>
  </si>
  <si>
    <t>ContextSearch web-ext</t>
  </si>
  <si>
    <t>https://chromewebstore.google.com/detail/ddippghibegbgpjcaaijbacfhjjeafjh</t>
  </si>
  <si>
    <t>Launchpad for iCloud</t>
  </si>
  <si>
    <t>https://chromewebstore.google.com/detail/dfngkocjobhcdlknaffekkiafkboehkn</t>
  </si>
  <si>
    <t>GLaDOS</t>
  </si>
  <si>
    <t>https://chromewebstore.google.com/detail/dhjjibbeddglobeoapgppnlnmijajfbb</t>
  </si>
  <si>
    <t>One Click Image Downloader</t>
  </si>
  <si>
    <t>https://chromewebstore.google.com/detail/djcobamaplcmhmaocomnkfdbcoiggepo</t>
  </si>
  <si>
    <t>Performance-Analyser</t>
  </si>
  <si>
    <t>https://chromewebstore.google.com/detail/djgfmlohefpomchfabngccpbaflcahjf</t>
  </si>
  <si>
    <t>Resizing App</t>
  </si>
  <si>
    <t>https://chromewebstore.google.com/detail/dkpiobpcinjhhemgobhjghkakdabddmg</t>
  </si>
  <si>
    <t>HTTP Archive Viewer</t>
  </si>
  <si>
    <t>https://chromewebstore.google.com/detail/ebbdbdmhegaoooipfnjikefdpeoaidml</t>
  </si>
  <si>
    <t>MagicScroll Web Reader</t>
  </si>
  <si>
    <t>https://chromewebstore.google.com/detail/ecldhagehndokdmaiaigoaecbmbnmfkc</t>
  </si>
  <si>
    <t>CookieLynx</t>
  </si>
  <si>
    <t>https://chromewebstore.google.com/detail/eeebgnfjhfdbjeiimmofopakfbmoiemo</t>
  </si>
  <si>
    <t>RESTer</t>
  </si>
  <si>
    <t>https://chromewebstore.google.com/detail/eejfoncpjfgmeleakejdcanedmefagga</t>
  </si>
  <si>
    <t>Multi-Highlight Tool</t>
  </si>
  <si>
    <t>https://chromewebstore.google.com/detail/elbamfklmdfhbighpndmfdidofdonigb</t>
  </si>
  <si>
    <t>Music Speed Changer</t>
  </si>
  <si>
    <t>https://chromewebstore.google.com/detail/eoloebjcighkdkhdcbgooioeigbedihj</t>
  </si>
  <si>
    <t>Closed tabs</t>
  </si>
  <si>
    <t>https://chromewebstore.google.com/detail/eonffnnfmbfnmjpaiigdclmfelolemah</t>
  </si>
  <si>
    <t>Emmet Re:view</t>
  </si>
  <si>
    <t>https://chromewebstore.google.com/detail/epejoicbhllgiimigokgjdoijnpaphdp</t>
  </si>
  <si>
    <t>Presearch.com Start With Us</t>
  </si>
  <si>
    <t>https://chromewebstore.google.com/detail/fbknefhkjhbolemlchjhacbgckdjggod</t>
  </si>
  <si>
    <t>ClaroSpeak</t>
  </si>
  <si>
    <t>https://chromewebstore.google.com/detail/fblbeibikalffoohjpiojmpmmndpkeii</t>
  </si>
  <si>
    <t>countDown</t>
  </si>
  <si>
    <t>https://chromewebstore.google.com/detail/fefdcjabloofphhfcinhfbinmehfcojm</t>
  </si>
  <si>
    <t>Popup for Keep™</t>
  </si>
  <si>
    <t>https://chromewebstore.google.com/detail/fhcmhglnohogibbbpbodmjeggpdlboop</t>
  </si>
  <si>
    <t>Ruler Measurement</t>
  </si>
  <si>
    <t>https://chromewebstore.google.com/detail/fkfkjailjcijmghkonghlclbjkopjbgh</t>
  </si>
  <si>
    <t>Join</t>
  </si>
  <si>
    <t>https://chromewebstore.google.com/detail/flejfacjooompmliegamfbpjjdlhokhj</t>
  </si>
  <si>
    <t>ICONex</t>
  </si>
  <si>
    <t>https://chromewebstore.google.com/detail/flpiciilemghbmfalicajoolhkkenfel</t>
  </si>
  <si>
    <t>Shopify Theme Inspector for Chrome</t>
  </si>
  <si>
    <t>https://chromewebstore.google.com/detail/fndnankcflemoafdeboboehphmiijkgp</t>
  </si>
  <si>
    <t>Snapseed Online PC - Photo Editing</t>
  </si>
  <si>
    <t>https://chromewebstore.google.com/detail/fnmgbgbidhadiadgcnfmamimcepijdkm</t>
  </si>
  <si>
    <t>Web Developer Form Filler</t>
  </si>
  <si>
    <t>https://chromewebstore.google.com/detail/gbagmkohmhcjgbepncmehejaljoclpil</t>
  </si>
  <si>
    <t>Pricescout Price Comparison</t>
  </si>
  <si>
    <t>https://chromewebstore.google.com/detail/gbkjddnnlgmahpnjjkiolhoophlpibfn</t>
  </si>
  <si>
    <t>Proxy Auto Auth</t>
  </si>
  <si>
    <t>https://chromewebstore.google.com/detail/ggmdpepbjljkkkdaklfihhngmmgmpggp</t>
  </si>
  <si>
    <t>LoungeDestroyer</t>
  </si>
  <si>
    <t>https://chromewebstore.google.com/detail/ghahcnmfjfckcedfajbhekgknjdplfcl</t>
  </si>
  <si>
    <t>Google Meet Attendance</t>
  </si>
  <si>
    <t>https://chromewebstore.google.com/detail/ghcbncfgnbhdcjmhpoakkjojgekcejdf</t>
  </si>
  <si>
    <t>強震モニタ Extension</t>
  </si>
  <si>
    <t>https://chromewebstore.google.com/detail/ghkclpkmplddbagagffmmcmdbgjecbbj</t>
  </si>
  <si>
    <t>VLC Capture</t>
  </si>
  <si>
    <t>https://chromewebstore.google.com/detail/goppbgmjnldonmjemebdmcjfefbgoloh</t>
  </si>
  <si>
    <t>High Resolution Downloader for Instagram</t>
  </si>
  <si>
    <t>https://chromewebstore.google.com/detail/hbijmiokbffalbolieapplfhmmnioeao</t>
  </si>
  <si>
    <t>Classroom Plus</t>
  </si>
  <si>
    <t>https://chromewebstore.google.com/detail/hblfkbdoflbakoblaknbjjhjbgfoofog</t>
  </si>
  <si>
    <t>ScriptBlock</t>
  </si>
  <si>
    <t>https://chromewebstore.google.com/detail/hcdjknjpbnhdoabbngpmfekaecnpajba</t>
  </si>
  <si>
    <t>Force Custom Fonts</t>
  </si>
  <si>
    <t>https://chromewebstore.google.com/detail/hckjchjpkmbihoocajjpjajkggbccgee</t>
  </si>
  <si>
    <t>Awesome Cookie Manager</t>
  </si>
  <si>
    <t>https://chromewebstore.google.com/detail/hcpidejphgpcgfnpiehkcckkkemgneif</t>
  </si>
  <si>
    <t>SET-RN Security Module</t>
  </si>
  <si>
    <t>https://chromewebstore.google.com/detail/hdbenfgeoomkaiddadkoammkpeofpfkj</t>
  </si>
  <si>
    <t>Video Speed Controller Experimental</t>
  </si>
  <si>
    <t>https://chromewebstore.google.com/detail/hechlhgpdpfdikhmacjfnpphbbpcjpek</t>
  </si>
  <si>
    <t>Invert!</t>
  </si>
  <si>
    <t>https://chromewebstore.google.com/detail/heidajcpkemganilmhockdniaknoojih</t>
  </si>
  <si>
    <t>NotionCn</t>
  </si>
  <si>
    <t>https://chromewebstore.google.com/detail/hmnaobgeiojplphcldmeiklgllchflpp</t>
  </si>
  <si>
    <t>StudyIsland.com Button Helper</t>
  </si>
  <si>
    <t>https://chromewebstore.google.com/detail/hnabfegkopljkfaaibjjfkmjefhdenee</t>
  </si>
  <si>
    <t>TabJump - Intelligent Tab Navigator</t>
  </si>
  <si>
    <t>https://chromewebstore.google.com/detail/hokofmgcicpnjchllaccgedmmmbbnbmf</t>
  </si>
  <si>
    <t>Chrome Chess</t>
  </si>
  <si>
    <t>https://chromewebstore.google.com/detail/hpahaceigpcebiefmijneimenbgbcjcn</t>
  </si>
  <si>
    <t>WAV Player for Gmail™</t>
  </si>
  <si>
    <t>https://chromewebstore.google.com/detail/hpioniioecjjbhbnnbhcifmgmoiibalo</t>
  </si>
  <si>
    <t>TOTP Authenticator</t>
  </si>
  <si>
    <t>https://chromewebstore.google.com/detail/ibpjepoimpcdofeoalokgpjafnjonkpc</t>
  </si>
  <si>
    <t>PDF Editor Extension - PDFzorro</t>
  </si>
  <si>
    <t>https://chromewebstore.google.com/detail/icbddibgmpdonpogkcnambimgncliipl</t>
  </si>
  <si>
    <t>ATP CONTENT: đánh dấu highlight từ khóa</t>
  </si>
  <si>
    <t>https://chromewebstore.google.com/detail/idpiheecdknamfcfipinpnmmofehpdbm</t>
  </si>
  <si>
    <t>Embedy HD</t>
  </si>
  <si>
    <t>https://chromewebstore.google.com/detail/igldobfphppodifdnpealajhijnpaohf</t>
  </si>
  <si>
    <t>World Clocks</t>
  </si>
  <si>
    <t>https://chromewebstore.google.com/detail/innfmeekncjandlanpgdmmogkcimekgo</t>
  </si>
  <si>
    <t>Among Us Custom Cursor</t>
  </si>
  <si>
    <t>https://chromewebstore.google.com/detail/ipfjnikpccdpgjelgomppkdgiokfkjeg</t>
  </si>
  <si>
    <t>GoodTwitter</t>
  </si>
  <si>
    <t>https://chromewebstore.google.com/detail/jbanhionoclikdjnjlcmefiofgjimgca</t>
  </si>
  <si>
    <t>Twitch Fullscreen Plus</t>
  </si>
  <si>
    <t>https://chromewebstore.google.com/detail/jbbmdehmiclndmeedcocofcjlpgjnmea</t>
  </si>
  <si>
    <t>MirrorOp Sender</t>
  </si>
  <si>
    <t>https://chromewebstore.google.com/detail/jdifegpjomjhfmicjemdadmbihdbcljg</t>
  </si>
  <si>
    <t>Extract People also search phrases in Google</t>
  </si>
  <si>
    <t>https://chromewebstore.google.com/detail/jepjhbfaflooeafdniebnnjfdpcdkejd</t>
  </si>
  <si>
    <t>Image Downloader Continued</t>
  </si>
  <si>
    <t>https://chromewebstore.google.com/detail/jfkjbfhcfaoldhgbnkekkoheganchiea</t>
  </si>
  <si>
    <t>HTML Editey</t>
  </si>
  <si>
    <t>https://chromewebstore.google.com/detail/jgmngefpkkgnhkgffnldnpinipphceob</t>
  </si>
  <si>
    <t>Ninja Cookie</t>
  </si>
  <si>
    <t>https://chromewebstore.google.com/detail/jifeafcpcjjgnlcnkffmeegehmnmkefl</t>
  </si>
  <si>
    <t>Google Analytics Debugger</t>
  </si>
  <si>
    <t>https://chromewebstore.google.com/detail/jiokjpcfnipnicblkgdklknjjeohnfln</t>
  </si>
  <si>
    <t>Outwrite — Grammar checker &amp; rewrite tool</t>
  </si>
  <si>
    <t>https://chromewebstore.google.com/detail/jldbdlmljpigglecmeclifcdhgbjbakk</t>
  </si>
  <si>
    <t>Showroom Toolbox</t>
  </si>
  <si>
    <t>https://chromewebstore.google.com/detail/jlelpggiclkhdadagnbdjblokcnnhanl</t>
  </si>
  <si>
    <t>CRXcavator Gatherer</t>
  </si>
  <si>
    <t>https://chromewebstore.google.com/detail/jonckgamcbbnkkoagphccopgcjocaggf</t>
  </si>
  <si>
    <t>Smarty.Sale Cash Back</t>
  </si>
  <si>
    <t>https://chromewebstore.google.com/detail/jphoeefokmhkfljjhlpbndhikhjpencm</t>
  </si>
  <si>
    <t>MQTTBox</t>
  </si>
  <si>
    <t>https://chromewebstore.google.com/detail/kaajoficamnjijhkeomgfljpicifbkaf</t>
  </si>
  <si>
    <t>Request Maker</t>
  </si>
  <si>
    <t>https://chromewebstore.google.com/detail/kajfghlhfkcocafkcjlajldicbikpgnp</t>
  </si>
  <si>
    <t>Merch Research Free</t>
  </si>
  <si>
    <t>https://chromewebstore.google.com/detail/kapmnckpnjhbdggcdkggkkfkkmjehhmb</t>
  </si>
  <si>
    <t>Celebrity Voice Changer</t>
  </si>
  <si>
    <t>https://chromewebstore.google.com/detail/kbmhekonnnamchnjelhooeagiabhggfo</t>
  </si>
  <si>
    <t>Shareaholic for Google Chrome™</t>
  </si>
  <si>
    <t>https://chromewebstore.google.com/detail/kbmipnjdeifmobkhgogdnomkihhgojep</t>
  </si>
  <si>
    <t>Loadify - Smart Image Downloader</t>
  </si>
  <si>
    <t>https://chromewebstore.google.com/detail/kbohbdnooimgjlohmicjmoagppjdcbam</t>
  </si>
  <si>
    <t>魔方换算</t>
  </si>
  <si>
    <t>https://chromewebstore.google.com/detail/kccajphaffpdfjhgcbccfmcpbgogbknh</t>
  </si>
  <si>
    <t>Mind Screen Sharing</t>
  </si>
  <si>
    <t>https://chromewebstore.google.com/detail/khllaogjfcmonmmklkjpjapolbaapcdc</t>
  </si>
  <si>
    <t>Tooltip Dictionary</t>
  </si>
  <si>
    <t>https://chromewebstore.google.com/detail/kibbnopaghnmdlmocibfmnljlihmlgip</t>
  </si>
  <si>
    <t>Ad Blocker for Facebook™</t>
  </si>
  <si>
    <t>https://chromewebstore.google.com/detail/kinpgphmiekapnpbmobneleaiemkefag</t>
  </si>
  <si>
    <t>CraftyText</t>
  </si>
  <si>
    <t>https://chromewebstore.google.com/detail/kjgfnioibniobfkjcjjfikmhecajpcio</t>
  </si>
  <si>
    <t>网课小工具</t>
  </si>
  <si>
    <t>https://chromewebstore.google.com/detail/kkicgcijebblepmephnfganiiochecfl</t>
  </si>
  <si>
    <t>Remoku</t>
  </si>
  <si>
    <t>https://chromewebstore.google.com/detail/kmbcoebcjaiiejopnadjlknjhifadnlg</t>
  </si>
  <si>
    <t>TweetDeck Launcher</t>
  </si>
  <si>
    <t>https://chromewebstore.google.com/detail/kmjdnkpkpnjblbgbnkeedepgnomafojk</t>
  </si>
  <si>
    <t>TrackingTime | Time Tracker</t>
  </si>
  <si>
    <t>https://chromewebstore.google.com/detail/knailkjkjcfegledhjhcfacdngnicimb</t>
  </si>
  <si>
    <t>LikeMe – накрутка лайков и просмотров ВК</t>
  </si>
  <si>
    <t>https://chromewebstore.google.com/detail/knkmhklfleegnlkapphbjbjnbilijlhf</t>
  </si>
  <si>
    <t>Tab auto reloader</t>
  </si>
  <si>
    <t>https://chromewebstore.google.com/detail/knnahnemielbnanghaphjgheamgcjjcb</t>
  </si>
  <si>
    <t>Simple Space Invaders</t>
  </si>
  <si>
    <t>https://chromewebstore.google.com/detail/kojjcgophkdegmmjdiccpmcnoglklamk</t>
  </si>
  <si>
    <t>ColumnCopy</t>
  </si>
  <si>
    <t>https://chromewebstore.google.com/detail/lapbbfoohlcmlbdaakldmmallcbcbpjb</t>
  </si>
  <si>
    <t>Визуальные закладки</t>
  </si>
  <si>
    <t>https://chromewebstore.google.com/detail/lbklnemjebnacdgfdbclbcpfocmgilgn</t>
  </si>
  <si>
    <t>xBrowserSync</t>
  </si>
  <si>
    <t>https://chromewebstore.google.com/detail/lcbjdhceifofjlpecfpeimnnphbcjgnc</t>
  </si>
  <si>
    <t>PlantUML Viewer</t>
  </si>
  <si>
    <t>https://chromewebstore.google.com/detail/legbfeljfbjgfifnkmpoajgpgejojooj</t>
  </si>
  <si>
    <t>Quick PDF Combine Extension</t>
  </si>
  <si>
    <t>https://chromewebstore.google.com/detail/lehjhlfciaapkfnbmabkdfdaokbkjokb</t>
  </si>
  <si>
    <t>Comic Webcam</t>
  </si>
  <si>
    <t>https://chromewebstore.google.com/detail/lfffhmndpldceogndeognocbpmlgdemi</t>
  </si>
  <si>
    <t>Reload All Tabs</t>
  </si>
  <si>
    <t>https://chromewebstore.google.com/detail/lgpdljdpanfecnpindkbnikegohoobci</t>
  </si>
  <si>
    <t>IPP / CUPS printing for Chrome &amp; Chromebooks</t>
  </si>
  <si>
    <t>https://chromewebstore.google.com/detail/lkhfeoafdgbaecajkdbioenncjopbpmk</t>
  </si>
  <si>
    <t>FindThatLead - Email Finder Extension</t>
  </si>
  <si>
    <t>https://chromewebstore.google.com/detail/lkpekgkhmldknbcgjicjkomphkhhdkjj</t>
  </si>
  <si>
    <t>Run Javascript</t>
  </si>
  <si>
    <t>https://chromewebstore.google.com/detail/lmilalhkkdhfieeienjbiicclobibjao</t>
  </si>
  <si>
    <t>SVG Viewer</t>
  </si>
  <si>
    <t>https://chromewebstore.google.com/detail/lngkbicefbnocjicnbemapilgglemjgg</t>
  </si>
  <si>
    <t>MYDIGIPASS eID card reader extension</t>
  </si>
  <si>
    <t>https://chromewebstore.google.com/detail/lnplogpjijindegfgdcimondiomejhdl</t>
  </si>
  <si>
    <t>Thesaurus: Synonym 4 Right Click</t>
  </si>
  <si>
    <t>https://chromewebstore.google.com/detail/lpkpcliecpgjbkffooidajhakoidhidh</t>
  </si>
  <si>
    <t>Tamper Dev</t>
  </si>
  <si>
    <t>https://chromewebstore.google.com/detail/mdemppnhjflbejfbnlddahjbpdbeejnn</t>
  </si>
  <si>
    <t>FotoJet</t>
  </si>
  <si>
    <t>https://chromewebstore.google.com/detail/medejhbgmfcehgfpinhgnhlnljnpghge</t>
  </si>
  <si>
    <t>Drawing</t>
  </si>
  <si>
    <t>https://chromewebstore.google.com/detail/mgohdnfabfpfbfnjakkpibennhlcolok</t>
  </si>
  <si>
    <t>JSON Formatter</t>
  </si>
  <si>
    <t>https://chromewebstore.google.com/detail/mhimpmpmffogbmmkmajibklelopddmjf</t>
  </si>
  <si>
    <t>WebXR API Emulator</t>
  </si>
  <si>
    <t>https://chromewebstore.google.com/detail/mjddjgeghkdijejnciaefnkjmkafnnje</t>
  </si>
  <si>
    <t>Divider Tabs</t>
  </si>
  <si>
    <t>https://chromewebstore.google.com/detail/mpbblhoepkmpgalgppdoahgeoknmjgpc</t>
  </si>
  <si>
    <t>Read Mode</t>
  </si>
  <si>
    <t>https://chromewebstore.google.com/detail/nagcaahojecfeopbghgihcabgiepploa</t>
  </si>
  <si>
    <t>Homework Tracker</t>
  </si>
  <si>
    <t>https://chromewebstore.google.com/detail/nblmegnbohbagljeheaniomchelnhhka</t>
  </si>
  <si>
    <t>SERPTrends SEO Extension</t>
  </si>
  <si>
    <t>https://chromewebstore.google.com/detail/nedmifdnblopopbcmdcgflboaclchebg</t>
  </si>
  <si>
    <t>Z3X Free Downloads</t>
  </si>
  <si>
    <t>https://chromewebstore.google.com/detail/nfbfkdjcnfiiaifgbkibeenfackinihp</t>
  </si>
  <si>
    <t>Webtor.io - Watch torrents online</t>
  </si>
  <si>
    <t>https://chromewebstore.google.com/detail/ngkpdaefpmokglfnmienfiaioffjodam</t>
  </si>
  <si>
    <t>Crosh Window</t>
  </si>
  <si>
    <t>https://chromewebstore.google.com/detail/nhbmpbdladcchdhkemlojfjdknjadhmh</t>
  </si>
  <si>
    <t>Beanote - Note Taking on Web Pages</t>
  </si>
  <si>
    <t>https://chromewebstore.google.com/detail/nikccehomlnjkmgmhnieecolhgdafajb</t>
  </si>
  <si>
    <t>Trace - Online Tracking Protection</t>
  </si>
  <si>
    <t>https://chromewebstore.google.com/detail/njkmjblmcfiobddjgebnoeldkjcplfjb</t>
  </si>
  <si>
    <t>Decreased Productivity</t>
  </si>
  <si>
    <t>https://chromewebstore.google.com/detail/nlbpiflhmdcklcbihngeffpmoklbiooj</t>
  </si>
  <si>
    <t>365Scores - Live Scores and Sports News</t>
  </si>
  <si>
    <t>https://chromewebstore.google.com/detail/nmpppefjehmjbiplimkfjeamnohldmko</t>
  </si>
  <si>
    <t>Remote Torrent Adder</t>
  </si>
  <si>
    <t>https://chromewebstore.google.com/detail/oabphaconndgibllomdcjbfdghcmenci</t>
  </si>
  <si>
    <t>Pericles: Text to Speech Screen Reader</t>
  </si>
  <si>
    <t>https://chromewebstore.google.com/detail/oacindbdmlbdeidohafnfocfckkhjlbg</t>
  </si>
  <si>
    <t>Ranorex Selocity</t>
  </si>
  <si>
    <t>https://chromewebstore.google.com/detail/ocgghcnnjekfpbmafindjmijdpopafoe</t>
  </si>
  <si>
    <t>Disig Web Signer 1.0.7</t>
  </si>
  <si>
    <t>https://chromewebstore.google.com/detail/odbdbcaekkgabdfaabepfjgiooilmaoe</t>
  </si>
  <si>
    <t>Cookie Notice Blocker</t>
  </si>
  <si>
    <t>https://chromewebstore.google.com/detail/odhmfmnoejhihkmfebnolljiibpnednn</t>
  </si>
  <si>
    <t>Live CSS Editor</t>
  </si>
  <si>
    <t>https://chromewebstore.google.com/detail/oelggcmknbjmhkpgjfhakedcfnkgbdpg</t>
  </si>
  <si>
    <t>Motivation</t>
  </si>
  <si>
    <t>https://chromewebstore.google.com/detail/ofdgfpchbidcgncgfpdlpclnpaemakoj</t>
  </si>
  <si>
    <t>Live On</t>
  </si>
  <si>
    <t>https://chromewebstore.google.com/detail/oficfgdfeoknbjfhommlpiekdapmnebh</t>
  </si>
  <si>
    <t>DriveCast</t>
  </si>
  <si>
    <t>https://chromewebstore.google.com/detail/oiimcpipjgnkggjnionbfmlleolhnlco</t>
  </si>
  <si>
    <t>Better Browse for Netflix</t>
  </si>
  <si>
    <t>https://chromewebstore.google.com/detail/olciafpppkdhlcjfmaibelnopafmhmdd</t>
  </si>
  <si>
    <t>DemoCreator-Sceen Recorder&amp;Capture</t>
  </si>
  <si>
    <t>https://chromewebstore.google.com/detail/olfdaaodhngodpnnoahamgfnndipjopi</t>
  </si>
  <si>
    <t>Recent Bookmarks</t>
  </si>
  <si>
    <t>https://chromewebstore.google.com/detail/olndffocioplakeilhkgenfgdincjlpn</t>
  </si>
  <si>
    <t>InstaShare</t>
  </si>
  <si>
    <t>https://chromewebstore.google.com/detail/ologblpnojaoppnoekhcjbnnhjbepmge</t>
  </si>
  <si>
    <t>Smart Websocket Client</t>
  </si>
  <si>
    <t>https://chromewebstore.google.com/detail/omalebghpgejjiaoknljcfmglgbpocdp</t>
  </si>
  <si>
    <t>Pop Art Studio Online</t>
  </si>
  <si>
    <t>https://chromewebstore.google.com/detail/oompiimecpnflklhlnmdpddcjdmiibkf</t>
  </si>
  <si>
    <t>英辞郎 on the WEB 拡張機能</t>
  </si>
  <si>
    <t>https://chromewebstore.google.com/detail/oonalfdoahlmjaoloddjenihohbfodme</t>
  </si>
  <si>
    <t>Tenami</t>
  </si>
  <si>
    <t>https://chromewebstore.google.com/detail/pcnhacefkmiiaohfeomepmkakclhbgkh</t>
  </si>
  <si>
    <t>KardiaChain Wallet</t>
  </si>
  <si>
    <t>https://chromewebstore.google.com/detail/pdadjkfkgcafgbceimcpbkalnfnepbnk</t>
  </si>
  <si>
    <t>Url Slideshow</t>
  </si>
  <si>
    <t>https://chromewebstore.google.com/detail/pdblffiahfjjldpkngdpaegghhamefam</t>
  </si>
  <si>
    <t>Bookmark Manager Speed Dial | Papaly</t>
  </si>
  <si>
    <t>https://chromewebstore.google.com/detail/pdcohkhhjbifkmpakaiopnllnddofbbn</t>
  </si>
  <si>
    <t>MirrorTube</t>
  </si>
  <si>
    <t>https://chromewebstore.google.com/detail/pdebhiihcebhmcpmdncgfodomdnhbehj</t>
  </si>
  <si>
    <t>EtherAddressLookup</t>
  </si>
  <si>
    <t>https://chromewebstore.google.com/detail/pdknmigbbbhmllnmgdfalmedcmcefdfn</t>
  </si>
  <si>
    <t>Fotor's Collage Maker</t>
  </si>
  <si>
    <t>https://chromewebstore.google.com/detail/pekoadgpkajdflcemkdbjlnpjcmcdlfj</t>
  </si>
  <si>
    <t>二维码(QR码)生成器(QR Code Generator)</t>
  </si>
  <si>
    <t>https://chromewebstore.google.com/detail/pflgjjogbmmcmfhfcnlohagkablhbpmg</t>
  </si>
  <si>
    <t>Tab Rotate</t>
  </si>
  <si>
    <t>https://chromewebstore.google.com/detail/pjgjpabbgnnoohijnillgbckikfkbjed</t>
  </si>
  <si>
    <t>Unmask Password</t>
  </si>
  <si>
    <t>https://chromewebstore.google.com/detail/pmmeddaccflimcipblojlnfandenhicb</t>
  </si>
  <si>
    <t>Web Boost - Wait Less, Browse Faster!</t>
  </si>
  <si>
    <t>https://chromewebstore.google.com/detail/ahbkhnpmoamidjgbneafjipbmdfpefad</t>
  </si>
  <si>
    <t>Open link in same tab, pop-up as tab</t>
  </si>
  <si>
    <t>https://chromewebstore.google.com/detail/jbhbalpncehdfjnfcmmimecdhalmjjem</t>
  </si>
  <si>
    <t>AutoControl: Keyboard shortcuts, Mouse gestures</t>
  </si>
  <si>
    <t>https://chromewebstore.google.com/detail/lkaihdpfpifdlgoapbfocpmekbokmcfd</t>
  </si>
  <si>
    <t>ScreenBud · Capture, edit &amp; share screenshots</t>
  </si>
  <si>
    <t>https://chromewebstore.google.com/detail/gcjpddnhdopbpimmngmgfhhimnbenjhl</t>
  </si>
  <si>
    <t>SEO Site Tools, Site Analysis</t>
  </si>
  <si>
    <t>https://chromewebstore.google.com/detail/femogmcmjpjkokoojcljkpfdifkpbbpp</t>
  </si>
  <si>
    <t>Free Email Tracker by Saleshandy</t>
  </si>
  <si>
    <t>https://chromewebstore.google.com/detail/acfmebaomboldplijdpfepofggkocgnl</t>
  </si>
  <si>
    <t>MuteTab</t>
  </si>
  <si>
    <t>https://chromewebstore.google.com/detail/acofndgbcimipbpeoplfjcapdbebbmca</t>
  </si>
  <si>
    <t>Embark - New Tab Page</t>
  </si>
  <si>
    <t>https://chromewebstore.google.com/detail/aeajehgeohhgjbhhbicilpenjfcbfnpg</t>
  </si>
  <si>
    <t>MBS Retriever</t>
  </si>
  <si>
    <t>https://chromewebstore.google.com/detail/afanpgdoladoakmnkgoccdfoillpeaop</t>
  </si>
  <si>
    <t>Online Tools by 10015.io</t>
  </si>
  <si>
    <t>https://chromewebstore.google.com/detail/afbphoagjpegnkpeiliacmiiggojdabo</t>
  </si>
  <si>
    <t>START.xyz</t>
  </si>
  <si>
    <t>https://chromewebstore.google.com/detail/ageplmjnkcjmeoolbjaclpdmknmjpmkk</t>
  </si>
  <si>
    <t>Dark Skin For Crunchyroll</t>
  </si>
  <si>
    <t>https://chromewebstore.google.com/detail/agjiicokbioponboibkfhfgmhcacafph</t>
  </si>
  <si>
    <t>Rippling Browser Extension</t>
  </si>
  <si>
    <t>https://chromewebstore.google.com/detail/akcljdkpppokdcbopdcbkokilfdddhoi</t>
  </si>
  <si>
    <t>Download Button</t>
  </si>
  <si>
    <t>https://chromewebstore.google.com/detail/alakoggmijiicdlcjjeakffojoinhlpg</t>
  </si>
  <si>
    <t>HCOS - Hide Chrome Omnibox Suggestions</t>
  </si>
  <si>
    <t>https://chromewebstore.google.com/detail/aldijnffnfojelcpcfoekkeifffkhldo</t>
  </si>
  <si>
    <t>Neutral Face Emoji Tools</t>
  </si>
  <si>
    <t>https://chromewebstore.google.com/detail/anchoacphlfbdomdlomnbbfhcmcdmjej</t>
  </si>
  <si>
    <t>Canvas Quiz Printer</t>
  </si>
  <si>
    <t>https://chromewebstore.google.com/detail/aolnbenhahgdmbdgjdkphepifgdnphcl</t>
  </si>
  <si>
    <t>FastStunnel VPN</t>
  </si>
  <si>
    <t>https://chromewebstore.google.com/detail/bblcccknbdbplgmdjnnikffefhdlobhp</t>
  </si>
  <si>
    <t>Asan ID token signing</t>
  </si>
  <si>
    <t>https://chromewebstore.google.com/detail/bccjgmdpenbibncpocpelfmdolmdfbci</t>
  </si>
  <si>
    <t>Extensions Manager</t>
  </si>
  <si>
    <t>https://chromewebstore.google.com/detail/bcjfhbahclaolcbkdkckdnnenfeakhbk</t>
  </si>
  <si>
    <t>Visio Viewer Free Online</t>
  </si>
  <si>
    <t>https://chromewebstore.google.com/detail/bdjldefoefllegplkmbmdkjibnlghinb</t>
  </si>
  <si>
    <t>百度广告屏蔽</t>
  </si>
  <si>
    <t>https://chromewebstore.google.com/detail/bdkobfnbgkbemcfgopfollaikdlknlkm</t>
  </si>
  <si>
    <t>JavaScript-Java Bridge</t>
  </si>
  <si>
    <t>https://chromewebstore.google.com/detail/beglnkgbajkhcmmdkldmgbkggoeegabe</t>
  </si>
  <si>
    <t>FUT Sniping Bot</t>
  </si>
  <si>
    <t>https://chromewebstore.google.com/detail/bflpmpggmkamcjjdjajcafkpcmjmgcfg</t>
  </si>
  <si>
    <t>Video Styler (brightness and more)</t>
  </si>
  <si>
    <t>https://chromewebstore.google.com/detail/bfmgdnjlifbmedglimhnbhgkefanaiep</t>
  </si>
  <si>
    <t>Bottomline PT-X SmartCard Extension</t>
  </si>
  <si>
    <t>https://chromewebstore.google.com/detail/bicfjeemoamhnnfjbhkajljimlgagiph</t>
  </si>
  <si>
    <t>FACEIT HELPER</t>
  </si>
  <si>
    <t>https://chromewebstore.google.com/detail/bjdhcabjnhhifipbnopnfpfidkafanjf</t>
  </si>
  <si>
    <t>Rumola - bypass CAPTCHA</t>
  </si>
  <si>
    <t>https://chromewebstore.google.com/detail/bjjgbdlbgjeoankjijbmheneoekbghcg</t>
  </si>
  <si>
    <t>MultiFile Converter</t>
  </si>
  <si>
    <t>https://chromewebstore.google.com/detail/blbeajekbphoogbcoomlkenjbklkoofc</t>
  </si>
  <si>
    <t>Robux to USD</t>
  </si>
  <si>
    <t>https://chromewebstore.google.com/detail/bodeglehbhhophjohjfpddflimmhilod</t>
  </si>
  <si>
    <t>DevTools Theme: Zero Dark Matrix</t>
  </si>
  <si>
    <t>https://chromewebstore.google.com/detail/bomhdjeadceaggdgfoefmpeafkjhegbo</t>
  </si>
  <si>
    <t>Angry Study Helper</t>
  </si>
  <si>
    <t>https://chromewebstore.google.com/detail/bpbdbiickajcfeoilijnjlgchjjlfakj</t>
  </si>
  <si>
    <t>Foxtrick</t>
  </si>
  <si>
    <t>https://chromewebstore.google.com/detail/bpfbbngccefbbndginomofgpagkjckik</t>
  </si>
  <si>
    <t>WebSocket King Client</t>
  </si>
  <si>
    <t>https://chromewebstore.google.com/detail/cbcbkhdmedgianpaifchdaddpnmgnknn</t>
  </si>
  <si>
    <t>Deadname Remover</t>
  </si>
  <si>
    <t>https://chromewebstore.google.com/detail/cceilgmnkeijahkehfcgfalepihfbcag</t>
  </si>
  <si>
    <t>Scholar H-Index Calculator for Google Chrome™</t>
  </si>
  <si>
    <t>https://chromewebstore.google.com/detail/cdpobfbhbdlpbloccjokjgekjnmifbng</t>
  </si>
  <si>
    <t>Auto Form Filler</t>
  </si>
  <si>
    <t>https://chromewebstore.google.com/detail/cfghpjmgdnienmgcajbmjjemfnnmldlh</t>
  </si>
  <si>
    <t>Tab Count</t>
  </si>
  <si>
    <t>https://chromewebstore.google.com/detail/cfokcacdaonnckdmopmcgeanhkebeaio</t>
  </si>
  <si>
    <t>Minesweeper</t>
  </si>
  <si>
    <t>https://chromewebstore.google.com/detail/chackijkbbbmdlgekngbjdcpnbgaepji</t>
  </si>
  <si>
    <t>VK Messages Visual Statistics</t>
  </si>
  <si>
    <t>https://chromewebstore.google.com/detail/chhkkciiljiehmmfgmodhaaljggikhmc</t>
  </si>
  <si>
    <t>Win7 Scrollbars</t>
  </si>
  <si>
    <t>https://chromewebstore.google.com/detail/cifcnoebhbpdndjendfkpehpfbglgfkc</t>
  </si>
  <si>
    <t>Open in Google Maps</t>
  </si>
  <si>
    <t>https://chromewebstore.google.com/detail/cinncpjcejdnoafflljjmgibkkgkigag</t>
  </si>
  <si>
    <t>Tesla VIN finder</t>
  </si>
  <si>
    <t>https://chromewebstore.google.com/detail/cjhgdbmohmlomkjgbgkcbknncblpfanf</t>
  </si>
  <si>
    <t>Fullscreen Slideshow</t>
  </si>
  <si>
    <t>https://chromewebstore.google.com/detail/ckciegopcnnpagdmgjadmhjkocchicji</t>
  </si>
  <si>
    <t>Finitimus</t>
  </si>
  <si>
    <t>https://chromewebstore.google.com/detail/ckdjcgaagfcnndkkknfmncedapdjaokb</t>
  </si>
  <si>
    <t>Descarga Masiva Facturas XML CFDI SAT México</t>
  </si>
  <si>
    <t>https://chromewebstore.google.com/detail/cmcidfkdmfopijnadkbdbhknfkjodmec</t>
  </si>
  <si>
    <t>Codeforces Practice Tracker</t>
  </si>
  <si>
    <t>https://chromewebstore.google.com/detail/cnahgdhboflcnojgmeehhhfeoojifonm</t>
  </si>
  <si>
    <t>diagrams.net and draw.io Importer</t>
  </si>
  <si>
    <t>https://chromewebstore.google.com/detail/cnoplimhpndhhhnmoigbanpjeghjpohi</t>
  </si>
  <si>
    <t>CLUT: Cycle Last Used Tabs</t>
  </si>
  <si>
    <t>https://chromewebstore.google.com/detail/cobieddmkhhnbeldhncnfcgcaccmehgn</t>
  </si>
  <si>
    <t>Desprotetor.com - Desprotetor de links</t>
  </si>
  <si>
    <t>https://chromewebstore.google.com/detail/cocohmmjllchepkjocddkihldoiillkl</t>
  </si>
  <si>
    <t>Btools</t>
  </si>
  <si>
    <t>https://chromewebstore.google.com/detail/codgofkgobbmgglciccjabipdlgefnch</t>
  </si>
  <si>
    <t>ランデ・イント</t>
  </si>
  <si>
    <t>https://chromewebstore.google.com/detail/comoodengbhchaeglcgaaokhaicgngoo</t>
  </si>
  <si>
    <t>20-20 3D Viewer for Virtual Studio</t>
  </si>
  <si>
    <t>https://chromewebstore.google.com/detail/cpbhljkhbideandpbhpinhedfgdhkpdc</t>
  </si>
  <si>
    <t>Сохранение историй ВК. Анонимно.</t>
  </si>
  <si>
    <t>https://chromewebstore.google.com/detail/cphnkopapfgbhghcogkdcalgdohiianc</t>
  </si>
  <si>
    <t>Helium 10 Seller Assistant for Amazon Seller Review Automation</t>
  </si>
  <si>
    <t>https://chromewebstore.google.com/detail/cpknagcmpelnmgoclahmkmnlokbibhga</t>
  </si>
  <si>
    <t>Pandora Listener</t>
  </si>
  <si>
    <t>https://chromewebstore.google.com/detail/danjmbbdjabpapehlajpomcignjnoidp</t>
  </si>
  <si>
    <t>Backdrop Chrome</t>
  </si>
  <si>
    <t>https://chromewebstore.google.com/detail/dbdfkhaojnhgfcbpkhfgpfaoincihmcm</t>
  </si>
  <si>
    <t>Google Image Search</t>
  </si>
  <si>
    <t>https://chromewebstore.google.com/detail/dbebidibfabmempkkbhabeehoncoaphf</t>
  </si>
  <si>
    <t>jQuery Debugger</t>
  </si>
  <si>
    <t>https://chromewebstore.google.com/detail/dbhhnnnpaeobfddmlalhnehgclcmjimi</t>
  </si>
  <si>
    <t>FontAra Font Changer</t>
  </si>
  <si>
    <t>https://chromewebstore.google.com/detail/dcjdhicepiklefpimapdkbaeoocniemc</t>
  </si>
  <si>
    <t>Youtube Speed Controller</t>
  </si>
  <si>
    <t>https://chromewebstore.google.com/detail/dckonobhgjekgmkfgipjdeombidiaeci</t>
  </si>
  <si>
    <t>Block &amp; Focus</t>
  </si>
  <si>
    <t>https://chromewebstore.google.com/detail/dcpbedhdekgkhigjgmlcbmcjoeaebbfm</t>
  </si>
  <si>
    <t>חיפוש שירים</t>
  </si>
  <si>
    <t>https://chromewebstore.google.com/detail/ddfmingbghgdadipkmlocgkdlenbjpni</t>
  </si>
  <si>
    <t>YAAW for Chrome</t>
  </si>
  <si>
    <t>https://chromewebstore.google.com/detail/dennnbdlpgjgbcjfgaohdahloollfgoc</t>
  </si>
  <si>
    <t>RuTracker</t>
  </si>
  <si>
    <t>https://chromewebstore.google.com/detail/dgdfbndljpogobgjlligoffljmkiiafc</t>
  </si>
  <si>
    <t>RunQuestRun</t>
  </si>
  <si>
    <t>https://chromewebstore.google.com/detail/dgpinehekakmfhnmdickgcaofkegnipd</t>
  </si>
  <si>
    <t>Steam Market History Plus</t>
  </si>
  <si>
    <t>https://chromewebstore.google.com/detail/dhcoicbcegmeaoipdjabengnggkciepp</t>
  </si>
  <si>
    <t>高校课程表</t>
  </si>
  <si>
    <t>https://chromewebstore.google.com/detail/diamegoomkocpgkfkmlmegiegkmogpao</t>
  </si>
  <si>
    <t>Emmet LiveStyle</t>
  </si>
  <si>
    <t>https://chromewebstore.google.com/detail/diebikgmpmeppiilkaijjbdgciafajmg</t>
  </si>
  <si>
    <t>Save my Tabs</t>
  </si>
  <si>
    <t>https://chromewebstore.google.com/detail/djadfifncobffjpicnkiegahdiobpaap</t>
  </si>
  <si>
    <t>click2speech</t>
  </si>
  <si>
    <t>https://chromewebstore.google.com/detail/djfpbemmcokhlllnafdmomgecdlicfhj</t>
  </si>
  <si>
    <t>Wildfire</t>
  </si>
  <si>
    <t>https://chromewebstore.google.com/detail/djhgeeodemlfdpmcccdekfalbhllcoim</t>
  </si>
  <si>
    <t>Set Discord Activity</t>
  </si>
  <si>
    <t>https://chromewebstore.google.com/detail/dlmmhgaeahcfkojednnfghfpinbinicj</t>
  </si>
  <si>
    <t>Sky map</t>
  </si>
  <si>
    <t>https://chromewebstore.google.com/detail/dlnjlajbdnhgcdeljgbhkiaodefepnpf</t>
  </si>
  <si>
    <t>ChromeDuino</t>
  </si>
  <si>
    <t>https://chromewebstore.google.com/detail/dmkincdpchiadkhhocmbpjljebfifgbl</t>
  </si>
  <si>
    <t>Zoho Annotator</t>
  </si>
  <si>
    <t>https://chromewebstore.google.com/detail/dmlmcpcjndojhbflolmdgfpojnjfdlbj</t>
  </si>
  <si>
    <t>Ecom Radar</t>
  </si>
  <si>
    <t>https://chromewebstore.google.com/detail/dnnjlaebcepcagnefdgodliagfhbebba</t>
  </si>
  <si>
    <t>I love adaptive – Mobile/Responsive testing</t>
  </si>
  <si>
    <t>https://chromewebstore.google.com/detail/dpfgmabfakicdmcijnddgbelfhfkddnb</t>
  </si>
  <si>
    <t>PIP screen for html5 video</t>
  </si>
  <si>
    <t>https://chromewebstore.google.com/detail/ebgihmollhfickaopoldkikdnipmdemg</t>
  </si>
  <si>
    <t>QPush - Push Text and Links to iPhone</t>
  </si>
  <si>
    <t>https://chromewebstore.google.com/detail/eccidpbmllnjfhhnjhaaopeeldnlokbi</t>
  </si>
  <si>
    <t>HTML5 Universal Speed Hack</t>
  </si>
  <si>
    <t>https://chromewebstore.google.com/detail/eckionmoiajpjncecfebdmmbcboblkja</t>
  </si>
  <si>
    <t>SpoilerProtection</t>
  </si>
  <si>
    <t>https://chromewebstore.google.com/detail/eelacikjiplnmdingehjfdjcfegclmkg</t>
  </si>
  <si>
    <t>Always Clear Downloads in Chrome</t>
  </si>
  <si>
    <t>https://chromewebstore.google.com/detail/efoelbbfbknfhpmgclpcdbkoieedkkai</t>
  </si>
  <si>
    <t>Feedly Notifier</t>
  </si>
  <si>
    <t>https://chromewebstore.google.com/detail/egikgfbhipinieabdmcpigejkaomgjgb</t>
  </si>
  <si>
    <t>Hair on Screen</t>
  </si>
  <si>
    <t>https://chromewebstore.google.com/detail/egkikapjpndmjflbjjoondbihalgdjco</t>
  </si>
  <si>
    <t>Pinterest Enhanced</t>
  </si>
  <si>
    <t>https://chromewebstore.google.com/detail/egpachgbfnbpkceigfpcpicekmiehame</t>
  </si>
  <si>
    <t>imgur Community Extension</t>
  </si>
  <si>
    <t>https://chromewebstore.google.com/detail/ehoopddfhgaehhmphfcooacjdpmbjlao</t>
  </si>
  <si>
    <t>TIF, TIFF Viewer with Drive</t>
  </si>
  <si>
    <t>https://chromewebstore.google.com/detail/ejimgapgkloohjjiiamebgpcobfcaffl</t>
  </si>
  <si>
    <t>PictaCast for Chromecast® - Trial</t>
  </si>
  <si>
    <t>https://chromewebstore.google.com/detail/ekgaebaencakkggokbokmgojdbafnefi</t>
  </si>
  <si>
    <t>T-boards</t>
  </si>
  <si>
    <t>https://chromewebstore.google.com/detail/eknhddnoflchkcccjgdddmnimjggiona</t>
  </si>
  <si>
    <t>Test IE</t>
  </si>
  <si>
    <t>https://chromewebstore.google.com/detail/eldlkpeoddgbmpjlnpfblfpgodnojfjl</t>
  </si>
  <si>
    <t>FMath 'HTML + MathML' Solution</t>
  </si>
  <si>
    <t>https://chromewebstore.google.com/detail/emdjdpchbjipnjhkfljbcapgfecmnglm</t>
  </si>
  <si>
    <t>Modern for Wikipedia</t>
  </si>
  <si>
    <t>https://chromewebstore.google.com/detail/emdkdnnopdnajipoapepbeeiemahbjcn</t>
  </si>
  <si>
    <t>Web Inspector</t>
  </si>
  <si>
    <t>https://chromewebstore.google.com/detail/enibedkmbpadhfofcgjcphipflcbpelf</t>
  </si>
  <si>
    <t>Save Image to Downloads</t>
  </si>
  <si>
    <t>https://chromewebstore.google.com/detail/enjefpkmlibebgbbgidmhpmjhcdffhfm</t>
  </si>
  <si>
    <t>MOBOX WALLET</t>
  </si>
  <si>
    <t>https://chromewebstore.google.com/detail/fcckkdbjnoikooededlapcalpionmalo</t>
  </si>
  <si>
    <t>utf-8 and unicode characters</t>
  </si>
  <si>
    <t>https://chromewebstore.google.com/detail/fcemphgmjnjpmmdhcedhjiegickfbiia</t>
  </si>
  <si>
    <t>JuegosJuegos</t>
  </si>
  <si>
    <t>https://chromewebstore.google.com/detail/fdkgolkkimdnnjaeiogdciekaflaellb</t>
  </si>
  <si>
    <t>Fast Dial</t>
  </si>
  <si>
    <t>https://chromewebstore.google.com/detail/fdnbdgmkhikelgaohpgdpcecklddmpaj</t>
  </si>
  <si>
    <t>Pexels</t>
  </si>
  <si>
    <t>https://chromewebstore.google.com/detail/fdnpgodccdfgofepkclnopmbnacjkbnj</t>
  </si>
  <si>
    <t>Modern Calculator</t>
  </si>
  <si>
    <t>https://chromewebstore.google.com/detail/fdpigloibdnkimfbebdgaaefdlkkjoha</t>
  </si>
  <si>
    <t>Bloomberg Terminal: Clip to NOTE</t>
  </si>
  <si>
    <t>https://chromewebstore.google.com/detail/fficfkginiidknkbmlcdiojphhkokggh</t>
  </si>
  <si>
    <t>Explain Everything Extension</t>
  </si>
  <si>
    <t>https://chromewebstore.google.com/detail/ffkjohkdmfhoojleoljhhlkonedmccjg</t>
  </si>
  <si>
    <t>Library Sniffer</t>
  </si>
  <si>
    <t>https://chromewebstore.google.com/detail/fhhdlnnepfjhlhilgmeepgkhjmhhhjkh</t>
  </si>
  <si>
    <t>Calm Start Tabs</t>
  </si>
  <si>
    <t>https://chromewebstore.google.com/detail/fhkconleiijpolngfiiggodoeaonlacn</t>
  </si>
  <si>
    <t>Click all checkboxes</t>
  </si>
  <si>
    <t>https://chromewebstore.google.com/detail/fhlogpdbadmjfpndmaijnibflgnbnhof</t>
  </si>
  <si>
    <t>Chrome Tab Counter</t>
  </si>
  <si>
    <t>https://chromewebstore.google.com/detail/fhnegjjodccfaliddboelcleikbmapik</t>
  </si>
  <si>
    <t>SSRS Report Fix</t>
  </si>
  <si>
    <t>https://chromewebstore.google.com/detail/fjbdfjiheheafbioiejbdpalmojkeobk</t>
  </si>
  <si>
    <t>Photo Transfer App</t>
  </si>
  <si>
    <t>https://chromewebstore.google.com/detail/fjfbkbdcdmafppmmeajldfnkjllemkej</t>
  </si>
  <si>
    <t>Movavi Screen Recorder for Chrome</t>
  </si>
  <si>
    <t>https://chromewebstore.google.com/detail/fjngbolidiommeliclbhnoifnbniclfk</t>
  </si>
  <si>
    <t>Snippet Highlighter - Web &amp; PDF</t>
  </si>
  <si>
    <t>https://chromewebstore.google.com/detail/fkaokedhimpifhfadmgjpfjimkogdlcm</t>
  </si>
  <si>
    <t>Image to PDF - dearprint</t>
  </si>
  <si>
    <t>https://chromewebstore.google.com/detail/fkcddcfdmiebmhabfipjlnkkeokdlbom</t>
  </si>
  <si>
    <t>Quick Bookmarks Menu</t>
  </si>
  <si>
    <t>https://chromewebstore.google.com/detail/fkemipdcgbeknabedhecepcebhlnlhbf</t>
  </si>
  <si>
    <t>HTTP-TRACKER</t>
  </si>
  <si>
    <t>https://chromewebstore.google.com/detail/fklakbbaaknbgcedidhblbnhclijnhbi</t>
  </si>
  <si>
    <t>Window Expander For YouTube</t>
  </si>
  <si>
    <t>https://chromewebstore.google.com/detail/fkpaakpeehepibjpdmoocdaonognfiog</t>
  </si>
  <si>
    <t>Clear Cache</t>
  </si>
  <si>
    <t>https://chromewebstore.google.com/detail/fkpampcchocandlbgdffjaihmccjmlgk</t>
  </si>
  <si>
    <t>Download Manager Pro</t>
  </si>
  <si>
    <t>https://chromewebstore.google.com/detail/fmgaogkbodhdhhbgkphhbokciiecllno</t>
  </si>
  <si>
    <t>Play to Kodi</t>
  </si>
  <si>
    <t>https://chromewebstore.google.com/detail/fncjhcjfnnooidlkijollckpakkebden</t>
  </si>
  <si>
    <t>AutohelperBot</t>
  </si>
  <si>
    <t>https://chromewebstore.google.com/detail/fojpkmgahmlajoheocnkebaoodepoekj</t>
  </si>
  <si>
    <t>Hacker Vision</t>
  </si>
  <si>
    <t>https://chromewebstore.google.com/detail/fommidcneendjonelhhhkmoekeicedej</t>
  </si>
  <si>
    <t>Alpine.js devtools</t>
  </si>
  <si>
    <t>https://chromewebstore.google.com/detail/fopaemeedckajflibkpifppcankfmbhk</t>
  </si>
  <si>
    <t>Jump!</t>
  </si>
  <si>
    <t>https://chromewebstore.google.com/detail/gappjieodenkcldikeopfgiheemoaagb</t>
  </si>
  <si>
    <t>EPSON L380 RESETTER</t>
  </si>
  <si>
    <t>https://chromewebstore.google.com/detail/gcejephhbgbhgajnkgjcjnolbpgdghbc</t>
  </si>
  <si>
    <t>悬浮画中画播放器</t>
  </si>
  <si>
    <t>https://chromewebstore.google.com/detail/gdcfkpenohoihodlddbcgpdjhmdjepnb</t>
  </si>
  <si>
    <t>Salesforce Change Set Helper</t>
  </si>
  <si>
    <t>https://chromewebstore.google.com/detail/gdjfanbphogooppaefebaaoohdcigpoi</t>
  </si>
  <si>
    <t>Авто-Кэшбэк + Детектор скидок — "Мой Сайдекс"</t>
  </si>
  <si>
    <t>https://chromewebstore.google.com/detail/gdpgagmlpgilibfadpifdmpfopknkanf</t>
  </si>
  <si>
    <t>Math Anywhere</t>
  </si>
  <si>
    <t>https://chromewebstore.google.com/detail/gebhifiddmaaeecbaiemfpejghjdjmhc</t>
  </si>
  <si>
    <t>Unpinterested!</t>
  </si>
  <si>
    <t>https://chromewebstore.google.com/detail/gefaihkenmchjmcpcbpdijpoknfjpbfe</t>
  </si>
  <si>
    <t>DNS Checker - SEO and Domain Analysis</t>
  </si>
  <si>
    <t>https://chromewebstore.google.com/detail/gegfpbhjnhegdnjdkghhnneaocdbbhjp</t>
  </si>
  <si>
    <t>Click To Call for Internet Phone - Ringover</t>
  </si>
  <si>
    <t>https://chromewebstore.google.com/detail/ghhapdfndmlhligpkofeppifkgddkonj</t>
  </si>
  <si>
    <t>M3U8 finder and HLS player</t>
  </si>
  <si>
    <t>https://chromewebstore.google.com/detail/gijhpnmjcpbddpedmmdihijogkkejfgj</t>
  </si>
  <si>
    <t>FBS II : Fast Bookmark Scanner II</t>
  </si>
  <si>
    <t>https://chromewebstore.google.com/detail/gjcmklpilmpfhfjpebhnapnglcppdbic</t>
  </si>
  <si>
    <t>Ninja Download Manager</t>
  </si>
  <si>
    <t>https://chromewebstore.google.com/detail/gklhnpfkcfpkjcihhjbgmhgkcajamlmd</t>
  </si>
  <si>
    <t>ShareAccount</t>
  </si>
  <si>
    <t>https://chromewebstore.google.com/detail/glifngepkcmfolnojchcfiinmjgeablm</t>
  </si>
  <si>
    <t>ABV Notifier</t>
  </si>
  <si>
    <t>https://chromewebstore.google.com/detail/glkfpmcniebkbeakjdpobddpjghbapec</t>
  </si>
  <si>
    <t>Counting Characters - #1 Letter &amp; Word Count</t>
  </si>
  <si>
    <t>https://chromewebstore.google.com/detail/gmaddeabdjpmjkghhhhfdkeemfcnknpl</t>
  </si>
  <si>
    <t>Обход блокировок Рунета МИНИ</t>
  </si>
  <si>
    <t>https://chromewebstore.google.com/detail/gnknjnebjldmkpmlhjipalimhjofpgho</t>
  </si>
  <si>
    <t>Duplicate Tabs Closer</t>
  </si>
  <si>
    <t>https://chromewebstore.google.com/detail/gnmdbogfankgjepgglmmfmbnimcmcjle</t>
  </si>
  <si>
    <t>Pexgle - Hunt Winning Products Toolkit</t>
  </si>
  <si>
    <t>https://chromewebstore.google.com/detail/gphjjfiadngdfchoeimfdlpnhhjmddid</t>
  </si>
  <si>
    <t>135小助手V2</t>
  </si>
  <si>
    <t>https://chromewebstore.google.com/detail/habajgjiodkagmalhjchegenflkoogej</t>
  </si>
  <si>
    <t>Friv</t>
  </si>
  <si>
    <t>https://chromewebstore.google.com/detail/hbphcokhhbpehbnikdfkcedpleahhdao</t>
  </si>
  <si>
    <t>GraphQL developer tools</t>
  </si>
  <si>
    <t>https://chromewebstore.google.com/detail/hflnkihcpgldmkepajmpooacmmhglpff</t>
  </si>
  <si>
    <t>Bookmark Search</t>
  </si>
  <si>
    <t>https://chromewebstore.google.com/detail/hhmokalkpaiacdofbcddkogifepbaijk</t>
  </si>
  <si>
    <t>F5 Access</t>
  </si>
  <si>
    <t>https://chromewebstore.google.com/detail/hhogfmlhffdddckpokfodepfiimfffjf</t>
  </si>
  <si>
    <t>Color Links</t>
  </si>
  <si>
    <t>https://chromewebstore.google.com/detail/hiponeioelghhaljfflaaflpccedbdem</t>
  </si>
  <si>
    <t>Hreflang Tag Checker</t>
  </si>
  <si>
    <t>https://chromewebstore.google.com/detail/hjgdcecfiohgajnhilmjhebdganpaomk</t>
  </si>
  <si>
    <t>Colorblind - Dalton for Chromium</t>
  </si>
  <si>
    <t>https://chromewebstore.google.com/detail/hjhmkoefmbbhepifdpbclgfikpeahkib</t>
  </si>
  <si>
    <t>Editey</t>
  </si>
  <si>
    <t>https://chromewebstore.google.com/detail/hjmchndlheccnejbaamnbdmehmabemen</t>
  </si>
  <si>
    <t>Hush - private bookmarking</t>
  </si>
  <si>
    <t>https://chromewebstore.google.com/detail/hjmoaenjknbdehbiaeeijcppnljflkff</t>
  </si>
  <si>
    <t>Annotate the Web</t>
  </si>
  <si>
    <t>https://chromewebstore.google.com/detail/hkdbcemiphlcpmcphjgfaepgciimcoef</t>
  </si>
  <si>
    <t>JavaScript Editey</t>
  </si>
  <si>
    <t>https://chromewebstore.google.com/detail/hkihmgfcedmdoaogcjdljeeacngbhinc</t>
  </si>
  <si>
    <t>Break Timer</t>
  </si>
  <si>
    <t>https://chromewebstore.google.com/detail/hklkdbpicdmlpoiellngedpejjkmapei</t>
  </si>
  <si>
    <t>MultiWindow Positioner</t>
  </si>
  <si>
    <t>https://chromewebstore.google.com/detail/hmgehpjpfhobbnhhelhlggjfcaollidl</t>
  </si>
  <si>
    <t>FlareGet Integration</t>
  </si>
  <si>
    <t>https://chromewebstore.google.com/detail/hoboanjcaobnfchcnlgjhmnmogmnbipb</t>
  </si>
  <si>
    <t>Cowin Booking</t>
  </si>
  <si>
    <t>https://chromewebstore.google.com/detail/hpkpbfeihkdokkifjnfomcpjldjfpmig</t>
  </si>
  <si>
    <t>Komponenta pro aplikaci BUSINESS 24</t>
  </si>
  <si>
    <t>https://chromewebstore.google.com/detail/iaihapeddbkncmmikkpmeggfecohnahg</t>
  </si>
  <si>
    <t>ProductivityTab — Custom New Tab Dashboard</t>
  </si>
  <si>
    <t>https://chromewebstore.google.com/detail/iccjgbbjckehppnpajnmplcccjcgbdep</t>
  </si>
  <si>
    <t>Yandex Translate</t>
  </si>
  <si>
    <t>https://chromewebstore.google.com/detail/icpmbhohkmnbobaibikffolbgmijomjn</t>
  </si>
  <si>
    <t>XSwitch</t>
  </si>
  <si>
    <t>https://chromewebstore.google.com/detail/idkjhjggpffolpidfkikidcokdkdaogg</t>
  </si>
  <si>
    <t>Overleaf textarea</t>
  </si>
  <si>
    <t>https://chromewebstore.google.com/detail/iejmieihafhhmjpoblelhbpdgchbckil</t>
  </si>
  <si>
    <t>Enable Copy</t>
  </si>
  <si>
    <t>https://chromewebstore.google.com/detail/igbahmkffbagkepelepkldjiknhbklga</t>
  </si>
  <si>
    <t>Обход блокировки | SHAREWOOD.BIZ</t>
  </si>
  <si>
    <t>https://chromewebstore.google.com/detail/igfldmdhjhigiidegkljjhgfpalpdmgd</t>
  </si>
  <si>
    <t>Debug CSS</t>
  </si>
  <si>
    <t>https://chromewebstore.google.com/detail/igiofjnckcagmjgdoaakafngegecjnkj</t>
  </si>
  <si>
    <t>MTurk Suite</t>
  </si>
  <si>
    <t>https://chromewebstore.google.com/detail/iglbakfobmoijpbigmlfklckogbefnlf</t>
  </si>
  <si>
    <t>Google Meet - Auto Aceitar Convidados</t>
  </si>
  <si>
    <t>https://chromewebstore.google.com/detail/ihlabelanalahcdadbbfggjpdhmkpmpo</t>
  </si>
  <si>
    <t>Twitch Live</t>
  </si>
  <si>
    <t>https://chromewebstore.google.com/detail/iiljidcefnbhbpamageahhblhbbhhopm</t>
  </si>
  <si>
    <t>Favicon Changer</t>
  </si>
  <si>
    <t>https://chromewebstore.google.com/detail/ijaabbaphikljkkcbgpbaljfjpflpeoo</t>
  </si>
  <si>
    <t>DriveSlides by Matt Miller and Alice Keeler</t>
  </si>
  <si>
    <t>https://chromewebstore.google.com/detail/ijnjlojbdhgpamjiflocklhfeciokfdl</t>
  </si>
  <si>
    <t>https://chromewebstore.google.com/detail/inailacfginaoeoaalimoleipnedabga</t>
  </si>
  <si>
    <t>GeForce Now Web Enabler</t>
  </si>
  <si>
    <t>https://chromewebstore.google.com/detail/ioaplpondpicpdlfoccpaenbdinbdbpi</t>
  </si>
  <si>
    <t>MathJax Plugin for Github</t>
  </si>
  <si>
    <t>https://chromewebstore.google.com/detail/ioemnmodlmafdkllaclgeombjnmnbima</t>
  </si>
  <si>
    <t>Dictionary Lookup</t>
  </si>
  <si>
    <t>https://chromewebstore.google.com/detail/ipdjaafajlfiopcppipdinmcjbcpofhd</t>
  </si>
  <si>
    <t>Vagalume</t>
  </si>
  <si>
    <t>https://chromewebstore.google.com/detail/ipgcdnbeeiajinajlafjcdfhckglcopd</t>
  </si>
  <si>
    <t>Examonline : Screen Sharing</t>
  </si>
  <si>
    <t>https://chromewebstore.google.com/detail/jalmmnpclgbgcphkbnglcnlobgcbhkki</t>
  </si>
  <si>
    <t>BeLive Desktop</t>
  </si>
  <si>
    <t>https://chromewebstore.google.com/detail/jcgoegpgdgklohplpnopagfbipaaddcl</t>
  </si>
  <si>
    <t>Free APA and MLA Citation Generator</t>
  </si>
  <si>
    <t>https://chromewebstore.google.com/detail/jcidaaakdmdpepcgdgjklecfhebbmjjk</t>
  </si>
  <si>
    <t>Impero Cloud Extension</t>
  </si>
  <si>
    <t>https://chromewebstore.google.com/detail/jeddnlnhbnhbpojpebckcgongkiijobk</t>
  </si>
  <si>
    <t>WizClipper</t>
  </si>
  <si>
    <t>https://chromewebstore.google.com/detail/jfanfpmalehkemdiiebjljddhgojhfab</t>
  </si>
  <si>
    <t>CloudCall Unified Communications for CRM</t>
  </si>
  <si>
    <t>https://chromewebstore.google.com/detail/jfeiiafdlajdfijkagdncomkjjpadogg</t>
  </si>
  <si>
    <t>GSConnect</t>
  </si>
  <si>
    <t>https://chromewebstore.google.com/detail/jfnifeihccihocjbfcfhicmmgpjicaec</t>
  </si>
  <si>
    <t>Horiz.io</t>
  </si>
  <si>
    <t>https://chromewebstore.google.com/detail/jhlbghechidndabckcpalkdkdckloceo</t>
  </si>
  <si>
    <t>Simple To-Do List</t>
  </si>
  <si>
    <t>https://chromewebstore.google.com/detail/jimdhomgkpmmhhcegiebdajlkmjgikaf</t>
  </si>
  <si>
    <t>Meet Transcript</t>
  </si>
  <si>
    <t>https://chromewebstore.google.com/detail/jkdogkallbmmdhpdjdpmoejkehfeefnb</t>
  </si>
  <si>
    <t>OctoLinker</t>
  </si>
  <si>
    <t>https://chromewebstore.google.com/detail/jlmafbaeoofdegohdhinkhilhclaklkp</t>
  </si>
  <si>
    <t>Multiple Images to PDF</t>
  </si>
  <si>
    <t>https://chromewebstore.google.com/detail/jmgffnfpmjbignenkflohmgagidjcomp</t>
  </si>
  <si>
    <t>Gooreplacer</t>
  </si>
  <si>
    <t>https://chromewebstore.google.com/detail/jnlkjeecojckkigmchmfoigphmgkgbip</t>
  </si>
  <si>
    <t>Avaya Click To Dial</t>
  </si>
  <si>
    <t>https://chromewebstore.google.com/detail/jocgehpknbbpjlenfoobdlgpppacpfgk</t>
  </si>
  <si>
    <t>Vimbox Субтитры от Skyeng</t>
  </si>
  <si>
    <t>https://chromewebstore.google.com/detail/jociimjddimnffomhjjehnfkimddinaa</t>
  </si>
  <si>
    <t>AdBlock Shield</t>
  </si>
  <si>
    <t>https://chromewebstore.google.com/detail/kbbidhfplpegemhlbcfboalcjdmgebap</t>
  </si>
  <si>
    <t>Water Reminder</t>
  </si>
  <si>
    <t>https://chromewebstore.google.com/detail/kbcogmlnjaoecibenadekhkeelgdpmnb</t>
  </si>
  <si>
    <t>Viewport Dimensions</t>
  </si>
  <si>
    <t>https://chromewebstore.google.com/detail/kchdfagjljmhgapoonapmfngpadcjkhk</t>
  </si>
  <si>
    <t>Snap It Button</t>
  </si>
  <si>
    <t>https://chromewebstore.google.com/detail/kclagiidcihmjfnlfdboggonemfhcklk</t>
  </si>
  <si>
    <t>Copy Selected Links</t>
  </si>
  <si>
    <t>https://chromewebstore.google.com/detail/kddpiojgkjnpmgiegglncafdpnigcbij</t>
  </si>
  <si>
    <t>Photobucket Hotlink Fix</t>
  </si>
  <si>
    <t>https://chromewebstore.google.com/detail/kegnjbncdcliihbemealioapbifiaedg</t>
  </si>
  <si>
    <t>bikeroute.xyz for chrome</t>
  </si>
  <si>
    <t>https://chromewebstore.google.com/detail/kglfobkcdlefpknbcckmlmemggfdnmcd</t>
  </si>
  <si>
    <t>GIFit!</t>
  </si>
  <si>
    <t>https://chromewebstore.google.com/detail/khoojcphcmgcplkpckkjpdlloooifgec</t>
  </si>
  <si>
    <t>Parental Control: Porn Blocker</t>
  </si>
  <si>
    <t>https://chromewebstore.google.com/detail/kmillccnmojidmkhhjngjlalnbhpobcl</t>
  </si>
  <si>
    <t>Disable F12</t>
  </si>
  <si>
    <t>https://chromewebstore.google.com/detail/kpfnljnhmfhomajodmlepkcoflmbjiaf</t>
  </si>
  <si>
    <t>Bookmarks Bar Switcher</t>
  </si>
  <si>
    <t>https://chromewebstore.google.com/detail/lcaelgondnfehcambmdhhfokjknhfahc</t>
  </si>
  <si>
    <t>Close Duplicate Tab</t>
  </si>
  <si>
    <t>https://chromewebstore.google.com/detail/lccfnphpgnpeghoffocbacbkohbapinm</t>
  </si>
  <si>
    <t>Force.com LOGINS</t>
  </si>
  <si>
    <t>https://chromewebstore.google.com/detail/ldjbglicecgnpkpdhpbogkednmmbebec</t>
  </si>
  <si>
    <t>disable-HTML</t>
  </si>
  <si>
    <t>https://chromewebstore.google.com/detail/lfhjgihpknekohffabeddfkmoiklonhm</t>
  </si>
  <si>
    <t>MeetMe Dolby Voice 1.1</t>
  </si>
  <si>
    <t>https://chromewebstore.google.com/detail/lflnplggpolkcgknahacafilopgngelc</t>
  </si>
  <si>
    <t>Local Image File Viewer</t>
  </si>
  <si>
    <t>https://chromewebstore.google.com/detail/lhlckkgdiojkapplglfeomlkjllphilo</t>
  </si>
  <si>
    <t>Lyrics Here by Rob W</t>
  </si>
  <si>
    <t>https://chromewebstore.google.com/detail/lifkpflabnobkgbjpcmocmgcajlecbcp</t>
  </si>
  <si>
    <t>ATbar</t>
  </si>
  <si>
    <t>https://chromewebstore.google.com/detail/lihjlachbdicbhpalgegcgknkbmjhicl</t>
  </si>
  <si>
    <t>TabBlock</t>
  </si>
  <si>
    <t>https://chromewebstore.google.com/detail/ljmkpdhploeaohmnljbbkohmmfkikklj</t>
  </si>
  <si>
    <t>Dark theme for TikTok</t>
  </si>
  <si>
    <t>https://chromewebstore.google.com/detail/lkcihiljgncclejgncmkfgdaljifeedk</t>
  </si>
  <si>
    <t>Disable Cookies</t>
  </si>
  <si>
    <t>https://chromewebstore.google.com/detail/lkmjmficaoifggpfapbffkggecbleang</t>
  </si>
  <si>
    <t>Firefox Relay</t>
  </si>
  <si>
    <t>https://chromewebstore.google.com/detail/lknpoadjjkjcmjhbjpcljdednccbldeb</t>
  </si>
  <si>
    <t>ImageRight PDF Import</t>
  </si>
  <si>
    <t>https://chromewebstore.google.com/detail/lmjkddpocmpfpfelefmjeikplccmchaj</t>
  </si>
  <si>
    <t>Code Cola</t>
  </si>
  <si>
    <t>https://chromewebstore.google.com/detail/lomkpheldlbkkfiifcbfifipaofnmnkn</t>
  </si>
  <si>
    <t>Ecosia Dark-Mode</t>
  </si>
  <si>
    <t>https://chromewebstore.google.com/detail/lpgjbchlhnpodjjnemfpfajibnclknam</t>
  </si>
  <si>
    <t>History export</t>
  </si>
  <si>
    <t>https://chromewebstore.google.com/detail/lpmoaclacdaofhlijejogfldmgkdlglj</t>
  </si>
  <si>
    <t>Online Dictionary Helper</t>
  </si>
  <si>
    <t>https://chromewebstore.google.com/detail/lppjdajkacanlmpbbcdkccjkdbpllajb</t>
  </si>
  <si>
    <t>Clear Session</t>
  </si>
  <si>
    <t>https://chromewebstore.google.com/detail/maejjihldgmkjlfmgpgoebepjchengka</t>
  </si>
  <si>
    <t>AsinSeed - Amazon Product &amp; Keyword Tools</t>
  </si>
  <si>
    <t>https://chromewebstore.google.com/detail/mafpfjnpmblneioebkpdjlledcopckld</t>
  </si>
  <si>
    <t>כאן</t>
  </si>
  <si>
    <t>https://chromewebstore.google.com/detail/malcldkhojjdohmhhnognefoafofdaek</t>
  </si>
  <si>
    <t>Image Rotate Context</t>
  </si>
  <si>
    <t>https://chromewebstore.google.com/detail/mbfblhpconbgpgmphhlonlcbnmebdeme</t>
  </si>
  <si>
    <t>Pearls Extension</t>
  </si>
  <si>
    <t>https://chromewebstore.google.com/detail/mccffpojdcohdkefnbfhfdcklpcagdlc</t>
  </si>
  <si>
    <t>SSRS in Chrome</t>
  </si>
  <si>
    <t>https://chromewebstore.google.com/detail/mcmknapfancdcboaebbfhadibffomkjk</t>
  </si>
  <si>
    <t>Night mode</t>
  </si>
  <si>
    <t>https://chromewebstore.google.com/detail/mdnkjehfdplfnomhcbhinllojmfbncfk</t>
  </si>
  <si>
    <t>Juego de la serpiente</t>
  </si>
  <si>
    <t>https://chromewebstore.google.com/detail/mgbhenpklhdajfgdgmaflahjckifacki</t>
  </si>
  <si>
    <t>TruePath</t>
  </si>
  <si>
    <t>https://chromewebstore.google.com/detail/mgjhkhhbkkldiihlajcnlfchfcmhipmn</t>
  </si>
  <si>
    <t>Scripty - Javascript Injector</t>
  </si>
  <si>
    <t>https://chromewebstore.google.com/detail/milkbiaeapddfnpenedfgbfdacpbcbam</t>
  </si>
  <si>
    <t>Holodex Plus</t>
  </si>
  <si>
    <t>https://chromewebstore.google.com/detail/mjcecbpccklceljomllkhilglcdcncbh</t>
  </si>
  <si>
    <t>WHA Quotes &amp; Clock New Tab</t>
  </si>
  <si>
    <t>https://chromewebstore.google.com/detail/mjmdefoccnioblaeicpedekiigfoghbb</t>
  </si>
  <si>
    <t>MindMap Tab</t>
  </si>
  <si>
    <t>https://chromewebstore.google.com/detail/mkgjficalhplaenklhejcbmlkonbakjj</t>
  </si>
  <si>
    <t>Barracuda Chromebook Security Extension</t>
  </si>
  <si>
    <t>https://chromewebstore.google.com/detail/mlbgnlemejoeocmncpolejmdbimkoiol</t>
  </si>
  <si>
    <t>Announcify</t>
  </si>
  <si>
    <t>https://chromewebstore.google.com/detail/mmiolkcfamcbpoandjpnefiegkcpeoan</t>
  </si>
  <si>
    <t>App for IW</t>
  </si>
  <si>
    <t>https://chromewebstore.google.com/detail/mmjmmaebgpkepeokbpeljabjhbmepodi</t>
  </si>
  <si>
    <t>Fluig Identity</t>
  </si>
  <si>
    <t>https://chromewebstore.google.com/detail/mofhjibbjkonpgnejododmahilkbconf</t>
  </si>
  <si>
    <t>retire.js</t>
  </si>
  <si>
    <t>https://chromewebstore.google.com/detail/moibopkbhjceeedibkbkbchbjnkadmom</t>
  </si>
  <si>
    <t>Hotstar Party</t>
  </si>
  <si>
    <t>https://chromewebstore.google.com/detail/mpfbkohdhhgacfeehcmplcfggmeeajdg</t>
  </si>
  <si>
    <t>Ncage</t>
  </si>
  <si>
    <t>https://chromewebstore.google.com/detail/mpnfndnehgmmonhfcfdnaemdeokofgaf</t>
  </si>
  <si>
    <t>Video Deck for YouTube™</t>
  </si>
  <si>
    <t>https://chromewebstore.google.com/detail/mpoakikepagdiphlmfaeifpojdmbnegj</t>
  </si>
  <si>
    <t>Baseflight - Configurator</t>
  </si>
  <si>
    <t>https://chromewebstore.google.com/detail/mppkgnedeapfejgfimkdoninnofofigk</t>
  </si>
  <si>
    <t>Self Control -- Block sites and stay focused</t>
  </si>
  <si>
    <t>https://chromewebstore.google.com/detail/ncaaipdfhdijmfdfmeoagmogddhkfdec</t>
  </si>
  <si>
    <t>Chrome MySQL Admin</t>
  </si>
  <si>
    <t>https://chromewebstore.google.com/detail/ndgnpnpakfcdjmpgmcaknimfgcldechn</t>
  </si>
  <si>
    <t>Rainbow Cursor for Google Docs</t>
  </si>
  <si>
    <t>https://chromewebstore.google.com/detail/ndlalmkdjajlefnlimdbmgdhehblelpl</t>
  </si>
  <si>
    <t>Speed it up</t>
  </si>
  <si>
    <t>https://chromewebstore.google.com/detail/nfiebcmdfpjodedomagjlajcdpnkdopm</t>
  </si>
  <si>
    <t>CreaSign</t>
  </si>
  <si>
    <t>https://chromewebstore.google.com/detail/ngdilonafabhaefomphllifjknaeabne</t>
  </si>
  <si>
    <t>AMZBase - Free Amazon Product Research Tool</t>
  </si>
  <si>
    <t>https://chromewebstore.google.com/detail/nhebfnlghmjfcammdgbgfcomeonbfcfn</t>
  </si>
  <si>
    <t>TabsPlus</t>
  </si>
  <si>
    <t>https://chromewebstore.google.com/detail/nikomkkhhpfoeamojhhgpfkpkdlfhfii</t>
  </si>
  <si>
    <t>WebConf : Partage d'Écran</t>
  </si>
  <si>
    <t>https://chromewebstore.google.com/detail/nipplohpekjbcnbdnakkhbceejihphmg</t>
  </si>
  <si>
    <t>LocalCDN</t>
  </si>
  <si>
    <t>https://chromewebstore.google.com/detail/njdfdhgcmkocbgbhcioffdbicglldapd</t>
  </si>
  <si>
    <t>スーパーセキュリティ パスワード管理</t>
  </si>
  <si>
    <t>https://chromewebstore.google.com/detail/njfcnmifhoggcefmkiikjckcgbjnabjp</t>
  </si>
  <si>
    <t>ADB for Chrome</t>
  </si>
  <si>
    <t>https://chromewebstore.google.com/detail/njhehnieenekbompacofnhlljnobgcga</t>
  </si>
  <si>
    <t>Button Generator</t>
  </si>
  <si>
    <t>https://chromewebstore.google.com/detail/njphjoojdldjpogfhbncccnkldebgbnd</t>
  </si>
  <si>
    <t>signNow - Sign and Fill PDF &amp; Word Documents</t>
  </si>
  <si>
    <t>https://chromewebstore.google.com/detail/nlaealbpbmpioeidemdfedkfmglobidl</t>
  </si>
  <si>
    <t>Longdo Dictionary</t>
  </si>
  <si>
    <t>https://chromewebstore.google.com/detail/nlimgpifeghlfefnpnajahjkagaedakh</t>
  </si>
  <si>
    <t>Authorize.Net Point of Sale</t>
  </si>
  <si>
    <t>https://chromewebstore.google.com/detail/nlmafifddohpicbnipcndobchhcfgalf</t>
  </si>
  <si>
    <t>Zoho Mail Bookmarks</t>
  </si>
  <si>
    <t>https://chromewebstore.google.com/detail/nmejbbhnolhkmecdmippejfondppbgen</t>
  </si>
  <si>
    <t>Social Revealer</t>
  </si>
  <si>
    <t>https://chromewebstore.google.com/detail/nmnnjcmpjlbbobehaikglfgpbjclcoeg</t>
  </si>
  <si>
    <t>Tidy Gherkin</t>
  </si>
  <si>
    <t>https://chromewebstore.google.com/detail/nobemmencanophcnicjhfhnjiimegjeo</t>
  </si>
  <si>
    <t>Daily Motivation - Motivational Quotes</t>
  </si>
  <si>
    <t>https://chromewebstore.google.com/detail/nonnkklkpbokmppgochfdamhihaijdin</t>
  </si>
  <si>
    <t>Grammarly Dark</t>
  </si>
  <si>
    <t>https://chromewebstore.google.com/detail/noojmhngiheennhgaffkfboanjpbkpep</t>
  </si>
  <si>
    <t>NeoBux AdAlert</t>
  </si>
  <si>
    <t>https://chromewebstore.google.com/detail/oaepeijninfcgjdnighjnlgdkkgpnaen</t>
  </si>
  <si>
    <t>Hide morning in Calendar</t>
  </si>
  <si>
    <t>https://chromewebstore.google.com/detail/oaikandahkibeihnampagmegnpfefhca</t>
  </si>
  <si>
    <t>Redux DevTools - Next</t>
  </si>
  <si>
    <t>https://chromewebstore.google.com/detail/oamphgegmigmlgkdnijmeomjenbmkbdg</t>
  </si>
  <si>
    <t>Foto Rulez</t>
  </si>
  <si>
    <t>https://chromewebstore.google.com/detail/odahhdimpaeigjcdbgcnhemlkejclmmk</t>
  </si>
  <si>
    <t>Find Emails on Websites and Social Networks</t>
  </si>
  <si>
    <t>https://chromewebstore.google.com/detail/oeafialjoahjmjobbkpedkdbjeejmcnf</t>
  </si>
  <si>
    <t>WebScrapBook</t>
  </si>
  <si>
    <t>https://chromewebstore.google.com/detail/oegnpmiddfljlloiklpkeelagaeejfai</t>
  </si>
  <si>
    <t>Simple</t>
  </si>
  <si>
    <t>https://chromewebstore.google.com/detail/ofpamglakelakiehjfhgfcikpponflgi</t>
  </si>
  <si>
    <t>Percipio ELSA</t>
  </si>
  <si>
    <t>https://chromewebstore.google.com/detail/ogddbpbbbnkmipdmjafanjcljlafdcop</t>
  </si>
  <si>
    <t>https://chromewebstore.google.com/detail/okkmcikiomamamiehecmghonbhgkdgda</t>
  </si>
  <si>
    <t>SABconnect++</t>
  </si>
  <si>
    <t>https://chromewebstore.google.com/detail/okphadhbbjadcifjplhifajfacbkkbod</t>
  </si>
  <si>
    <t>Profile Picture Viewer</t>
  </si>
  <si>
    <t>https://chromewebstore.google.com/detail/olhdholihhioakdjhfhligfehfjjfeoc</t>
  </si>
  <si>
    <t>Rofocus: Increase your Focus and Productivity</t>
  </si>
  <si>
    <t>https://chromewebstore.google.com/detail/olomkelphccokjjidpagjpihlnemlpng</t>
  </si>
  <si>
    <t>Planet eStream Screen Capture</t>
  </si>
  <si>
    <t>https://chromewebstore.google.com/detail/onacbfmmdkfldapeocgkemoecilceemm</t>
  </si>
  <si>
    <t>[DEPRECATED] Fanatical Assistant</t>
  </si>
  <si>
    <t>https://chromewebstore.google.com/detail/oobijlcdpmmmpgkonmjnpkkbdmnjpeeb</t>
  </si>
  <si>
    <t>Magoosh Vocabulary</t>
  </si>
  <si>
    <t>https://chromewebstore.google.com/detail/oooelhhaglnggehlocjjmgngfknfclak</t>
  </si>
  <si>
    <t>LocalGalleryViewerExtension</t>
  </si>
  <si>
    <t>https://chromewebstore.google.com/detail/opheklanmaieaeneebdohfpbjkhcgilk</t>
  </si>
  <si>
    <t>Violentmonkey BETA</t>
  </si>
  <si>
    <t>https://chromewebstore.google.com/detail/opokoaglpekkimldnlggpoagmjegichg</t>
  </si>
  <si>
    <t>https://chromewebstore.google.com/detail/pajiegeliagebegjdhebejdlknciafen</t>
  </si>
  <si>
    <t>Hi - My Hindi Translator</t>
  </si>
  <si>
    <t>https://chromewebstore.google.com/detail/pbfolfhmdiaigbbijmdbkmkgjjkhoili</t>
  </si>
  <si>
    <t>https://chromewebstore.google.com/detail/pblpfhfcojodgcifojnofommahgbaple</t>
  </si>
  <si>
    <t>Tab Limiter</t>
  </si>
  <si>
    <t>https://chromewebstore.google.com/detail/pbpfchnddjilendkobiabenojlniemoh</t>
  </si>
  <si>
    <t>VK Blue - Эквалайзер и Скробблер для ВК</t>
  </si>
  <si>
    <t>https://chromewebstore.google.com/detail/pckkddchhdhkfapanbkcalloijbbjhbd</t>
  </si>
  <si>
    <t>Vertical Tabs</t>
  </si>
  <si>
    <t>https://chromewebstore.google.com/detail/pddljdmihkpdfpkgmbhdomeeifpklgnm</t>
  </si>
  <si>
    <t>כומתה|אזעקות צבע אדום בזמן אמת|פיקוד העורף</t>
  </si>
  <si>
    <t>https://chromewebstore.google.com/detail/pebcgebefnbdkgpkkeelbpbgijmjackb</t>
  </si>
  <si>
    <t>EmailDrop - Extract Emails in 1 second</t>
  </si>
  <si>
    <t>https://chromewebstore.google.com/detail/peilgijmhiocdmdeglhiljipigamfbjh</t>
  </si>
  <si>
    <t>Закладки Top Page</t>
  </si>
  <si>
    <t>https://chromewebstore.google.com/detail/pgabmkcldlelbhcookaealohoeknnapn</t>
  </si>
  <si>
    <t>Lorem Ipsum Generator</t>
  </si>
  <si>
    <t>https://chromewebstore.google.com/detail/pglahbfamjiifnafcicdibiiabpakkkb</t>
  </si>
  <si>
    <t>YouTube Full Title For Videos</t>
  </si>
  <si>
    <t>https://chromewebstore.google.com/detail/pgpdaocammeipkkgaeelifgakbhjoiel</t>
  </si>
  <si>
    <t>Zpl Printer</t>
  </si>
  <si>
    <t>https://chromewebstore.google.com/detail/phoidlklenidapnijkabnfdgmadlcmjo</t>
  </si>
  <si>
    <t>EpubPress - Read the web offline</t>
  </si>
  <si>
    <t>https://chromewebstore.google.com/detail/pnhdnpnnffpijjbnhnipkehhibchdeok</t>
  </si>
  <si>
    <t>Integral CertHandler</t>
  </si>
  <si>
    <t>https://chromewebstore.google.com/detail/pofkdbcaeneekbdeclapnijhapjiepfb</t>
  </si>
  <si>
    <t>Adminer Analytics</t>
  </si>
  <si>
    <t>https://chromewebstore.google.com/detail/ppcgokfjhdfiinomggddeeaomecakllo</t>
  </si>
  <si>
    <t>MindMeister Quick Access</t>
  </si>
  <si>
    <t>https://chromewebstore.google.com/detail/ppmacakdbohpklnhpaecpoohbkapggpo</t>
  </si>
  <si>
    <t>X-notifier (for Gmail™,Hotmail,Yahoo,AOL...)</t>
  </si>
  <si>
    <t>https://chromewebstore.google.com/detail/cdfjbkbddpfnoplfhceolpopfoepleco</t>
  </si>
  <si>
    <t>Jiotv Live Streaming IPL,Movies App Guide</t>
  </si>
  <si>
    <t>https://chromewebstore.google.com/detail/akeoohkkkolcipkfkiendbdligilnllo</t>
  </si>
  <si>
    <t>Сайдекс-сканер цен</t>
  </si>
  <si>
    <t>https://chromewebstore.google.com/detail/aamfmnhcipnbjjnbfmaoooiohikifefk</t>
  </si>
  <si>
    <t>档案娘助手</t>
  </si>
  <si>
    <t>https://chromewebstore.google.com/detail/abfopppplogcojgdcfhhffngkabbhifm</t>
  </si>
  <si>
    <t>Clipboard Image, Screen Capture to Drive</t>
  </si>
  <si>
    <t>https://chromewebstore.google.com/detail/abgngoenjiblahhbgpmabiggpdjkcmeg</t>
  </si>
  <si>
    <t>Dolby Voice 1.1</t>
  </si>
  <si>
    <t>https://chromewebstore.google.com/detail/abpbcfijgmlbecbplnfknakoemncanbo</t>
  </si>
  <si>
    <t>Infinite Scroll for Google™</t>
  </si>
  <si>
    <t>https://chromewebstore.google.com/detail/acjdmkdcbbhokaleofmalpcnnkpgphpb</t>
  </si>
  <si>
    <t>AdBlock Detector Bypass</t>
  </si>
  <si>
    <t>https://chromewebstore.google.com/detail/acjlefdefjkldgcimnfkehgbnpjekedo</t>
  </si>
  <si>
    <t>Desktop US Weather Radar</t>
  </si>
  <si>
    <t>https://chromewebstore.google.com/detail/acnkplahjeepjhacnmooibhpmdgfilkf</t>
  </si>
  <si>
    <t>Cursor Sparkles</t>
  </si>
  <si>
    <t>https://chromewebstore.google.com/detail/adbenckfpdnmlhleegopganmonbchdkb</t>
  </si>
  <si>
    <t>Bookmark It</t>
  </si>
  <si>
    <t>https://chromewebstore.google.com/detail/adhfhfpebeloakommdgicanmhfbeifnb</t>
  </si>
  <si>
    <t>Save to 4shared</t>
  </si>
  <si>
    <t>https://chromewebstore.google.com/detail/adnkagodbfngmdajbbocegjnllfmdaie</t>
  </si>
  <si>
    <t>YouTube WATCHED. Classic View</t>
  </si>
  <si>
    <t>https://chromewebstore.google.com/detail/aendhplcpcfjlebhcjfiapmoaiekpkba</t>
  </si>
  <si>
    <t>Pro Mode for YouTube Video Editor</t>
  </si>
  <si>
    <t>https://chromewebstore.google.com/detail/aenmbapdfjdkanhfppdmmdipakgacanp</t>
  </si>
  <si>
    <t>Colorblind - Dalton for Google Chrome</t>
  </si>
  <si>
    <t>https://chromewebstore.google.com/detail/afcafnelafcgjinkaeohkalmfececool</t>
  </si>
  <si>
    <t>Vyou Box</t>
  </si>
  <si>
    <t>https://chromewebstore.google.com/detail/afcloemkcifjdjcgonbmnahlkakgpigb</t>
  </si>
  <si>
    <t>eBesucher Addon</t>
  </si>
  <si>
    <t>https://chromewebstore.google.com/detail/agchmcconfdfcenopioeilpgjngelefk</t>
  </si>
  <si>
    <t>https://chromewebstore.google.com/detail/ageghplgcapnfpdhapeemolbmfccclke</t>
  </si>
  <si>
    <t>Just a Clock - the Hours</t>
  </si>
  <si>
    <t>https://chromewebstore.google.com/detail/agglgohcegmeeaccikjfmehncfomccpg</t>
  </si>
  <si>
    <t>Caret-T</t>
  </si>
  <si>
    <t>https://chromewebstore.google.com/detail/agiednhnlghobdgpgfdnbdaflnngmoij</t>
  </si>
  <si>
    <t>Sites Dimmer - sharp brightness reduction</t>
  </si>
  <si>
    <t>https://chromewebstore.google.com/detail/agnbniclhlfikoejdpdhkbaabginadlf</t>
  </si>
  <si>
    <t>HTTP Header Spy</t>
  </si>
  <si>
    <t>https://chromewebstore.google.com/detail/agnoocojkneiphkobpcfoaenhpjnmifb</t>
  </si>
  <si>
    <t>ShowIp</t>
  </si>
  <si>
    <t>https://chromewebstore.google.com/detail/agoljmemkbciolpigpabjfkagboolkcj</t>
  </si>
  <si>
    <t>Blue Button | the webpage X-ray</t>
  </si>
  <si>
    <t>https://chromewebstore.google.com/detail/ahbcoeleapdfhmlnjglbiaddohfncace</t>
  </si>
  <si>
    <t>eID Chrome OS</t>
  </si>
  <si>
    <t>https://chromewebstore.google.com/detail/ahcjlglemcmnjpnkeahidjenglphjnam</t>
  </si>
  <si>
    <t>StrongVPN - The Fastest Proxy Extension</t>
  </si>
  <si>
    <t>https://chromewebstore.google.com/detail/ahcoedgggbhcdgmhhhhliafnbcifmdln</t>
  </si>
  <si>
    <t>Export Selective Bookmarks</t>
  </si>
  <si>
    <t>https://chromewebstore.google.com/detail/ahgbiciilcpclcekhegbhofljoolnfei</t>
  </si>
  <si>
    <t>Pomello</t>
  </si>
  <si>
    <t>https://chromewebstore.google.com/detail/ahjnfakocpfoocnncbgmondnnnlfjide</t>
  </si>
  <si>
    <t>Free OmniGraffle (.graffle) Viewer</t>
  </si>
  <si>
    <t>https://chromewebstore.google.com/detail/ahlhlpmldjfennoppdkhpnljgihpnnpj</t>
  </si>
  <si>
    <t>Jelly Party</t>
  </si>
  <si>
    <t>https://chromewebstore.google.com/detail/aiecbkandfgpphpdilbaaagnampmdgpd</t>
  </si>
  <si>
    <t>Virtual Hosts</t>
  </si>
  <si>
    <t>https://chromewebstore.google.com/detail/aiehidpclglccialeifedhajckcpedom</t>
  </si>
  <si>
    <t>Leap Terra Wallet</t>
  </si>
  <si>
    <t>https://chromewebstore.google.com/detail/aijcbedoijmgnlmjeegjaglmepbmpkpi</t>
  </si>
  <si>
    <t>Simple Tab Renamer</t>
  </si>
  <si>
    <t>https://chromewebstore.google.com/detail/ailhpmlejogfdcpoflidmobgkgdemaog</t>
  </si>
  <si>
    <t>System Info</t>
  </si>
  <si>
    <t>https://chromewebstore.google.com/detail/ajeapkolnhblcfaapiifkeknkknpliia</t>
  </si>
  <si>
    <t>Anki 划词制卡助手</t>
  </si>
  <si>
    <t>https://chromewebstore.google.com/detail/ajencmdaamfnkgilhpgkepfhfgjfplnn</t>
  </si>
  <si>
    <t>POM Builder – Auto-generate CSS/XPath Locator</t>
  </si>
  <si>
    <t>https://chromewebstore.google.com/detail/akcejfbfkkjnghlfngighgncolfaghco</t>
  </si>
  <si>
    <t>Graspable Math Sidebar</t>
  </si>
  <si>
    <t>https://chromewebstore.google.com/detail/akhomcacccpndpgckgpkmcijkimphhmk</t>
  </si>
  <si>
    <t>Simple Ruler</t>
  </si>
  <si>
    <t>https://chromewebstore.google.com/detail/akmainiinlejjdanmfhkhfkekfolhdai</t>
  </si>
  <si>
    <t>Auto Refresh Plus | Old version</t>
  </si>
  <si>
    <t>https://chromewebstore.google.com/detail/aknkejhkdngmlbfafnopmkbgfhpecbic</t>
  </si>
  <si>
    <t>Smartsheet Chrome App</t>
  </si>
  <si>
    <t>https://chromewebstore.google.com/detail/alehdleagcgnimdipdmllebddejplpbi</t>
  </si>
  <si>
    <t>Best Free Maps</t>
  </si>
  <si>
    <t>https://chromewebstore.google.com/detail/amlielhlgedcjnbkilihjhoheammcbgm</t>
  </si>
  <si>
    <t>Citationsy - Cite Websites and Papers</t>
  </si>
  <si>
    <t>https://chromewebstore.google.com/detail/ananhmnkepfflgfdklgcdpgdngejokkn</t>
  </si>
  <si>
    <t>Chrome Managed Data Cleanup</t>
  </si>
  <si>
    <t>https://chromewebstore.google.com/detail/anfhmiaflneaeffhlmbcedfjakdlpleg</t>
  </si>
  <si>
    <t>九章刷题小助手</t>
  </si>
  <si>
    <t>https://chromewebstore.google.com/detail/anljhkoknafhgofbdhoijjojmhhncblo</t>
  </si>
  <si>
    <t>Safari Books Download</t>
  </si>
  <si>
    <t>https://chromewebstore.google.com/detail/anlpljppoinmpaedoilhjibjehpjhcob</t>
  </si>
  <si>
    <t>Gate Calculator</t>
  </si>
  <si>
    <t>https://chromewebstore.google.com/detail/anoogklhdcmijbahjmigedmpboccgkge</t>
  </si>
  <si>
    <t>淘客助手</t>
  </si>
  <si>
    <t>https://chromewebstore.google.com/detail/aokheaddinafdmjphkjlnachkejgleao</t>
  </si>
  <si>
    <t>Shift Click Image Extractor</t>
  </si>
  <si>
    <t>https://chromewebstore.google.com/detail/aonflkdebcjkiimklgpgkclmjohclbbf</t>
  </si>
  <si>
    <t>PiratBit свободный доступ из RU</t>
  </si>
  <si>
    <t>https://chromewebstore.google.com/detail/aopjalhdfmoibmpcfgnfakhinbeeohkp</t>
  </si>
  <si>
    <t>חיפוש פינוקים</t>
  </si>
  <si>
    <t>https://chromewebstore.google.com/detail/apjappedjeldbandppbcigamkkhoooka</t>
  </si>
  <si>
    <t>Cloud To Butt Plus</t>
  </si>
  <si>
    <t>https://chromewebstore.google.com/detail/apmlngnhgbnjpajelfkmabhkfapgnoai</t>
  </si>
  <si>
    <t>miniGestures</t>
  </si>
  <si>
    <t>https://chromewebstore.google.com/detail/apnjnepphihnjahpbfjiebcnpgmjnhfp</t>
  </si>
  <si>
    <t>GitHub Repository Size</t>
  </si>
  <si>
    <t>https://chromewebstore.google.com/detail/apnjnioapinblneaedefcnopcjepgkci</t>
  </si>
  <si>
    <t>Easy Search</t>
  </si>
  <si>
    <t>https://chromewebstore.google.com/detail/bakhinbceendkcjcelepkjmgabicabnb</t>
  </si>
  <si>
    <t>小窗口视频 by c4r</t>
  </si>
  <si>
    <t>https://chromewebstore.google.com/detail/banggcaohiaanmdkalekjcffjonamlkj</t>
  </si>
  <si>
    <t>過去ページチェッカー</t>
  </si>
  <si>
    <t>https://chromewebstore.google.com/detail/bcaffafhaggoecheiojienglkhonafcd</t>
  </si>
  <si>
    <t>OctoHR</t>
  </si>
  <si>
    <t>https://chromewebstore.google.com/detail/beiklbdjdmfkgchmiabjejdlpaoicbef</t>
  </si>
  <si>
    <t>Window Sizer</t>
  </si>
  <si>
    <t>https://chromewebstore.google.com/detail/bemmkaadpllphjpebfapkojnjnjfkfan</t>
  </si>
  <si>
    <t>Canvas+</t>
  </si>
  <si>
    <t>https://chromewebstore.google.com/detail/bfeldahomapdhmnmedanpodjpkfjohen</t>
  </si>
  <si>
    <t>Request Interceptor</t>
  </si>
  <si>
    <t>https://chromewebstore.google.com/detail/bfgblailifedppfilabonohepkofbkpm</t>
  </si>
  <si>
    <t>Aliexpress Coupons</t>
  </si>
  <si>
    <t>https://chromewebstore.google.com/detail/bhcdnkhpbgbkhebemnifijfibpofflga</t>
  </si>
  <si>
    <t>Skip shorte.st ads</t>
  </si>
  <si>
    <t>https://chromewebstore.google.com/detail/bhgkdnnlhmefhnkfilcaaibapeepkfok</t>
  </si>
  <si>
    <t>Palettab</t>
  </si>
  <si>
    <t>https://chromewebstore.google.com/detail/bidckpnndigbjhmojikkhmejkfkpgoih</t>
  </si>
  <si>
    <t>JabRef Browser Extension</t>
  </si>
  <si>
    <t>https://chromewebstore.google.com/detail/bifehkofibaamoeaopjglfkddgkijdlh</t>
  </si>
  <si>
    <t>NiftySplit</t>
  </si>
  <si>
    <t>https://chromewebstore.google.com/detail/bkmjnlfillpnkgmjnhgklpjjlpjnfeil</t>
  </si>
  <si>
    <t>Ads Link Skipper</t>
  </si>
  <si>
    <t>https://chromewebstore.google.com/detail/bkpeohkfimdfogdnpcnokjkbpankkmil</t>
  </si>
  <si>
    <t>Calc</t>
  </si>
  <si>
    <t>https://chromewebstore.google.com/detail/blcnboogonjdimbnmmjcfkaonnkckkaa</t>
  </si>
  <si>
    <t>Espruino Web IDE</t>
  </si>
  <si>
    <t>https://chromewebstore.google.com/detail/bleoifhkdalbjfbobjackfdifdneehpo</t>
  </si>
  <si>
    <t>Culture Cloud</t>
  </si>
  <si>
    <t>https://chromewebstore.google.com/detail/bmebokbfolangbgkdodkfcblkdcdkpgo</t>
  </si>
  <si>
    <t>Minimalist for Everything</t>
  </si>
  <si>
    <t>https://chromewebstore.google.com/detail/bmihblnpomgpjkfddepdpdafhhepdbek</t>
  </si>
  <si>
    <t>BibItNow!</t>
  </si>
  <si>
    <t>https://chromewebstore.google.com/detail/bmnfikjlonhkoojjfddnlbinkkapmldg</t>
  </si>
  <si>
    <t>Emotes Everywhere</t>
  </si>
  <si>
    <t>https://chromewebstore.google.com/detail/bmobkojilggkdhfginkfilecnbnkngha</t>
  </si>
  <si>
    <t>QR creator</t>
  </si>
  <si>
    <t>https://chromewebstore.google.com/detail/bnapnikdipejhnceiohjeldjopimjecf</t>
  </si>
  <si>
    <t>JSTorrent Helper extension</t>
  </si>
  <si>
    <t>https://chromewebstore.google.com/detail/bnceafpojmnimbnhamaeedgomdcgnbjk</t>
  </si>
  <si>
    <t>Thieve AliExpress Tools</t>
  </si>
  <si>
    <t>https://chromewebstore.google.com/detail/bniadokhddgdbbcpolbgjcnmaphkbpni</t>
  </si>
  <si>
    <t>Upnet</t>
  </si>
  <si>
    <t>https://chromewebstore.google.com/detail/bniikohfmajhdcffljgfeiklcbgffppl</t>
  </si>
  <si>
    <t>Адаптер Рутокен Web Плагин</t>
  </si>
  <si>
    <t>https://chromewebstore.google.com/detail/boabkkhbickbpleplbghkjpcoebckgai</t>
  </si>
  <si>
    <t>XDCPay</t>
  </si>
  <si>
    <t>https://chromewebstore.google.com/detail/bocpokimicclpaiekenaeelehdjllofo</t>
  </si>
  <si>
    <t>Styler</t>
  </si>
  <si>
    <t>https://chromewebstore.google.com/detail/bogdgcfoocbajfkjjolkmcdcnnellpkb</t>
  </si>
  <si>
    <t>轻舟加速器 - 一键免费回国</t>
  </si>
  <si>
    <t>https://chromewebstore.google.com/detail/bognnpjhkpbbokjlgbiflfilppjopfdj</t>
  </si>
  <si>
    <t>Twitch Server Checker</t>
  </si>
  <si>
    <t>https://chromewebstore.google.com/detail/bohhpcaljnggabklkeanncbebknjpcod</t>
  </si>
  <si>
    <t>Find My Bookmarks: Search Your Bookmarks</t>
  </si>
  <si>
    <t>https://chromewebstore.google.com/detail/cahmhjehomglimoklhidcfdlfmahlold</t>
  </si>
  <si>
    <t>Uniface Anywhere</t>
  </si>
  <si>
    <t>https://chromewebstore.google.com/detail/camcjdhmakkedecangafdibaekmfjici</t>
  </si>
  <si>
    <t>Chrome Snake</t>
  </si>
  <si>
    <t>https://chromewebstore.google.com/detail/cbdobfnjgnmlcajcamdfjeofmnecepdl</t>
  </si>
  <si>
    <t>YouTube Video Player</t>
  </si>
  <si>
    <t>https://chromewebstore.google.com/detail/cbklkhaojmgbcgkpbemolkionjbepkfc</t>
  </si>
  <si>
    <t>Download'em All</t>
  </si>
  <si>
    <t>https://chromewebstore.google.com/detail/ccdfjnniglfbpaplecpifdiglfmcebce</t>
  </si>
  <si>
    <t>Follow Feed | Feedly</t>
  </si>
  <si>
    <t>https://chromewebstore.google.com/detail/ccmkbgknapokcjabmiaimipiepgpgbco</t>
  </si>
  <si>
    <t>Chrome Litchi Virtual Mission</t>
  </si>
  <si>
    <t>https://chromewebstore.google.com/detail/ccpleclnjidgphbmhphdfeejfifeekak</t>
  </si>
  <si>
    <t>CFCA CryptoKit.SDRCB Extension</t>
  </si>
  <si>
    <t>https://chromewebstore.google.com/detail/cddofafgecbaiedcjjhmfiojofcbpknn</t>
  </si>
  <si>
    <t>JsCIN: JavaScript based Chinese Input Methods</t>
  </si>
  <si>
    <t>https://chromewebstore.google.com/detail/cdkhibgadomdghgnknpmgegpjjmfecfk</t>
  </si>
  <si>
    <t>TF2 Trading Enhanced</t>
  </si>
  <si>
    <t>https://chromewebstore.google.com/detail/ceplnfffelfmoahckkalagpmipjfcncc</t>
  </si>
  <si>
    <t>https://chromewebstore.google.com/detail/cfaihfocdnniaholfnjcemnfhcjchohb</t>
  </si>
  <si>
    <t>Easy Window Resize</t>
  </si>
  <si>
    <t>https://chromewebstore.google.com/detail/cfpenpohaapdgnkglcbgjiooipcbcebi</t>
  </si>
  <si>
    <t>Library Detector</t>
  </si>
  <si>
    <t>https://chromewebstore.google.com/detail/cgaocdmhkmfnkdkbnckgmpopcbpaaejo</t>
  </si>
  <si>
    <t>Headerbid Expert</t>
  </si>
  <si>
    <t>https://chromewebstore.google.com/detail/cgfkddgbnfplidghapbbnngaogeldmop</t>
  </si>
  <si>
    <t>DJSON. JSON Viewer &amp; Formatter</t>
  </si>
  <si>
    <t>https://chromewebstore.google.com/detail/chaeijjekipecdajnijdldjjipaegdjc</t>
  </si>
  <si>
    <t>Gmail™ Notifier</t>
  </si>
  <si>
    <t>https://chromewebstore.google.com/detail/chchfhampioeijdffegkhnpccchjbfpk</t>
  </si>
  <si>
    <t>Browserling – Cross-browser Testing</t>
  </si>
  <si>
    <t>https://chromewebstore.google.com/detail/chfdigebbepdmeelcfiefkklfldmmgld</t>
  </si>
  <si>
    <t>Scroll To Top Button</t>
  </si>
  <si>
    <t>https://chromewebstore.google.com/detail/chinfkfmaefdlchhempbfgbdagheknoj</t>
  </si>
  <si>
    <t>Notepad++ on rollApp</t>
  </si>
  <si>
    <t>https://chromewebstore.google.com/detail/chnhdkjgpeonhdlilkjhhbahbciplhae</t>
  </si>
  <si>
    <t>PDF Book Translator</t>
  </si>
  <si>
    <t>https://chromewebstore.google.com/detail/chnmnpjdfgbmmhcfckgccdloplddclkk</t>
  </si>
  <si>
    <t>ng-inspect for AngularJS</t>
  </si>
  <si>
    <t>https://chromewebstore.google.com/detail/cidepfmbgngpdapgncfhpecbdhmnnemf</t>
  </si>
  <si>
    <t>Password Revealer</t>
  </si>
  <si>
    <t>https://chromewebstore.google.com/detail/ciimjfgcajblmnjlcgopeflnjdknekkd</t>
  </si>
  <si>
    <t>ScreenPad extension for Online Video Player</t>
  </si>
  <si>
    <t>https://chromewebstore.google.com/detail/cjaeiidkcfpfbeklmecdfloaaacancmo</t>
  </si>
  <si>
    <t>PochtaPlugin Adapter</t>
  </si>
  <si>
    <t>https://chromewebstore.google.com/detail/cjanhcgbkhnidopedkhomdfjalnmknjg</t>
  </si>
  <si>
    <t>DPlus Party - Disney Plus Watch Party</t>
  </si>
  <si>
    <t>https://chromewebstore.google.com/detail/ckhlohlbolmihakbnlddceackadnodoe</t>
  </si>
  <si>
    <t>Salesforce1 Simulator</t>
  </si>
  <si>
    <t>https://chromewebstore.google.com/detail/cknbjckicenodbiaejbmkjhldffonggp</t>
  </si>
  <si>
    <t>UI Build Assistant</t>
  </si>
  <si>
    <t>https://chromewebstore.google.com/detail/clbhieamajlakjobcoiheklaoldcjhjf</t>
  </si>
  <si>
    <t>Amazon Publisher Studio Extension Beta</t>
  </si>
  <si>
    <t>https://chromewebstore.google.com/detail/clihldpfnfandacppigjpkmkaaemlfie</t>
  </si>
  <si>
    <t>Nexthink toolbox</t>
  </si>
  <si>
    <t>https://chromewebstore.google.com/detail/clndcckcfbeokfnejgamfbeginbmbkgk</t>
  </si>
  <si>
    <t>MindZip · Remember everything you learn</t>
  </si>
  <si>
    <t>https://chromewebstore.google.com/detail/cmkhjlckcaeahimgmlnihmphjkcccopm</t>
  </si>
  <si>
    <t>Deezer Control</t>
  </si>
  <si>
    <t>https://chromewebstore.google.com/detail/cmkmelneeccijablfclenghkcbopdemg</t>
  </si>
  <si>
    <t>WebCache</t>
  </si>
  <si>
    <t>https://chromewebstore.google.com/detail/cmmlgikpahieigpcclckfmhnchdlfnjd</t>
  </si>
  <si>
    <t>Auto Page Opener</t>
  </si>
  <si>
    <t>https://chromewebstore.google.com/detail/cngkdhdiifcfigdffnmibfopjdlbnpeh</t>
  </si>
  <si>
    <t>Script Runner Pro</t>
  </si>
  <si>
    <t>https://chromewebstore.google.com/detail/cofhgpcbaidjkjfbfglfhlklnbhajhpg</t>
  </si>
  <si>
    <t>Web Search Navigator</t>
  </si>
  <si>
    <t>https://chromewebstore.google.com/detail/cohamjploocgoejdfanacfgkhjkhdkek</t>
  </si>
  <si>
    <t>Email templates for Gmail</t>
  </si>
  <si>
    <t>https://chromewebstore.google.com/detail/cpblokmdklckfpphjogojcjdpoogonfi</t>
  </si>
  <si>
    <t>Type-ahead-find</t>
  </si>
  <si>
    <t>https://chromewebstore.google.com/detail/cpecbmjeidppdiampimghndkikcmoadk</t>
  </si>
  <si>
    <t>Synology Note Station</t>
  </si>
  <si>
    <t>https://chromewebstore.google.com/detail/cpfefcnbolgjjabocpajaplcgpniphdd</t>
  </si>
  <si>
    <t>Image-Toolbar</t>
  </si>
  <si>
    <t>https://chromewebstore.google.com/detail/cpgaepnhfockgofcejphihfafgmenofb</t>
  </si>
  <si>
    <t>Later - Save Images for Instagram</t>
  </si>
  <si>
    <t>https://chromewebstore.google.com/detail/cpohpgohfajjfjiakcfcobnhfnfdddkg</t>
  </si>
  <si>
    <t>FLVCD Helper</t>
  </si>
  <si>
    <t>https://chromewebstore.google.com/detail/dajjehkecdcgobjpemgcdjikpdgmiaod</t>
  </si>
  <si>
    <t>Tabsbook закладки и экспресс панель</t>
  </si>
  <si>
    <t>https://chromewebstore.google.com/detail/dakdpgneoijgmjihpkpppmofpglelack</t>
  </si>
  <si>
    <t>MD-Staff Verification Print &amp; Upload</t>
  </si>
  <si>
    <t>https://chromewebstore.google.com/detail/damlgjaejablnjjkoehebfpdcolhkklj</t>
  </si>
  <si>
    <t>Ubiq</t>
  </si>
  <si>
    <t>https://chromewebstore.google.com/detail/dbdibdbbenjkpmdjnannkgdehgegcopo</t>
  </si>
  <si>
    <t>CFCA CertEnrollment.CZCB Extension</t>
  </si>
  <si>
    <t>https://chromewebstore.google.com/detail/dbiehnelaacgdbddpllpjnnpdpcndolf</t>
  </si>
  <si>
    <t>Tab Restore</t>
  </si>
  <si>
    <t>https://chromewebstore.google.com/detail/dbndgjfafojhfndfgpcibceghelbbnep</t>
  </si>
  <si>
    <t>Salesforce.com Quick Login As</t>
  </si>
  <si>
    <t>https://chromewebstore.google.com/detail/dccccilgophpadpomgajjlkkioipoojh</t>
  </si>
  <si>
    <t>Technology Backgrounds</t>
  </si>
  <si>
    <t>https://chromewebstore.google.com/detail/dcdjhpkampgckpejeeckifnmlmijjilm</t>
  </si>
  <si>
    <t>GraphiTabs</t>
  </si>
  <si>
    <t>https://chromewebstore.google.com/detail/dcfclemgmkccmnpgnldhldjmflphkimp</t>
  </si>
  <si>
    <t>Gmail POP3 Auto Refresh</t>
  </si>
  <si>
    <t>https://chromewebstore.google.com/detail/dcgondciahimhomfomnnpocjflglcppa</t>
  </si>
  <si>
    <t>Google search results shortcuts</t>
  </si>
  <si>
    <t>https://chromewebstore.google.com/detail/dchaandmcifgjemlhiekookpgjmkcelg</t>
  </si>
  <si>
    <t>Logo Turtle Graphics</t>
  </si>
  <si>
    <t>https://chromewebstore.google.com/detail/dcoeaobaokbccdcnadncifmconllpihp</t>
  </si>
  <si>
    <t>Vkontakte Stats</t>
  </si>
  <si>
    <t>https://chromewebstore.google.com/detail/ddhabjcagfbajoienelficconoekfmae</t>
  </si>
  <si>
    <t>Laravel TestTools</t>
  </si>
  <si>
    <t>https://chromewebstore.google.com/detail/ddieaepnbjhgcbddafciempnibnfnakl</t>
  </si>
  <si>
    <t>Clipboard Inserter</t>
  </si>
  <si>
    <t>https://chromewebstore.google.com/detail/deahejllghicakhplliloeheabddjajm</t>
  </si>
  <si>
    <t>Tabs Backup &amp; Restore</t>
  </si>
  <si>
    <t>https://chromewebstore.google.com/detail/dehocbglhkaogiljpihicakmlockmlgd</t>
  </si>
  <si>
    <t>Givaways App - Sorteios Grátis no Instagram</t>
  </si>
  <si>
    <t>https://chromewebstore.google.com/detail/dejbbjgopjpfimmknlccfbhnifhbhaib</t>
  </si>
  <si>
    <t>SpeedMate: Speed Test &amp; Internet Connection Monitor</t>
  </si>
  <si>
    <t>https://chromewebstore.google.com/detail/deofojifdhnbpkhfpjpnjdplfallmnbf</t>
  </si>
  <si>
    <t>Spell Bee</t>
  </si>
  <si>
    <t>https://chromewebstore.google.com/detail/dfbnahffpakjbdlccohcoglcnafhgnhm</t>
  </si>
  <si>
    <t>Swap My Cookies</t>
  </si>
  <si>
    <t>https://chromewebstore.google.com/detail/dffhipnliikkblkhpjapbecpmoilcama</t>
  </si>
  <si>
    <t>https://chromewebstore.google.com/detail/dfifakhbglclfpaibeogoegkkimokhmg</t>
  </si>
  <si>
    <t>Notion Slides by Wunderpresentation</t>
  </si>
  <si>
    <t>https://chromewebstore.google.com/detail/dgffjapjligfifmbgajcdaglfhjekmpm</t>
  </si>
  <si>
    <t>Zhongzhong: An improved Chinese Dictionary</t>
  </si>
  <si>
    <t>https://chromewebstore.google.com/detail/dggcgdjndddfmcfoipccicfoajmciacf</t>
  </si>
  <si>
    <t>Photos Direct Link</t>
  </si>
  <si>
    <t>https://chromewebstore.google.com/detail/dgnaaplaoheafdckphgmpiaodckbcafg</t>
  </si>
  <si>
    <t>Trellists: Trello Lists Master</t>
  </si>
  <si>
    <t>https://chromewebstore.google.com/detail/dgnlcodfeenegnifnpcabcclldoceeml</t>
  </si>
  <si>
    <t>Technion Plus</t>
  </si>
  <si>
    <t>https://chromewebstore.google.com/detail/dgnlgpmjgafdilamdjgapndbmlehamhl</t>
  </si>
  <si>
    <t>Night Walk</t>
  </si>
  <si>
    <t>https://chromewebstore.google.com/detail/dhipjhjomboikdkihfhmikadokkkehkd</t>
  </si>
  <si>
    <t>Plagly - Plagiarism Checker Tool</t>
  </si>
  <si>
    <t>https://chromewebstore.google.com/detail/dhkdaobajijkikfmfhnebdocgfimnpag</t>
  </si>
  <si>
    <t>Java Cloud Hosting</t>
  </si>
  <si>
    <t>https://chromewebstore.google.com/detail/dhkdpgpnekokcicojodnkgmpchnnopam</t>
  </si>
  <si>
    <t>https://chromewebstore.google.com/detail/dhlkjnbimclneeepgfbmhnlkhnhapjho</t>
  </si>
  <si>
    <t>Discord Bot Client</t>
  </si>
  <si>
    <t>https://chromewebstore.google.com/detail/dighjoofcdkhjloaeakagmfnbiehebbb</t>
  </si>
  <si>
    <t>Save SVG as PNG</t>
  </si>
  <si>
    <t>https://chromewebstore.google.com/detail/dihlbjcdgfoehmhbklciidmolbmabkki</t>
  </si>
  <si>
    <t>NetSupport Manager Client</t>
  </si>
  <si>
    <t>https://chromewebstore.google.com/detail/dilkdnaihnkfembidikggnigimnbjcjn</t>
  </si>
  <si>
    <t>Convert Google Doc to Gmail draft by cloudHQ</t>
  </si>
  <si>
    <t>https://chromewebstore.google.com/detail/dingigiembmnbjocifcoeiideggpkplj</t>
  </si>
  <si>
    <t>Hatena::Notify</t>
  </si>
  <si>
    <t>https://chromewebstore.google.com/detail/djnlmphamjelmfnafkmkhepdcadaaogh</t>
  </si>
  <si>
    <t>De-Mainstream YouTube™</t>
  </si>
  <si>
    <t>https://chromewebstore.google.com/detail/dkcdmdpcapjlaoioeenamjdanpeehjan</t>
  </si>
  <si>
    <t>NetSuite Scripted Records</t>
  </si>
  <si>
    <t>https://chromewebstore.google.com/detail/dkhjafbceiceaidnbbilhphhkanlpkkj</t>
  </si>
  <si>
    <t>Win the Day</t>
  </si>
  <si>
    <t>https://chromewebstore.google.com/detail/dkpfcdajmlidnigklffoploblagkncic</t>
  </si>
  <si>
    <t>Screen Share for StarLeaf Click-to-Call</t>
  </si>
  <si>
    <t>https://chromewebstore.google.com/detail/dliccfbpegdcmlflaidhhnloeofgdnce</t>
  </si>
  <si>
    <t>Watch Party</t>
  </si>
  <si>
    <t>https://chromewebstore.google.com/detail/dmcinkkljkjjdagmegjedmdhbcdmkjlo</t>
  </si>
  <si>
    <t>BBB Screenshare Extension</t>
  </si>
  <si>
    <t>https://chromewebstore.google.com/detail/dmkcmgmggijjopmhdikolbkanjbilljc</t>
  </si>
  <si>
    <t>CSS3 Generator</t>
  </si>
  <si>
    <t>https://chromewebstore.google.com/detail/dmlgmehijaodgkkooghkknjjkddahmej</t>
  </si>
  <si>
    <t>Проверка почты I.UA</t>
  </si>
  <si>
    <t>https://chromewebstore.google.com/detail/dmpakmbfgeobalplhoohnkjenhkfadbg</t>
  </si>
  <si>
    <t>Wallpaper HD</t>
  </si>
  <si>
    <t>https://chromewebstore.google.com/detail/dnbilpdheddjgnakieihlflcolbeenda</t>
  </si>
  <si>
    <t>People Finder</t>
  </si>
  <si>
    <t>https://chromewebstore.google.com/detail/dncilinodjpgloajbdolfcjjlhokbdan</t>
  </si>
  <si>
    <t>CSV Reader</t>
  </si>
  <si>
    <t>https://chromewebstore.google.com/detail/dnioinfbhmclclfdbcnlfgbojdpdicde</t>
  </si>
  <si>
    <t>WASender Messaging, AI replies, and WA CRM</t>
  </si>
  <si>
    <t>https://chromewebstore.google.com/detail/dnjnjakimfpdaahjpakjjbobnfbjnjmb</t>
  </si>
  <si>
    <t>PDF Translator</t>
  </si>
  <si>
    <t>https://chromewebstore.google.com/detail/dnkjinhmoohpidjdgehjbglmgbngnknl</t>
  </si>
  <si>
    <t>Multiple Search and Highlight</t>
  </si>
  <si>
    <t>https://chromewebstore.google.com/detail/doagleaopbffngpffnmnajoiablpakfj</t>
  </si>
  <si>
    <t>Restart Browser</t>
  </si>
  <si>
    <t>https://chromewebstore.google.com/detail/dofilojkogcnamnghamnjdgjkhgbledc</t>
  </si>
  <si>
    <t>SimpleClear</t>
  </si>
  <si>
    <t>https://chromewebstore.google.com/detail/dpbboilcojikdnfpponljmiohnhdjcaj</t>
  </si>
  <si>
    <t>GHunt Companion</t>
  </si>
  <si>
    <t>https://chromewebstore.google.com/detail/dpdcofblfbmmnikcbmmiakkclocadjab</t>
  </si>
  <si>
    <t>Post! (Postila)</t>
  </si>
  <si>
    <t>https://chromewebstore.google.com/detail/dpjkpdelbaahkeeoeppmgkbliipjcnpm</t>
  </si>
  <si>
    <t>The FFZ Enhancing Add-On</t>
  </si>
  <si>
    <t>https://chromewebstore.google.com/detail/dpjloclnedokpfjlolaebpbaclbdigon</t>
  </si>
  <si>
    <t>Bot Sentinel</t>
  </si>
  <si>
    <t>https://chromewebstore.google.com/detail/eadmnplpcakhnmjbaioeholpakbknhgc</t>
  </si>
  <si>
    <t>UC Davis Schedule Helper</t>
  </si>
  <si>
    <t>https://chromewebstore.google.com/detail/eaiohlimbkhifknljidephnpadioaiab</t>
  </si>
  <si>
    <t>Dell Blink Sample</t>
  </si>
  <si>
    <t>https://chromewebstore.google.com/detail/eamjklppekpngnnlgdnefdefagpmddfi</t>
  </si>
  <si>
    <t>Relative XPath Helper</t>
  </si>
  <si>
    <t>https://chromewebstore.google.com/detail/eanaofphbanknlngejejepmfomkjaiic</t>
  </si>
  <si>
    <t>XDEALER.PRO</t>
  </si>
  <si>
    <t>https://chromewebstore.google.com/detail/ebcjlgcgbldnoopenkicjmfoapcnnlbp</t>
  </si>
  <si>
    <t>YApi-X</t>
  </si>
  <si>
    <t>https://chromewebstore.google.com/detail/ebiododddhjccikhminneafpoppneknc</t>
  </si>
  <si>
    <t>myPhoneDesktop Client</t>
  </si>
  <si>
    <t>https://chromewebstore.google.com/detail/ebpiggoccjgdoecccbcmenmbcnoldalf</t>
  </si>
  <si>
    <t>Qwik Ant</t>
  </si>
  <si>
    <t>https://chromewebstore.google.com/detail/eceddpnnjbmalmmfedklfemafpnbmdfb</t>
  </si>
  <si>
    <t>Link Virus Check - Security Plus</t>
  </si>
  <si>
    <t>https://chromewebstore.google.com/detail/edkcmflbdogcbjahoblehnlonjedkmoh</t>
  </si>
  <si>
    <t>Code Injector</t>
  </si>
  <si>
    <t>https://chromewebstore.google.com/detail/edkcmfocepnifkbnbkmlcmegedeikdeb</t>
  </si>
  <si>
    <t>Speedpdf</t>
  </si>
  <si>
    <t>https://chromewebstore.google.com/detail/edmehlbdajlhcbpadjphafonmgoocogh</t>
  </si>
  <si>
    <t>Disable Page Visibility API</t>
  </si>
  <si>
    <t>https://chromewebstore.google.com/detail/eecfoibnnhheckhfokpihgefmlnenofb</t>
  </si>
  <si>
    <t>Mortality - Death Clock - New Tab</t>
  </si>
  <si>
    <t>https://chromewebstore.google.com/detail/eeedcpdcehnikgkhbobmkjcipjhlbmpn</t>
  </si>
  <si>
    <t>Add links to change languages on Google™</t>
  </si>
  <si>
    <t>https://chromewebstore.google.com/detail/eemleifbnibgnoifdjohpchdemidjibj</t>
  </si>
  <si>
    <t>芒果店长</t>
  </si>
  <si>
    <t>https://chromewebstore.google.com/detail/efablgbmhenlnbblbdijphjkobelffib</t>
  </si>
  <si>
    <t>Salesforce Admin Check All</t>
  </si>
  <si>
    <t>https://chromewebstore.google.com/detail/efcahpjiijlbojmfmaceicchnhkgdkje</t>
  </si>
  <si>
    <t>Nine.com.au - Homepage &amp; Bookmarks</t>
  </si>
  <si>
    <t>https://chromewebstore.google.com/detail/efeejpljhmnlmccjklepacdpmjgmhieg</t>
  </si>
  <si>
    <t>uGet Integration</t>
  </si>
  <si>
    <t>https://chromewebstore.google.com/detail/efjgjleilhflffpbnkaofpmdnajdpepi</t>
  </si>
  <si>
    <t>Ponyhoof</t>
  </si>
  <si>
    <t>https://chromewebstore.google.com/detail/efjjgphedlaihnlgaibiaihhmhaejjdd</t>
  </si>
  <si>
    <t>Рамблер/медиа</t>
  </si>
  <si>
    <t>https://chromewebstore.google.com/detail/eflnfgjcfmhdpcaadiimlmclcmjpeaki</t>
  </si>
  <si>
    <t>Ranorex Automation</t>
  </si>
  <si>
    <t>https://chromewebstore.google.com/detail/egdlgaljianpgdlmfijpphbadibfncdm</t>
  </si>
  <si>
    <t>Smooth Checkbox for Gmail™</t>
  </si>
  <si>
    <t>https://chromewebstore.google.com/detail/egkhfllhmjihbfnkikpnbeeakllbobjl</t>
  </si>
  <si>
    <t>Meliplus</t>
  </si>
  <si>
    <t>https://chromewebstore.google.com/detail/egncijpdipioeknebabimpinkohpnlkj</t>
  </si>
  <si>
    <t>Hi-Res Image Downloader for Merch By Amazon</t>
  </si>
  <si>
    <t>https://chromewebstore.google.com/detail/ehbjiffeoicjoibcmcadogclcbagjhjf</t>
  </si>
  <si>
    <t>CSS Editey</t>
  </si>
  <si>
    <t>https://chromewebstore.google.com/detail/ehcpkbhefjnefdkdoaahbafdohheeidn</t>
  </si>
  <si>
    <t>Amazopen - Right Click Search</t>
  </si>
  <si>
    <t>https://chromewebstore.google.com/detail/ehhhlpdgplkjdcgodmkgonnjhpkdiilc</t>
  </si>
  <si>
    <t>iCloud Launchpad</t>
  </si>
  <si>
    <t>https://chromewebstore.google.com/detail/ehpomalhbdabpiijhpbcpfjiihnjhnmg</t>
  </si>
  <si>
    <t>Rain those $$$</t>
  </si>
  <si>
    <t>https://chromewebstore.google.com/detail/eiciglkcdnhlihjhlappkgbpbimejemb</t>
  </si>
  <si>
    <t>Add Tasks to Do It (Tomorrow)</t>
  </si>
  <si>
    <t>https://chromewebstore.google.com/detail/eimhlfnbjllicocigjdalpodkokffbmm</t>
  </si>
  <si>
    <t>Meet Extension</t>
  </si>
  <si>
    <t>https://chromewebstore.google.com/detail/einlemfghikkfamnllmhiomaaneefepc</t>
  </si>
  <si>
    <t>Trade Rocket</t>
  </si>
  <si>
    <t>https://chromewebstore.google.com/detail/eiofnhinpddbbdledofboplbdobmdane</t>
  </si>
  <si>
    <t>RecordSeek</t>
  </si>
  <si>
    <t>https://chromewebstore.google.com/detail/ekdikahbgfofidpjnldofcelffahiefl</t>
  </si>
  <si>
    <t>jQuery Injector</t>
  </si>
  <si>
    <t>https://chromewebstore.google.com/detail/ekkjohcjbjcjjifokpingdbdlfekjcgi</t>
  </si>
  <si>
    <t>Bluetooth Scanner</t>
  </si>
  <si>
    <t>https://chromewebstore.google.com/detail/ekoddcneeknhkipabocnmcdfahbfinln</t>
  </si>
  <si>
    <t>Minimal Scrollbar</t>
  </si>
  <si>
    <t>https://chromewebstore.google.com/detail/ekopmclclddpoipchmcbhifohhbmjafd</t>
  </si>
  <si>
    <t>微信读书助手</t>
  </si>
  <si>
    <t>https://chromewebstore.google.com/detail/ekpegdfbihlbocepglfimeodnpiohcba</t>
  </si>
  <si>
    <t>Zapp: WhatsApp Audio Speed and Volume</t>
  </si>
  <si>
    <t>https://chromewebstore.google.com/detail/elcnpdohkiddfbelgemgkpibmmnjhjni</t>
  </si>
  <si>
    <t>Magnifying Glass</t>
  </si>
  <si>
    <t>https://chromewebstore.google.com/detail/elhdjgjjmodgmhkokebhegekjooiaofm</t>
  </si>
  <si>
    <t>Fix IDRAC .jnlp file</t>
  </si>
  <si>
    <t>https://chromewebstore.google.com/detail/elhgcjjhibcbkocpdklcmlhomhcbfonp</t>
  </si>
  <si>
    <t>HTTP Commander</t>
  </si>
  <si>
    <t>https://chromewebstore.google.com/detail/emiplbkkiabideffmpogkbbogkmofgph</t>
  </si>
  <si>
    <t>single-spa Inspector</t>
  </si>
  <si>
    <t>https://chromewebstore.google.com/detail/emldbibkihanfiaiaghebffnbahjcgcp</t>
  </si>
  <si>
    <t>Easy QR Code Generator</t>
  </si>
  <si>
    <t>https://chromewebstore.google.com/detail/emlhjldmodkejoblhpbldpbddilijblk</t>
  </si>
  <si>
    <t>Okta Verify Auto Send</t>
  </si>
  <si>
    <t>https://chromewebstore.google.com/detail/emplldgagngbkepbhafkhcnlmjfjjbdp</t>
  </si>
  <si>
    <t>Tella</t>
  </si>
  <si>
    <t>https://chromewebstore.google.com/detail/enejkfhimljloggnimhebadbjajhgkad</t>
  </si>
  <si>
    <t>Tomato Clock</t>
  </si>
  <si>
    <t>https://chromewebstore.google.com/detail/enemipdanmallpjakiehedcgjmibjihj</t>
  </si>
  <si>
    <t>Comidoc</t>
  </si>
  <si>
    <t>https://chromewebstore.google.com/detail/enggccnigdjpfjajmgicpdmbdfcecbfi</t>
  </si>
  <si>
    <t>Add to Trello</t>
  </si>
  <si>
    <t>https://chromewebstore.google.com/detail/engmocckoohpopiacajolojeobefbcec</t>
  </si>
  <si>
    <t>View Count Hider for YouTube.com</t>
  </si>
  <si>
    <t>https://chromewebstore.google.com/detail/eobpccgcmekkhidcgneehbcgkmbmjiad</t>
  </si>
  <si>
    <t>Speed Typer</t>
  </si>
  <si>
    <t>https://chromewebstore.google.com/detail/eoefmbbcheodkhndmjkfjicobhiafano</t>
  </si>
  <si>
    <t>EditCookie</t>
  </si>
  <si>
    <t>https://chromewebstore.google.com/detail/eognaopbbjmpompmibmllnddafjhbfdj</t>
  </si>
  <si>
    <t>Google Meet Classic Impersonator</t>
  </si>
  <si>
    <t>https://chromewebstore.google.com/detail/eojkkpaoohebkdkplhjjcedcpkajlibe</t>
  </si>
  <si>
    <t>Doc Reader</t>
  </si>
  <si>
    <t>https://chromewebstore.google.com/detail/eomobieikegbkbaoobfcjjckhfkdgdlb</t>
  </si>
  <si>
    <t>Qwik Search</t>
  </si>
  <si>
    <t>https://chromewebstore.google.com/detail/epamkjmlhfiopklkjdenlbfdeiopgacf</t>
  </si>
  <si>
    <t>Selenium Page Object Generator</t>
  </si>
  <si>
    <t>https://chromewebstore.google.com/detail/epgmnmcjdhapiojbohkkemlfkegmbebb</t>
  </si>
  <si>
    <t>iCloud Reminders Shortcut</t>
  </si>
  <si>
    <t>https://chromewebstore.google.com/detail/eplindodloikpoelnafgdpjiebefecee</t>
  </si>
  <si>
    <t>HTTP Headers</t>
  </si>
  <si>
    <t>https://chromewebstore.google.com/detail/fabjnpecogealbfoebkcjfbmdhnnfhbj</t>
  </si>
  <si>
    <t>ConexED Screen Sharing</t>
  </si>
  <si>
    <t>https://chromewebstore.google.com/detail/fadlnhpmllgjcllbnpjdknlbnnpammlg</t>
  </si>
  <si>
    <t>Yet Another Lorem Ipsum Generator</t>
  </si>
  <si>
    <t>https://chromewebstore.google.com/detail/fafiooicgpgnicbbkfgimcofbhpcledk</t>
  </si>
  <si>
    <t>Pinukim - סרטים וסדרות לצפייה ישירה</t>
  </si>
  <si>
    <t>https://chromewebstore.google.com/detail/famklkiljmbebjohjekddkmpicoepojf</t>
  </si>
  <si>
    <t>Fika - Reader Mode</t>
  </si>
  <si>
    <t>https://chromewebstore.google.com/detail/fbcdnjeoghampomjjaahjgjghdjdbbcj</t>
  </si>
  <si>
    <t>Адаптер службы сообщений R-Style SoftLab</t>
  </si>
  <si>
    <t>https://chromewebstore.google.com/detail/fbgiiajhkmfpcfkdlfbbicfgkaaidfop</t>
  </si>
  <si>
    <t>Online Manuals App</t>
  </si>
  <si>
    <t>https://chromewebstore.google.com/detail/fbnocjfjcbbminbfklpioinjjofkobom</t>
  </si>
  <si>
    <t>Fiverr Notification Icon in Title</t>
  </si>
  <si>
    <t>https://chromewebstore.google.com/detail/fcglmegnjekkklhoomakhomlkghjpmcc</t>
  </si>
  <si>
    <t>React Performance Devtool</t>
  </si>
  <si>
    <t>https://chromewebstore.google.com/detail/fcombecpigkkfcbfaeikoeegkmkjfbfm</t>
  </si>
  <si>
    <t>find+ | Regex Find-in-Page Tool</t>
  </si>
  <si>
    <t>https://chromewebstore.google.com/detail/fddffkdncgkkdjobemgbpojjeffmmofb</t>
  </si>
  <si>
    <t>Historial de Precios</t>
  </si>
  <si>
    <t>https://chromewebstore.google.com/detail/fdeopiliemdomncemeibjpmccgmnkfig</t>
  </si>
  <si>
    <t>Cookie Tab Viewer</t>
  </si>
  <si>
    <t>https://chromewebstore.google.com/detail/fdlghnedhhdgjjfgdpgpaaiddipafhgk</t>
  </si>
  <si>
    <t>PhotoFunia</t>
  </si>
  <si>
    <t>https://chromewebstore.google.com/detail/fdobpagoeokcdnpgdehandkpoabkibcj</t>
  </si>
  <si>
    <t>Click and Read CNRS</t>
  </si>
  <si>
    <t>https://chromewebstore.google.com/detail/ffboikeeabaiacihgbdinhcegeincpnh</t>
  </si>
  <si>
    <t>Always Disable Content-Security-Policy</t>
  </si>
  <si>
    <t>https://chromewebstore.google.com/detail/ffelghdomoehpceihalcnbmnodohkibj</t>
  </si>
  <si>
    <t>The RSS Aggregator</t>
  </si>
  <si>
    <t>https://chromewebstore.google.com/detail/ffhafkagcdhnhamiaecajogjcfgienom</t>
  </si>
  <si>
    <t>Online Security Pro</t>
  </si>
  <si>
    <t>https://chromewebstore.google.com/detail/ffjgpapimgnmibnacmeilgjefnoofefp</t>
  </si>
  <si>
    <t>Tweeten</t>
  </si>
  <si>
    <t>https://chromewebstore.google.com/detail/ffoimglpkabojpaknlpodligjndnedji</t>
  </si>
  <si>
    <t>Google Cache Viewer</t>
  </si>
  <si>
    <t>https://chromewebstore.google.com/detail/fgfklknfijhflahngajfoagmoilakebp</t>
  </si>
  <si>
    <t>Downloads Router</t>
  </si>
  <si>
    <t>https://chromewebstore.google.com/detail/fgkboeogiiklpklnjgdiaghaiehcknjo</t>
  </si>
  <si>
    <t>YouTube Ad Skipper</t>
  </si>
  <si>
    <t>https://chromewebstore.google.com/detail/fhbmbhoboahpajmphkgdmoegfoogdkkm</t>
  </si>
  <si>
    <t>Skip silence</t>
  </si>
  <si>
    <t>https://chromewebstore.google.com/detail/fhdmkhbefcbhakffdihhceaklaigdllh</t>
  </si>
  <si>
    <t>ChromeADB</t>
  </si>
  <si>
    <t>https://chromewebstore.google.com/detail/fhdoijgfljahinnpbolfdimpcfoicmnm</t>
  </si>
  <si>
    <t>Virtel WebAccess Extender</t>
  </si>
  <si>
    <t>https://chromewebstore.google.com/detail/fidkdjmpgoimefkibgbljlfkicpcpkpl</t>
  </si>
  <si>
    <t>UAR_SKT</t>
  </si>
  <si>
    <t>https://chromewebstore.google.com/detail/fiejnpolkeifcohdoehpckibdhgjalgo</t>
  </si>
  <si>
    <t>클린디씨</t>
  </si>
  <si>
    <t>https://chromewebstore.google.com/detail/figgbchemjpjjobkimbpkgoooifccpmg</t>
  </si>
  <si>
    <t>Play Text</t>
  </si>
  <si>
    <t>https://chromewebstore.google.com/detail/figgekmbbegjkbppenaagmmepdgfbdif</t>
  </si>
  <si>
    <t>Google Meet Presenter Mode</t>
  </si>
  <si>
    <t>https://chromewebstore.google.com/detail/fiidmaaecmjkhpfinfkdcabglcmghnaa</t>
  </si>
  <si>
    <t>Simple Form Fill</t>
  </si>
  <si>
    <t>https://chromewebstore.google.com/detail/filmkodmbabpfkfhoekpgfpankdlajmf</t>
  </si>
  <si>
    <t>Extensions Reloader</t>
  </si>
  <si>
    <t>https://chromewebstore.google.com/detail/fimgfedafeadlieiabdeeaodndnlbhid</t>
  </si>
  <si>
    <t>JotForm</t>
  </si>
  <si>
    <t>https://chromewebstore.google.com/detail/finjdnhagcdiikmofgpgkmebpmbjcdhf</t>
  </si>
  <si>
    <t>Google Docs In Dark</t>
  </si>
  <si>
    <t>https://chromewebstore.google.com/detail/fipdcenemkbohhdgadjflhpfneohchmj</t>
  </si>
  <si>
    <t>Fill: Edit, Sign, Send, Store and Print PDF's</t>
  </si>
  <si>
    <t>https://chromewebstore.google.com/detail/fjddglnphjcbiidehkejcpekajbefjka</t>
  </si>
  <si>
    <t>.torrent to Transmission</t>
  </si>
  <si>
    <t>https://chromewebstore.google.com/detail/fjfeeonbeiocojnpfboldpckcgcfknll</t>
  </si>
  <si>
    <t>Mobile Number Tracker</t>
  </si>
  <si>
    <t>https://chromewebstore.google.com/detail/fjhpodccjhpmkjohgbmmafnnnjfkcalc</t>
  </si>
  <si>
    <t>Moqups</t>
  </si>
  <si>
    <t>https://chromewebstore.google.com/detail/fkfehdnondfhgkechihgejkcnkhdbfna</t>
  </si>
  <si>
    <t>ChromeiQL</t>
  </si>
  <si>
    <t>https://chromewebstore.google.com/detail/fkkiamalmpiidkljmicmjfbieiclmeij</t>
  </si>
  <si>
    <t>Automatic Backlink Checker</t>
  </si>
  <si>
    <t>https://chromewebstore.google.com/detail/fkllkmgclnabanhckclcipnddfbindan</t>
  </si>
  <si>
    <t>KB SSL Enforcer</t>
  </si>
  <si>
    <t>https://chromewebstore.google.com/detail/flcpelgcagfhfoegekianiofphddckof</t>
  </si>
  <si>
    <t>Twitter Bookmarks Search</t>
  </si>
  <si>
    <t>https://chromewebstore.google.com/detail/flkokionhgagpmnhlngldhbfnblmenen</t>
  </si>
  <si>
    <t>RMFON</t>
  </si>
  <si>
    <t>https://chromewebstore.google.com/detail/fmimndodhalboaeakkpfbophcagcelnn</t>
  </si>
  <si>
    <t>Фон ВКонтакте</t>
  </si>
  <si>
    <t>https://chromewebstore.google.com/detail/fmopikahpohdfccohchaailaejpkbobg</t>
  </si>
  <si>
    <t>Majuscules Accentuées</t>
  </si>
  <si>
    <t>https://chromewebstore.google.com/detail/fndcenfgdacibjnofbbdndfijggefgmp</t>
  </si>
  <si>
    <t>Checklist</t>
  </si>
  <si>
    <t>https://chromewebstore.google.com/detail/fnfekoddbjkgnhkhjlaiddjionpkeddn</t>
  </si>
  <si>
    <t>Jitsi Desktop Streamer for FSD</t>
  </si>
  <si>
    <t>https://chromewebstore.google.com/detail/fngonekeakdeebdiokhdigkicnhlpnhj</t>
  </si>
  <si>
    <t>Metablox</t>
  </si>
  <si>
    <t>https://chromewebstore.google.com/detail/fnmfnlamkbhmkaknaokkfcmkeknkpncb</t>
  </si>
  <si>
    <t>Add to Dropmark</t>
  </si>
  <si>
    <t>https://chromewebstore.google.com/detail/foiapgoppijipmmgkaibacckkhbngfhp</t>
  </si>
  <si>
    <t>Manga Downloader</t>
  </si>
  <si>
    <t>https://chromewebstore.google.com/detail/fojcpnmhelbpakmgaakfhjlmjokocgjg</t>
  </si>
  <si>
    <t>AniDUB Proxy</t>
  </si>
  <si>
    <t>https://chromewebstore.google.com/detail/fojfndbpbomkflegaomglkjiiimbkaco</t>
  </si>
  <si>
    <t>股票基金助手 - 盯盘助手</t>
  </si>
  <si>
    <t>https://chromewebstore.google.com/detail/folafkamgdbhdeejjhohajojeogpoknm</t>
  </si>
  <si>
    <t>Replay Poker Flash Support</t>
  </si>
  <si>
    <t>https://chromewebstore.google.com/detail/fpcgjpjkgjphjiehdfkolmaldbnefgjg</t>
  </si>
  <si>
    <t>UchiHelper</t>
  </si>
  <si>
    <t>https://chromewebstore.google.com/detail/fpdmlanpbgokpkcmkojldkjlajcnajko</t>
  </si>
  <si>
    <t>Simple Window Saver</t>
  </si>
  <si>
    <t>https://chromewebstore.google.com/detail/fpfmklldfnlcblofkhdeoohfppdoejdc</t>
  </si>
  <si>
    <t>delugesiphon</t>
  </si>
  <si>
    <t>https://chromewebstore.google.com/detail/gabdloknkpdefdpkkibplcfnkngbidim</t>
  </si>
  <si>
    <t>MyCoub - скачать с coub видео/аудио</t>
  </si>
  <si>
    <t>https://chromewebstore.google.com/detail/gahikeojfodidijbfjdfigekphlkcpjm</t>
  </si>
  <si>
    <t>LibreCAD on rollApp</t>
  </si>
  <si>
    <t>https://chromewebstore.google.com/detail/gbalmmdepliaghihofedeopaacjfcgab</t>
  </si>
  <si>
    <t>Monitor URL Chrome Extensions</t>
  </si>
  <si>
    <t>https://chromewebstore.google.com/detail/gbbehmiepgfmmnifjbnknjaebgmnpbam</t>
  </si>
  <si>
    <t>Unshorten.link</t>
  </si>
  <si>
    <t>https://chromewebstore.google.com/detail/gbobdaaeaihkghbokihkofcbndhmbdpd</t>
  </si>
  <si>
    <t>Quick Copy Roblox IDs</t>
  </si>
  <si>
    <t>https://chromewebstore.google.com/detail/gdhnniabnphencplancldglaflfafmfj</t>
  </si>
  <si>
    <t>Open Cookies.txt</t>
  </si>
  <si>
    <t>https://chromewebstore.google.com/detail/gdocmgbfkjnnpapoeobnolbbkoibbcif</t>
  </si>
  <si>
    <t>Just Focus</t>
  </si>
  <si>
    <t>https://chromewebstore.google.com/detail/gefaddaengbodpiobpbgblajdboalmgc</t>
  </si>
  <si>
    <t>https://chromewebstore.google.com/detail/gemdkhkmcnifpfbfnhpbbhageflibppm</t>
  </si>
  <si>
    <t>Color picker</t>
  </si>
  <si>
    <t>https://chromewebstore.google.com/detail/gffjdohanhmkfbpnjlnmaeabfhghpilo</t>
  </si>
  <si>
    <t>Multi-links</t>
  </si>
  <si>
    <t>https://chromewebstore.google.com/detail/gflgnmgilmokfhbckilljalhemjjeldl</t>
  </si>
  <si>
    <t>Wyzant Screen Sharing</t>
  </si>
  <si>
    <t>https://chromewebstore.google.com/detail/ggbjpoaaoeklmpdfjcbgenmbdjhecjjp</t>
  </si>
  <si>
    <t>Domain Blocker</t>
  </si>
  <si>
    <t>https://chromewebstore.google.com/detail/ggdcjplapccgoinblmidpkoocfafajfa</t>
  </si>
  <si>
    <t>Search By MovieFinder365</t>
  </si>
  <si>
    <t>https://chromewebstore.google.com/detail/ggiokgahenecggcpdafpffnpelpfkjam</t>
  </si>
  <si>
    <t>Adobe Target VEC Helper</t>
  </si>
  <si>
    <t>https://chromewebstore.google.com/detail/ggjpideecfnbipkacplkhhaflkdjagak</t>
  </si>
  <si>
    <t>Pano fetch</t>
  </si>
  <si>
    <t>https://chromewebstore.google.com/detail/ggmfokbjchlhboclfngkneflhkopebbh</t>
  </si>
  <si>
    <t>Mini Sticky Notes</t>
  </si>
  <si>
    <t>https://chromewebstore.google.com/detail/ghhhlhbkkchjfnnliacdpmfjjgpmkbpd</t>
  </si>
  <si>
    <t>Simple Apps Launcher</t>
  </si>
  <si>
    <t>https://chromewebstore.google.com/detail/ghkpjogmachfebfbikjopkdcimjfekdm</t>
  </si>
  <si>
    <t>Simple Notepad</t>
  </si>
  <si>
    <t>https://chromewebstore.google.com/detail/ghnkdbkeniegahdcjeeikjoaapakeomf</t>
  </si>
  <si>
    <t>豆伴：豆瓣账号备份工具</t>
  </si>
  <si>
    <t>https://chromewebstore.google.com/detail/ghppfgfeoafdcaebjoglabppkfmbcjdd</t>
  </si>
  <si>
    <t>Swoosh Cookie and Local Storage Specialist</t>
  </si>
  <si>
    <t>https://chromewebstore.google.com/detail/giompennnhheakjcnobejbnjgbbkmdnd</t>
  </si>
  <si>
    <t>Disable Download Bar</t>
  </si>
  <si>
    <t>https://chromewebstore.google.com/detail/gjdldigdojpjlmphnogmcmhojfadfmem</t>
  </si>
  <si>
    <t>Video Adjust for Netflix</t>
  </si>
  <si>
    <t>https://chromewebstore.google.com/detail/gjgmceajgibmifohoegfllnnbjmabije</t>
  </si>
  <si>
    <t>Save Text to Google Drive™</t>
  </si>
  <si>
    <t>https://chromewebstore.google.com/detail/gkcckpoladnboalokmkldjabamjpkafo</t>
  </si>
  <si>
    <t>Trello External Window</t>
  </si>
  <si>
    <t>https://chromewebstore.google.com/detail/gkcknpgdmiigoagkcoglklgaagnpojed</t>
  </si>
  <si>
    <t>Base64 encode/decode selected text</t>
  </si>
  <si>
    <t>https://chromewebstore.google.com/detail/gkdcpimagggbnjdkjhbnilfeiidhdhcl</t>
  </si>
  <si>
    <t>Ответы на ЯКласс - ЯКласс+ 2.0</t>
  </si>
  <si>
    <t>https://chromewebstore.google.com/detail/gkdimpanhbihidflnpedojnljpapgmbe</t>
  </si>
  <si>
    <t>AutoHideDownloadsBar</t>
  </si>
  <si>
    <t>https://chromewebstore.google.com/detail/gkmndgjgpolmikgnipipfekglbbgjcel</t>
  </si>
  <si>
    <t>Cypress Recorder</t>
  </si>
  <si>
    <t>https://chromewebstore.google.com/detail/glcapdcacdfkokcmicllhcjigeodacab</t>
  </si>
  <si>
    <t>Chatterino Native Host</t>
  </si>
  <si>
    <t>https://chromewebstore.google.com/detail/glknmaideaikkmemifbfkhnomoknepka</t>
  </si>
  <si>
    <t>MakkhiChoose</t>
  </si>
  <si>
    <t>https://chromewebstore.google.com/detail/gllmlkidgbagkcikijiljllpdloelocn</t>
  </si>
  <si>
    <t>Ad Blocker for YouTube</t>
  </si>
  <si>
    <t>https://chromewebstore.google.com/detail/gmcmlgfecmkefmkgbbnggmamclbmikbi</t>
  </si>
  <si>
    <t>Short URL (Bre.is)</t>
  </si>
  <si>
    <t>https://chromewebstore.google.com/detail/gmcofljannieocjefhglfanemdmkafgg</t>
  </si>
  <si>
    <t>Калькулятор</t>
  </si>
  <si>
    <t>https://chromewebstore.google.com/detail/gminfkdpejmfkjnelbapfofhkpkomcap</t>
  </si>
  <si>
    <t>Insomnia REST Client</t>
  </si>
  <si>
    <t>https://chromewebstore.google.com/detail/gmodihnfibbjdecbanmpmbmeffnmloel</t>
  </si>
  <si>
    <t>WZone Direct Import</t>
  </si>
  <si>
    <t>https://chromewebstore.google.com/detail/gmpiiinlandbgcfejoeaodgpfkdjnolm</t>
  </si>
  <si>
    <t>Open Tabs Next to Current</t>
  </si>
  <si>
    <t>https://chromewebstore.google.com/detail/gmpnnmonpnnmnhpdldahlekfofigiffh</t>
  </si>
  <si>
    <t>Count me up - Word and character counter</t>
  </si>
  <si>
    <t>https://chromewebstore.google.com/detail/gniejkbdlpcgfmgmfbnldfjmijmklacl</t>
  </si>
  <si>
    <t>Kill Switch</t>
  </si>
  <si>
    <t>https://chromewebstore.google.com/detail/gojllalahpiahalfhfjpbpfhjpaahjkc</t>
  </si>
  <si>
    <t>Holmes</t>
  </si>
  <si>
    <t>https://chromewebstore.google.com/detail/gokficnebmomagijbakglkcmhdbchbhn</t>
  </si>
  <si>
    <t>LinDuo: Английски БЕСПЛАТНО</t>
  </si>
  <si>
    <t>https://chromewebstore.google.com/detail/gpcgiglobfejclglnojamoopffmcejcm</t>
  </si>
  <si>
    <t>Simple Speed Dial</t>
  </si>
  <si>
    <t>https://chromewebstore.google.com/detail/gpdpldlbafdmhlmcdllcjgoigmpjonfc</t>
  </si>
  <si>
    <t>ScriptAutoRunner</t>
  </si>
  <si>
    <t>https://chromewebstore.google.com/detail/gpgjofmpmjjopcogjgdldidobhmjmdbm</t>
  </si>
  <si>
    <t>Does Amazon Ship to ...?</t>
  </si>
  <si>
    <t>https://chromewebstore.google.com/detail/gpnamfpkffldfnlkofbbebcndfdkclpc</t>
  </si>
  <si>
    <t>Symbols &amp; Smileys</t>
  </si>
  <si>
    <t>https://chromewebstore.google.com/detail/gponajbpomilcmbmfoipobkikeopjjhp</t>
  </si>
  <si>
    <t>Save as eBook</t>
  </si>
  <si>
    <t>https://chromewebstore.google.com/detail/haaplkpoiimngbppjihnegfmpejdnffj</t>
  </si>
  <si>
    <t>https://chromewebstore.google.com/detail/hacigcgfiefikmkmmmncaiaijoffndpl</t>
  </si>
  <si>
    <t>Janus WebRTC Screensharing</t>
  </si>
  <si>
    <t>https://chromewebstore.google.com/detail/hapfgfdkleiggjjpfpenajgdnfckjpaj</t>
  </si>
  <si>
    <t>ReCaptcha Solver</t>
  </si>
  <si>
    <t>https://chromewebstore.google.com/detail/hapgiopokcmcnjmakciaeaocceodcjdn</t>
  </si>
  <si>
    <t>New Tab Helper 2019</t>
  </si>
  <si>
    <t>https://chromewebstore.google.com/detail/hbcennhacfaagdopikcegfcobcadeocj</t>
  </si>
  <si>
    <t>TorrentsFinder - поиск торрентов</t>
  </si>
  <si>
    <t>https://chromewebstore.google.com/detail/hbkdeaccegiikknckeoppkblopjnljhf</t>
  </si>
  <si>
    <t>Roblox Logo Changer</t>
  </si>
  <si>
    <t>https://chromewebstore.google.com/detail/hbojkigaehlioofejgdpelgfpeahfpga</t>
  </si>
  <si>
    <t>AppJump App Launcher and Organizer</t>
  </si>
  <si>
    <t>https://chromewebstore.google.com/detail/hccbinpobnjcpckmcfngmdpnbnjpmcbd</t>
  </si>
  <si>
    <t>Show Conference/Journal Ranking</t>
  </si>
  <si>
    <t>https://chromewebstore.google.com/detail/hcfmpekcjhpfcokagmhnhldpacknikim</t>
  </si>
  <si>
    <t>微信公众号同步助手</t>
  </si>
  <si>
    <t>https://chromewebstore.google.com/detail/hchobocdmclopcbnibdnoafilagadion</t>
  </si>
  <si>
    <t>Sitemap Generator</t>
  </si>
  <si>
    <t>https://chromewebstore.google.com/detail/hcnjemngcihnhncobgdgkkfkhmleapah</t>
  </si>
  <si>
    <t>Save to Feedly Board</t>
  </si>
  <si>
    <t>https://chromewebstore.google.com/detail/hdhblphcdjcicefneapkhmleapfaocih</t>
  </si>
  <si>
    <t>https://chromewebstore.google.com/detail/hdifnhiliocdiomkphonngpedadhinof</t>
  </si>
  <si>
    <t>Coplay</t>
  </si>
  <si>
    <t>https://chromewebstore.google.com/detail/heolgpojkkeacaokbpolhalhlaidpkkc</t>
  </si>
  <si>
    <t>Disig Web Signer</t>
  </si>
  <si>
    <t>https://chromewebstore.google.com/detail/hfaapeomffgpemdlpgcjlgcogkiecjjn</t>
  </si>
  <si>
    <t>REC – high quality screen video Recorder</t>
  </si>
  <si>
    <t>https://chromewebstore.google.com/detail/hffgmamoeadcoibgfoabbnnmlcpjoonj</t>
  </si>
  <si>
    <t>Impact Deeplinking</t>
  </si>
  <si>
    <t>https://chromewebstore.google.com/detail/hfpcmmccnlhkdbaailjllkmfkebmckeo</t>
  </si>
  <si>
    <t>TwitchTV PIP Mode</t>
  </si>
  <si>
    <t>https://chromewebstore.google.com/detail/hgkofcnfkalomcloglekemngljnndhfa</t>
  </si>
  <si>
    <t>AuRo - audio output device router</t>
  </si>
  <si>
    <t>https://chromewebstore.google.com/detail/hglnindfakmbhhkldompfjeknfapaceh</t>
  </si>
  <si>
    <t>Stencil</t>
  </si>
  <si>
    <t>https://chromewebstore.google.com/detail/hgmhphfbdfbkokcfajipbmkcakmmepeb</t>
  </si>
  <si>
    <t>Width and Height Display</t>
  </si>
  <si>
    <t>https://chromewebstore.google.com/detail/hhcddohiohbojnfdmfpbbhiaompeiemo</t>
  </si>
  <si>
    <t>Notion+ Mark Manager</t>
  </si>
  <si>
    <t>https://chromewebstore.google.com/detail/hipgmnlpnimedfepbfbfiaobohhffcfc</t>
  </si>
  <si>
    <t>Roblox Show Status</t>
  </si>
  <si>
    <t>https://chromewebstore.google.com/detail/hipojknikpmpknnpbgpondgpeepppbjk</t>
  </si>
  <si>
    <t>WhatsLog</t>
  </si>
  <si>
    <t>https://chromewebstore.google.com/detail/hjamchbafpmgdbgohhplicknmcppnmgm</t>
  </si>
  <si>
    <t>Click to open 3D</t>
  </si>
  <si>
    <t>https://chromewebstore.google.com/detail/hjgibfcoeomknakfhedjmlkakgelnecf</t>
  </si>
  <si>
    <t>Close &amp; Clean</t>
  </si>
  <si>
    <t>https://chromewebstore.google.com/detail/hjjlnpghgkgmnpjimgbblhggmbjlbmld</t>
  </si>
  <si>
    <t>Thunderbeam-Lightbeam for Chrome</t>
  </si>
  <si>
    <t>https://chromewebstore.google.com/detail/hjkajeglckopdkbggdiajobpilgccgnj</t>
  </si>
  <si>
    <t>SAML, WS-Federation and OAuth 2.0 tracer</t>
  </si>
  <si>
    <t>https://chromewebstore.google.com/detail/hkodokikbjolckghdnljbkbhacbhpnkb</t>
  </si>
  <si>
    <t>Invoice Simple</t>
  </si>
  <si>
    <t>https://chromewebstore.google.com/detail/hlhgkeikggdbhfhlmkapkmaogoohepml</t>
  </si>
  <si>
    <t>Qwik Biz Tools</t>
  </si>
  <si>
    <t>https://chromewebstore.google.com/detail/hlkagghgnlpbocljaclinmklnlgppemp</t>
  </si>
  <si>
    <t>Script Executor</t>
  </si>
  <si>
    <t>https://chromewebstore.google.com/detail/hlledchhaimjmakjdmjpldfanefbhikj</t>
  </si>
  <si>
    <t>SummarizeThis</t>
  </si>
  <si>
    <t>https://chromewebstore.google.com/detail/hlpleilenpafkhjjfoncggfjgimfplhg</t>
  </si>
  <si>
    <t>CFCA CertEnrollment.SRCBCN Extension</t>
  </si>
  <si>
    <t>https://chromewebstore.google.com/detail/hlppincnifijeogfbjgekmkckcmlkonn</t>
  </si>
  <si>
    <t>Dark mode / night reader</t>
  </si>
  <si>
    <t>https://chromewebstore.google.com/detail/hmafjphdklmdjfcnljjeonfpgafanjjc</t>
  </si>
  <si>
    <t>Unblock iQIYI - Free and unlimited</t>
  </si>
  <si>
    <t>https://chromewebstore.google.com/detail/hmlhdgjmjlkeffphmlpfbbhmnlmdcnha</t>
  </si>
  <si>
    <t>Socpublic.com</t>
  </si>
  <si>
    <t>https://chromewebstore.google.com/detail/hnikdbjffkapiacedidjkigkpglncnlk</t>
  </si>
  <si>
    <t>Screenleap</t>
  </si>
  <si>
    <t>https://chromewebstore.google.com/detail/hpcipbhehomfgjbgnajdhiahhdeeffbg</t>
  </si>
  <si>
    <t>Copy Better</t>
  </si>
  <si>
    <t>https://chromewebstore.google.com/detail/hpihdokfdmmghaclaojfpmbckkhjgebc</t>
  </si>
  <si>
    <t>Asciidoctor.js Live Preview</t>
  </si>
  <si>
    <t>https://chromewebstore.google.com/detail/iaalpfgpbocpdfblpnhhgllgbdbchmia</t>
  </si>
  <si>
    <t>Habitica Pomodoro SiteKeeper</t>
  </si>
  <si>
    <t>https://chromewebstore.google.com/detail/iaanigfbldakklgdfcnbjonbehpbpecl</t>
  </si>
  <si>
    <t>Unstack Style Guide</t>
  </si>
  <si>
    <t>https://chromewebstore.google.com/detail/iabnnjcfonfnjhpmdgapgemfmgjlbjem</t>
  </si>
  <si>
    <t>HideMe FreeVPN</t>
  </si>
  <si>
    <t>https://chromewebstore.google.com/detail/iaddbcgfmhnpdmpaocehjdjkcddjojel</t>
  </si>
  <si>
    <t>GetTabInfo</t>
  </si>
  <si>
    <t>https://chromewebstore.google.com/detail/iadhcoaabobddcebhmheikmbcjcigjhc</t>
  </si>
  <si>
    <t>Dezoomify</t>
  </si>
  <si>
    <t>https://chromewebstore.google.com/detail/iapjjopjejpelnfdonefbffahmcndfbm</t>
  </si>
  <si>
    <t>My New Tab</t>
  </si>
  <si>
    <t>https://chromewebstore.google.com/detail/ibcdapcpgpofknnfbggcaikbggahcdfi</t>
  </si>
  <si>
    <t>Readme - Text to Speech</t>
  </si>
  <si>
    <t>https://chromewebstore.google.com/detail/ibenjnichpcnealnjfifbidmpgodkfnn</t>
  </si>
  <si>
    <t>Free VPN for Chrome - VPN Proxy InsuredVPN</t>
  </si>
  <si>
    <t>https://chromewebstore.google.com/detail/ibfjkeafbnhjoedpihdjgaapmhnkhape</t>
  </si>
  <si>
    <t>Tenfold</t>
  </si>
  <si>
    <t>https://chromewebstore.google.com/detail/ibgkfepjabgnmpjojcnbcjfgeoklfdfk</t>
  </si>
  <si>
    <t>Google Meet PiP</t>
  </si>
  <si>
    <t>https://chromewebstore.google.com/detail/ibkkdnfblcekolaagnljieekcaccfpjo</t>
  </si>
  <si>
    <t>NBA Stephen Curry Wallpapers HD Custom NewTab</t>
  </si>
  <si>
    <t>https://chromewebstore.google.com/detail/ibpdcnicnlmnknjnjhelkigdpapfjcbn</t>
  </si>
  <si>
    <t>Essential SEO Toolkit (SEO Analysis Tool) from Opace</t>
  </si>
  <si>
    <t>https://chromewebstore.google.com/detail/icagkiolfkmndbggheneeamfbnobcdma</t>
  </si>
  <si>
    <t>Managebac Grade Calculator &amp; More+</t>
  </si>
  <si>
    <t>https://chromewebstore.google.com/detail/iccmimianhoklepafpckijcpclgcfblm</t>
  </si>
  <si>
    <t>Talkdesk Callbar</t>
  </si>
  <si>
    <t>https://chromewebstore.google.com/detail/idbejgmlldkhoiogoknpihhhbimbikdo</t>
  </si>
  <si>
    <t>Check my cookies</t>
  </si>
  <si>
    <t>https://chromewebstore.google.com/detail/idmefaajmbkeajdiafefcleiaihkahnm</t>
  </si>
  <si>
    <t>Force Download</t>
  </si>
  <si>
    <t>https://chromewebstore.google.com/detail/idolchmmfhdnihfikidaobnplmkalkbd</t>
  </si>
  <si>
    <t>Online Weather</t>
  </si>
  <si>
    <t>https://chromewebstore.google.com/detail/iedeabfpifpbmbjpbmijmagjenkmkkmi</t>
  </si>
  <si>
    <t>Namaz Vakitleri</t>
  </si>
  <si>
    <t>https://chromewebstore.google.com/detail/ieelbggiidmnfbkjcjceknbhjgnhkjnf</t>
  </si>
  <si>
    <t>速卖通运费模板助手</t>
  </si>
  <si>
    <t>https://chromewebstore.google.com/detail/ieembbfomodpbmahphkjgippbjeackga</t>
  </si>
  <si>
    <t>Send to Calendar</t>
  </si>
  <si>
    <t>https://chromewebstore.google.com/detail/iefhhfhadhcgefikmjdpclgpmmlaodfc</t>
  </si>
  <si>
    <t>libdoge</t>
  </si>
  <si>
    <t>https://chromewebstore.google.com/detail/ifbchccfedjkkhlnffjckaghjdpchhmo</t>
  </si>
  <si>
    <t>Post It All : Sticky notes</t>
  </si>
  <si>
    <t>https://chromewebstore.google.com/detail/ifbdckgghfmehefajfoichlhcdiibkoc</t>
  </si>
  <si>
    <t>History Manager</t>
  </si>
  <si>
    <t>https://chromewebstore.google.com/detail/ifekbbngjjcachfekcpeejphmkeckged</t>
  </si>
  <si>
    <t>Amazon BSR &amp; Rating Colorizer</t>
  </si>
  <si>
    <t>https://chromewebstore.google.com/detail/iffmfknpimppjfoionhiffohdljiedai</t>
  </si>
  <si>
    <t>https://chromewebstore.google.com/detail/ifgkgjaofnkgalclccdmlenkfffdgcdb</t>
  </si>
  <si>
    <t>Unit Converter</t>
  </si>
  <si>
    <t>https://chromewebstore.google.com/detail/igjeajmonjofckmiheidpmebpmdbbiam</t>
  </si>
  <si>
    <t>Rivet</t>
  </si>
  <si>
    <t>https://chromewebstore.google.com/detail/igmilfmbmkmpkjjgoabaagaoohhhbjde</t>
  </si>
  <si>
    <t>DiCentral ClickOnce helper for Chrome™</t>
  </si>
  <si>
    <t>https://chromewebstore.google.com/detail/ihoeijmddigankehfpepcfopnoegkjpb</t>
  </si>
  <si>
    <t>GTM Sonar</t>
  </si>
  <si>
    <t>https://chromewebstore.google.com/detail/iiihoahkpncaheicjfemhjkkfamcahcd</t>
  </si>
  <si>
    <t>ComposeKey</t>
  </si>
  <si>
    <t>https://chromewebstore.google.com/detail/iijdllfdmhbmlmnbcohgbfagfibpbgba</t>
  </si>
  <si>
    <t>Row Highlighter for Gmail™</t>
  </si>
  <si>
    <t>https://chromewebstore.google.com/detail/ijfolchflbmnfopmpmodilcelmdakbfl</t>
  </si>
  <si>
    <t>YouTube Playlist Duration</t>
  </si>
  <si>
    <t>https://chromewebstore.google.com/detail/ijppgifnllaehojnpbphigenojfjnhml</t>
  </si>
  <si>
    <t>PDF Color Inverter</t>
  </si>
  <si>
    <t>https://chromewebstore.google.com/detail/ikkeapgomkpbcpaiompapjdlhmafgkpg</t>
  </si>
  <si>
    <t>Glitterboo</t>
  </si>
  <si>
    <t>https://chromewebstore.google.com/detail/ikkpgihagilojnkmkkfcbhlainmnkicp</t>
  </si>
  <si>
    <t>Flowbot44's Axie Infinity Extension</t>
  </si>
  <si>
    <t>https://chromewebstore.google.com/detail/iknjhcclpcildaklifghhjblmbjpkole</t>
  </si>
  <si>
    <t>Christmas Home Page</t>
  </si>
  <si>
    <t>https://chromewebstore.google.com/detail/ilbhikianmkphlgecmpjhjkdneknehap</t>
  </si>
  <si>
    <t>Ruto - XPath Finder</t>
  </si>
  <si>
    <t>https://chromewebstore.google.com/detail/ilcoelkkcokgeeijnopjnolmmighnppp</t>
  </si>
  <si>
    <t>LOOT.Farm helper</t>
  </si>
  <si>
    <t>https://chromewebstore.google.com/detail/iljnangbjcpnopeaebpckiljkapfcakl</t>
  </si>
  <si>
    <t>My Security Browser</t>
  </si>
  <si>
    <t>https://chromewebstore.google.com/detail/ilkkiealjmbagkfjepkicpdgeclkeold</t>
  </si>
  <si>
    <t>https://chromewebstore.google.com/detail/imcjibojeokeogfofjgaajlobobagbeg</t>
  </si>
  <si>
    <t>VerticalTabs</t>
  </si>
  <si>
    <t>https://chromewebstore.google.com/detail/imimolldggofidcmfdkcffpjcgaggoaf</t>
  </si>
  <si>
    <t>Python Fiddle</t>
  </si>
  <si>
    <t>https://chromewebstore.google.com/detail/imldfcloildiapnfjoocfpdmoajnjelf</t>
  </si>
  <si>
    <t>Call From Browser</t>
  </si>
  <si>
    <t>https://chromewebstore.google.com/detail/impiikfnffjblkkefnplfonianmboaam</t>
  </si>
  <si>
    <t>GitCodeTree</t>
  </si>
  <si>
    <t>https://chromewebstore.google.com/detail/inaaldjpdbkaodlmdcplgpoibohcmmlj</t>
  </si>
  <si>
    <t>Furigana</t>
  </si>
  <si>
    <t>https://chromewebstore.google.com/detail/ingbigompaecaefaoihaicmkgepkmkeg</t>
  </si>
  <si>
    <t>9GAG Mini</t>
  </si>
  <si>
    <t>https://chromewebstore.google.com/detail/inmkmihphgjhmeabggdcokmkjhbnmdml</t>
  </si>
  <si>
    <t>Automated Flash Site Enabler (Lite)</t>
  </si>
  <si>
    <t>https://chromewebstore.google.com/detail/ioiijepglemgcpdkjjefkchhdcofebpl</t>
  </si>
  <si>
    <t>Better YouTube Gaming</t>
  </si>
  <si>
    <t>https://chromewebstore.google.com/detail/ioncgheockjakdmpighekmfhdljboimf</t>
  </si>
  <si>
    <t>Clipboard Permission Manager</t>
  </si>
  <si>
    <t>https://chromewebstore.google.com/detail/ipbhneeanpgkaleihlknhjiaamobkceh</t>
  </si>
  <si>
    <t>Ctool 程序开发常用工具</t>
  </si>
  <si>
    <t>https://chromewebstore.google.com/detail/ipfcebkfhpkjeikaammlkcnalknjahmh</t>
  </si>
  <si>
    <t>Alice Keeler Gradebook Split</t>
  </si>
  <si>
    <t>https://chromewebstore.google.com/detail/ipldiafffkbheamaoepjlncolocdlojd</t>
  </si>
  <si>
    <t>UniverseView Extension</t>
  </si>
  <si>
    <t>https://chromewebstore.google.com/detail/ipmfkhoihjbbohnfecpmhekhippaplnh</t>
  </si>
  <si>
    <t>Qsirch Helper</t>
  </si>
  <si>
    <t>https://chromewebstore.google.com/detail/ipocdfgahhjaigldllakopnkofpcpahn</t>
  </si>
  <si>
    <t>Current Moon Phase</t>
  </si>
  <si>
    <t>https://chromewebstore.google.com/detail/ippnbhhbamibfpljlfmgogaondodicgi</t>
  </si>
  <si>
    <t>Essentials for KissAnime</t>
  </si>
  <si>
    <t>https://chromewebstore.google.com/detail/jaicfjhjlblbkhejmkfimkafjchdnafm</t>
  </si>
  <si>
    <t>PS Utilities</t>
  </si>
  <si>
    <t>https://chromewebstore.google.com/detail/jajoopnifcliapcngocgiidifkmboemc</t>
  </si>
  <si>
    <t>HD Camera</t>
  </si>
  <si>
    <t>https://chromewebstore.google.com/detail/jaknphafiecgijhicofjhlgmpkcfmgdo</t>
  </si>
  <si>
    <t>Zoom Text Only</t>
  </si>
  <si>
    <t>https://chromewebstore.google.com/detail/jamhfhbppcmkgghlkeieococonlbppjg</t>
  </si>
  <si>
    <t>Sitemap Explorer</t>
  </si>
  <si>
    <t>https://chromewebstore.google.com/detail/jamphegminpokpnalkjiecfoobdnlmfb</t>
  </si>
  <si>
    <t>百度云盘秒传插件</t>
  </si>
  <si>
    <t>https://chromewebstore.google.com/detail/jbbbdkjinkiabcimkipdcmaggnkkjoid</t>
  </si>
  <si>
    <t>Literature News on New Tab</t>
  </si>
  <si>
    <t>https://chromewebstore.google.com/detail/jbcicjicbelpcebckoppnkoomhkndfhb</t>
  </si>
  <si>
    <t>Перекупы Авто</t>
  </si>
  <si>
    <t>https://chromewebstore.google.com/detail/jbckknmhjbidbilcinjpllehfjeggcch</t>
  </si>
  <si>
    <t>Oxford Advanced Learner's Dictionary</t>
  </si>
  <si>
    <t>https://chromewebstore.google.com/detail/jbfnadandganeodogcmcigfmmpkamhif</t>
  </si>
  <si>
    <t>Waze - Google Maps™ link</t>
  </si>
  <si>
    <t>https://chromewebstore.google.com/detail/jblojdkgpamepmiammlgkkhknojnlmai</t>
  </si>
  <si>
    <t>더존 급여명세서 뷰어</t>
  </si>
  <si>
    <t>https://chromewebstore.google.com/detail/jchjhafjjekdocejbpeiopmngbbpcfoh</t>
  </si>
  <si>
    <t>Playlist Search for YouTube™</t>
  </si>
  <si>
    <t>https://chromewebstore.google.com/detail/jdolgjncmhmboklhmacpknglmiibbldg</t>
  </si>
  <si>
    <t>Tindify - Your Dating Assistant</t>
  </si>
  <si>
    <t>https://chromewebstore.google.com/detail/jebhapofoimonkedeijcmgpcgecnapaa</t>
  </si>
  <si>
    <t>Проверка правописания</t>
  </si>
  <si>
    <t>https://chromewebstore.google.com/detail/jebmdjgdkkijogdnalmimaofgpdmhigh</t>
  </si>
  <si>
    <t>Monthly stats for Gmail</t>
  </si>
  <si>
    <t>https://chromewebstore.google.com/detail/jfbklmjfigbohkochoomiljpcddghibm</t>
  </si>
  <si>
    <t>Euskalbar</t>
  </si>
  <si>
    <t>https://chromewebstore.google.com/detail/jfemlmedfkiadfaihdcdkcoooleihhfn</t>
  </si>
  <si>
    <t>Citable</t>
  </si>
  <si>
    <t>https://chromewebstore.google.com/detail/jfiabcklnnhkmkcdjjpmgghiimjkaeio</t>
  </si>
  <si>
    <t>Memorize!</t>
  </si>
  <si>
    <t>https://chromewebstore.google.com/detail/jfiakckbklmccchjegnnojbalafebakb</t>
  </si>
  <si>
    <t>Memento Time Travel</t>
  </si>
  <si>
    <t>https://chromewebstore.google.com/detail/jgbfpjledahoajcppakbgilmojkaghgm</t>
  </si>
  <si>
    <t>_bem_tv ext</t>
  </si>
  <si>
    <t>https://chromewebstore.google.com/detail/jgbkfdjdcbohgenpccfgldadaofnfknl</t>
  </si>
  <si>
    <t>Change JPEG/JFIF to JPG</t>
  </si>
  <si>
    <t>https://chromewebstore.google.com/detail/jgikoaeeblnfkapogeidnehipojlbkoe</t>
  </si>
  <si>
    <t>Jazz-MIDI</t>
  </si>
  <si>
    <t>https://chromewebstore.google.com/detail/jhdoobfdaejmldnpihidjemjcbpfmbkm</t>
  </si>
  <si>
    <t>Screely: Instant Browser Mockups</t>
  </si>
  <si>
    <t>https://chromewebstore.google.com/detail/jhggpmcfjkkaeonckilhekpkfcalgank</t>
  </si>
  <si>
    <t>Yamli</t>
  </si>
  <si>
    <t>https://chromewebstore.google.com/detail/jhninijcbcniklnjbohdmoglogfjbglh</t>
  </si>
  <si>
    <t>Responsively Helper</t>
  </si>
  <si>
    <t>https://chromewebstore.google.com/detail/jhphiidjkooiaollfiknkokgodbaddcj</t>
  </si>
  <si>
    <t>Tic Tac Toe</t>
  </si>
  <si>
    <t>https://chromewebstore.google.com/detail/jjdpdpackpoaaccjmnkmgloibjgpklmm</t>
  </si>
  <si>
    <t>Ipcam Viewer</t>
  </si>
  <si>
    <t>https://chromewebstore.google.com/detail/jjfknbejnpjndceceeefmofphphjiamb</t>
  </si>
  <si>
    <t>Automation Anywhere</t>
  </si>
  <si>
    <t>https://chromewebstore.google.com/detail/jjpdebaihkangkfpbgefmnnlafkahebn</t>
  </si>
  <si>
    <t>CFCA CertEnrollment.Hebbank Extension</t>
  </si>
  <si>
    <t>https://chromewebstore.google.com/detail/jkaoodobipmplhdhbdckclkmhpiekaee</t>
  </si>
  <si>
    <t>Batch Reply for GMail</t>
  </si>
  <si>
    <t>https://chromewebstore.google.com/detail/jkeciloajjlchlmbjjogifpdkljppbei</t>
  </si>
  <si>
    <t>Android Calculator</t>
  </si>
  <si>
    <t>https://chromewebstore.google.com/detail/jkiblcnjkgohckbbjpedihcfjanbfoif</t>
  </si>
  <si>
    <t>https://chromewebstore.google.com/detail/jknaiemmajopmpcpmmheafgjbhpjnedk</t>
  </si>
  <si>
    <t>VoiceTube Dictionary</t>
  </si>
  <si>
    <t>https://chromewebstore.google.com/detail/jknhnffcaenjjlneglfcihapfklmefob</t>
  </si>
  <si>
    <t>GeoGuessr Cheat</t>
  </si>
  <si>
    <t>https://chromewebstore.google.com/detail/jkpglfaifjkpnbfephoenfbaejdgnjii</t>
  </si>
  <si>
    <t>a9 Web Protection: safe web filter</t>
  </si>
  <si>
    <t>https://chromewebstore.google.com/detail/jlgejeheelddbpdieihdpmnlodbpljnc</t>
  </si>
  <si>
    <t>Подборка-Туров.ру</t>
  </si>
  <si>
    <t>https://chromewebstore.google.com/detail/jmdcpkpoebniclenaegfhbmlaadkgdhm</t>
  </si>
  <si>
    <t>Hong Kong Weather Extension （香港天氣）</t>
  </si>
  <si>
    <t>https://chromewebstore.google.com/detail/jmdookpkgalopfpehgmddjcodfeocffl</t>
  </si>
  <si>
    <t>Popper Stopper Pro</t>
  </si>
  <si>
    <t>https://chromewebstore.google.com/detail/jmjbmlfmmendpkpiggcfpjcpbbpedhha</t>
  </si>
  <si>
    <t>VkSaved</t>
  </si>
  <si>
    <t>https://chromewebstore.google.com/detail/jobnchpmiiemlgonhemhkeilihimaghg</t>
  </si>
  <si>
    <t>URL Specific Notepad - AnnoPad</t>
  </si>
  <si>
    <t>https://chromewebstore.google.com/detail/johjcheghocokbkhacbfbhojoangkpcb</t>
  </si>
  <si>
    <t>Sans Forgetica: Study Mode by RMIT University</t>
  </si>
  <si>
    <t>https://chromewebstore.google.com/detail/jojbobbpjflbaekncckdbanjoakgpbbc</t>
  </si>
  <si>
    <t>Wordpress Admin Bar Control</t>
  </si>
  <si>
    <t>https://chromewebstore.google.com/detail/joldejophkhmeajgjenfnfdpfjkalckn</t>
  </si>
  <si>
    <t>URL Blocker</t>
  </si>
  <si>
    <t>https://chromewebstore.google.com/detail/jpakadanffilpnjijlmmkljogkfaognd</t>
  </si>
  <si>
    <t>Document and Image Converter Toolbox</t>
  </si>
  <si>
    <t>https://chromewebstore.google.com/detail/jpjkaekegnficmcdgicgdbnpnjiaeldi</t>
  </si>
  <si>
    <t>Dark Reader Dark</t>
  </si>
  <si>
    <t>https://chromewebstore.google.com/detail/kbbbldgkhcpkmmjbjelmkjkchibeklng</t>
  </si>
  <si>
    <t>Lookup Word in Dictionary</t>
  </si>
  <si>
    <t>https://chromewebstore.google.com/detail/kbkglbhikjonodlofbcomogfcbfjipog</t>
  </si>
  <si>
    <t>flomoplus</t>
  </si>
  <si>
    <t>https://chromewebstore.google.com/detail/kcijjmomofpdcpeiagibojhjifhegepj</t>
  </si>
  <si>
    <t>Tracking Token Stripper</t>
  </si>
  <si>
    <t>https://chromewebstore.google.com/detail/kcpnkledgcbobhkgimpbmejgockkplob</t>
  </si>
  <si>
    <t>Running Challenges</t>
  </si>
  <si>
    <t>https://chromewebstore.google.com/detail/kdapmdimgdebpgolimjnmcdlkbkddoif</t>
  </si>
  <si>
    <t>SAIS Timetable</t>
  </si>
  <si>
    <t>https://chromewebstore.google.com/detail/kdebapklkojiiipmkbhcnbbhbanopdfk</t>
  </si>
  <si>
    <t>Copy Link Address</t>
  </si>
  <si>
    <t>https://chromewebstore.google.com/detail/kdejdkdjdoabfihpcjmgjebcpfbhepmh</t>
  </si>
  <si>
    <t>New Tab Helper 72</t>
  </si>
  <si>
    <t>https://chromewebstore.google.com/detail/kdmchalhobbejlbnkgkldeblaeijamhb</t>
  </si>
  <si>
    <t>Custom Redirects</t>
  </si>
  <si>
    <t>https://chromewebstore.google.com/detail/kekdllcidamgebonidegjekidhdihdli</t>
  </si>
  <si>
    <t>Copy Css Selector</t>
  </si>
  <si>
    <t>https://chromewebstore.google.com/detail/kemkenbgbgodoglfkkejbdcpojnodnkg</t>
  </si>
  <si>
    <t>Remote Transmission ++</t>
  </si>
  <si>
    <t>https://chromewebstore.google.com/detail/kfbocdnicmioodheiciijiegbmfoliim</t>
  </si>
  <si>
    <t>DoctorN for Torn</t>
  </si>
  <si>
    <t>https://chromewebstore.google.com/detail/kfdghhdnlfeencnfpbpddbceglaamobk</t>
  </si>
  <si>
    <t>Contact Editor for Google Contacts</t>
  </si>
  <si>
    <t>https://chromewebstore.google.com/detail/kfdocpnoiimdgjglhkbbbfholbibhgmh</t>
  </si>
  <si>
    <t>Crazy Page</t>
  </si>
  <si>
    <t>https://chromewebstore.google.com/detail/kfieapkahkkhclonobinbonddbfkpbck</t>
  </si>
  <si>
    <t>にこさぽ （ニコ生サポート）</t>
  </si>
  <si>
    <t>https://chromewebstore.google.com/detail/kfnogdokhemdbbclknmmjpcnmjmpjknc</t>
  </si>
  <si>
    <t>Real Debrid Download Manager</t>
  </si>
  <si>
    <t>https://chromewebstore.google.com/detail/khglpdagpjepfkjnnjcpiciekjoailhf</t>
  </si>
  <si>
    <t>Exploratory Testing Chrome Extension</t>
  </si>
  <si>
    <t>https://chromewebstore.google.com/detail/khigmghadjljgjpamimgjjmpmlbgmekj</t>
  </si>
  <si>
    <t>Unsplash image downloader</t>
  </si>
  <si>
    <t>https://chromewebstore.google.com/detail/khpbaggebmegoocfoapahhdgjepfinok</t>
  </si>
  <si>
    <t>Plan - Calendar &amp; Tasks</t>
  </si>
  <si>
    <t>https://chromewebstore.google.com/detail/kinkgmlnfafflibopbljlhihdjmbahha</t>
  </si>
  <si>
    <t>Maps with what3words</t>
  </si>
  <si>
    <t>https://chromewebstore.google.com/detail/kjdggbneannapcpmgobggobbnhecfpbh</t>
  </si>
  <si>
    <t>Auto Login</t>
  </si>
  <si>
    <t>https://chromewebstore.google.com/detail/kjdgohfkopafhjmmlbojhaabfpndllgk</t>
  </si>
  <si>
    <t>GraphQL Playground for Chrome</t>
  </si>
  <si>
    <t>https://chromewebstore.google.com/detail/kjhjcgclphafojaeeickcokfbhlegecd</t>
  </si>
  <si>
    <t>PeerName</t>
  </si>
  <si>
    <t>https://chromewebstore.google.com/detail/kkdihlopcnkjinfjhbeopjfmnfpcoaop</t>
  </si>
  <si>
    <t>Laitis Browser Extension</t>
  </si>
  <si>
    <t>https://chromewebstore.google.com/detail/kkfnfemdemphdadfolkmoimpeibeiadc</t>
  </si>
  <si>
    <t>다음 사전 (Daum Dictionary)</t>
  </si>
  <si>
    <t>https://chromewebstore.google.com/detail/kkhffehjpbmdlibbcideiaidmdcfgglc</t>
  </si>
  <si>
    <t>Phys.org Spotlight Science News</t>
  </si>
  <si>
    <t>https://chromewebstore.google.com/detail/kklpgonjnnbbhogmboejgklhlmakfmpm</t>
  </si>
  <si>
    <t>Twitch Channel Points Auto Redeem</t>
  </si>
  <si>
    <t>https://chromewebstore.google.com/detail/klmjghhmchlbcjechkhmgcjhkbbbjglb</t>
  </si>
  <si>
    <t>NSFW Filter</t>
  </si>
  <si>
    <t>https://chromewebstore.google.com/detail/kmgagnlkckiamnenbpigfaljmanlbbhh</t>
  </si>
  <si>
    <t>部分強制メイリオちゃん</t>
  </si>
  <si>
    <t>https://chromewebstore.google.com/detail/kmjcmncjhdnaealenhoohllicfkdojpb</t>
  </si>
  <si>
    <t>LinkedNotes</t>
  </si>
  <si>
    <t>https://chromewebstore.google.com/detail/kmmbfbgimpbcaaeibgnijiflciagmiha</t>
  </si>
  <si>
    <t>Emoji Pets</t>
  </si>
  <si>
    <t>https://chromewebstore.google.com/detail/kmpienmlhgboooblifeplelmpaaccafc</t>
  </si>
  <si>
    <t>Chrome Download Helper</t>
  </si>
  <si>
    <t>https://chromewebstore.google.com/detail/knaddinhblejecfcgajdpbebicfpejem</t>
  </si>
  <si>
    <t>Alarm Me!</t>
  </si>
  <si>
    <t>https://chromewebstore.google.com/detail/knahjdfbilnkfipggnnhojmjpjcgjkmg</t>
  </si>
  <si>
    <t>iWallet</t>
  </si>
  <si>
    <t>https://chromewebstore.google.com/detail/kncchdigobghenbbaddojjnnaogfppfj</t>
  </si>
  <si>
    <t>Red Block</t>
  </si>
  <si>
    <t>https://chromewebstore.google.com/detail/knjpopecjigkkaddmoahjcfpbgedkibf</t>
  </si>
  <si>
    <t>CB.click</t>
  </si>
  <si>
    <t>https://chromewebstore.google.com/detail/knmghooehbjicekkmaolodoaapmjmcog</t>
  </si>
  <si>
    <t>AntiTestportal</t>
  </si>
  <si>
    <t>https://chromewebstore.google.com/detail/kobncijmigkffnhcopokahlmpionoplk</t>
  </si>
  <si>
    <t>Utime</t>
  </si>
  <si>
    <t>https://chromewebstore.google.com/detail/kpcibgnngaaabebmcabmkocdokepdaki</t>
  </si>
  <si>
    <t>Enable Spreadsheet Copy</t>
  </si>
  <si>
    <t>https://chromewebstore.google.com/detail/kpejegeplfmfcdaelkmmjlnijkejigpg</t>
  </si>
  <si>
    <t>Clear Read</t>
  </si>
  <si>
    <t>https://chromewebstore.google.com/detail/kpipjgdapccmpkgipfikeajoopjbcgam</t>
  </si>
  <si>
    <t>URL Throttler</t>
  </si>
  <si>
    <t>https://chromewebstore.google.com/detail/kpkeghonflnkockcnaegmphgdldfnden</t>
  </si>
  <si>
    <t>WhiteBox</t>
  </si>
  <si>
    <t>https://chromewebstore.google.com/detail/ladomjdmipndjikefjafgemmlnhkhagc</t>
  </si>
  <si>
    <t>FileWave Engage Extension</t>
  </si>
  <si>
    <t>https://chromewebstore.google.com/detail/lajmdphbfjlbhgibfifhjcblodepejnj</t>
  </si>
  <si>
    <t>Ro-Customize</t>
  </si>
  <si>
    <t>https://chromewebstore.google.com/detail/laoeehanpnodehnejiknhgghinngkhha</t>
  </si>
  <si>
    <t>Ultra Timer</t>
  </si>
  <si>
    <t>https://chromewebstore.google.com/detail/laohhcnmipbidhjomikgbmdgckopbgnb</t>
  </si>
  <si>
    <t>TinyURL</t>
  </si>
  <si>
    <t>https://chromewebstore.google.com/detail/lbadmllalinlpflkajgkkmjohckpnahm</t>
  </si>
  <si>
    <t>Screen Recorder by Klip</t>
  </si>
  <si>
    <t>https://chromewebstore.google.com/detail/lbcabedlbpobhpongobnfkbfceedgdjk</t>
  </si>
  <si>
    <t>PassBrow: Browser Password/Site Blocking</t>
  </si>
  <si>
    <t>https://chromewebstore.google.com/detail/lbgoadondhcaigdkciejdegkgambbkne</t>
  </si>
  <si>
    <t>一键管理扩展</t>
  </si>
  <si>
    <t>https://chromewebstore.google.com/detail/lboblnfejcmcaplhnbkkfcienhlhpnni</t>
  </si>
  <si>
    <t>哔哩助手</t>
  </si>
  <si>
    <t>https://chromewebstore.google.com/detail/lcdbjchkmflblionihdahffmfpbomdgn</t>
  </si>
  <si>
    <t>Akamai debug headers</t>
  </si>
  <si>
    <t>https://chromewebstore.google.com/detail/lcfphdldglgaodelggpckakfficpeefj</t>
  </si>
  <si>
    <t>Pic Maker</t>
  </si>
  <si>
    <t>https://chromewebstore.google.com/detail/lcmgcbgahjfokkiniknnafmeoaolkfab</t>
  </si>
  <si>
    <t>Magnet Link and .torrent to Transmission</t>
  </si>
  <si>
    <t>https://chromewebstore.google.com/detail/ldegpcdakhgalgehkaegdcmmgnneiekh</t>
  </si>
  <si>
    <t>Turbo.net Extension</t>
  </si>
  <si>
    <t>https://chromewebstore.google.com/detail/ldibmiofagdkgiphkcokpooepankmacl</t>
  </si>
  <si>
    <t>Chrome History Cleaner</t>
  </si>
  <si>
    <t>https://chromewebstore.google.com/detail/lebddibgdgkjheglmfpannlomiobdbhm</t>
  </si>
  <si>
    <t>Show-English.club extension</t>
  </si>
  <si>
    <t>https://chromewebstore.google.com/detail/lflgnjghielcddlkdjdcjalabpakebng</t>
  </si>
  <si>
    <t>Mass follow for Twitter</t>
  </si>
  <si>
    <t>https://chromewebstore.google.com/detail/lfmanfkmmgfigbnjibfemdnnfjboficn</t>
  </si>
  <si>
    <t>Email This</t>
  </si>
  <si>
    <t>https://chromewebstore.google.com/detail/lgblkllcjgihfnlefhnnpppndbbjallh</t>
  </si>
  <si>
    <t>Bell of Mindfulness</t>
  </si>
  <si>
    <t>https://chromewebstore.google.com/detail/lggmmceliiaoddfnbaccgpfnpoifilic</t>
  </si>
  <si>
    <t>Flash Block (Plus)</t>
  </si>
  <si>
    <t>https://chromewebstore.google.com/detail/lhjanpmhcanjknkcfjiikkjdecjkmngn</t>
  </si>
  <si>
    <t>Word Counter Extension</t>
  </si>
  <si>
    <t>https://chromewebstore.google.com/detail/lhkeofanobfbjmfbfjjmibanddfkgobc</t>
  </si>
  <si>
    <t>Privacy Cleaner</t>
  </si>
  <si>
    <t>https://chromewebstore.google.com/detail/liiikhhbkpmpomjmdofandjmdgapiahi</t>
  </si>
  <si>
    <t>History On/Off</t>
  </si>
  <si>
    <t>https://chromewebstore.google.com/detail/ljbpakpmiimdmblcjjhhbfabbkmcgmdp</t>
  </si>
  <si>
    <t>SEO Checker Tool - Get Free SEO Audit Analysis</t>
  </si>
  <si>
    <t>https://chromewebstore.google.com/detail/ljkhgacfcnhpfafpcdpaadgklajibdak</t>
  </si>
  <si>
    <t>CookieAquila</t>
  </si>
  <si>
    <t>https://chromewebstore.google.com/detail/lkgmjkgknefdgjjclddkhndgljlbgmhc</t>
  </si>
  <si>
    <t>SEO Peek</t>
  </si>
  <si>
    <t>https://chromewebstore.google.com/detail/lkkpfhgjmocgneajknedjhodkjkkclod</t>
  </si>
  <si>
    <t>Social tools</t>
  </si>
  <si>
    <t>https://chromewebstore.google.com/detail/llbdoljkknpjgfcnbnoiehjcgancpjmd</t>
  </si>
  <si>
    <t>Snake game</t>
  </si>
  <si>
    <t>https://chromewebstore.google.com/detail/lljpgahbeilaecaaiecghpmfajfeclge</t>
  </si>
  <si>
    <t>YouTube Music Last.fm Scrobbler</t>
  </si>
  <si>
    <t>https://chromewebstore.google.com/detail/llpepekkleeoeiloijhcafgpjdnhhcbl</t>
  </si>
  <si>
    <t>Toca Life: World</t>
  </si>
  <si>
    <t>https://chromewebstore.google.com/detail/lmcaacacgcdhhodchambiananlcdpbai</t>
  </si>
  <si>
    <t>QR Clip and Scan</t>
  </si>
  <si>
    <t>https://chromewebstore.google.com/detail/lmcaegdggcafolpgdikbahmnbbpdccgm</t>
  </si>
  <si>
    <t>Pin Last Tab</t>
  </si>
  <si>
    <t>https://chromewebstore.google.com/detail/lmhacemfmaapnkiehojbhmclmdnhjhfn</t>
  </si>
  <si>
    <t>LocalService Web Plug-in 2</t>
  </si>
  <si>
    <t>https://chromewebstore.google.com/detail/lmheddkblpkjlenfibgjpfheabbjemgd</t>
  </si>
  <si>
    <t>百度搜索</t>
  </si>
  <si>
    <t>https://chromewebstore.google.com/detail/lncoipkfcckgfhbmkjmfkfenoonmnjcd</t>
  </si>
  <si>
    <t>prajnAM - Screen Capturing</t>
  </si>
  <si>
    <t>https://chromewebstore.google.com/detail/lofpffjefackjdfaacfkjdbfhfnkdgfl</t>
  </si>
  <si>
    <t>Bizzy Beaver</t>
  </si>
  <si>
    <t>https://chromewebstore.google.com/detail/lonbpbajbkhgnpdmiooklflmcnmlmbna</t>
  </si>
  <si>
    <t>Ios Calculator</t>
  </si>
  <si>
    <t>https://chromewebstore.google.com/detail/loojjnjjfmnmaefhinlahhaegaffjahc</t>
  </si>
  <si>
    <t>Password Manager</t>
  </si>
  <si>
    <t>https://chromewebstore.google.com/detail/mbfjokpccbakbnnpklkcginkalkijkan</t>
  </si>
  <si>
    <t>SoundFixer</t>
  </si>
  <si>
    <t>https://chromewebstore.google.com/detail/mbhbddecpoendcifccfckjkigbinefkg</t>
  </si>
  <si>
    <t>Cisco Web Communicator</t>
  </si>
  <si>
    <t>https://chromewebstore.google.com/detail/mbhnoblcplfcookpoennihpndjobapeo</t>
  </si>
  <si>
    <t>Grayscale the Web - Save Sites</t>
  </si>
  <si>
    <t>https://chromewebstore.google.com/detail/mblmpdpfppogibmoobibfannckeeleag</t>
  </si>
  <si>
    <t>Photo Editor With Drive</t>
  </si>
  <si>
    <t>https://chromewebstore.google.com/detail/mcdkcbdmgpgehifficmblllmkhdnmobc</t>
  </si>
  <si>
    <t>SnappySnippet</t>
  </si>
  <si>
    <t>https://chromewebstore.google.com/detail/mdmgnnmlhdfofojkdoajglgmhaicejkk</t>
  </si>
  <si>
    <t>Browser WebSocket Client</t>
  </si>
  <si>
    <t>https://chromewebstore.google.com/detail/mdmlhchldhfnfnkfmljgeinlffmdgkjo</t>
  </si>
  <si>
    <t>SplitCast</t>
  </si>
  <si>
    <t>https://chromewebstore.google.com/detail/medgbgefdakphipekbmojjjhpmibhjif</t>
  </si>
  <si>
    <t>Unlimited Medium</t>
  </si>
  <si>
    <t>https://chromewebstore.google.com/detail/medpfcealkejgpagldhgadbfaejjacaa</t>
  </si>
  <si>
    <t>AdSpoiler</t>
  </si>
  <si>
    <t>https://chromewebstore.google.com/detail/mefkaeaddmfcaobcbofpfkohmdaeihbd</t>
  </si>
  <si>
    <t>Double Click Closes Tab</t>
  </si>
  <si>
    <t>https://chromewebstore.google.com/detail/megplcpdkmjjoondippkedoaidkeikcm</t>
  </si>
  <si>
    <t>Netflix Pause Removal</t>
  </si>
  <si>
    <t>https://chromewebstore.google.com/detail/mfekcpndbpdgjjfahekhncdfegkhbghg</t>
  </si>
  <si>
    <t>HostAdmin App</t>
  </si>
  <si>
    <t>https://chromewebstore.google.com/detail/mfoaclfeiefiehgaojbmncmefhdnikeg</t>
  </si>
  <si>
    <t>waboxapp</t>
  </si>
  <si>
    <t>https://chromewebstore.google.com/detail/mgaecjklgnbkkdfnfpncgnogplnjjcdh</t>
  </si>
  <si>
    <t>Invisible Kahoot Name</t>
  </si>
  <si>
    <t>https://chromewebstore.google.com/detail/mgbpliiilnmkgnjdfoneablfpmflghip</t>
  </si>
  <si>
    <t>Aspect Ratio 21:9</t>
  </si>
  <si>
    <t>https://chromewebstore.google.com/detail/mgpbkhkpghgmihmcfbndejmkaibbnljo</t>
  </si>
  <si>
    <t>iWeb2x - URL to PDF &amp; Image</t>
  </si>
  <si>
    <t>https://chromewebstore.google.com/detail/mhabjpofjblpelkgmllkpcnlhgjpebko</t>
  </si>
  <si>
    <t>Scraper Parsers - Free Web Scraping</t>
  </si>
  <si>
    <t>https://chromewebstore.google.com/detail/mhfjedhbggbodliofccpefegbmaoohin</t>
  </si>
  <si>
    <t>GTM Copy Paste</t>
  </si>
  <si>
    <t>https://chromewebstore.google.com/detail/mhhidgiahbopjapanmbflpkcecpciffa</t>
  </si>
  <si>
    <t>Circuit by Unify</t>
  </si>
  <si>
    <t>https://chromewebstore.google.com/detail/mhkbaognlahkdimlfcfhbeihldmjofgg</t>
  </si>
  <si>
    <t>XPress for Chrome</t>
  </si>
  <si>
    <t>https://chromewebstore.google.com/detail/mioddjnagbibapbehcccdfibbpjkadjd</t>
  </si>
  <si>
    <t>goodbye "Zenkaku" - さよなら全角英数</t>
  </si>
  <si>
    <t>https://chromewebstore.google.com/detail/mjdgifdhhligineaimmgbikndpifdgml</t>
  </si>
  <si>
    <t>Image blocker</t>
  </si>
  <si>
    <t>https://chromewebstore.google.com/detail/mkhbghdfcdepfhgeklhdhlmdldiiaajp</t>
  </si>
  <si>
    <t>Pasar lista Google Meet y Classroom</t>
  </si>
  <si>
    <t>https://chromewebstore.google.com/detail/mkngillhpfbfoecjendeiengbehmfimp</t>
  </si>
  <si>
    <t>Multi Highlight</t>
  </si>
  <si>
    <t>https://chromewebstore.google.com/detail/mmkdibnjnmdebbhnddmpknnedpcokonh</t>
  </si>
  <si>
    <t>Timewarp</t>
  </si>
  <si>
    <t>https://chromewebstore.google.com/detail/mmmhadpnjmokjbmgamifipkjddhlfkhi</t>
  </si>
  <si>
    <t>Панель Яндекс-Сервисов</t>
  </si>
  <si>
    <t>https://chromewebstore.google.com/detail/mnheacjogifmodmiamnlekeapplcihbm</t>
  </si>
  <si>
    <t>Salesforce Mass Editor</t>
  </si>
  <si>
    <t>https://chromewebstore.google.com/detail/mnmlmkmjjhpbfemhmhpcpfkdlgadbigf</t>
  </si>
  <si>
    <t>Photo Paint Instant</t>
  </si>
  <si>
    <t>https://chromewebstore.google.com/detail/mnphkaomgkbegpgndpmjfoljlkipenli</t>
  </si>
  <si>
    <t>品聘插件</t>
  </si>
  <si>
    <t>https://chromewebstore.google.com/detail/mnplmcgaklbhpennjinecnkjpedmfejc</t>
  </si>
  <si>
    <t>Zendesk Quicktab</t>
  </si>
  <si>
    <t>https://chromewebstore.google.com/detail/moiloihigegdbekeabannnkibekfnekf</t>
  </si>
  <si>
    <t>Time Tracker</t>
  </si>
  <si>
    <t>https://chromewebstore.google.com/detail/mokmnbikneoaenmckfmgjgjimphfojkd</t>
  </si>
  <si>
    <t>Cute Cat &amp; Kitten Cursor</t>
  </si>
  <si>
    <t>https://chromewebstore.google.com/detail/mpnkdjpgbhnnpaegmejjbgoelicncdmg</t>
  </si>
  <si>
    <t>SeasonVar</t>
  </si>
  <si>
    <t>https://chromewebstore.google.com/detail/nabjlccebfffbgmmoadelclcoaflbhnn</t>
  </si>
  <si>
    <t>KuCoin:Bitcoin,Dogecoin Price Market</t>
  </si>
  <si>
    <t>https://chromewebstore.google.com/detail/nalaeminfbmmidadoaegigajbapfajgi</t>
  </si>
  <si>
    <t>PoE Wiki Search</t>
  </si>
  <si>
    <t>https://chromewebstore.google.com/detail/nalpbalegehinpooppmmgjidgiebblad</t>
  </si>
  <si>
    <t>TumTaster</t>
  </si>
  <si>
    <t>https://chromewebstore.google.com/detail/nanfbkacbckngfcklahdgfagjlghfbgm</t>
  </si>
  <si>
    <t>Prioritab</t>
  </si>
  <si>
    <t>https://chromewebstore.google.com/detail/napbejkndjhcciibiglkimmgdlfjcbnp</t>
  </si>
  <si>
    <t>Quotes</t>
  </si>
  <si>
    <t>https://chromewebstore.google.com/detail/napnlheijpokljocbmigochahnlakhbp</t>
  </si>
  <si>
    <t>QNB eSolutions İmza İşlemleri Yardımcı Eklentisi</t>
  </si>
  <si>
    <t>https://chromewebstore.google.com/detail/nbdlmbalmemeafnibbnjbddkclefkkkn</t>
  </si>
  <si>
    <t>Tab Copy/Paste</t>
  </si>
  <si>
    <t>https://chromewebstore.google.com/detail/nbfccmdfpollpgjnbghmnkmgimliookh</t>
  </si>
  <si>
    <t>Hawaiian Keyboard</t>
  </si>
  <si>
    <t>https://chromewebstore.google.com/detail/nbljknjnnkmlpccdnlkkgmnmonhinbnh</t>
  </si>
  <si>
    <t>Shazify</t>
  </si>
  <si>
    <t>https://chromewebstore.google.com/detail/ncdhendbhjlcnboihkbjjldcndoebhan</t>
  </si>
  <si>
    <t>Font Identifier by WhatFontIs</t>
  </si>
  <si>
    <t>https://chromewebstore.google.com/detail/ncjkkfbddfkkemiejpfdgjcifjmbcloc</t>
  </si>
  <si>
    <t>Unblock Everything</t>
  </si>
  <si>
    <t>https://chromewebstore.google.com/detail/ncmnhiijmdhplkmkpejmmbpjiojchefe</t>
  </si>
  <si>
    <t>Pin Them All</t>
  </si>
  <si>
    <t>https://chromewebstore.google.com/detail/ndabmaflbdfldmdlccmpccenpkgklhln</t>
  </si>
  <si>
    <t>Open IE</t>
  </si>
  <si>
    <t>https://chromewebstore.google.com/detail/ndnijgilgcbhfnklfeookcddkgcecofk</t>
  </si>
  <si>
    <t>YouTube Anti Translate</t>
  </si>
  <si>
    <t>https://chromewebstore.google.com/detail/ndpmhjnlfkgfalaieeneneenijondgag</t>
  </si>
  <si>
    <t>Kahoot, Quicker</t>
  </si>
  <si>
    <t>https://chromewebstore.google.com/detail/nekjmidjbalppbmbahlicbomdngafneo</t>
  </si>
  <si>
    <t>join.me for Google Calendar</t>
  </si>
  <si>
    <t>https://chromewebstore.google.com/detail/nemahdoihakfniciobefoebllhlobdok</t>
  </si>
  <si>
    <t>CSS Shapes Editor</t>
  </si>
  <si>
    <t>https://chromewebstore.google.com/detail/nenndldnbcncjmeacmnondmkkfedmgmp</t>
  </si>
  <si>
    <t>Endole QuickView</t>
  </si>
  <si>
    <t>https://chromewebstore.google.com/detail/nfbbahbhaadfdhedpoifbamfdcfnflei</t>
  </si>
  <si>
    <t>Save Webpages Offline As MHTML</t>
  </si>
  <si>
    <t>https://chromewebstore.google.com/detail/nfbcfginnecenjncdjhaminfcienmehn</t>
  </si>
  <si>
    <t>Better Pull Request for GitHub</t>
  </si>
  <si>
    <t>https://chromewebstore.google.com/detail/nfhdjopbhlggibjlimhdbogflgmbiahc</t>
  </si>
  <si>
    <t>Discord Popup-Window</t>
  </si>
  <si>
    <t>https://chromewebstore.google.com/detail/nfjhhclkicfofjcjdpdkapbkmmmbnbpf</t>
  </si>
  <si>
    <t>Text Snippets</t>
  </si>
  <si>
    <t>https://chromewebstore.google.com/detail/nfkicldpnflkchmbaliabnplahdhipip</t>
  </si>
  <si>
    <t>Korail Macro</t>
  </si>
  <si>
    <t>https://chromewebstore.google.com/detail/nfmdeemncclfiaeppedpkaekjhceffka</t>
  </si>
  <si>
    <t>Math Tools</t>
  </si>
  <si>
    <t>https://chromewebstore.google.com/detail/ngeipjajooddgpedkfobklklflllhppn</t>
  </si>
  <si>
    <t>Google Calendar Scroll Disabler</t>
  </si>
  <si>
    <t>https://chromewebstore.google.com/detail/nghndfiaocgpmcbeafglhknklfgddebe</t>
  </si>
  <si>
    <t>Mail this link</t>
  </si>
  <si>
    <t>https://chromewebstore.google.com/detail/ngjdhjgbagpeimgpgloofkfoipgpdgdb</t>
  </si>
  <si>
    <t>ActivityWatch Web Watcher</t>
  </si>
  <si>
    <t>https://chromewebstore.google.com/detail/nglaklhklhcoonedhgnpgddginnjdadi</t>
  </si>
  <si>
    <t>Camera Effects &amp; Filters</t>
  </si>
  <si>
    <t>https://chromewebstore.google.com/detail/nhdkmikakepiiabdfjjgogcaielndmlj</t>
  </si>
  <si>
    <t>Papa Louie Game Launcher</t>
  </si>
  <si>
    <t>https://chromewebstore.google.com/detail/nhmhmcocmfkdpdbhkdalnkjpbhdnljhl</t>
  </si>
  <si>
    <t>YouTube Aspect Ratio Control</t>
  </si>
  <si>
    <t>https://chromewebstore.google.com/detail/nibkffljoplhfjjnompgibnkoehbjmmo</t>
  </si>
  <si>
    <t>Trimless for Google Mail™</t>
  </si>
  <si>
    <t>https://chromewebstore.google.com/detail/niepjjjfafhadmfdminbckmciijcaagc</t>
  </si>
  <si>
    <t>Hello, Goodbye</t>
  </si>
  <si>
    <t>https://chromewebstore.google.com/detail/nihpfpbibfgpgnfpbfedkdokihggapoi</t>
  </si>
  <si>
    <t>FindFlix: Netflix Secret Category Finder</t>
  </si>
  <si>
    <t>https://chromewebstore.google.com/detail/njgopmododdceghkcgbmgfffamnjbjno</t>
  </si>
  <si>
    <t>Agile SCRUM for Trello boards</t>
  </si>
  <si>
    <t>https://chromewebstore.google.com/detail/njmflagahgdhopbcdilgahjlfiecakpe</t>
  </si>
  <si>
    <t>List Opened Tabs</t>
  </si>
  <si>
    <t>https://chromewebstore.google.com/detail/nkaliaagdnbgadcpnkdbmnigkalbihlb</t>
  </si>
  <si>
    <t>Paint Header</t>
  </si>
  <si>
    <t>https://chromewebstore.google.com/detail/nkfgheamjehkhbjkidlbegfmkgndhdle</t>
  </si>
  <si>
    <t>Permission: Browse &amp; Earn Crypto</t>
  </si>
  <si>
    <t>https://chromewebstore.google.com/detail/nkfpegmmhcipdkgoiimdegfaicbdnndh</t>
  </si>
  <si>
    <t>Video Speed Changer</t>
  </si>
  <si>
    <t>https://chromewebstore.google.com/detail/nkgldikaifljadeeogdbanlckplpbffj</t>
  </si>
  <si>
    <t>The Printliminator</t>
  </si>
  <si>
    <t>https://chromewebstore.google.com/detail/nklechikgnfoonbfmcalddjcpmcmgapf</t>
  </si>
  <si>
    <t>dict-cc</t>
  </si>
  <si>
    <t>https://chromewebstore.google.com/detail/nknonnojlmhnmjhpeokdbeineeajcemh</t>
  </si>
  <si>
    <t>CSV Export for Trello</t>
  </si>
  <si>
    <t>https://chromewebstore.google.com/detail/nlclhmcmfjpmmngpopdgapiccfddfagi</t>
  </si>
  <si>
    <t>Layout Manager</t>
  </si>
  <si>
    <t>https://chromewebstore.google.com/detail/nldhhcppalplgopagbhfehfmpmpefkim</t>
  </si>
  <si>
    <t>Subtly — Subtitles. Translator. Word training</t>
  </si>
  <si>
    <t>https://chromewebstore.google.com/detail/nldojjdlhkfalipikhhnhhidfhgoopig</t>
  </si>
  <si>
    <t>TWF Buy Box Scope BETA 1.1</t>
  </si>
  <si>
    <t>https://chromewebstore.google.com/detail/nleehhpkbdfkfijnboebfaijhjabfjeb</t>
  </si>
  <si>
    <t>Bandcamp Volume</t>
  </si>
  <si>
    <t>https://chromewebstore.google.com/detail/nlikaonifbagdlcjoepofomefchkahab</t>
  </si>
  <si>
    <t>Extensions Update Notifier</t>
  </si>
  <si>
    <t>https://chromewebstore.google.com/detail/nlldbplhbaopldicmcoogopmkonpebjm</t>
  </si>
  <si>
    <t>UfunR</t>
  </si>
  <si>
    <t>https://chromewebstore.google.com/detail/nnbcadknhdmeinlkfomapcbmeiplkhjj</t>
  </si>
  <si>
    <t>Onshape</t>
  </si>
  <si>
    <t>https://chromewebstore.google.com/detail/nnhkopilnkhffhfakmeaafimgbcgjlii</t>
  </si>
  <si>
    <t>FOP2 Extension</t>
  </si>
  <si>
    <t>https://chromewebstore.google.com/detail/noeilkljmfafbfcdoieialchglebbcea</t>
  </si>
  <si>
    <t>Word Discoverer: Expand your vocabulary</t>
  </si>
  <si>
    <t>https://chromewebstore.google.com/detail/noncaeikjgpbdeoocblijjgegnobogib</t>
  </si>
  <si>
    <t>Chrome OS Wallpaper Info</t>
  </si>
  <si>
    <t>https://chromewebstore.google.com/detail/npbojjhacophkgfmllhoikaaiapdgacb</t>
  </si>
  <si>
    <t>Read Later</t>
  </si>
  <si>
    <t>https://chromewebstore.google.com/detail/nplngmgdacdfncdkpdomipkehfnbinfa</t>
  </si>
  <si>
    <t>WP Strona Startowa</t>
  </si>
  <si>
    <t>https://chromewebstore.google.com/detail/oafehcpjkmcajaddkiokiolhebnfhcmg</t>
  </si>
  <si>
    <t>Self Butler</t>
  </si>
  <si>
    <t>https://chromewebstore.google.com/detail/oafgjlmmngifdapmamnfcfppjnjebkif</t>
  </si>
  <si>
    <t>Single html downloader</t>
  </si>
  <si>
    <t>https://chromewebstore.google.com/detail/oahammdeiaankgiieafmgdpdoefadehl</t>
  </si>
  <si>
    <t>Multi Search &amp; Multi Jump</t>
  </si>
  <si>
    <t>https://chromewebstore.google.com/detail/oahidkobkdbfbknbloljgpjbeaefgapa</t>
  </si>
  <si>
    <t>Bongo Screenshare Extension</t>
  </si>
  <si>
    <t>https://chromewebstore.google.com/detail/oaocieklgnankpgmdbbepdkjpfheohgi</t>
  </si>
  <si>
    <t>Seasonvar - разблокировка сериалов</t>
  </si>
  <si>
    <t>https://chromewebstore.google.com/detail/oapompiieilbchpdikbnngomijbkehmn</t>
  </si>
  <si>
    <t>FicLab</t>
  </si>
  <si>
    <t>https://chromewebstore.google.com/detail/obbeehkplijogilkjkpkicnanojdckoi</t>
  </si>
  <si>
    <t>CDN Headers &amp; Cookies</t>
  </si>
  <si>
    <t>https://chromewebstore.google.com/detail/obldlamadkihjlkdjblncejeblbogmnb</t>
  </si>
  <si>
    <t>Jupyter Notebook Viewer</t>
  </si>
  <si>
    <t>https://chromewebstore.google.com/detail/ocabfdicbcamoonfhalkdojedklfcjmf</t>
  </si>
  <si>
    <t>Storage Area Explorer</t>
  </si>
  <si>
    <t>https://chromewebstore.google.com/detail/ocfjjjjhkpapocigimmppepjgfdecjkb</t>
  </si>
  <si>
    <t>MultiHighlighter</t>
  </si>
  <si>
    <t>https://chromewebstore.google.com/detail/ocifbglmlbpgpbflnkfpclkmckoollbn</t>
  </si>
  <si>
    <t>Codeforces Enhancer</t>
  </si>
  <si>
    <t>https://chromewebstore.google.com/detail/ocmandagmgmkcplckgnfgaokpgkfenmp</t>
  </si>
  <si>
    <t>트위치 투표 추첨기</t>
  </si>
  <si>
    <t>https://chromewebstore.google.com/detail/ocnplnjcbicbpbnlmpljfgicnpibidgj</t>
  </si>
  <si>
    <t>Export Tabs</t>
  </si>
  <si>
    <t>https://chromewebstore.google.com/detail/odafagokkafdbbeojliiojjmimakacil</t>
  </si>
  <si>
    <t>Custom New Tab Background</t>
  </si>
  <si>
    <t>https://chromewebstore.google.com/detail/odkemkdbjdjlpipmdmnidmcbjnchpghm</t>
  </si>
  <si>
    <t>Video Speed Controller</t>
  </si>
  <si>
    <t>https://chromewebstore.google.com/detail/oedcflfijnmdnkllbeoacabinnlgplmb</t>
  </si>
  <si>
    <t>All Cheat Sheets</t>
  </si>
  <si>
    <t>https://chromewebstore.google.com/detail/oedodeocfdeegliepeeoieemhdgoijod</t>
  </si>
  <si>
    <t>Lectio Colors</t>
  </si>
  <si>
    <t>https://chromewebstore.google.com/detail/oenijhondngbjobcpjdjjehcifkmhnib</t>
  </si>
  <si>
    <t>ChromeHue for Philips Hue</t>
  </si>
  <si>
    <t>https://chromewebstore.google.com/detail/ofhimkkaomaoilmnmfhmdoekoaeclkoa</t>
  </si>
  <si>
    <t>Alert Control</t>
  </si>
  <si>
    <t>https://chromewebstore.google.com/detail/ofjjanaennfbgpccfpbghnmblpdblbef</t>
  </si>
  <si>
    <t>Download Manager</t>
  </si>
  <si>
    <t>https://chromewebstore.google.com/detail/ofpglhlcdbjdhlacgbljnildhajfmlei</t>
  </si>
  <si>
    <t>LinkMiner</t>
  </si>
  <si>
    <t>https://chromewebstore.google.com/detail/ogdhdnpiclkaeicicamopfohidjokoom</t>
  </si>
  <si>
    <t>Helix Tab</t>
  </si>
  <si>
    <t>https://chromewebstore.google.com/detail/ogkjfglelpailehmjlkaodhoiageienh</t>
  </si>
  <si>
    <t>Cumulus Web</t>
  </si>
  <si>
    <t>https://chromewebstore.google.com/detail/ohndojpkopphmijlemjgnpbbpefpaang</t>
  </si>
  <si>
    <t>D&amp;D Beyond Campaign DM Screen</t>
  </si>
  <si>
    <t>https://chromewebstore.google.com/detail/oiajbaepngjfcgimlkaedfkdjkklkfhh</t>
  </si>
  <si>
    <t>Blue Prism 6.10.3 Browser Extension</t>
  </si>
  <si>
    <t>https://chromewebstore.google.com/detail/oiapacjhgpaojehgcndepionkjphanoe</t>
  </si>
  <si>
    <t>DOM Distiller Reading Mode</t>
  </si>
  <si>
    <t>https://chromewebstore.google.com/detail/oiembdaoobijmdmeobkalaehgifealpl</t>
  </si>
  <si>
    <t>RarityRanks</t>
  </si>
  <si>
    <t>https://chromewebstore.google.com/detail/ojiioomnfggllljmdbcnmnieffmonohl</t>
  </si>
  <si>
    <t>Phone to Chrome</t>
  </si>
  <si>
    <t>https://chromewebstore.google.com/detail/ojoecolejmnhkgafjnieigpjhgmpllnn</t>
  </si>
  <si>
    <t>Autoview</t>
  </si>
  <si>
    <t>https://chromewebstore.google.com/detail/okdhadoplaoehmeldlpakhpekjcpljmb</t>
  </si>
  <si>
    <t>Black Box</t>
  </si>
  <si>
    <t>https://chromewebstore.google.com/detail/okmghoejoecikkidlpdmkkamoheeckan</t>
  </si>
  <si>
    <t>Link Checker</t>
  </si>
  <si>
    <t>https://chromewebstore.google.com/detail/olcpkmmoifipcklgnphbhdhbpfniijmb</t>
  </si>
  <si>
    <t>Emotesly</t>
  </si>
  <si>
    <t>https://chromewebstore.google.com/detail/olhclbnmebbgkgodadbepmoifpfmbncm</t>
  </si>
  <si>
    <t>Extension manager for Chrome™</t>
  </si>
  <si>
    <t>https://chromewebstore.google.com/detail/oljgjlecbglpcabgaihhnfonkfibinmp</t>
  </si>
  <si>
    <t>Chrome Image Uncenterer</t>
  </si>
  <si>
    <t>https://chromewebstore.google.com/detail/olobjnglnkpmiljkdlghinhnjcdoeicl</t>
  </si>
  <si>
    <t>eID Chrome OS Extension</t>
  </si>
  <si>
    <t>https://chromewebstore.google.com/detail/omnlepdmccckgbfjimmgniphhfjdgepl</t>
  </si>
  <si>
    <t>Hangouts RTL fixer</t>
  </si>
  <si>
    <t>https://chromewebstore.google.com/detail/oohpklfcenaffjconedjebkaclkachmi</t>
  </si>
  <si>
    <t>PhotoTracker Lite</t>
  </si>
  <si>
    <t>https://chromewebstore.google.com/detail/opadloaiiilnjibkfkopaokgfkhggjgb</t>
  </si>
  <si>
    <t>SSSnip!</t>
  </si>
  <si>
    <t>https://chromewebstore.google.com/detail/opcciggnjillmifigagdpfpjdebfpgbh</t>
  </si>
  <si>
    <t>Viborg Skole/Dagtilbud login hjælper</t>
  </si>
  <si>
    <t>https://chromewebstore.google.com/detail/opjfknmcemmpibekaeofpaiamibpbafj</t>
  </si>
  <si>
    <t>美图秀秀网页版</t>
  </si>
  <si>
    <t>https://chromewebstore.google.com/detail/palndlbcjfipldkacepinepefaoimefb</t>
  </si>
  <si>
    <t>Show and Hide Passwords</t>
  </si>
  <si>
    <t>https://chromewebstore.google.com/detail/panhbjhhhpldcicghpekhonnmfnpgibd</t>
  </si>
  <si>
    <t>為什麼你們就是不能加個空格呢？</t>
  </si>
  <si>
    <t>https://chromewebstore.google.com/detail/paphcfdffjnbcgkokihcdjliihicmbpd</t>
  </si>
  <si>
    <t>みんなの顔文字辞典</t>
  </si>
  <si>
    <t>https://chromewebstore.google.com/detail/pbnfoocjojdfnhnalpocedblfgcfgmij</t>
  </si>
  <si>
    <t>Download Audio of Online Dictionaries</t>
  </si>
  <si>
    <t>https://chromewebstore.google.com/detail/pdnaboncdpkapafcfbajadgknpfjegod</t>
  </si>
  <si>
    <t>Block image</t>
  </si>
  <si>
    <t>https://chromewebstore.google.com/detail/pehaalcefcjfccdpbckoablngfkfgfgj</t>
  </si>
  <si>
    <t>Da Vinci Tools</t>
  </si>
  <si>
    <t>https://chromewebstore.google.com/detail/pekljbkpgnpphbkgjbfgiiclemodfpen</t>
  </si>
  <si>
    <t>Zoho Projects</t>
  </si>
  <si>
    <t>https://chromewebstore.google.com/detail/peldkgicldgmbampajgepnigbpkhomoh</t>
  </si>
  <si>
    <t>Platformer</t>
  </si>
  <si>
    <t>https://chromewebstore.google.com/detail/pepfkgggdijnfhjcipialphagjhflbni</t>
  </si>
  <si>
    <t>OpenSubtitles</t>
  </si>
  <si>
    <t>https://chromewebstore.google.com/detail/pfbdkpjnibjpkebckajcinnjlkdeilej</t>
  </si>
  <si>
    <t>Netflix AutoSkip: Skip intro and outro</t>
  </si>
  <si>
    <t>https://chromewebstore.google.com/detail/pfcombngcgnehkbdoafkhdcfdmklboai</t>
  </si>
  <si>
    <t>Watchmarker for Youtube</t>
  </si>
  <si>
    <t>https://chromewebstore.google.com/detail/pfkkfbfdhomeagojoahjmkojeeepcolc</t>
  </si>
  <si>
    <t>Radio Record Online</t>
  </si>
  <si>
    <t>https://chromewebstore.google.com/detail/pfkmomjanfdkaffoiamhcdgfbogpggok</t>
  </si>
  <si>
    <t>Zed Code Editor</t>
  </si>
  <si>
    <t>https://chromewebstore.google.com/detail/pfmjnmeipppmcebplngmhfkleiinphhp</t>
  </si>
  <si>
    <t>Scratch Science</t>
  </si>
  <si>
    <t>https://chromewebstore.google.com/detail/pgbfbligipdmjpgnpacnojdmndgnihih</t>
  </si>
  <si>
    <t>Lightshot Pager</t>
  </si>
  <si>
    <t>https://chromewebstore.google.com/detail/pgeenmhdlnjmaaeneackfkkiggpefmeg</t>
  </si>
  <si>
    <t>Magnet Links for Torrentz</t>
  </si>
  <si>
    <t>https://chromewebstore.google.com/detail/pgmaidhfoodebfiocgananbdfnankehm</t>
  </si>
  <si>
    <t>Just a Clock - the Minutes</t>
  </si>
  <si>
    <t>https://chromewebstore.google.com/detail/pgmgkfgcnigcopcjhilfabbdgmjmkogj</t>
  </si>
  <si>
    <t>Scratch 3 Developer Tools</t>
  </si>
  <si>
    <t>https://chromewebstore.google.com/detail/phacniajokfchdcamjhonkbhlcipplno</t>
  </si>
  <si>
    <t>Reading Ruler</t>
  </si>
  <si>
    <t>https://chromewebstore.google.com/detail/phiedfcbjfjagnjikfbobmldbpmdcpfk</t>
  </si>
  <si>
    <t>Fonts Changer</t>
  </si>
  <si>
    <t>https://chromewebstore.google.com/detail/phkenomnahhgjnmpignadbeandfanbil</t>
  </si>
  <si>
    <t>Включение Flash для игры Косынка-Онлайн</t>
  </si>
  <si>
    <t>https://chromewebstore.google.com/detail/phmlcmkdgeapcedlahdlfgodngoenbmh</t>
  </si>
  <si>
    <t>FPT GPA</t>
  </si>
  <si>
    <t>https://chromewebstore.google.com/detail/pieacoaichghpileamnhephkedchnlba</t>
  </si>
  <si>
    <t>Web2PttChrome</t>
  </si>
  <si>
    <t>https://chromewebstore.google.com/detail/pjemnpgdmnlkkcpaddlnlegmdfpohnep</t>
  </si>
  <si>
    <t>Show Tab List</t>
  </si>
  <si>
    <t>https://chromewebstore.google.com/detail/pjpbfdjmmlnelgbkffopkgpggeeaildc</t>
  </si>
  <si>
    <t>股票行情助手</t>
  </si>
  <si>
    <t>https://chromewebstore.google.com/detail/pkkcbddohfehjhknimeckglogkcdonff</t>
  </si>
  <si>
    <t>Element Locator</t>
  </si>
  <si>
    <t>https://chromewebstore.google.com/detail/pldlfgnilfdheajekfphjkjeooignhkc</t>
  </si>
  <si>
    <t>IPP/CUPS printing for G Suite admins</t>
  </si>
  <si>
    <t>https://chromewebstore.google.com/detail/pmaionhboofajejhmkheilkoifkmigfe</t>
  </si>
  <si>
    <t>NetSuite: Show Field IDs</t>
  </si>
  <si>
    <t>https://chromewebstore.google.com/detail/pnhdmfiakolonplgblabffnpfhfplmbh</t>
  </si>
  <si>
    <t>Quick Equations</t>
  </si>
  <si>
    <t>https://chromewebstore.google.com/detail/pnhnfjbdadnnicpliempeidfminbflon</t>
  </si>
  <si>
    <t>Twitch - Auto Channel Points</t>
  </si>
  <si>
    <t>https://chromewebstore.google.com/detail/pnifeididimfpaomnnellcfjnjmgoepk</t>
  </si>
  <si>
    <t>Email Address Autocomplete</t>
  </si>
  <si>
    <t>https://chromewebstore.google.com/detail/pnnbnklagfdokfbdfphhojhifjppjmmc</t>
  </si>
  <si>
    <t>fantia-dl-tool</t>
  </si>
  <si>
    <t>https://chromewebstore.google.com/detail/poaolllddjlbbomnohpahbpdlcklkffi</t>
  </si>
  <si>
    <t>Tribal Wars Train</t>
  </si>
  <si>
    <t>https://chromewebstore.google.com/detail/ppajhpdaingbnajnkoidgmkoblgpfiok</t>
  </si>
  <si>
    <t>SEOInfo</t>
  </si>
  <si>
    <t>https://chromewebstore.google.com/detail/ppbdklaincgliegpfolkjjfncpgobneb</t>
  </si>
  <si>
    <t>Legacy Podawaa - Get more Engagement on LinkedIn</t>
  </si>
  <si>
    <t>https://chromewebstore.google.com/detail/ppgndohgacfggdpbcdlgibdkdknimfmn</t>
  </si>
  <si>
    <t>Video LR mirror</t>
  </si>
  <si>
    <t>https://chromewebstore.google.com/detail/pphhglinlapdiefcikbkhcpkhbkfoahl</t>
  </si>
  <si>
    <t>Share with Facebook, Twitter, Google+, Email</t>
  </si>
  <si>
    <t>https://chromewebstore.google.com/detail/cjhmhnomplgoidnkjdacpmpccmaplnmk</t>
  </si>
  <si>
    <t>Hide YouTube Comments, Live Chat, &amp; Related</t>
  </si>
  <si>
    <t>https://chromewebstore.google.com/detail/fcchghcgfeadhdmkmpkedplecikkajnp</t>
  </si>
  <si>
    <t>Clay for Chrome</t>
  </si>
  <si>
    <t>https://chromewebstore.google.com/detail/acmfklpkefjlldbkdgmjoiknfgidadoh</t>
  </si>
  <si>
    <t>Migaku - Legacy</t>
  </si>
  <si>
    <t>https://chromewebstore.google.com/detail/acpchjgielgmkgkplljakcibfbjjppbk</t>
  </si>
  <si>
    <t>Bankybee</t>
  </si>
  <si>
    <t>https://chromewebstore.google.com/detail/ademeajfjdhnjabjbamofoppjoefikbl</t>
  </si>
  <si>
    <t>Core Web Vitals</t>
  </si>
  <si>
    <t>https://chromewebstore.google.com/detail/adeniimnihmbpgpbljmnohjpoolmgabj</t>
  </si>
  <si>
    <t>绿色搜索</t>
  </si>
  <si>
    <t>https://chromewebstore.google.com/detail/aeajloomjeoncelkceelhhpkgbcgafek</t>
  </si>
  <si>
    <t>Page Reader</t>
  </si>
  <si>
    <t>https://chromewebstore.google.com/detail/afokdhhgekbckelmkfegdggbeohdbnge</t>
  </si>
  <si>
    <t>Quote reply for Chat</t>
  </si>
  <si>
    <t>https://chromewebstore.google.com/detail/ahedbaplpdhdlekpbgcghkoknfiffgaa</t>
  </si>
  <si>
    <t>Video Color Enhancer</t>
  </si>
  <si>
    <t>https://chromewebstore.google.com/detail/ahfioiamcnpgmfecmmnecajookbmgcdp</t>
  </si>
  <si>
    <t>CacheList</t>
  </si>
  <si>
    <t>https://chromewebstore.google.com/detail/amhhdbdhoghppijbjfdkiaconkmfbbpa</t>
  </si>
  <si>
    <t>Elink - Bookmark Manager</t>
  </si>
  <si>
    <t>https://chromewebstore.google.com/detail/ancooclifmcdfafbgjmgpmcembfaknka</t>
  </si>
  <si>
    <t>RootsSearch</t>
  </si>
  <si>
    <t>https://chromewebstore.google.com/detail/aolcffalbhpnojekmimmelebjchjmmgn</t>
  </si>
  <si>
    <t>Portent's SEO Page Review</t>
  </si>
  <si>
    <t>https://chromewebstore.google.com/detail/babgchcegnkbiojmdpnoilficladccfm</t>
  </si>
  <si>
    <t>Multicopy</t>
  </si>
  <si>
    <t>https://chromewebstore.google.com/detail/bbihhbmcpmmbidebeomhomjelncfghcl</t>
  </si>
  <si>
    <t>Remembering our Ancestors</t>
  </si>
  <si>
    <t>https://chromewebstore.google.com/detail/bfjiilkifhalkihddbplganidlpiggcp</t>
  </si>
  <si>
    <t>Bitcoin Price Ticker</t>
  </si>
  <si>
    <t>https://chromewebstore.google.com/detail/bgddejjmhilkdllbakkgddjodommlimc</t>
  </si>
  <si>
    <t>CopyComments for Classroom</t>
  </si>
  <si>
    <t>https://chromewebstore.google.com/detail/bimclhojllkneajakbnefcmiefgeiljo</t>
  </si>
  <si>
    <t>DTU Course Analyzer</t>
  </si>
  <si>
    <t>https://chromewebstore.google.com/detail/bimhgdngikcnelkhjindmdghndfmdcde</t>
  </si>
  <si>
    <t>Pulse by Zerodha</t>
  </si>
  <si>
    <t>https://chromewebstore.google.com/detail/bjclahdopnlbobebbaomknljkkcljfmp</t>
  </si>
  <si>
    <t>BTS Bangtan Boys 2021 New Tab</t>
  </si>
  <si>
    <t>https://chromewebstore.google.com/detail/bkobppjlgldgglhfbofllmmmnjnelohf</t>
  </si>
  <si>
    <t>CF World Standings</t>
  </si>
  <si>
    <t>https://chromewebstore.google.com/detail/caginmipmmelcmijagfppgdljepiioak</t>
  </si>
  <si>
    <t>Easync Product ID Grab Tool for Drop Shipping</t>
  </si>
  <si>
    <t>https://chromewebstore.google.com/detail/cailnmbnfboealffnempgplnfcjoibgb</t>
  </si>
  <si>
    <t>QU Studio</t>
  </si>
  <si>
    <t>https://chromewebstore.google.com/detail/cbjkifnpmcklidaeagdmomenomblnjkg</t>
  </si>
  <si>
    <t>Aternity Web Activity Creator</t>
  </si>
  <si>
    <t>https://chromewebstore.google.com/detail/cdnnpklbhipmnknojapkdiocjgmplpcc</t>
  </si>
  <si>
    <t>Simple URL Copy</t>
  </si>
  <si>
    <t>https://chromewebstore.google.com/detail/cefkgjbbpagcilodnhboolbppdjlplip</t>
  </si>
  <si>
    <t>Group Your Tabs</t>
  </si>
  <si>
    <t>https://chromewebstore.google.com/detail/chaoejepfhlcelgpicelfccoiojpiofn</t>
  </si>
  <si>
    <t>QIWI Бонус</t>
  </si>
  <si>
    <t>https://chromewebstore.google.com/detail/chcdkemhhpmgoadkkpaacmidejeaegji</t>
  </si>
  <si>
    <t>PDF Converted - Convert Documents</t>
  </si>
  <si>
    <t>https://chromewebstore.google.com/detail/cjhhoaiagdpfhnmdcdefeffiaejndild</t>
  </si>
  <si>
    <t>auto-resume downloads</t>
  </si>
  <si>
    <t>https://chromewebstore.google.com/detail/cklhieaaomjcmlaeopmeidpfdjjogjaf</t>
  </si>
  <si>
    <t>OCG - Saving Ocean Life</t>
  </si>
  <si>
    <t>https://chromewebstore.google.com/detail/cnmdgbpgnlocnjnoiiphaoepebfijidi</t>
  </si>
  <si>
    <t>Enjoy Learning Languages</t>
  </si>
  <si>
    <t>https://chromewebstore.google.com/detail/cnppaiifcooegmendcabeagbgnhhjoea</t>
  </si>
  <si>
    <t>English to Bengali Dictionary | BDWord</t>
  </si>
  <si>
    <t>https://chromewebstore.google.com/detail/cogjmeckpkinhnidokapabgaoelhkbcl</t>
  </si>
  <si>
    <t>Diccionario de la RAE</t>
  </si>
  <si>
    <t>https://chromewebstore.google.com/detail/cpkeapbdnodhgecbnilbbigldpmgobln</t>
  </si>
  <si>
    <t>YouTool - 移除廣告 For YouTube、LiTV線上影視</t>
  </si>
  <si>
    <t>https://chromewebstore.google.com/detail/dbmemgfhdlfokgdgimeejfkbcdaiable</t>
  </si>
  <si>
    <t>Subscriptions Grid For YouTube™</t>
  </si>
  <si>
    <t>https://chromewebstore.google.com/detail/dcnjhgnfnmijfkmcddcmffeamphmmeed</t>
  </si>
  <si>
    <t>WhenX: Mark Linkedin Profiles with notes</t>
  </si>
  <si>
    <t>https://chromewebstore.google.com/detail/dgafcidlgmbcehokgdeghmfnbpbfhihh</t>
  </si>
  <si>
    <t>Per Tab Zoom</t>
  </si>
  <si>
    <t>https://chromewebstore.google.com/detail/dnhodapkogdjinogphlafimejpmahoam</t>
  </si>
  <si>
    <t>Healthy Browsing</t>
  </si>
  <si>
    <t>https://chromewebstore.google.com/detail/dokaikblnjlonmiahdahfpjjdcohblig</t>
  </si>
  <si>
    <t>Text to Speech</t>
  </si>
  <si>
    <t>https://chromewebstore.google.com/detail/dpckcijgfoooohnnijhjcakkibbcmlje</t>
  </si>
  <si>
    <t>Periodic Table of Elements</t>
  </si>
  <si>
    <t>https://chromewebstore.google.com/detail/dpdhegjlajgbiiceamhfgdgpogbfbppc</t>
  </si>
  <si>
    <t>MaterialDesignIcons Picker</t>
  </si>
  <si>
    <t>https://chromewebstore.google.com/detail/edjaedpifkihpjkcgknfokmibkoafhme</t>
  </si>
  <si>
    <t>NZBDonkey</t>
  </si>
  <si>
    <t>https://chromewebstore.google.com/detail/edkhpdceeinkcacjdgebjehipmnbomce</t>
  </si>
  <si>
    <t>Custom Hangout Emoticons</t>
  </si>
  <si>
    <t>https://chromewebstore.google.com/detail/egaicdjagfbejjeihijpnelohejdhhjd</t>
  </si>
  <si>
    <t>Force Enable Text Selection</t>
  </si>
  <si>
    <t>https://chromewebstore.google.com/detail/ehahhhffddaohggfoijpnnagkkeagmmb</t>
  </si>
  <si>
    <t>Poker 3 Bags</t>
  </si>
  <si>
    <t>https://chromewebstore.google.com/detail/elaooojnffbbffleipfpidefmgonlflo</t>
  </si>
  <si>
    <t>ScribeFire</t>
  </si>
  <si>
    <t>https://chromewebstore.google.com/detail/elkkomimknapgodalnkjeddkjnjkfmfp</t>
  </si>
  <si>
    <t>Twitch Theater Mode for YouTube</t>
  </si>
  <si>
    <t>https://chromewebstore.google.com/detail/emkgicniaaleakbicedgkimdegnjgbkd</t>
  </si>
  <si>
    <t>BookWithMatrix</t>
  </si>
  <si>
    <t>https://chromewebstore.google.com/detail/enpgegaockimafpdjomphligajfkcaeo</t>
  </si>
  <si>
    <t>Remove Friends</t>
  </si>
  <si>
    <t>https://chromewebstore.google.com/detail/eoofekhejnklbbihkfjflikoijminged</t>
  </si>
  <si>
    <t>Geo Clever Fixed</t>
  </si>
  <si>
    <t>https://chromewebstore.google.com/detail/faebneelfchccdlcndkegjjfffbfmcch</t>
  </si>
  <si>
    <t>Invite Post Likers to Like Facebook™ Page</t>
  </si>
  <si>
    <t>https://chromewebstore.google.com/detail/fflgkfikdainjeckdabnmcaabkgfolpf</t>
  </si>
  <si>
    <t>Vue.js devtools - UI Customized</t>
  </si>
  <si>
    <t>https://chromewebstore.google.com/detail/fjjopahebfkmlmkekebhacaklbhiefbn</t>
  </si>
  <si>
    <t>Checker Mail.ru</t>
  </si>
  <si>
    <t>https://chromewebstore.google.com/detail/fkhjifjohobgjbmmlgoieigpdaglpfci</t>
  </si>
  <si>
    <t>Tumblr Collage</t>
  </si>
  <si>
    <t>https://chromewebstore.google.com/detail/fmfgcipfpihnkblbbemdagfdhjjeilli</t>
  </si>
  <si>
    <t>IrLinks</t>
  </si>
  <si>
    <t>https://chromewebstore.google.com/detail/foakpniabhngjaebkipgllinnnbmemee</t>
  </si>
  <si>
    <t>Qualys BrowserCheck for Windows</t>
  </si>
  <si>
    <t>https://chromewebstore.google.com/detail/foklmnihmhdobgonljkdamiiohnobkff</t>
  </si>
  <si>
    <t>Close Tabs</t>
  </si>
  <si>
    <t>https://chromewebstore.google.com/detail/gadafnnkijfmbbmeielphlapddbmgbgo</t>
  </si>
  <si>
    <t>FPS extension</t>
  </si>
  <si>
    <t>https://chromewebstore.google.com/detail/gdkkmimldhefhmmmlalioafomdlahcog</t>
  </si>
  <si>
    <t>Neflix Auto Skip Intro Button</t>
  </si>
  <si>
    <t>https://chromewebstore.google.com/detail/gebekalhaofndolblbmajhoppodkljfn</t>
  </si>
  <si>
    <t>Salesforce Enhanced Code Searcher</t>
  </si>
  <si>
    <t>https://chromewebstore.google.com/detail/genlpoidbjlaieaginkdbndpbejibdlm</t>
  </si>
  <si>
    <t>Follow</t>
  </si>
  <si>
    <t>https://chromewebstore.google.com/detail/gkakfimgbmogkpmjokgnbbanmmemcdij</t>
  </si>
  <si>
    <t>Animated Cursors Forever!</t>
  </si>
  <si>
    <t>https://chromewebstore.google.com/detail/glbompdcoknijlagjdallgimohbcopem</t>
  </si>
  <si>
    <t>Mustsee</t>
  </si>
  <si>
    <t>https://chromewebstore.google.com/detail/gogbdmmlnloojdafblpkmkhgigcidnmn</t>
  </si>
  <si>
    <t>Twitter Follower</t>
  </si>
  <si>
    <t>https://chromewebstore.google.com/detail/hcghlfjkhaigchnbbkbcgadlnckobaei</t>
  </si>
  <si>
    <t>Talking Web</t>
  </si>
  <si>
    <t>https://chromewebstore.google.com/detail/hdeikpphnbclpacdjdjjkpmbcacopnog</t>
  </si>
  <si>
    <t>Auto Refresh With Notifications</t>
  </si>
  <si>
    <t>https://chromewebstore.google.com/detail/hdokhoidbfbodcgoeacbddacldjgnkjc</t>
  </si>
  <si>
    <t>MSTC Signer App</t>
  </si>
  <si>
    <t>https://chromewebstore.google.com/detail/hegmfehonmphmimjobfogcoppmgepcjj</t>
  </si>
  <si>
    <t>Route zezo.org</t>
  </si>
  <si>
    <t>https://chromewebstore.google.com/detail/hfmdbddgjlicmflejkkoafbkdgnfggbg</t>
  </si>
  <si>
    <t>Voice Actions for Chrome</t>
  </si>
  <si>
    <t>https://chromewebstore.google.com/detail/hhpjefokaphndbbidpehikcjhldaklje</t>
  </si>
  <si>
    <t>PAYAD.ME</t>
  </si>
  <si>
    <t>https://chromewebstore.google.com/detail/hknjhjdeboiedcilijpcjhaiacpflkdf</t>
  </si>
  <si>
    <t>Everything Metric - Auto Unit Converter</t>
  </si>
  <si>
    <t>https://chromewebstore.google.com/detail/hknjpaididhfgeocegbacehlnkofjoni</t>
  </si>
  <si>
    <t>Video Compressor</t>
  </si>
  <si>
    <t>https://chromewebstore.google.com/detail/homcnjdjgbccodplgdpdjfijjjdecbln</t>
  </si>
  <si>
    <t>Remember The Milk for Gmail</t>
  </si>
  <si>
    <t>https://chromewebstore.google.com/detail/hphjpfmagbhbdfhdndglcccmhdjhjjce</t>
  </si>
  <si>
    <t>Zipwhip Extension</t>
  </si>
  <si>
    <t>https://chromewebstore.google.com/detail/hpnffeaopnnigkjacmoekfkpijmmkiec</t>
  </si>
  <si>
    <t>Pinegrow Web Designer</t>
  </si>
  <si>
    <t>https://chromewebstore.google.com/detail/ibpddbdepndjfcccdmoogflacnflpoka</t>
  </si>
  <si>
    <t>Hard Refresh</t>
  </si>
  <si>
    <t>https://chromewebstore.google.com/detail/ichmdelihgokllcnibkcpciljnggojkj</t>
  </si>
  <si>
    <t>No PDF Download</t>
  </si>
  <si>
    <t>https://chromewebstore.google.com/detail/ikhahkidgnljlniknmendeflkdlfhonj</t>
  </si>
  <si>
    <t>Preact Developer Tools</t>
  </si>
  <si>
    <t>https://chromewebstore.google.com/detail/ilcajpmogmhpliinlbcdebhbcanbghmd</t>
  </si>
  <si>
    <t>Address bar search engine switcher</t>
  </si>
  <si>
    <t>https://chromewebstore.google.com/detail/jbnopeoocgbmnochaadfnhiiimfpbpmf</t>
  </si>
  <si>
    <t>Chrome Video Pop-out</t>
  </si>
  <si>
    <t>https://chromewebstore.google.com/detail/jcgacckndmapfdcccebjlhglchkbfkjk</t>
  </si>
  <si>
    <t>HiddenTools for Google Chrome™</t>
  </si>
  <si>
    <t>https://chromewebstore.google.com/detail/jhcdplpmjpchlfjfihdpimbakifjnnda</t>
  </si>
  <si>
    <t>Redirect2</t>
  </si>
  <si>
    <t>https://chromewebstore.google.com/detail/jingcebjicjghaknapndgnlhbcmnlbfn</t>
  </si>
  <si>
    <t>Nothing 2 All | Blackjack</t>
  </si>
  <si>
    <t>https://chromewebstore.google.com/detail/jlhbhbahobaobjodhbjebfkildibombl</t>
  </si>
  <si>
    <t>Messenger &amp; Notifier for Facebook™</t>
  </si>
  <si>
    <t>https://chromewebstore.google.com/detail/kahmhmlnbgnkcdkedieeokmfgifjgaap</t>
  </si>
  <si>
    <t>Screen sharing for attendanywhere.co.uk</t>
  </si>
  <si>
    <t>https://chromewebstore.google.com/detail/kbabipfneinkpdahbehjmdgfbjcfpgja</t>
  </si>
  <si>
    <t>Fastr</t>
  </si>
  <si>
    <t>https://chromewebstore.google.com/detail/khjpgjjkndhlnokfmfpfphpigeoinnim</t>
  </si>
  <si>
    <t>AutoMute</t>
  </si>
  <si>
    <t>https://chromewebstore.google.com/detail/kjcdcbhfpjkcjinohfaaihpcmpnpmpie</t>
  </si>
  <si>
    <t>Exact Time Viewer for Instagram</t>
  </si>
  <si>
    <t>https://chromewebstore.google.com/detail/koffnfmgjmoopfgelgbbkjmdnppadlae</t>
  </si>
  <si>
    <t>Openload Video Only</t>
  </si>
  <si>
    <t>https://chromewebstore.google.com/detail/leallakffbiflfgpmamdgcojddnbfdgo</t>
  </si>
  <si>
    <t>SNUON Assistant</t>
  </si>
  <si>
    <t>https://chromewebstore.google.com/detail/lhcmjfihagpmejhbbhkiapppaacgneoi</t>
  </si>
  <si>
    <t>Web Socket Client</t>
  </si>
  <si>
    <t>https://chromewebstore.google.com/detail/lifhekgaodigcpmnakfhaaaboididbdn</t>
  </si>
  <si>
    <t>Rutor Torrent Search Pro</t>
  </si>
  <si>
    <t>https://chromewebstore.google.com/detail/lljncgccioajcnjlkkigiecjekggdcco</t>
  </si>
  <si>
    <t>LipSurf - Voice Control for the Web</t>
  </si>
  <si>
    <t>https://chromewebstore.google.com/detail/lnnmjmalakahagblkkcnjkoaihlfglon</t>
  </si>
  <si>
    <t>Trend Micro Shell Shock Detector</t>
  </si>
  <si>
    <t>https://chromewebstore.google.com/detail/lpkjdakjlliooohonkdfofmeifdccbfp</t>
  </si>
  <si>
    <t>Roam-highlighter</t>
  </si>
  <si>
    <t>https://chromewebstore.google.com/detail/mcoimieglmhdjdoplhpcmifgplkbfibp</t>
  </si>
  <si>
    <t>danime-another-comment</t>
  </si>
  <si>
    <t>https://chromewebstore.google.com/detail/mglbjmlapcmlbkhebomcmmnkfcnallkf</t>
  </si>
  <si>
    <t>Advanced Page Language Switcher</t>
  </si>
  <si>
    <t>https://chromewebstore.google.com/detail/mhgjlbolkmcookadjpolimbddngjgbol</t>
  </si>
  <si>
    <t>Dark New Tab</t>
  </si>
  <si>
    <t>https://chromewebstore.google.com/detail/mnjmegebbljjhpljjfjmkhgmokpmdbpo</t>
  </si>
  <si>
    <t>2048 Multiplayer (beta)</t>
  </si>
  <si>
    <t>https://chromewebstore.google.com/detail/mohfpbpkclhhcofcekmaomibblmlhgig</t>
  </si>
  <si>
    <t>Roll20: Click &amp; Roll</t>
  </si>
  <si>
    <t>https://chromewebstore.google.com/detail/mohhillnhaheggkkjjmblipbehejpoba</t>
  </si>
  <si>
    <t>Drive Direct Download</t>
  </si>
  <si>
    <t>https://chromewebstore.google.com/detail/mpfdlhhpbhgghplbambikplcfpbjiail</t>
  </si>
  <si>
    <t>Simple Bookmarks</t>
  </si>
  <si>
    <t>https://chromewebstore.google.com/detail/nafmgkhgdblkabfjfegmafagpccaobfg</t>
  </si>
  <si>
    <t>Juice - Amazon Coupons Finder</t>
  </si>
  <si>
    <t>https://chromewebstore.google.com/detail/napgiiljdfdiklcipgdkhpgfgjkjamfo</t>
  </si>
  <si>
    <t>FinEye</t>
  </si>
  <si>
    <t>https://chromewebstore.google.com/detail/nddhfphijlfdfjlcfaimogfpjcbbafep</t>
  </si>
  <si>
    <t>Button: Downloads</t>
  </si>
  <si>
    <t>https://chromewebstore.google.com/detail/ndmhmkfeeagmjnbgcpbaipeiojeekgcg</t>
  </si>
  <si>
    <t>InterLogistic Tool</t>
  </si>
  <si>
    <t>https://chromewebstore.google.com/detail/nejhljchonjbbppnbeggcndiekjhangd</t>
  </si>
  <si>
    <t>Sizzy</t>
  </si>
  <si>
    <t>https://chromewebstore.google.com/detail/nfhlbmjiiogoelaflfclodlkncbdiefo</t>
  </si>
  <si>
    <t>vpnEstonia - Fastest VPN at lowest latency</t>
  </si>
  <si>
    <t>https://chromewebstore.google.com/detail/nhpmkadfmieicpkanpcdmhbgbanflbpa</t>
  </si>
  <si>
    <t>Tiga - Github国内下载和克隆文件加速</t>
  </si>
  <si>
    <t>https://chromewebstore.google.com/detail/niemgccefhbiambnhhlpcpfcfbkmoobi</t>
  </si>
  <si>
    <t>Forever pinned</t>
  </si>
  <si>
    <t>https://chromewebstore.google.com/detail/nigigpmchbpkjjgncmpiggfnikllldlh</t>
  </si>
  <si>
    <t>Roblox Catalog and Develop dropdown menu</t>
  </si>
  <si>
    <t>https://chromewebstore.google.com/detail/ninlcpgbcnldebbfkclejmfdcaonfnng</t>
  </si>
  <si>
    <t>https://chromewebstore.google.com/detail/nkndmgfhohbehjfgkcapcahcnglbeipo</t>
  </si>
  <si>
    <t>Tab Sorter</t>
  </si>
  <si>
    <t>https://chromewebstore.google.com/detail/nlnkcinjjeoojlhdiedbbolilahmnldj</t>
  </si>
  <si>
    <t>StartMeeting.com Scheduler</t>
  </si>
  <si>
    <t>https://chromewebstore.google.com/detail/nnedppabchbjaplcbjpbkcjhpmfdhpin</t>
  </si>
  <si>
    <t>Antivirus Online Scanner</t>
  </si>
  <si>
    <t>https://chromewebstore.google.com/detail/npdhjdikbnmbjamabeigljgbokepmkce</t>
  </si>
  <si>
    <t>Page Size Inspector</t>
  </si>
  <si>
    <t>https://chromewebstore.google.com/detail/oepnndnpjiahgkljgbohnnccmokgcoln</t>
  </si>
  <si>
    <t>Audio Equalizer</t>
  </si>
  <si>
    <t>https://chromewebstore.google.com/detail/ojnijeelknkboepginhdnepplmfjhppl</t>
  </si>
  <si>
    <t>Melanto Calculator</t>
  </si>
  <si>
    <t>https://chromewebstore.google.com/detail/olhcajgllkpacioibcjiniefblpmpech</t>
  </si>
  <si>
    <t>PowerSchool Grade Calculator</t>
  </si>
  <si>
    <t>https://chromewebstore.google.com/detail/omoffjbdckolacanfbappkfdaacmbjnd</t>
  </si>
  <si>
    <t>YouTube Time</t>
  </si>
  <si>
    <t>https://chromewebstore.google.com/detail/ooilajigbnoajdapojdpglknkpedmcbj</t>
  </si>
  <si>
    <t>Notes Station 3 Clipper</t>
  </si>
  <si>
    <t>https://chromewebstore.google.com/detail/pgnlhifdmcpfbaacmmlljgjinbfkjfpd</t>
  </si>
  <si>
    <t>OUI9 HLS PLAYER M3U8</t>
  </si>
  <si>
    <t>https://chromewebstore.google.com/detail/pkckbkheblnpnlnmkldeikhkfddhnkah</t>
  </si>
  <si>
    <t>sourceLair</t>
  </si>
  <si>
    <t>https://chromewebstore.google.com/detail/pmdllfjnhmnohbhidhdnbaanbnmopfcn</t>
  </si>
  <si>
    <t>Fleex - Intelligent subtitles</t>
  </si>
  <si>
    <t>https://chromewebstore.google.com/detail/pocpeokkkifomeaaobopeacnnepnaldl</t>
  </si>
  <si>
    <t>视频图片音乐下载助手</t>
  </si>
  <si>
    <t>https://chromewebstore.google.com/detail/pofajmcclajdhoakabdmenapbdkgejam</t>
  </si>
  <si>
    <t>Panda | Hacker News, Dribbble, Designer News</t>
  </si>
  <si>
    <t>https://chromewebstore.google.com/detail/jhiocdmmaannaccoofjfmjpbfkogmnap</t>
  </si>
  <si>
    <t>Forget Me - Clean History, Cookies &amp; more</t>
  </si>
  <si>
    <t>https://chromewebstore.google.com/detail/gekpdemielcmiiiackmeoppdgaggjgda</t>
  </si>
  <si>
    <t>Chameleon</t>
  </si>
  <si>
    <t>https://chromewebstore.google.com/detail/acdpiemklcfaoglpjmidpjdbhkgdoede</t>
  </si>
  <si>
    <t>FreeConference Screen Sharing</t>
  </si>
  <si>
    <t>https://chromewebstore.google.com/detail/acpjkkfchioajabmoedekiboendgaccf</t>
  </si>
  <si>
    <t>Amazon Rank Chrome Extension</t>
  </si>
  <si>
    <t>https://chromewebstore.google.com/detail/afcbjmdkfcdfbamemeadbpmabohjehcl</t>
  </si>
  <si>
    <t>Download Images</t>
  </si>
  <si>
    <t>https://chromewebstore.google.com/detail/affccikominfmpcchecefmibpdenookk</t>
  </si>
  <si>
    <t>Arcelik Smart TV Browser Emulator</t>
  </si>
  <si>
    <t>https://chromewebstore.google.com/detail/aibdjehbnedbkkojmjohamkloglhlonb</t>
  </si>
  <si>
    <t>craigslist pop for power users</t>
  </si>
  <si>
    <t>https://chromewebstore.google.com/detail/aikbdokcmcbbeaadpdbhlcdcgghdkhja</t>
  </si>
  <si>
    <t>https://chromewebstore.google.com/detail/alpjieidnmmkljnceakgpeajlngabnee</t>
  </si>
  <si>
    <t>Article Rewriter for Chrome</t>
  </si>
  <si>
    <t>https://chromewebstore.google.com/detail/alpodanjbjmlakmolfdlioidgfbfmaep</t>
  </si>
  <si>
    <t>send2boox</t>
  </si>
  <si>
    <t>https://chromewebstore.google.com/detail/alpojkkkfdmdljbffepiabcjfhnnmako</t>
  </si>
  <si>
    <t>Import Aliexpress Products to Woocommerce</t>
  </si>
  <si>
    <t>https://chromewebstore.google.com/detail/ambpfppfbpeepjlpgekhpdfmmgikfjjd</t>
  </si>
  <si>
    <t>taba11y - Tab order accessibility testing</t>
  </si>
  <si>
    <t>https://chromewebstore.google.com/detail/aocppmckdocdjkphmofnklcjhdidgmga</t>
  </si>
  <si>
    <t>QQ空间导出助手</t>
  </si>
  <si>
    <t>https://chromewebstore.google.com/detail/aofadimegphfgllgjblddapiaojbglhf</t>
  </si>
  <si>
    <t>Trufflehog</t>
  </si>
  <si>
    <t>https://chromewebstore.google.com/detail/bafhdnhjnlcdbjcdcnafhdcphhnfnhjc</t>
  </si>
  <si>
    <t>Netflix Viewing Stats</t>
  </si>
  <si>
    <t>https://chromewebstore.google.com/detail/bckfpnenhimfckndcceonmkhheinmkob</t>
  </si>
  <si>
    <t>Prank 'em</t>
  </si>
  <si>
    <t>https://chromewebstore.google.com/detail/beahjohmjaedaamelbphgpmopcigcegh</t>
  </si>
  <si>
    <t>eXtract Snippet</t>
  </si>
  <si>
    <t>https://chromewebstore.google.com/detail/bfcjfegkgdoomgmofhcidoiampnpbdao</t>
  </si>
  <si>
    <t>kbs.im</t>
  </si>
  <si>
    <t>https://chromewebstore.google.com/detail/bfhimedecdiighdpopjohlmkfmglkmob</t>
  </si>
  <si>
    <t>OhBridge</t>
  </si>
  <si>
    <t>https://chromewebstore.google.com/detail/bfjihladgnccpchokgeeicpjcakdmkbe</t>
  </si>
  <si>
    <t>Fast-eInvoice Token Signing</t>
  </si>
  <si>
    <t>https://chromewebstore.google.com/detail/bfpceoikbdofmalhfgldnjbdmkclmfdg</t>
  </si>
  <si>
    <t>Button: Extensions</t>
  </si>
  <si>
    <t>https://chromewebstore.google.com/detail/bikfkbocgddjlkgibgbbjccnbkbgapch</t>
  </si>
  <si>
    <t>News Tab</t>
  </si>
  <si>
    <t>https://chromewebstore.google.com/detail/biojnaikodbeknbdfdchnndkeoafkbnh</t>
  </si>
  <si>
    <t>Video Downloader Plus</t>
  </si>
  <si>
    <t>https://chromewebstore.google.com/detail/bjejneicjolfdccjnbclegjomjlhegbi</t>
  </si>
  <si>
    <t>RokuKast</t>
  </si>
  <si>
    <t>https://chromewebstore.google.com/detail/bkcaoipeckgolimcehafhdmcegipapnm</t>
  </si>
  <si>
    <t>TT Downloader</t>
  </si>
  <si>
    <t>https://chromewebstore.google.com/detail/blbckhiepgpniilpmlionnkjoeehhgao</t>
  </si>
  <si>
    <t>MYKI Password Manager &amp; Authenticator</t>
  </si>
  <si>
    <t>https://chromewebstore.google.com/detail/bmikpgodpkclnkgmnpphehdgcimmided</t>
  </si>
  <si>
    <t>Block Ads for Social Network</t>
  </si>
  <si>
    <t>https://chromewebstore.google.com/detail/bncnpcfmnfndnbffpggadkdohijjejpj</t>
  </si>
  <si>
    <t>Online Video Converter</t>
  </si>
  <si>
    <t>https://chromewebstore.google.com/detail/boekkellfjdoiibmmhoaiimjpffndljf</t>
  </si>
  <si>
    <t>Markup - Web Markups &amp; Highlighter</t>
  </si>
  <si>
    <t>https://chromewebstore.google.com/detail/cbjngbfjehiofmihfpodinolkcokdojp</t>
  </si>
  <si>
    <t>Mindful Browsing</t>
  </si>
  <si>
    <t>https://chromewebstore.google.com/detail/cciemibfcmeeiijeefebhojenhnpoibc</t>
  </si>
  <si>
    <t>Time Doctor Classic Chrome Extension</t>
  </si>
  <si>
    <t>https://chromewebstore.google.com/detail/ccokehohfncgmmbmnnhbhflmfbmimdgf</t>
  </si>
  <si>
    <t>Search Plus</t>
  </si>
  <si>
    <t>https://chromewebstore.google.com/detail/cdpohbejnbclggljmoijjcpdhbaaijfm</t>
  </si>
  <si>
    <t>No More Duplicates</t>
  </si>
  <si>
    <t>https://chromewebstore.google.com/detail/cjbfhofimhehhnllibmhammbemaboleh</t>
  </si>
  <si>
    <t>Proofread Bot AI Writing Coach</t>
  </si>
  <si>
    <t>https://chromewebstore.google.com/detail/cjnnmmjgjaaomkcjibnncokikbianjap</t>
  </si>
  <si>
    <t>Random Number Generator</t>
  </si>
  <si>
    <t>https://chromewebstore.google.com/detail/ckdkgoogioikcpmpmoecocgfdangpecg</t>
  </si>
  <si>
    <t>No Mouse Wheel Zoom</t>
  </si>
  <si>
    <t>https://chromewebstore.google.com/detail/ckhlfagjncfmdieecfekjbpnnaekhlhd</t>
  </si>
  <si>
    <t>Open with JDownloader</t>
  </si>
  <si>
    <t>https://chromewebstore.google.com/detail/clpbjnhnklabamkibpaafmmfhodjpmhl</t>
  </si>
  <si>
    <t>Online Timer</t>
  </si>
  <si>
    <t>https://chromewebstore.google.com/detail/cmijogogehhbcpfjnggnmclcmafhdckl</t>
  </si>
  <si>
    <t>Journey: Diary, Journal</t>
  </si>
  <si>
    <t>https://chromewebstore.google.com/detail/cpdnilooeakjhhmlbliacfdimhblkmnc</t>
  </si>
  <si>
    <t>zShare</t>
  </si>
  <si>
    <t>https://chromewebstore.google.com/detail/ddafdejlekcmnafgnbllcfkebabhabcl</t>
  </si>
  <si>
    <t>Flight Search</t>
  </si>
  <si>
    <t>https://chromewebstore.google.com/detail/dficcobpghplfppapheaenjajahhckkj</t>
  </si>
  <si>
    <t>LingvoTV</t>
  </si>
  <si>
    <t>https://chromewebstore.google.com/detail/dgeiagkojabjccafojhokcceakmehpbb</t>
  </si>
  <si>
    <t>Pin Tab</t>
  </si>
  <si>
    <t>https://chromewebstore.google.com/detail/dgldedkigbbalaioohedddpameekglma</t>
  </si>
  <si>
    <t>Logalty ClickOnce</t>
  </si>
  <si>
    <t>https://chromewebstore.google.com/detail/didfpaehajfbjnamladanbocmdhahfch</t>
  </si>
  <si>
    <t>HackBar</t>
  </si>
  <si>
    <t>https://chromewebstore.google.com/detail/djmoeoifnlhjolebkehmpaocfnipknbh</t>
  </si>
  <si>
    <t>Intention - Stop Mindless Browsing</t>
  </si>
  <si>
    <t>https://chromewebstore.google.com/detail/dladanhaondcgpahgiflodhckhoeohoe</t>
  </si>
  <si>
    <t>Remove Google Redirection</t>
  </si>
  <si>
    <t>https://chromewebstore.google.com/detail/dnhjklgpiifbofihffldllbcopkinlod</t>
  </si>
  <si>
    <t>Extension Player for Spotify</t>
  </si>
  <si>
    <t>https://chromewebstore.google.com/detail/dnngcfpcnpmakpjeaeapphjihhbenilk</t>
  </si>
  <si>
    <t>FOFA Pro View</t>
  </si>
  <si>
    <t>https://chromewebstore.google.com/detail/dobbfkjhgbkmmcooahlnllfopfmhcoln</t>
  </si>
  <si>
    <t>Toktogi: A Korean-English Popup Dictionary</t>
  </si>
  <si>
    <t>https://chromewebstore.google.com/detail/domfinmkohodhgghgedfdcmonefafolm</t>
  </si>
  <si>
    <t>GamingHub</t>
  </si>
  <si>
    <t>https://chromewebstore.google.com/detail/eafoaklfmpnpdecnhhaailihkdbhkgin</t>
  </si>
  <si>
    <t>PixelBlock 2</t>
  </si>
  <si>
    <t>https://chromewebstore.google.com/detail/eaheehidcidghlmmpdogfhgmibpelndm</t>
  </si>
  <si>
    <t>Pricearchive - AliExpress Shopping Assistant</t>
  </si>
  <si>
    <t>https://chromewebstore.google.com/detail/ebbilkbochjjalheallpnblfdhkfjjmp</t>
  </si>
  <si>
    <t>My notifications</t>
  </si>
  <si>
    <t>https://chromewebstore.google.com/detail/ebfhfdmncghemmnbecpblnbfejfpclcf</t>
  </si>
  <si>
    <t>FreshView for YouTube™</t>
  </si>
  <si>
    <t>https://chromewebstore.google.com/detail/eckknmnfoohbeklmjlidmfdlakndcfkm</t>
  </si>
  <si>
    <t>ScreenBeam Classroom Commander Extension</t>
  </si>
  <si>
    <t>https://chromewebstore.google.com/detail/edoplhfbihpnlmnckkodifklpkkdgcoj</t>
  </si>
  <si>
    <t>ThunderLixianAssistant</t>
  </si>
  <si>
    <t>https://chromewebstore.google.com/detail/eehlmkfpnagoieibahhcghphdbjcdmen</t>
  </si>
  <si>
    <t>Better download all attachments for Gmail™</t>
  </si>
  <si>
    <t>https://chromewebstore.google.com/detail/eehnjaacbphnfgipdcfeaepafihfhnkm</t>
  </si>
  <si>
    <t>Strava Enhancement Suite</t>
  </si>
  <si>
    <t>https://chromewebstore.google.com/detail/egelalffpmicecakegglddmhlbdiemlg</t>
  </si>
  <si>
    <t>Visualize Value</t>
  </si>
  <si>
    <t>https://chromewebstore.google.com/detail/ejblinjidfhnpkjbphoendgjjnhmfoee</t>
  </si>
  <si>
    <t>MediaPlus</t>
  </si>
  <si>
    <t>https://chromewebstore.google.com/detail/emaamodndfmmmcjepfigalbjjjemadom</t>
  </si>
  <si>
    <t>MultiPass for HTTP basic authentication</t>
  </si>
  <si>
    <t>https://chromewebstore.google.com/detail/enhldmjbphoeibbpdhmjkchohnidgnah</t>
  </si>
  <si>
    <t>Bookmark Backup</t>
  </si>
  <si>
    <t>https://chromewebstore.google.com/detail/eocfcfklbhdgkilphhkcpcgaollminlf</t>
  </si>
  <si>
    <t>Colab Alive</t>
  </si>
  <si>
    <t>https://chromewebstore.google.com/detail/eookkckfbbgnhdgcbfbicoahejkdoele</t>
  </si>
  <si>
    <t>Sight</t>
  </si>
  <si>
    <t>https://chromewebstore.google.com/detail/epmaefhielclhlnmjofcdapbeepkmggh</t>
  </si>
  <si>
    <t>Roblox Live Sales Count</t>
  </si>
  <si>
    <t>https://chromewebstore.google.com/detail/fbkckknfepmjednmkdkmplplcggkfbbn</t>
  </si>
  <si>
    <t>OAuth 2.0 Playground</t>
  </si>
  <si>
    <t>https://chromewebstore.google.com/detail/fcjholccjchiplkbibepfimlaapdaiih</t>
  </si>
  <si>
    <t>Recover closed tab</t>
  </si>
  <si>
    <t>https://chromewebstore.google.com/detail/fcjlmbbejgnfpcgiigpgfacipckopdkf</t>
  </si>
  <si>
    <t>Window Resizer</t>
  </si>
  <si>
    <t>https://chromewebstore.google.com/detail/fgcikanifihhgnacepigehgmplgkkgcl</t>
  </si>
  <si>
    <t>Photo to Cartoon App</t>
  </si>
  <si>
    <t>https://chromewebstore.google.com/detail/fiionnfmbokfpleilfihlofncgkchjbe</t>
  </si>
  <si>
    <t>Right Click Search on Amazon</t>
  </si>
  <si>
    <t>https://chromewebstore.google.com/detail/fnammdbpgloaalmefhleheklnlogpona</t>
  </si>
  <si>
    <t>YouGears - All in One Enhancements</t>
  </si>
  <si>
    <t>https://chromewebstore.google.com/detail/fncgbdbkhdhdcfiohjnbdfebholmhnkh</t>
  </si>
  <si>
    <t>Wise Search</t>
  </si>
  <si>
    <t>https://chromewebstore.google.com/detail/fnmnmfnfjojbginnabgiaeghcgljcimg</t>
  </si>
  <si>
    <t>Switch Workstation Tab Manager</t>
  </si>
  <si>
    <t>https://chromewebstore.google.com/detail/foilkalbafoifklkphdkijdcnkgcjefn</t>
  </si>
  <si>
    <t>Apizza Send Request Plugins</t>
  </si>
  <si>
    <t>https://chromewebstore.google.com/detail/gahjcfmabepcnfmfanjhcobdaalgpjoh</t>
  </si>
  <si>
    <t>Tab Organizer</t>
  </si>
  <si>
    <t>https://chromewebstore.google.com/detail/gbaokejhnafeofbniplkljehipcekkbh</t>
  </si>
  <si>
    <t>1px: Simple ruler</t>
  </si>
  <si>
    <t>https://chromewebstore.google.com/detail/gekpeobpiilbboimdmbgfjndlmogepcj</t>
  </si>
  <si>
    <t>ROBLOX Follow Checker</t>
  </si>
  <si>
    <t>https://chromewebstore.google.com/detail/gfpphfadinalebmmjaamocgoakipkolj</t>
  </si>
  <si>
    <t>Straight to Full-Size for Google Images™</t>
  </si>
  <si>
    <t>https://chromewebstore.google.com/detail/ghhmhdkbiodiengmhbbpjkcjodingned</t>
  </si>
  <si>
    <t>Engage for Gmail</t>
  </si>
  <si>
    <t>https://chromewebstore.google.com/detail/gkohnhkfcjakajmcdcndpgjnghfjlkec</t>
  </si>
  <si>
    <t>Timer 25: the Minimalist Timer</t>
  </si>
  <si>
    <t>https://chromewebstore.google.com/detail/gmdbcklinofignhfmibchnmgjcocccbh</t>
  </si>
  <si>
    <t>Better Wattpad Interface</t>
  </si>
  <si>
    <t>https://chromewebstore.google.com/detail/gpedaoelggnhmcmpkjckffcngagcciol</t>
  </si>
  <si>
    <t>유데미 한글 자막</t>
  </si>
  <si>
    <t>https://chromewebstore.google.com/detail/hbacjdnfpgfdklcfdcomhgdcaogppddc</t>
  </si>
  <si>
    <t>Extensions Button</t>
  </si>
  <si>
    <t>https://chromewebstore.google.com/detail/hfpnjihjndnmfcbclplooodjmhcdncan</t>
  </si>
  <si>
    <t>Chrome OS P2P Updates</t>
  </si>
  <si>
    <t>https://chromewebstore.google.com/detail/hhhfapgdnelmcieoeldcpipdjfebgcfg</t>
  </si>
  <si>
    <t>ニコ動履歴</t>
  </si>
  <si>
    <t>https://chromewebstore.google.com/detail/hldgbliocaaomajmalgenbhheinjlhgm</t>
  </si>
  <si>
    <t>Evercontact</t>
  </si>
  <si>
    <t>https://chromewebstore.google.com/detail/hlfhddckfmifofnpklmmiboiljmengde</t>
  </si>
  <si>
    <t>Doubtnut Search</t>
  </si>
  <si>
    <t>https://chromewebstore.google.com/detail/icgipifjfgikecdbdakkfpchnjbhmdnm</t>
  </si>
  <si>
    <t>Instant Maps</t>
  </si>
  <si>
    <t>https://chromewebstore.google.com/detail/icgmmonkdbidkcojchemocfihdgpoimj</t>
  </si>
  <si>
    <t>Restore old Google icons</t>
  </si>
  <si>
    <t>https://chromewebstore.google.com/detail/iellnmonjokmoagdlggagdmfjgpiahmb</t>
  </si>
  <si>
    <t>Mikan</t>
  </si>
  <si>
    <t>https://chromewebstore.google.com/detail/igpgcpdedfdmfnmhociacnmaefbeeekj</t>
  </si>
  <si>
    <t>Fiverrlytics - Your Fiverr Assistant</t>
  </si>
  <si>
    <t>https://chromewebstore.google.com/detail/ilcojnencafllbjlmjnhjkfaildljioc</t>
  </si>
  <si>
    <t>Incognito Search</t>
  </si>
  <si>
    <t>https://chromewebstore.google.com/detail/imfjknefmlnikonbgiogmjbidfkbbanp</t>
  </si>
  <si>
    <t>Start!</t>
  </si>
  <si>
    <t>https://chromewebstore.google.com/detail/iniabgbbmccaomaocmhcfioahgipigbh</t>
  </si>
  <si>
    <t>User-Agent Switcher (Deprecated)</t>
  </si>
  <si>
    <t>https://chromewebstore.google.com/detail/iojaoainolpgkpojokmeclhidjolocci</t>
  </si>
  <si>
    <t>Miniplay.com - Free Games</t>
  </si>
  <si>
    <t>https://chromewebstore.google.com/detail/ipiejeandmfgndimddbdoalejbbebenn</t>
  </si>
  <si>
    <t>XPath Helper Wizard</t>
  </si>
  <si>
    <t>https://chromewebstore.google.com/detail/jadhpggafkbmpdpmpgigopmodldgfcki</t>
  </si>
  <si>
    <t>Jitsi Meetings</t>
  </si>
  <si>
    <t>https://chromewebstore.google.com/detail/jbhlmolodjapbchjnjijpeenoniollao</t>
  </si>
  <si>
    <t>ChillGlobal VPN/PROXY - Access Any Website!!</t>
  </si>
  <si>
    <t>https://chromewebstore.google.com/detail/jbhnemdhjjeheieakekfknnficfdcbbn</t>
  </si>
  <si>
    <t>One-click Screenshot</t>
  </si>
  <si>
    <t>https://chromewebstore.google.com/detail/jcjhinpbjkmdphmhkikndcdlfpkgllfo</t>
  </si>
  <si>
    <t>DiscoverOrg Sales Intelligence</t>
  </si>
  <si>
    <t>https://chromewebstore.google.com/detail/jdanmmkadklcdnmmhodecjodjljkekja</t>
  </si>
  <si>
    <t>VK Музыкальный плеер</t>
  </si>
  <si>
    <t>https://chromewebstore.google.com/detail/jdcodafmbknbopclkbcnfkohmeaeapeg</t>
  </si>
  <si>
    <t>Butterchurn Music Visualizer Extension</t>
  </si>
  <si>
    <t>https://chromewebstore.google.com/detail/jfdmelgfepjcmlljpdeajbiiibkehnih</t>
  </si>
  <si>
    <t>Cookie Clicker</t>
  </si>
  <si>
    <t>https://chromewebstore.google.com/detail/jkhefpaaphbihngmjakkdfimkcfnbink</t>
  </si>
  <si>
    <t>Spin Page In</t>
  </si>
  <si>
    <t>https://chromewebstore.google.com/detail/jlinpflaifheoeohbdffhfnnpghdnlel</t>
  </si>
  <si>
    <t>Video Downloader</t>
  </si>
  <si>
    <t>https://chromewebstore.google.com/detail/jllonchimfiplfmddkdnbghgllhjlnln</t>
  </si>
  <si>
    <t>XML Plus</t>
  </si>
  <si>
    <t>https://chromewebstore.google.com/detail/jmhicemblbmkcbonbhkjmflehkmkiidj</t>
  </si>
  <si>
    <t>Black theme for Ebay</t>
  </si>
  <si>
    <t>https://chromewebstore.google.com/detail/jnhgnoijemmehpdmdcdcgjkkfhbbjnkc</t>
  </si>
  <si>
    <t>GB Browser</t>
  </si>
  <si>
    <t>https://chromewebstore.google.com/detail/jnmipkhdnlcnfllifhlohfigomcpcmhc</t>
  </si>
  <si>
    <t>Who Is Hosting?</t>
  </si>
  <si>
    <t>https://chromewebstore.google.com/detail/jojicnfhgajfeddfalfahidfeicmmdgo</t>
  </si>
  <si>
    <t>Emparazon</t>
  </si>
  <si>
    <t>https://chromewebstore.google.com/detail/kacdmmlabjolkpfoapmdmjkdaheaobna</t>
  </si>
  <si>
    <t>SimpleUndoRecents</t>
  </si>
  <si>
    <t>https://chromewebstore.google.com/detail/kaiblbjjcealhldhdnjhpjmckgclnbca</t>
  </si>
  <si>
    <t>简 Tab (SimpTab) - 新标签页</t>
  </si>
  <si>
    <t>https://chromewebstore.google.com/detail/kbgmbmkhepchmmcnbdbclpkpegbgikjc</t>
  </si>
  <si>
    <t>Kardashian Filter</t>
  </si>
  <si>
    <t>https://chromewebstore.google.com/detail/kbnhlagadnlfihhgjkmcaffjadkadoap</t>
  </si>
  <si>
    <t>Auto Overlay Remover</t>
  </si>
  <si>
    <t>https://chromewebstore.google.com/detail/kefcbonbdcahbihclibfdeeddceiabjm</t>
  </si>
  <si>
    <t>WebGL Earth</t>
  </si>
  <si>
    <t>https://chromewebstore.google.com/detail/kfgafkkfnmkbdeejdgefkpcmimbommna</t>
  </si>
  <si>
    <t>WA - Bulk Messages Sender</t>
  </si>
  <si>
    <t>https://chromewebstore.google.com/detail/kfoghncheahclnnidbiplloogoppcagi</t>
  </si>
  <si>
    <t>Posture Reminder</t>
  </si>
  <si>
    <t>https://chromewebstore.google.com/detail/kjfkmlhcgelgmepdemdhkgioggaffibj</t>
  </si>
  <si>
    <t>C-Connection</t>
  </si>
  <si>
    <t>https://chromewebstore.google.com/detail/kjnjkjjgnclpobbpdpdplbjjhdcnaoia</t>
  </si>
  <si>
    <t>myTaste Browser Button</t>
  </si>
  <si>
    <t>https://chromewebstore.google.com/detail/kmfnnmioagmcopmmbdfpodhcpnehddbi</t>
  </si>
  <si>
    <t>Flipper</t>
  </si>
  <si>
    <t>https://chromewebstore.google.com/detail/lalfbopdcggfdchjfgkhgnifhippfnco</t>
  </si>
  <si>
    <t>Zhuyin</t>
  </si>
  <si>
    <t>https://chromewebstore.google.com/detail/ldpibpcjnhbdpmjfollggppibfocgefj</t>
  </si>
  <si>
    <t>uVPN</t>
  </si>
  <si>
    <t>https://chromewebstore.google.com/detail/lejgfmmlngaigdmmikblappdafcmkndb</t>
  </si>
  <si>
    <t>Google Inbox Checker (Inbox by Gmail)</t>
  </si>
  <si>
    <t>https://chromewebstore.google.com/detail/ljeebljkookphadpedhmnlokpennimon</t>
  </si>
  <si>
    <t>One click translate</t>
  </si>
  <si>
    <t>https://chromewebstore.google.com/detail/lkdbkiggalhffmapafobkmjadhhlopig</t>
  </si>
  <si>
    <t>Галерея поздравлений (открытки и музыка)</t>
  </si>
  <si>
    <t>https://chromewebstore.google.com/detail/lkgdbimigeeehofgaacanklgmfkilglm</t>
  </si>
  <si>
    <t>Group Maker</t>
  </si>
  <si>
    <t>https://chromewebstore.google.com/detail/lkmakcpikbbbdpkfloniiohhifhghbhm</t>
  </si>
  <si>
    <t>change all UI fonts</t>
  </si>
  <si>
    <t>https://chromewebstore.google.com/detail/loiejdbcheeiipmakhghinclmpafiiel</t>
  </si>
  <si>
    <t>Faster Suite Browser Link</t>
  </si>
  <si>
    <t>https://chromewebstore.google.com/detail/lpjpnhjhnabnoljnfhlkakkligcfpgch</t>
  </si>
  <si>
    <t>https://chromewebstore.google.com/detail/lpkdnfkjhdkcpimadpdcgapffceacjem</t>
  </si>
  <si>
    <t>Safeweb Plugin de Assinatura</t>
  </si>
  <si>
    <t>https://chromewebstore.google.com/detail/mgacpehhdickdokbochifdboemjmkbde</t>
  </si>
  <si>
    <t>Do It! Shia Labeouf (Super Pack)</t>
  </si>
  <si>
    <t>https://chromewebstore.google.com/detail/miagjfhahnjmnnmhdgelhmbpjgojfnok</t>
  </si>
  <si>
    <t>ChromeGuard</t>
  </si>
  <si>
    <t>https://chromewebstore.google.com/detail/mjgebmfeoicljihlfniblbklfjiafaec</t>
  </si>
  <si>
    <t>Chemistry Reference Resolver</t>
  </si>
  <si>
    <t>https://chromewebstore.google.com/detail/mlommmdimfnldmhmfobflhhjcgjphhpm</t>
  </si>
  <si>
    <t>GitHub Hovercard</t>
  </si>
  <si>
    <t>https://chromewebstore.google.com/detail/mmoahbbnojgkclgceahhakhnccimnplk</t>
  </si>
  <si>
    <t>Bookmark</t>
  </si>
  <si>
    <t>https://chromewebstore.google.com/detail/naghkjogakhpimmejjmakpmnbdeccinm</t>
  </si>
  <si>
    <t>Read to me</t>
  </si>
  <si>
    <t>https://chromewebstore.google.com/detail/nalcmippmnicanikekphpdmmcgoojjlm</t>
  </si>
  <si>
    <t>Amz superman seller tool</t>
  </si>
  <si>
    <t>https://chromewebstore.google.com/detail/ndhncndbgnmheelpkdmldlcdhmieiagm</t>
  </si>
  <si>
    <t>Cloud Coloring Book</t>
  </si>
  <si>
    <t>https://chromewebstore.google.com/detail/nfegliocdfiepinnicnnhidandnbhage</t>
  </si>
  <si>
    <t>Mobile Guardian</t>
  </si>
  <si>
    <t>https://chromewebstore.google.com/detail/nglbmaiijljohnphofifiodoommladkj</t>
  </si>
  <si>
    <t>SAP Notes and Support</t>
  </si>
  <si>
    <t>https://chromewebstore.google.com/detail/nlbgnehakmlibpichhhicnifdidgegbo</t>
  </si>
  <si>
    <t>Rabbit Hole for YouTube™</t>
  </si>
  <si>
    <t>https://chromewebstore.google.com/detail/nlddakjbmpidooplakalfoogdincflfh</t>
  </si>
  <si>
    <t>EliteStream | Series y Peliculas Online</t>
  </si>
  <si>
    <t>https://chromewebstore.google.com/detail/npbefkilaedbdaibnmiiedgnocbbindb</t>
  </si>
  <si>
    <t>LiveInternet.Дневники Offline</t>
  </si>
  <si>
    <t>https://chromewebstore.google.com/detail/oabmdoehbmfjibhoidonpdmjjgbkppbp</t>
  </si>
  <si>
    <t>Subtitles for netflix</t>
  </si>
  <si>
    <t>https://chromewebstore.google.com/detail/oddfihdjoneffhjjlpgdjaefeklefmdi</t>
  </si>
  <si>
    <t>Dark theme for Telegram's Web version</t>
  </si>
  <si>
    <t>https://chromewebstore.google.com/detail/odibemolpgeomdbopjcplbmhlpbkdggd</t>
  </si>
  <si>
    <t>SingleFileZ</t>
  </si>
  <si>
    <t>https://chromewebstore.google.com/detail/offkdfbbigofcgdokjemgjpdockaafjg</t>
  </si>
  <si>
    <t>Simple PONG</t>
  </si>
  <si>
    <t>https://chromewebstore.google.com/detail/ogbjfaoljhhadaijpjaojepohlnipmlp</t>
  </si>
  <si>
    <t>Linux Mint online server</t>
  </si>
  <si>
    <t>https://chromewebstore.google.com/detail/ohcdfkmeiinmedcnjfdpdmffmohlomjd</t>
  </si>
  <si>
    <t>Mercator Studio for Google Meet</t>
  </si>
  <si>
    <t>https://chromewebstore.google.com/detail/ohcmmfphdpigpccfppacepjhamgcffjh</t>
  </si>
  <si>
    <t>Pagemarker</t>
  </si>
  <si>
    <t>https://chromewebstore.google.com/detail/oheliokfcgehhjlhiiglekmbebigpbdj</t>
  </si>
  <si>
    <t>Skribbl.io AutoDraw</t>
  </si>
  <si>
    <t>https://chromewebstore.google.com/detail/ohpgmmkibgooecniliccgpjlpjhgmfoo</t>
  </si>
  <si>
    <t>NotionX ( for Notion )</t>
  </si>
  <si>
    <t>https://chromewebstore.google.com/detail/ojnlojnakahpmkbpigmjhcgibccnidpk</t>
  </si>
  <si>
    <t>Google Chat Themes</t>
  </si>
  <si>
    <t>https://chromewebstore.google.com/detail/olnlihilabjhneiedkofjdenhboogmeg</t>
  </si>
  <si>
    <t>Exposure New Tab</t>
  </si>
  <si>
    <t>https://chromewebstore.google.com/detail/onfocbngcbpfnfdmnhleidllhleaiokn</t>
  </si>
  <si>
    <t>Adfly Notification Bypass</t>
  </si>
  <si>
    <t>https://chromewebstore.google.com/detail/oniljfenfhbbjpmpcphgnpjhbapcapek</t>
  </si>
  <si>
    <t>Save to Cloud</t>
  </si>
  <si>
    <t>https://chromewebstore.google.com/detail/pacllhnfaalmndlofaggllkjdonlgjnc</t>
  </si>
  <si>
    <t>https://chromewebstore.google.com/detail/pcdocoohpenibkkkfigkgelhpbeogimb</t>
  </si>
  <si>
    <t>Quizlet Rocks</t>
  </si>
  <si>
    <t>https://chromewebstore.google.com/detail/pgbnfimhfgoibnimmfoeacjehkecgkmk</t>
  </si>
  <si>
    <t>AmzTrends</t>
  </si>
  <si>
    <t>https://chromewebstore.google.com/detail/pgmffgofnnjppcongjleophechoafipl</t>
  </si>
  <si>
    <t>Reddit Hover Text</t>
  </si>
  <si>
    <t>https://chromewebstore.google.com/detail/phhpajlkjeoakfmckfnogpnfeidgbhil</t>
  </si>
  <si>
    <t>Reddit Scammer Labeler</t>
  </si>
  <si>
    <t>https://chromewebstore.google.com/detail/pimdepbkfokgeadmhmhfpapfdbodadlg</t>
  </si>
  <si>
    <t>MapMe</t>
  </si>
  <si>
    <t>https://chromewebstore.google.com/detail/pkeibkoopkkbbkgdegbbkjlgmomklbpf</t>
  </si>
  <si>
    <t>Privacy Redirect</t>
  </si>
  <si>
    <t>https://chromewebstore.google.com/detail/pmcmeagblkinmogikoikkdjiligflglb</t>
  </si>
  <si>
    <t>Tron Wallet &amp; Explorer - Tronium</t>
  </si>
  <si>
    <t>https://chromewebstore.google.com/detail/pnndplcbkakcplkjnolgbkdgjikjednm</t>
  </si>
  <si>
    <t>Octoman微博备份</t>
  </si>
  <si>
    <t>https://chromewebstore.google.com/detail/pojodomdlpobompicdllljgiomnfpmho</t>
  </si>
  <si>
    <t>Downloads Button</t>
  </si>
  <si>
    <t>https://chromewebstore.google.com/detail/pomlcckbphmgddbhchkpehnfkegaenke</t>
  </si>
  <si>
    <t>Desktop App for VKonatkte, VK Web</t>
  </si>
  <si>
    <t>https://chromewebstore.google.com/detail/haddeapjmjfedabajnkgleefejhglkdk</t>
  </si>
  <si>
    <t>Lightweight Alarm Clock, Timer &amp; Countdown</t>
  </si>
  <si>
    <t>https://chromewebstore.google.com/detail/mmcdcdolfnjmabjmkkgegfldahfignip</t>
  </si>
  <si>
    <t>SeatMath: Forms-Friendly Equation Editor</t>
  </si>
  <si>
    <t>https://chromewebstore.google.com/detail/aaeffcfdmalohgjacccngamlobknlcbj</t>
  </si>
  <si>
    <t>Aliexpress.com - Store info</t>
  </si>
  <si>
    <t>https://chromewebstore.google.com/detail/adebmdeflhjephjfamdbbpbofjgbgmel</t>
  </si>
  <si>
    <t>TELL.WTF - style your text</t>
  </si>
  <si>
    <t>https://chromewebstore.google.com/detail/ageiikgnhpnpcnaifeaikpphhgealfia</t>
  </si>
  <si>
    <t>Screensharing</t>
  </si>
  <si>
    <t>https://chromewebstore.google.com/detail/aiepheblmpibmhkpldfcpcmfhjoemhmm</t>
  </si>
  <si>
    <t>WebSafe</t>
  </si>
  <si>
    <t>https://chromewebstore.google.com/detail/aifkmdeeiedbnckmhdcokpcmkdfplimh</t>
  </si>
  <si>
    <t>Your Graphic Designer</t>
  </si>
  <si>
    <t>https://chromewebstore.google.com/detail/ajelnjmnjnchimodkgnhalconepoiodf</t>
  </si>
  <si>
    <t>One Click Playcus Flash Games</t>
  </si>
  <si>
    <t>https://chromewebstore.google.com/detail/ajjnbanpedpjbfcpaopcloaaknffnjfp</t>
  </si>
  <si>
    <t>https://chromewebstore.google.com/detail/ajnbnekhpkkfaobjalnhdoofajkghidp</t>
  </si>
  <si>
    <t>Hotel Canary</t>
  </si>
  <si>
    <t>https://chromewebstore.google.com/detail/akjikdkembhkhceaegjokdpggfcefigk</t>
  </si>
  <si>
    <t>https://chromewebstore.google.com/detail/amgpghckccldgepbpghdmpjpppflkede</t>
  </si>
  <si>
    <t>Chrome Key Event Tester</t>
  </si>
  <si>
    <t>https://chromewebstore.google.com/detail/amndppkiecbdmiaihgbicalhabkkhhpk</t>
  </si>
  <si>
    <t>Search Youtube</t>
  </si>
  <si>
    <t>https://chromewebstore.google.com/detail/angkglpgfocbmbfamggoogejpkbleeni</t>
  </si>
  <si>
    <t>Shell Shockers Unblocked</t>
  </si>
  <si>
    <t>https://chromewebstore.google.com/detail/aogkniilndigdbhikgjhialgiileaiih</t>
  </si>
  <si>
    <t>What Font - find font</t>
  </si>
  <si>
    <t>https://chromewebstore.google.com/detail/aoicmjiknpcgkhgeobpfaljpidnnloll</t>
  </si>
  <si>
    <t>Printerest</t>
  </si>
  <si>
    <t>https://chromewebstore.google.com/detail/apfgmikchfgiiembdeoeadbfaclghdmi</t>
  </si>
  <si>
    <t>Pan(w)achrome</t>
  </si>
  <si>
    <t>https://chromewebstore.google.com/detail/bbjabfjlgajemfdkmmgjmjmhfaaicfph</t>
  </si>
  <si>
    <t>Popular Bookmarks</t>
  </si>
  <si>
    <t>https://chromewebstore.google.com/detail/bepdnmdfijnlajlgmaaeabkmhigcgcfj</t>
  </si>
  <si>
    <t>Twitter Print Styles</t>
  </si>
  <si>
    <t>https://chromewebstore.google.com/detail/bepilablapiogeghmjiopiaoikgdcgjo</t>
  </si>
  <si>
    <t>History AutoDelete</t>
  </si>
  <si>
    <t>https://chromewebstore.google.com/detail/bhfakmaiadhflpjloimlagikhodjiefj</t>
  </si>
  <si>
    <t>Admiral Sucks!</t>
  </si>
  <si>
    <t>https://chromewebstore.google.com/detail/bhkgjcmhgbpmedkghbphnfkjibekjdgp</t>
  </si>
  <si>
    <t>OOXML Tools</t>
  </si>
  <si>
    <t>https://chromewebstore.google.com/detail/bjmmjfdegplhkefakjkccocjanekbapn</t>
  </si>
  <si>
    <t>CrossBrowserTesting Local Connection</t>
  </si>
  <si>
    <t>https://chromewebstore.google.com/detail/blholmpddeffdmfmnajiophjfibiland</t>
  </si>
  <si>
    <t>National Address</t>
  </si>
  <si>
    <t>https://chromewebstore.google.com/detail/blifojkemdbgeeookigglkieimfiiiga</t>
  </si>
  <si>
    <t>BlockWallet</t>
  </si>
  <si>
    <t>https://chromewebstore.google.com/detail/bopcbmipnjdcdfflfgjdgdjejmgpoaab</t>
  </si>
  <si>
    <t>Cleanflight - Blackbox Explorer</t>
  </si>
  <si>
    <t>https://chromewebstore.google.com/detail/cahpidddaimdojnddnahjpnefajpheep</t>
  </si>
  <si>
    <t>Drive Webcam, Camera for Drive</t>
  </si>
  <si>
    <t>https://chromewebstore.google.com/detail/camllofofikjlekagbjhiiakkljlindg</t>
  </si>
  <si>
    <t>Web Archive Viewer</t>
  </si>
  <si>
    <t>https://chromewebstore.google.com/detail/cbgncbhpofjkcpihgcpiekmfafpokabb</t>
  </si>
  <si>
    <t>Private Bookmarks</t>
  </si>
  <si>
    <t>https://chromewebstore.google.com/detail/cbheenbihjdgbmbogbefcgnpfoflhnhl</t>
  </si>
  <si>
    <t>KDP SEO BOT</t>
  </si>
  <si>
    <t>https://chromewebstore.google.com/detail/ccbelknaieflinofjneinjenjdpnjimk</t>
  </si>
  <si>
    <t>Trello Export Excel Suite</t>
  </si>
  <si>
    <t>https://chromewebstore.google.com/detail/ccgfaocoioaalmkpfffljakccbfnbkpa</t>
  </si>
  <si>
    <t>Octo微博相册批量下载</t>
  </si>
  <si>
    <t>https://chromewebstore.google.com/detail/cdimdlckbkfelaogjhfbkjcfncbpngkn</t>
  </si>
  <si>
    <t>Syntaxtic!</t>
  </si>
  <si>
    <t>https://chromewebstore.google.com/detail/cgjalgdhmbpaacnnejmodfinclbdgaci</t>
  </si>
  <si>
    <t>JSON pathfinder</t>
  </si>
  <si>
    <t>https://chromewebstore.google.com/detail/cgpbbgjlljobcemhhimjknkldpinacpn</t>
  </si>
  <si>
    <t>Block keys to kiosk mode</t>
  </si>
  <si>
    <t>https://chromewebstore.google.com/detail/cifabpkihmmedjjpefgfnajkpdnhbmfl</t>
  </si>
  <si>
    <t>Kodi online XBMC Media Center</t>
  </si>
  <si>
    <t>https://chromewebstore.google.com/detail/cjjokddcaglagiofkpeoiepkfafkapbj</t>
  </si>
  <si>
    <t>Speak Any Text</t>
  </si>
  <si>
    <t>https://chromewebstore.google.com/detail/ckdcladimoocjeeiopknkdmpppmpeagb</t>
  </si>
  <si>
    <t>SendMe Telegram</t>
  </si>
  <si>
    <t>https://chromewebstore.google.com/detail/ckkfnchnfmgpiejgaacmbngkcjbaaipd</t>
  </si>
  <si>
    <t>Breath</t>
  </si>
  <si>
    <t>https://chromewebstore.google.com/detail/cnfnooplfaeijohhiknoebeboiphdmea</t>
  </si>
  <si>
    <t>Open in new tab</t>
  </si>
  <si>
    <t>https://chromewebstore.google.com/detail/cplillmhmcegjlhcbedmgmalbgjpmlkh</t>
  </si>
  <si>
    <t>Secure Password Generator</t>
  </si>
  <si>
    <t>https://chromewebstore.google.com/detail/dapehldnfebpbfpfknddmlhghjlbjhdb</t>
  </si>
  <si>
    <t>WIKI 2. Wikipedia Republished</t>
  </si>
  <si>
    <t>https://chromewebstore.google.com/detail/dbnfdljglikamcdljmffmhfionigapkf</t>
  </si>
  <si>
    <t>Google Meet Attendance &amp; Engagement</t>
  </si>
  <si>
    <t>https://chromewebstore.google.com/detail/dfoeddmkpdeheffinggbeggiebnhhmno</t>
  </si>
  <si>
    <t>Ultidash - New Tab</t>
  </si>
  <si>
    <t>https://chromewebstore.google.com/detail/dghaelfeofkkdebndhkfoneojddiebhd</t>
  </si>
  <si>
    <t>Image Downloader</t>
  </si>
  <si>
    <t>https://chromewebstore.google.com/detail/dheemnnkahegifficiphgacgjfmigjec</t>
  </si>
  <si>
    <t>Tooltip dictionary - 툴팁 영한사전</t>
  </si>
  <si>
    <t>https://chromewebstore.google.com/detail/dlabodjigcmnanaldmfkpflpopgmdhii</t>
  </si>
  <si>
    <t>Grammer Ungooder</t>
  </si>
  <si>
    <t>https://chromewebstore.google.com/detail/dnefmfcaboiimmkibdjbnciggbfpeeco</t>
  </si>
  <si>
    <t>MiShareApp</t>
  </si>
  <si>
    <t>https://chromewebstore.google.com/detail/effbheagilkfnfmfomneghllopenjaap</t>
  </si>
  <si>
    <t>Web Timer</t>
  </si>
  <si>
    <t>https://chromewebstore.google.com/detail/efkkjffdefaaioagghcaflicdajfhceo</t>
  </si>
  <si>
    <t>DevTools Author</t>
  </si>
  <si>
    <t>https://chromewebstore.google.com/detail/egfhcfdfnajldliefpdoaojgahefjhhi</t>
  </si>
  <si>
    <t>Bye Rupert</t>
  </si>
  <si>
    <t>https://chromewebstore.google.com/detail/ehdikikkfbfjjemfadgggcohkjoggoof</t>
  </si>
  <si>
    <t>Yandex Metrica Debugger</t>
  </si>
  <si>
    <t>https://chromewebstore.google.com/detail/ehppjfimmbekmmponndiiiofmmdmgjlp</t>
  </si>
  <si>
    <t>Search Filter</t>
  </si>
  <si>
    <t>https://chromewebstore.google.com/detail/eidhkmnbiahhgbgpjpiimdogfidfikgf</t>
  </si>
  <si>
    <t>Event Durations for Google Calendar</t>
  </si>
  <si>
    <t>https://chromewebstore.google.com/detail/elfoibhncineionfonglaickdliaikmj</t>
  </si>
  <si>
    <t>AMAZON.CO.JP 検索 &amp; 右クリック</t>
  </si>
  <si>
    <t>https://chromewebstore.google.com/detail/emojfmbaibpbjkmledgflmenlkekalld</t>
  </si>
  <si>
    <t>Tap To Tab</t>
  </si>
  <si>
    <t>https://chromewebstore.google.com/detail/enhajhmncplakageabmopgpodkdgcodd</t>
  </si>
  <si>
    <t>Page Timer</t>
  </si>
  <si>
    <t>https://chromewebstore.google.com/detail/enljfpkeopdppbphgadibdpodgjhmabm</t>
  </si>
  <si>
    <t>Productivity Owl</t>
  </si>
  <si>
    <t>https://chromewebstore.google.com/detail/eoagmdboiealblmpaahjlhajggndaahi</t>
  </si>
  <si>
    <t>Shopify Theme Search by Bold</t>
  </si>
  <si>
    <t>https://chromewebstore.google.com/detail/epbnmkionkpliaiogpemfkclmcnbdfle</t>
  </si>
  <si>
    <t>Prettier Lichess</t>
  </si>
  <si>
    <t>https://chromewebstore.google.com/detail/epgnobcgnmchnhgkgpedebbmhbblfcob</t>
  </si>
  <si>
    <t>PoliTools</t>
  </si>
  <si>
    <t>https://chromewebstore.google.com/detail/fbbjhoaakfhbggkegckmjafkffaofnkd</t>
  </si>
  <si>
    <t>CookieBlock</t>
  </si>
  <si>
    <t>https://chromewebstore.google.com/detail/fbhiolckidkciamgcobkokpelckgnnol</t>
  </si>
  <si>
    <t>Rocket Readability</t>
  </si>
  <si>
    <t>https://chromewebstore.google.com/detail/fhckbdfnalikpmcmcpcpkkdlhabngbod</t>
  </si>
  <si>
    <t>Промокоды.net – кэшбэк сервис</t>
  </si>
  <si>
    <t>https://chromewebstore.google.com/detail/fiekffjkdplmnioinfgkdoacpnefibeb</t>
  </si>
  <si>
    <t>Zendesk Auto Refresh</t>
  </si>
  <si>
    <t>https://chromewebstore.google.com/detail/fienhnlhhgmpnedllhaofmbekocecghf</t>
  </si>
  <si>
    <t>YouTube Channel Grower</t>
  </si>
  <si>
    <t>https://chromewebstore.google.com/detail/fjclfnmheeaecfgmgbafnpkalhnijjbj</t>
  </si>
  <si>
    <t>Strike Out Nofollow Links</t>
  </si>
  <si>
    <t>https://chromewebstore.google.com/detail/fkolbdohecbecliihaobiiamdmhhnaei</t>
  </si>
  <si>
    <t>Cypress Scenario Recorder</t>
  </si>
  <si>
    <t>https://chromewebstore.google.com/detail/fmpgoobcionmfneadjapdabmjfkmfekb</t>
  </si>
  <si>
    <t>ElasticSearch Toolbox</t>
  </si>
  <si>
    <t>https://chromewebstore.google.com/detail/focdbmjgdonlpdknobfghplhmafpgfbp</t>
  </si>
  <si>
    <t>HWGame</t>
  </si>
  <si>
    <t>https://chromewebstore.google.com/detail/foikfmnjgoljejophccdlhenbkogiemo</t>
  </si>
  <si>
    <t>Crawler QRSorteios</t>
  </si>
  <si>
    <t>https://chromewebstore.google.com/detail/gadcolbcakmopcchoikmeefapigpoaih</t>
  </si>
  <si>
    <t>Multiple Twitter Accounts Switcher for Chrome</t>
  </si>
  <si>
    <t>https://chromewebstore.google.com/detail/gajnifmlijakbfmnhnnjplphnehlkfdh</t>
  </si>
  <si>
    <t>Titech Portal Login</t>
  </si>
  <si>
    <t>https://chromewebstore.google.com/detail/gakchdgcpjbchncgbflfkajcfpnbhohi</t>
  </si>
  <si>
    <t>MiShareExtension</t>
  </si>
  <si>
    <t>https://chromewebstore.google.com/detail/gbghgcnclindfhamjcecblpjkanendei</t>
  </si>
  <si>
    <t>Beagle Term</t>
  </si>
  <si>
    <t>https://chromewebstore.google.com/detail/gkdofhllgfohlddimiiildbgoggdpoea</t>
  </si>
  <si>
    <t>WordReference</t>
  </si>
  <si>
    <t>https://chromewebstore.google.com/detail/gkggfgbfhbjdgaeejgiamboldhblempk</t>
  </si>
  <si>
    <t>文字数カウンター</t>
  </si>
  <si>
    <t>https://chromewebstore.google.com/detail/glilfjhglngcfhiogplalcgepclphbhd</t>
  </si>
  <si>
    <t>Skip Ads</t>
  </si>
  <si>
    <t>https://chromewebstore.google.com/detail/gmkohmponbmhggcpigfkcadabcjnckii</t>
  </si>
  <si>
    <t>Mytab</t>
  </si>
  <si>
    <t>https://chromewebstore.google.com/detail/gndlcpbcmhbcaadppjjekgbhfhceeikm</t>
  </si>
  <si>
    <t>Infoscope</t>
  </si>
  <si>
    <t>https://chromewebstore.google.com/detail/gnnlgfolofpjdgjhfejmlcabaedmdfcn</t>
  </si>
  <si>
    <t>Amazonia Right Click Search - Amazon Co UK</t>
  </si>
  <si>
    <t>https://chromewebstore.google.com/detail/gpmkacpkcakamljkjdjfgmncbpfjacjl</t>
  </si>
  <si>
    <t>▷ EPSON L120 RESETTER | Adjustment Program</t>
  </si>
  <si>
    <t>https://chromewebstore.google.com/detail/hangmahandhlldanmofnfflimjojpijg</t>
  </si>
  <si>
    <t>Codeda Screen Sharing</t>
  </si>
  <si>
    <t>https://chromewebstore.google.com/detail/hddjiolhkfkmefgibgbnknojngnpgmec</t>
  </si>
  <si>
    <t>Send to VLC (VideoLAN) media player</t>
  </si>
  <si>
    <t>https://chromewebstore.google.com/detail/hfckgfbhdacemicpjljhfbjmkiggeche</t>
  </si>
  <si>
    <t>Open with Notepad++</t>
  </si>
  <si>
    <t>https://chromewebstore.google.com/detail/hgfbigeomjlaahldcoilagphholnmhlc</t>
  </si>
  <si>
    <t>Doodle Search - for Google Images™</t>
  </si>
  <si>
    <t>https://chromewebstore.google.com/detail/hkdnokkapkcmjhmbobdggmdhbocokafc</t>
  </si>
  <si>
    <t>Tresorit Send</t>
  </si>
  <si>
    <t>https://chromewebstore.google.com/detail/ibeahcfhgmcggdgahfmnhmnjdinbakoo</t>
  </si>
  <si>
    <t>Cloud Storage</t>
  </si>
  <si>
    <t>https://chromewebstore.google.com/detail/ibfbhbegfkamboeglpnianlggahglbfi</t>
  </si>
  <si>
    <t>Bouncing DVD - New Tab</t>
  </si>
  <si>
    <t>https://chromewebstore.google.com/detail/ibmjlihekifiigloelpcnffjbkcdhebf</t>
  </si>
  <si>
    <t>GoUniverse</t>
  </si>
  <si>
    <t>https://chromewebstore.google.com/detail/iejedhnbogbenkmhfjoolmlibldbkhhj</t>
  </si>
  <si>
    <t>SQL Viewer</t>
  </si>
  <si>
    <t>https://chromewebstore.google.com/detail/iejlefphljdlldbogebiknjdbgdmlodd</t>
  </si>
  <si>
    <t>Delayed Gratification</t>
  </si>
  <si>
    <t>https://chromewebstore.google.com/detail/ifhndomfnbmggdgodaicfebeggdphlcn</t>
  </si>
  <si>
    <t>Pubmed2Endnote</t>
  </si>
  <si>
    <t>https://chromewebstore.google.com/detail/ijehohpnpekbejmlkiofnlggakgeheke</t>
  </si>
  <si>
    <t>Photo Editor</t>
  </si>
  <si>
    <t>https://chromewebstore.google.com/detail/ijkcfokgcohhndhfkjpdaefhndnimdla</t>
  </si>
  <si>
    <t>Sci-Hub Searcher</t>
  </si>
  <si>
    <t>https://chromewebstore.google.com/detail/inifbdfjipiapkbboiijoahomdgahaim</t>
  </si>
  <si>
    <t>Private Bookmarker</t>
  </si>
  <si>
    <t>https://chromewebstore.google.com/detail/ioneiaafmcopdbalkdcngmhklemlhfka</t>
  </si>
  <si>
    <t>Trello Cards Optimizer</t>
  </si>
  <si>
    <t>https://chromewebstore.google.com/detail/ipbjjbpopodbnjbjnneakhcppdocpelg</t>
  </si>
  <si>
    <t>Easydoc</t>
  </si>
  <si>
    <t>https://chromewebstore.google.com/detail/jalbnaaehacechfcjkfangdgacckodjg</t>
  </si>
  <si>
    <t>Youtube Thumbnail Finder</t>
  </si>
  <si>
    <t>https://chromewebstore.google.com/detail/jbiffggjjomeebhgmdeacgjohkoknadl</t>
  </si>
  <si>
    <t>Mymail-Crypt for Gmail™</t>
  </si>
  <si>
    <t>https://chromewebstore.google.com/detail/jcaobjhdnlpmopmjhijplpjhlplfkhba</t>
  </si>
  <si>
    <t>Neat URL</t>
  </si>
  <si>
    <t>https://chromewebstore.google.com/detail/jchobbjgibcahbheicfocecmhocglkco</t>
  </si>
  <si>
    <t>网页表格导出为 Excel 表格</t>
  </si>
  <si>
    <t>https://chromewebstore.google.com/detail/jekdfmbpignlnhlafcifmojemcjcgieo</t>
  </si>
  <si>
    <t>SA ID Number Tools</t>
  </si>
  <si>
    <t>https://chromewebstore.google.com/detail/jfomngnpkgnofbnhbimmebjhpohapkcl</t>
  </si>
  <si>
    <t>Secure Kit</t>
  </si>
  <si>
    <t>https://chromewebstore.google.com/detail/jhhafkobmfjlcfppjenldjalejnfhcfk</t>
  </si>
  <si>
    <t>Millennials to Snake People</t>
  </si>
  <si>
    <t>https://chromewebstore.google.com/detail/jhkibealmjkbkafogihpeidfcgnigmlf</t>
  </si>
  <si>
    <t>Alerta de ofertas e descontos</t>
  </si>
  <si>
    <t>https://chromewebstore.google.com/detail/jikhbokinakhjbhoifafpbaemffhomjl</t>
  </si>
  <si>
    <t>Youtube Theme</t>
  </si>
  <si>
    <t>https://chromewebstore.google.com/detail/jkojliciihhmhfnioceoaahmmhhmhjdi</t>
  </si>
  <si>
    <t>Knasta</t>
  </si>
  <si>
    <t>https://chromewebstore.google.com/detail/jmldaomlnfihbdoghdbikbbignjlkbml</t>
  </si>
  <si>
    <t>HiFrame - The Hyper IFRAME extension!</t>
  </si>
  <si>
    <t>https://chromewebstore.google.com/detail/joibipdfkleencgfgbbncoheaekffdfn</t>
  </si>
  <si>
    <t>Postcron</t>
  </si>
  <si>
    <t>https://chromewebstore.google.com/detail/kahoebmmfnjmjcbclecdkhiapmefpaed</t>
  </si>
  <si>
    <t>Heading Tag Markup</t>
  </si>
  <si>
    <t>https://chromewebstore.google.com/detail/keeiendlnmbddkjjhnbegaaheohkfhoj</t>
  </si>
  <si>
    <t>Screensharing for Nextcloud Video calls app</t>
  </si>
  <si>
    <t>https://chromewebstore.google.com/detail/kepnpjhambipllfmgmbapncekcmabkol</t>
  </si>
  <si>
    <t>Make Medium Readable Again</t>
  </si>
  <si>
    <t>https://chromewebstore.google.com/detail/kljjfejkagofbgklifblndjelgabcmig</t>
  </si>
  <si>
    <t>Table Range Select &amp; Copy (Like in Firefox!)</t>
  </si>
  <si>
    <t>https://chromewebstore.google.com/detail/klojbfbefcejadioohmnkhjmbmecfapg</t>
  </si>
  <si>
    <t>Inspect Devices</t>
  </si>
  <si>
    <t>https://chromewebstore.google.com/detail/kmhbjbgkpaceeioiadjkfinjbckgckim</t>
  </si>
  <si>
    <t>Picture Printer</t>
  </si>
  <si>
    <t>https://chromewebstore.google.com/detail/kogbclhgkcabffpgfjnilcflhmcbelao</t>
  </si>
  <si>
    <t>Digital Signature Extension</t>
  </si>
  <si>
    <t>https://chromewebstore.google.com/detail/kpldbmkpocjcmmfibhekikdmljaiepkh</t>
  </si>
  <si>
    <t>leaf browser</t>
  </si>
  <si>
    <t>https://chromewebstore.google.com/detail/kppcmdpolcfihnkfbngahdofkdnfbkan</t>
  </si>
  <si>
    <t>SyncMyCookie</t>
  </si>
  <si>
    <t>https://chromewebstore.google.com/detail/laapobniolmbhnkldepjnebendehhmmf</t>
  </si>
  <si>
    <t>WebChats Incognito mode</t>
  </si>
  <si>
    <t>https://chromewebstore.google.com/detail/lapmmaaniipbdelgagpdaplgfagojkfo</t>
  </si>
  <si>
    <t>https://chromewebstore.google.com/detail/ldabplgpogjknofonmccpbgeoolbcbfm</t>
  </si>
  <si>
    <t>Play Store Reviews</t>
  </si>
  <si>
    <t>https://chromewebstore.google.com/detail/ldggikfajgoedghjnflfafiiheagngoa</t>
  </si>
  <si>
    <t>Free Image Converter</t>
  </si>
  <si>
    <t>https://chromewebstore.google.com/detail/leaelofgmagckmmamhooghbpmkgogioa</t>
  </si>
  <si>
    <t>hCaptcha Solver</t>
  </si>
  <si>
    <t>https://chromewebstore.google.com/detail/lfpfbgeoodeejmjdlfjbfjkemjlblijg</t>
  </si>
  <si>
    <t>Easy Cookie Editor</t>
  </si>
  <si>
    <t>https://chromewebstore.google.com/detail/lidhbccbajehjnpfjpnamoiemcnhhnki</t>
  </si>
  <si>
    <t>Element Theme Roller</t>
  </si>
  <si>
    <t>https://chromewebstore.google.com/detail/lifkjlojflekabbmlddfccdkphlelmim</t>
  </si>
  <si>
    <t>Slack</t>
  </si>
  <si>
    <t>https://chromewebstore.google.com/detail/ljbkkbbbcalchmohbdlkjabljkgpmjkg</t>
  </si>
  <si>
    <t>Wowsearch</t>
  </si>
  <si>
    <t>https://chromewebstore.google.com/detail/lkciiknpgglgbbcgcpbpobjabglmpkle</t>
  </si>
  <si>
    <t>BetterViewer</t>
  </si>
  <si>
    <t>https://chromewebstore.google.com/detail/llcpfkbjgkpmapiidpnohffjmmnhpmpb</t>
  </si>
  <si>
    <t>Server IP</t>
  </si>
  <si>
    <t>https://chromewebstore.google.com/detail/lllhkijapbmlekoldcoohglpihmcjdgj</t>
  </si>
  <si>
    <t>Brackets on rollApp</t>
  </si>
  <si>
    <t>https://chromewebstore.google.com/detail/loaliagmjmjbnoofnckpbbnjcoooodgk</t>
  </si>
  <si>
    <t>DNATV Chrome -laajennus</t>
  </si>
  <si>
    <t>https://chromewebstore.google.com/detail/lpbcdclphldcjoodmkbkncballmicnlf</t>
  </si>
  <si>
    <t>.MPD Detector</t>
  </si>
  <si>
    <t>https://chromewebstore.google.com/detail/lpoohbdbmggiknlpcmhhdkpaclfcdapk</t>
  </si>
  <si>
    <t>URLRedirector</t>
  </si>
  <si>
    <t>https://chromewebstore.google.com/detail/maolmdhneopinciaokgohljhpdedekee</t>
  </si>
  <si>
    <t>JackDB - SQL Database Client</t>
  </si>
  <si>
    <t>https://chromewebstore.google.com/detail/mfcjpbmafdljmciineiieedkcbeikkpo</t>
  </si>
  <si>
    <t>StarMask</t>
  </si>
  <si>
    <t>https://chromewebstore.google.com/detail/mfhbebgoclkghebffdldpobeajmbecfk</t>
  </si>
  <si>
    <t>Rutracker Magnet</t>
  </si>
  <si>
    <t>https://chromewebstore.google.com/detail/mgbooaaepjbekhhecpohjoffkpfgmedj</t>
  </si>
  <si>
    <t>Duolingo Boost</t>
  </si>
  <si>
    <t>https://chromewebstore.google.com/detail/mgecoicpalmpphlgfkdepgpofjcnggkn</t>
  </si>
  <si>
    <t>Atlanta Flash Enabler</t>
  </si>
  <si>
    <t>https://chromewebstore.google.com/detail/mhnpkmeebbfbkfngldjjcfihmpimibjd</t>
  </si>
  <si>
    <t>Prime Video Downloader</t>
  </si>
  <si>
    <t>https://chromewebstore.google.com/detail/mieolfcieffnpnopbldmdnkmdopibgpj</t>
  </si>
  <si>
    <t>WebSite IP Information Query</t>
  </si>
  <si>
    <t>https://chromewebstore.google.com/detail/mifjlfhembandabikpiehhokhdepbdai</t>
  </si>
  <si>
    <t>UploadCC: Screen Capture Tool (Share or Save)</t>
  </si>
  <si>
    <t>https://chromewebstore.google.com/detail/mjnohlnebmjeoplfnmdkcjfpenkgnahi</t>
  </si>
  <si>
    <t>Jot</t>
  </si>
  <si>
    <t>https://chromewebstore.google.com/detail/mnemjleajnmodijhnibpekloajfdjjja</t>
  </si>
  <si>
    <t>Auto WhatsApp Translator</t>
  </si>
  <si>
    <t>https://chromewebstore.google.com/detail/mojhglbfmhgcocfelnnfgngefdpibfhl</t>
  </si>
  <si>
    <t>Password Manager Authenticator</t>
  </si>
  <si>
    <t>https://chromewebstore.google.com/detail/nbicokjcdgmopbikgmfmffhfbbgfgncd</t>
  </si>
  <si>
    <t>Amazon Price Tracker - Pricepulse</t>
  </si>
  <si>
    <t>https://chromewebstore.google.com/detail/nbncllaepjlnkaigldfgghjkcgjkpgpa</t>
  </si>
  <si>
    <t>Smart Header</t>
  </si>
  <si>
    <t>https://chromewebstore.google.com/detail/ncgnmldbedmbadafajhjeahmafdmggbp</t>
  </si>
  <si>
    <t>Bookmarks</t>
  </si>
  <si>
    <t>https://chromewebstore.google.com/detail/nciallonbllgijobgkfanodhehkkkkki</t>
  </si>
  <si>
    <t>International Keepa Charts</t>
  </si>
  <si>
    <t>https://chromewebstore.google.com/detail/ncjanpmaebdkjamcdphbfcnedhkofonf</t>
  </si>
  <si>
    <t>Ryte structured data helper</t>
  </si>
  <si>
    <t>https://chromewebstore.google.com/detail/ndodccbbcdpcmabmiocobdnfiaaimgnk</t>
  </si>
  <si>
    <t>E-commerce Product Image Downloader</t>
  </si>
  <si>
    <t>https://chromewebstore.google.com/detail/ngjndhfppbmlpgfmchefjkbhigbhpphi</t>
  </si>
  <si>
    <t>Print</t>
  </si>
  <si>
    <t>https://chromewebstore.google.com/detail/ngjnkanfphagcaokhjecbgkboelgfcnf</t>
  </si>
  <si>
    <t>HappyGet 2 for QTS 4</t>
  </si>
  <si>
    <t>https://chromewebstore.google.com/detail/nhaommnkcfogjlhlphdfaejnnpepepeb</t>
  </si>
  <si>
    <t>.URL Handler</t>
  </si>
  <si>
    <t>https://chromewebstore.google.com/detail/nhmccpjmdhejpfhafcfajkgifkmjhkgf</t>
  </si>
  <si>
    <t>Live video recorder</t>
  </si>
  <si>
    <t>https://chromewebstore.google.com/detail/nieboggmgpnmaiedgpcackjnpjakgfaf</t>
  </si>
  <si>
    <t>Signal</t>
  </si>
  <si>
    <t>https://chromewebstore.google.com/detail/njnjihibbnocbhikjjbeloaacpjfnbig</t>
  </si>
  <si>
    <t>GTA 5 Cheats</t>
  </si>
  <si>
    <t>https://chromewebstore.google.com/detail/nkkgjkadifmmbmdmnkgihbkkpfejgnck</t>
  </si>
  <si>
    <t>QuickCode - Free Online Programming Courses</t>
  </si>
  <si>
    <t>https://chromewebstore.google.com/detail/nnigpbiaggiephcndokoaongeefpbdcj</t>
  </si>
  <si>
    <t>Ghostery Private Search for Chrome</t>
  </si>
  <si>
    <t>https://chromewebstore.google.com/detail/nomidcdbhopffbhbpfnnlgnfimhgdman</t>
  </si>
  <si>
    <t>Dyslexia Reader Chrome</t>
  </si>
  <si>
    <t>https://chromewebstore.google.com/detail/npfbahgomodenajejiopcfbggcpkcani</t>
  </si>
  <si>
    <t>AIO Search</t>
  </si>
  <si>
    <t>https://chromewebstore.google.com/detail/obhijjefkkokfaiffkcemldacdabpeei</t>
  </si>
  <si>
    <t>Haikyuu New Tab</t>
  </si>
  <si>
    <t>https://chromewebstore.google.com/detail/obidpejmhcahdaaojlmlkgkhjdedalnp</t>
  </si>
  <si>
    <t>CORE Discovery</t>
  </si>
  <si>
    <t>https://chromewebstore.google.com/detail/ockidfiihjhkngdalfnbeeepgfbmkmlh</t>
  </si>
  <si>
    <t>JaSON</t>
  </si>
  <si>
    <t>https://chromewebstore.google.com/detail/oealdlhfjifhgbmjnenhkgffglaibojf</t>
  </si>
  <si>
    <t>Kanban WIP for Trello</t>
  </si>
  <si>
    <t>https://chromewebstore.google.com/detail/oekefjibcnongmmmmkdiofgeppfkmdii</t>
  </si>
  <si>
    <t>Last Tab Keeper</t>
  </si>
  <si>
    <t>https://chromewebstore.google.com/detail/ogookjjcaobcijoblfjoneggmhdlppkc</t>
  </si>
  <si>
    <t>WowApp SmartWeb</t>
  </si>
  <si>
    <t>https://chromewebstore.google.com/detail/ohahpmcamnjffnbjbjmjmmkkfajhaeag</t>
  </si>
  <si>
    <t>Backgrounds Every Day</t>
  </si>
  <si>
    <t>https://chromewebstore.google.com/detail/oikopohbkicbnneinipgiihiijhephop</t>
  </si>
  <si>
    <t>PhotoKit</t>
  </si>
  <si>
    <t>https://chromewebstore.google.com/detail/oklglfdilhnneooaachcknojlkcgammo</t>
  </si>
  <si>
    <t>Color Icons for Gmail</t>
  </si>
  <si>
    <t>https://chromewebstore.google.com/detail/omioomoieildjihcajfoobhhiecjkmfn</t>
  </si>
  <si>
    <t>Twitch Ad Muter</t>
  </si>
  <si>
    <t>https://chromewebstore.google.com/detail/onnniedjlchmaadhlkecfkikephcceed</t>
  </si>
  <si>
    <t>I-Know</t>
  </si>
  <si>
    <t>https://chromewebstore.google.com/detail/oobphcndhljfbmllppplinbdagpnfbjp</t>
  </si>
  <si>
    <t>In Zoom</t>
  </si>
  <si>
    <t>https://chromewebstore.google.com/detail/oppcghdbglmbhhobfoodedhokbadlenh</t>
  </si>
  <si>
    <t>シンプル翻訳</t>
  </si>
  <si>
    <t>https://chromewebstore.google.com/detail/pdnmkammncjnifdeclafllianknnoaif</t>
  </si>
  <si>
    <t>YouTube™ for TV 4K</t>
  </si>
  <si>
    <t>https://chromewebstore.google.com/detail/pdpkefmdjkgijhnhjkblpielhiikadbb</t>
  </si>
  <si>
    <t>Bulk Renamer for Drive</t>
  </si>
  <si>
    <t>https://chromewebstore.google.com/detail/peboiggabkeljjdnbelmhbpnmonomngo</t>
  </si>
  <si>
    <t>WordsMine! One stop solution for vocabulary</t>
  </si>
  <si>
    <t>https://chromewebstore.google.com/detail/pfjninionlecmhganagpckidcmhgjlhd</t>
  </si>
  <si>
    <t>Google Slides Auto Resize Speaker Notes</t>
  </si>
  <si>
    <t>https://chromewebstore.google.com/detail/piciggpbidhfbpefjjbomcgomanjfbeb</t>
  </si>
  <si>
    <t>Scanguard Safe Site</t>
  </si>
  <si>
    <t>https://chromewebstore.google.com/detail/piihgeabdpmcpjacnoacminmodaekejp</t>
  </si>
  <si>
    <t>https://chromewebstore.google.com/detail/pjpobmgdbnbegggcdgbljfgplleejmkb</t>
  </si>
  <si>
    <t>UK extended, English NZ &amp; Te Reo</t>
  </si>
  <si>
    <t>https://chromewebstore.google.com/detail/pkbdliadhfopgfdhbldifaakplenbpnd</t>
  </si>
  <si>
    <t>Browser QuickLinks</t>
  </si>
  <si>
    <t>https://chromewebstore.google.com/detail/plpjogfhobhpdcmcblieglnoooccfcmm</t>
  </si>
  <si>
    <t>Snipit - organize, share, collaborate</t>
  </si>
  <si>
    <t>https://chromewebstore.google.com/detail/dodniekpimecafnhdbfaihfgdgbihhjl</t>
  </si>
  <si>
    <t>Guru VPN &amp; Proxy, VPN to Unblock any sites</t>
  </si>
  <si>
    <t>https://chromewebstore.google.com/detail/knajdeaocbpmfghhmijicidfcmdgbdpm</t>
  </si>
  <si>
    <t>Kunversion</t>
  </si>
  <si>
    <t>https://chromewebstore.google.com/detail/aabplfdbflnfaabdmafknlgpoffelmej</t>
  </si>
  <si>
    <t>dinobro</t>
  </si>
  <si>
    <t>https://chromewebstore.google.com/detail/aahjijobnncbnonimmcglbeocpckmgdi</t>
  </si>
  <si>
    <t>Instant Multi Search</t>
  </si>
  <si>
    <t>https://chromewebstore.google.com/detail/aamgapdgopfdmokckpkfciiddpahbbcg</t>
  </si>
  <si>
    <t>CocoFax - Send &amp; Receive Fax (Free Trial)</t>
  </si>
  <si>
    <t>https://chromewebstore.google.com/detail/aamhfladfpacdednbomhcfgapoljdjgo</t>
  </si>
  <si>
    <t>Extractor de entidades</t>
  </si>
  <si>
    <t>https://chromewebstore.google.com/detail/abngfjnmaobeaaheapakabhdoapfopdi</t>
  </si>
  <si>
    <t>Wix Free Website builder - Review</t>
  </si>
  <si>
    <t>https://chromewebstore.google.com/detail/abobfeiegcaajeicmdlhfhddpcfnngoj</t>
  </si>
  <si>
    <t>Settings Button</t>
  </si>
  <si>
    <t>https://chromewebstore.google.com/detail/adakfpemmbngeohfigfpldjimamijoek</t>
  </si>
  <si>
    <t>Gmeet Recording plugin</t>
  </si>
  <si>
    <t>https://chromewebstore.google.com/detail/afhdngndofliioielklldembhbpgnngj</t>
  </si>
  <si>
    <t>KidStart Savings Prompt</t>
  </si>
  <si>
    <t>https://chromewebstore.google.com/detail/agbkobfhnfgoioipaedgcjdhojbjhpcg</t>
  </si>
  <si>
    <t>Dictionary of Numbers</t>
  </si>
  <si>
    <t>https://chromewebstore.google.com/detail/ahhgdmkmcgahbkcbmlkpmmamemlkajaf</t>
  </si>
  <si>
    <t>https://chromewebstore.google.com/detail/aibjbgmpmnidnmagaefhmcjhadpffaoi</t>
  </si>
  <si>
    <t>WebRank Whois Lookup</t>
  </si>
  <si>
    <t>https://chromewebstore.google.com/detail/ajebiiiaphmfaiookbhpepoongjejihh</t>
  </si>
  <si>
    <t>Reelia Record - Screen Recorder &amp; Editor</t>
  </si>
  <si>
    <t>https://chromewebstore.google.com/detail/ajhidbbpmnhjjffefekncbdbeopghnnn</t>
  </si>
  <si>
    <t>Ad blocker</t>
  </si>
  <si>
    <t>https://chromewebstore.google.com/detail/ajmampgbofacbjaoahgcjbjfffcbmcea</t>
  </si>
  <si>
    <t>Spotless</t>
  </si>
  <si>
    <t>https://chromewebstore.google.com/detail/allccgoelledmdfenijoodhcfjndddjh</t>
  </si>
  <si>
    <t>IHS Highlighting</t>
  </si>
  <si>
    <t>https://chromewebstore.google.com/detail/amaencbkhcpbgpnphohjnacnpfcfpaij</t>
  </si>
  <si>
    <t>FontScanner - Scan for font family names</t>
  </si>
  <si>
    <t>https://chromewebstore.google.com/detail/aodilhmhlmomokijchbkajpoibenmakn</t>
  </si>
  <si>
    <t>Taco</t>
  </si>
  <si>
    <t>https://chromewebstore.google.com/detail/aogabobfbepcehdkbfagdflinolncebh</t>
  </si>
  <si>
    <t>Azimuth: Download Facebook 360° Photos</t>
  </si>
  <si>
    <t>https://chromewebstore.google.com/detail/apfgihndokdmfcmajbbimifahgbgbhcm</t>
  </si>
  <si>
    <t>HigherContrastForGoogleMaps</t>
  </si>
  <si>
    <t>https://chromewebstore.google.com/detail/bagkggccafdeflnfacbpemniahacnkfp</t>
  </si>
  <si>
    <t>Chromagochi</t>
  </si>
  <si>
    <t>https://chromewebstore.google.com/detail/beegmjpglpekcgcegnpikjnndlblacif</t>
  </si>
  <si>
    <t>Tidy Bookmarks</t>
  </si>
  <si>
    <t>https://chromewebstore.google.com/detail/bennikkpnelmfdiijpdclfincmnoabae</t>
  </si>
  <si>
    <t>Moyennes myGES</t>
  </si>
  <si>
    <t>https://chromewebstore.google.com/detail/bhofgfdehmbkcllmbeddeifmmihllfnb</t>
  </si>
  <si>
    <t>小黑盒 Batch Download Image</t>
  </si>
  <si>
    <t>https://chromewebstore.google.com/detail/binjbkpnlmnkdbdjaeeiefphdljhcbec</t>
  </si>
  <si>
    <t>Youtube Image Downloader</t>
  </si>
  <si>
    <t>https://chromewebstore.google.com/detail/bjchdihmmgfbfheblpmfpaojmjchdioi</t>
  </si>
  <si>
    <t>Thinlabs Kiosk</t>
  </si>
  <si>
    <t>https://chromewebstore.google.com/detail/bjjjdfkmchhojjkgbnhhlpoaeehpjjhi</t>
  </si>
  <si>
    <t>Советник Дрома</t>
  </si>
  <si>
    <t>https://chromewebstore.google.com/detail/bmbjfincbkpcechjngdceidlnbifkfpm</t>
  </si>
  <si>
    <t>TikBuddy: TikTok Analytics Online Toolkit</t>
  </si>
  <si>
    <t>https://chromewebstore.google.com/detail/bmfgonhglaokngckjajkooklejibhahm</t>
  </si>
  <si>
    <t>Tumblr Safe Mode Bypass</t>
  </si>
  <si>
    <t>https://chromewebstore.google.com/detail/boibcalhejlcjjggfnochjmhccpgbidd</t>
  </si>
  <si>
    <t>New Tab to Tasks</t>
  </si>
  <si>
    <t>https://chromewebstore.google.com/detail/bokbgdhblfolpfanocjafjhpjkebhlfk</t>
  </si>
  <si>
    <t>Youtube Blocker</t>
  </si>
  <si>
    <t>https://chromewebstore.google.com/detail/cbdgjmidolhjfmepekiebhjmmgodednm</t>
  </si>
  <si>
    <t>Apiary Browser Extension</t>
  </si>
  <si>
    <t>https://chromewebstore.google.com/detail/cboekbiaoabkhgjdclenjpipclabkdga</t>
  </si>
  <si>
    <t>efTwo (F2) - Advanced Find on Page</t>
  </si>
  <si>
    <t>https://chromewebstore.google.com/detail/ccaikggmppdolhcehimngikgiafmdcep</t>
  </si>
  <si>
    <t>CSS remove and combine</t>
  </si>
  <si>
    <t>https://chromewebstore.google.com/detail/cdfmaaeapjmacolkojefhfollmphonoh</t>
  </si>
  <si>
    <t>Twitterのキーボードショートカットを無効化するやつ</t>
  </si>
  <si>
    <t>https://chromewebstore.google.com/detail/cebkmpjkademcaigilgldjonmphfbmfh</t>
  </si>
  <si>
    <t>DoubleSubs</t>
  </si>
  <si>
    <t>https://chromewebstore.google.com/detail/cfmeoknomhdgcbcmgmpbbjiggfboniie</t>
  </si>
  <si>
    <t>Melvor Idle Combat Simulator Reloaded</t>
  </si>
  <si>
    <t>https://chromewebstore.google.com/detail/cgggfndkphggbgeimpplooflemnfndok</t>
  </si>
  <si>
    <t>KAA Menhera</t>
  </si>
  <si>
    <t>https://chromewebstore.google.com/detail/cheknlbiacfddgakdfdlioemnhlolaah</t>
  </si>
  <si>
    <t>Aternity Web Activity Creator 2.0</t>
  </si>
  <si>
    <t>https://chromewebstore.google.com/detail/cibkbalgoimplliocdglnonnjnfbnmmn</t>
  </si>
  <si>
    <t>Korean IME with Romanization Tool</t>
  </si>
  <si>
    <t>https://chromewebstore.google.com/detail/cimmbifnciobjhchpimjekibbndgmkfk</t>
  </si>
  <si>
    <t>Mail Checker for Outlook</t>
  </si>
  <si>
    <t>https://chromewebstore.google.com/detail/cjbkbbjggdnlcbomblebkobkleanbmkk</t>
  </si>
  <si>
    <t>FxPro - Forex Tools for traders</t>
  </si>
  <si>
    <t>https://chromewebstore.google.com/detail/cjckpmogmplfbjadfjefmcndilfgncfo</t>
  </si>
  <si>
    <t>App for Skp Web</t>
  </si>
  <si>
    <t>https://chromewebstore.google.com/detail/ckphpjbkimigoeccikelnkfnilnjmaha</t>
  </si>
  <si>
    <t>Gif Delayer</t>
  </si>
  <si>
    <t>https://chromewebstore.google.com/detail/cmfcdkambpljcndgdmaccaagladfnepa</t>
  </si>
  <si>
    <t>MerchTools</t>
  </si>
  <si>
    <t>https://chromewebstore.google.com/detail/cmhaijgncfpbbhfnieobpbadekcpjpol</t>
  </si>
  <si>
    <t>Blackpink Kpop Wallpapers New Tab</t>
  </si>
  <si>
    <t>https://chromewebstore.google.com/detail/cnmnclkpkbahliofmnfkmhdohmdjkohj</t>
  </si>
  <si>
    <t>ManageByStats: Extension</t>
  </si>
  <si>
    <t>https://chromewebstore.google.com/detail/cogdeckoffhcpfmainkijpifglkkccla</t>
  </si>
  <si>
    <t>Reveal</t>
  </si>
  <si>
    <t>https://chromewebstore.google.com/detail/coickbnhchmdngjabciaimhdhnbgnpef</t>
  </si>
  <si>
    <t>CNRTL - CNRTL.fr</t>
  </si>
  <si>
    <t>https://chromewebstore.google.com/detail/cojebfpfaaikknofipcimmgclgdkihcp</t>
  </si>
  <si>
    <t>D365 F&amp;O Task Recorder Screenshots and Video</t>
  </si>
  <si>
    <t>https://chromewebstore.google.com/detail/comoajdjdhccbjchdnbiickjnpdnnmbd</t>
  </si>
  <si>
    <t>Радио</t>
  </si>
  <si>
    <t>https://chromewebstore.google.com/detail/dahppfjibdefbdbpenkdmpmicmconloi</t>
  </si>
  <si>
    <t>Toggle Fullscreen</t>
  </si>
  <si>
    <t>https://chromewebstore.google.com/detail/ddpejemcmlhbjppfdndmonifbiaindkl</t>
  </si>
  <si>
    <t>Roblox Video Search</t>
  </si>
  <si>
    <t>https://chromewebstore.google.com/detail/deacaenjlolcbcnojljnabgmdljeekfh</t>
  </si>
  <si>
    <t>TurboVPB</t>
  </si>
  <si>
    <t>https://chromewebstore.google.com/detail/deekoplmjnhcnbkpojidakdbllmdhekh</t>
  </si>
  <si>
    <t>Hit It Rich! Beacon</t>
  </si>
  <si>
    <t>https://chromewebstore.google.com/detail/dflfhhdekdakmeplgkghbglgadcnffgh</t>
  </si>
  <si>
    <t>TCMB Döviz Kurları Excel</t>
  </si>
  <si>
    <t>https://chromewebstore.google.com/detail/dgibbaokhfpninakmmnpmgedoabcmnpd</t>
  </si>
  <si>
    <t>Tidy Sidebar</t>
  </si>
  <si>
    <t>https://chromewebstore.google.com/detail/dgmacifhhpefamjmolpipkijcofcmbgp</t>
  </si>
  <si>
    <t>uLearn - Online Proctoring Tool</t>
  </si>
  <si>
    <t>https://chromewebstore.google.com/detail/dhldhkijljcokgnbimipkockigbjogoi</t>
  </si>
  <si>
    <t>https://chromewebstore.google.com/detail/djbpbelpckcfamdlkfhipkkadnanmkci</t>
  </si>
  <si>
    <t>Web Screen Capture</t>
  </si>
  <si>
    <t>https://chromewebstore.google.com/detail/dkbdngdafgflbkljoladndlfpjpfball</t>
  </si>
  <si>
    <t>Bookmark My Tabs</t>
  </si>
  <si>
    <t>https://chromewebstore.google.com/detail/dkcdcmananochmgmhgkhhmgegdnkgejl</t>
  </si>
  <si>
    <t>Gismeteo Tab</t>
  </si>
  <si>
    <t>https://chromewebstore.google.com/detail/dkmoongjbemkaagfcmledklbgchlbboj</t>
  </si>
  <si>
    <t>Jaybe - Save every time you shop</t>
  </si>
  <si>
    <t>https://chromewebstore.google.com/detail/dpaahcbfdahefmhaofckcgeojpbodglc</t>
  </si>
  <si>
    <t>KissFC</t>
  </si>
  <si>
    <t>https://chromewebstore.google.com/detail/dpnfknficgldmilnkddfhmbafkcipkkh</t>
  </si>
  <si>
    <t>iManage Work for Gmail</t>
  </si>
  <si>
    <t>https://chromewebstore.google.com/detail/eameopeafamlapaanmfijbednoofgeep</t>
  </si>
  <si>
    <t>Search on Bookmark</t>
  </si>
  <si>
    <t>https://chromewebstore.google.com/detail/ebalpcfngdhkpndfognjoffolfpiilnm</t>
  </si>
  <si>
    <t>Extractor WhatsApp V.2020</t>
  </si>
  <si>
    <t>https://chromewebstore.google.com/detail/ecjdodihigbjgncnlfijfjdaogoilhhc</t>
  </si>
  <si>
    <t>traktflix</t>
  </si>
  <si>
    <t>https://chromewebstore.google.com/detail/ehlckfimahifadnbecobagimllmbdmde</t>
  </si>
  <si>
    <t>CLS Checker - Journey Further</t>
  </si>
  <si>
    <t>https://chromewebstore.google.com/detail/ejgjaeamjppjgmjnaaljcocboejdinpj</t>
  </si>
  <si>
    <t>HistCleaner</t>
  </si>
  <si>
    <t>https://chromewebstore.google.com/detail/ejpddgihmnpjdedldacjlhjjlilfgjok</t>
  </si>
  <si>
    <t>English Picture Dictionary | PicVoca.com</t>
  </si>
  <si>
    <t>https://chromewebstore.google.com/detail/ekffngdiljhjmmmfcajfmpheedkonklc</t>
  </si>
  <si>
    <t>网易云音乐</t>
  </si>
  <si>
    <t>https://chromewebstore.google.com/detail/ekmamdknmdolmmjbgpmnkiobcnihdhhf</t>
  </si>
  <si>
    <t>Comodo AdBlocker</t>
  </si>
  <si>
    <t>https://chromewebstore.google.com/detail/elhcnbjoomhmifmfeggoalmplblcmcin</t>
  </si>
  <si>
    <t>Lock for Google Chrome™</t>
  </si>
  <si>
    <t>https://chromewebstore.google.com/detail/eplgjobanbeabmgflcnfgdhcbnailejp</t>
  </si>
  <si>
    <t>Image downloader</t>
  </si>
  <si>
    <t>https://chromewebstore.google.com/detail/fadkffkdccpljkdhnbgkdjphlofgideg</t>
  </si>
  <si>
    <t>TheReviewIndex - Reviews Summarizer</t>
  </si>
  <si>
    <t>https://chromewebstore.google.com/detail/fciomokgnajoifiiaglcjkonligobneo</t>
  </si>
  <si>
    <t>Télécommande Freebox Delta / Révolution / HD</t>
  </si>
  <si>
    <t>https://chromewebstore.google.com/detail/fdhpkpfbolhjcbejckjbiciinkcjlijj</t>
  </si>
  <si>
    <t>RaceFlight - Configurator</t>
  </si>
  <si>
    <t>https://chromewebstore.google.com/detail/ffkgelfmnmeofidahjaefimpdgekflha</t>
  </si>
  <si>
    <t>Die besten Deals im Blick</t>
  </si>
  <si>
    <t>https://chromewebstore.google.com/detail/fhjmdobefakhdbfdpnnopoaldabldbgd</t>
  </si>
  <si>
    <t>1-2-3 Nakup s Ceneje.si</t>
  </si>
  <si>
    <t>https://chromewebstore.google.com/detail/fhnfchmneeihfblhfecikbkedafkklke</t>
  </si>
  <si>
    <t>Wikipedia with MathJax</t>
  </si>
  <si>
    <t>https://chromewebstore.google.com/detail/fhomhkjcommffnlajeemenejemmegcmi</t>
  </si>
  <si>
    <t>Webapps</t>
  </si>
  <si>
    <t>https://chromewebstore.google.com/detail/fifipfjcpdakpdomdhekagpcngdblbba</t>
  </si>
  <si>
    <t>Google Meet Mute Toggler</t>
  </si>
  <si>
    <t>https://chromewebstore.google.com/detail/fkdppolbkpdoebdhflolnnkeiaoblfjc</t>
  </si>
  <si>
    <t>Web Assist Plus</t>
  </si>
  <si>
    <t>https://chromewebstore.google.com/detail/fldphceaabkfnogfomngiglfgepglpeo</t>
  </si>
  <si>
    <t>CS:GO Skin Tester</t>
  </si>
  <si>
    <t>https://chromewebstore.google.com/detail/fmljflfbojphpnbijaceeemjapgkefin</t>
  </si>
  <si>
    <t>Quotes New Tab</t>
  </si>
  <si>
    <t>https://chromewebstore.google.com/detail/fnhpicigolcacikdjdocmkfnplmefadg</t>
  </si>
  <si>
    <t>9anime Companion</t>
  </si>
  <si>
    <t>https://chromewebstore.google.com/detail/fopcehkidabibdmachbcpbgllhehknah</t>
  </si>
  <si>
    <t>Live Web Development</t>
  </si>
  <si>
    <t>https://chromewebstore.google.com/detail/gbbimmnlnnanjkmjbopohmghngacfbem</t>
  </si>
  <si>
    <t>Blue Prism 6.10.4 Browser Extension</t>
  </si>
  <si>
    <t>https://chromewebstore.google.com/detail/gccehjhjelnjpcpfodkdhkcgpalkihdc</t>
  </si>
  <si>
    <t>Inline HLS Player</t>
  </si>
  <si>
    <t>https://chromewebstore.google.com/detail/geecgiclhemdbkmmbflfdophmppjjial</t>
  </si>
  <si>
    <t>Torrentz2 Magnet &amp; IMDb +</t>
  </si>
  <si>
    <t>https://chromewebstore.google.com/detail/gfdagplpafaaplpkngcjbpkgeneapboc</t>
  </si>
  <si>
    <t>旺销王浏览器采集插件</t>
  </si>
  <si>
    <t>https://chromewebstore.google.com/detail/ghcdbkkkkoapnnmgipogcdakfnicgdnb</t>
  </si>
  <si>
    <t>TeacherView</t>
  </si>
  <si>
    <t>https://chromewebstore.google.com/detail/gjnnhhmjplppbabpoaihbdjejlpdcbhj</t>
  </si>
  <si>
    <t>Cr!Box</t>
  </si>
  <si>
    <t>https://chromewebstore.google.com/detail/gjodchcocbnbhfkjeapbdoflbiibnapp</t>
  </si>
  <si>
    <t>Planio</t>
  </si>
  <si>
    <t>https://chromewebstore.google.com/detail/gkjmndjkeieeacmhpbfacalahgpknkkb</t>
  </si>
  <si>
    <t>Blockchain</t>
  </si>
  <si>
    <t>https://chromewebstore.google.com/detail/glaohkkooicollgefkkmndjcbblominl</t>
  </si>
  <si>
    <t>Native Client SDK</t>
  </si>
  <si>
    <t>https://chromewebstore.google.com/detail/glfhjnnemhhcenjjilmmahjbbbibdphe</t>
  </si>
  <si>
    <t>CFCA CertEnrollment.HuaXing Extension</t>
  </si>
  <si>
    <t>https://chromewebstore.google.com/detail/goekadipjdlgmcdibphmmhoabogmcfam</t>
  </si>
  <si>
    <t>Send to Exif Viewer</t>
  </si>
  <si>
    <t>https://chromewebstore.google.com/detail/gogiienhpamfmodmlnhdljokkjiapfck</t>
  </si>
  <si>
    <t>iSlide</t>
  </si>
  <si>
    <t>https://chromewebstore.google.com/detail/goicaghfpnaogbpejmaodednkiilckfo</t>
  </si>
  <si>
    <t>Deezer Discord Integration</t>
  </si>
  <si>
    <t>https://chromewebstore.google.com/detail/gpmnalhimebpjhilkifcaadejhmogaok</t>
  </si>
  <si>
    <t>1TT Images Downloader</t>
  </si>
  <si>
    <t>https://chromewebstore.google.com/detail/hcgcimicgchmlleoghonjpfhckpjmlij</t>
  </si>
  <si>
    <t>Marvel Wallpaper - New Tab Theme</t>
  </si>
  <si>
    <t>https://chromewebstore.google.com/detail/hdgdbcklimpecdfjlbagkjmlmdldagkp</t>
  </si>
  <si>
    <t>Alice Keeler AnyoneCanView</t>
  </si>
  <si>
    <t>https://chromewebstore.google.com/detail/hdjklakffhgbjmenlcjcgagjlkbpmjcf</t>
  </si>
  <si>
    <t>PROТанки Стрим Анонсер</t>
  </si>
  <si>
    <t>https://chromewebstore.google.com/detail/hfindddachkihhbompbhoaehhmomnane</t>
  </si>
  <si>
    <t>Immutable.js Object Formatter</t>
  </si>
  <si>
    <t>https://chromewebstore.google.com/detail/hgldghadipiblonfkkicmgcbbijnpeog</t>
  </si>
  <si>
    <t>LARIS - Official Account Automation</t>
  </si>
  <si>
    <t>https://chromewebstore.google.com/detail/hgnoecaneikfjlmbdchnhdkanfbdbpji</t>
  </si>
  <si>
    <t>SLT Usage Meter</t>
  </si>
  <si>
    <t>https://chromewebstore.google.com/detail/hibefehnldcopnkfjihkflpjibfnhcif</t>
  </si>
  <si>
    <t>osu! preview</t>
  </si>
  <si>
    <t>https://chromewebstore.google.com/detail/higcadegkhhhjcljhpggammlhmlbdcmc</t>
  </si>
  <si>
    <t>Garmin activity downloader</t>
  </si>
  <si>
    <t>https://chromewebstore.google.com/detail/himhggflahpnjikoddlngaopcigalcjh</t>
  </si>
  <si>
    <t>Tris</t>
  </si>
  <si>
    <t>https://chromewebstore.google.com/detail/hinkmcnegnkncphhncbiohnomfgdegce</t>
  </si>
  <si>
    <t>GoTo Tab</t>
  </si>
  <si>
    <t>https://chromewebstore.google.com/detail/hjfkaobgkmaeomgdhmhhipdbjdhhjkoi</t>
  </si>
  <si>
    <t>Google Calendar Guests Modify Event Default</t>
  </si>
  <si>
    <t>https://chromewebstore.google.com/detail/hjhicmeghjagaicbkmhmbbnibhbkcfdb</t>
  </si>
  <si>
    <t>LiuChan Chinese Popup Dictionary</t>
  </si>
  <si>
    <t>https://chromewebstore.google.com/detail/hjpjmkjmkgedphipmbnmejlnfndjcgdf</t>
  </si>
  <si>
    <t>Floating Video Player</t>
  </si>
  <si>
    <t>https://chromewebstore.google.com/detail/hkgklchdacgolfhdiginenjghokhehnn</t>
  </si>
  <si>
    <t>I See You; an Ancestral Connection</t>
  </si>
  <si>
    <t>https://chromewebstore.google.com/detail/hlbbcoiodlccpeklogodpciapdkbgldc</t>
  </si>
  <si>
    <t>Contador de palavras da página</t>
  </si>
  <si>
    <t>https://chromewebstore.google.com/detail/hnifbghokmpgedhkgmabjgmehkcmjoao</t>
  </si>
  <si>
    <t>Redirect Click'n'Load</t>
  </si>
  <si>
    <t>https://chromewebstore.google.com/detail/hnjbnefgkiickkpfidpnlmcodicfgakk</t>
  </si>
  <si>
    <t>VIEW LATER - save links in a stack</t>
  </si>
  <si>
    <t>https://chromewebstore.google.com/detail/hnolaplfoobcmgfmjphkmbjolinelpkb</t>
  </si>
  <si>
    <t>NetSupport Notify Agent</t>
  </si>
  <si>
    <t>https://chromewebstore.google.com/detail/hnpeicdjmdhaojkeflcnmnpgmcffjlcm</t>
  </si>
  <si>
    <t>DYL Download Facebook Video</t>
  </si>
  <si>
    <t>https://chromewebstore.google.com/detail/honmapcmnfgjmahijdniaaollhhfpcnj</t>
  </si>
  <si>
    <t>VOTOBO：跨境电商产品开发分析利器</t>
  </si>
  <si>
    <t>https://chromewebstore.google.com/detail/iaillabiiidlmolhemgpkokehaiadhli</t>
  </si>
  <si>
    <t>Worldtime</t>
  </si>
  <si>
    <t>https://chromewebstore.google.com/detail/ibnegikgmnfnmljianjgnhhlcabonobd</t>
  </si>
  <si>
    <t>JIRA Assistant</t>
  </si>
  <si>
    <t>https://chromewebstore.google.com/detail/iccfdkmiglokncbdheedflohigmijpdj</t>
  </si>
  <si>
    <t>Mod Krunker.IO</t>
  </si>
  <si>
    <t>https://chromewebstore.google.com/detail/icgadjgnglgbkbbaejehpdejobiffhkh</t>
  </si>
  <si>
    <t>Hey Habit</t>
  </si>
  <si>
    <t>https://chromewebstore.google.com/detail/icjfbcjblodechjjiomddmjepanloeeb</t>
  </si>
  <si>
    <t>BSRMaster</t>
  </si>
  <si>
    <t>https://chromewebstore.google.com/detail/icnkllgoiildohggeopaikcmgmafalna</t>
  </si>
  <si>
    <t>Asystent Librus (Frekwencja i Średnia)</t>
  </si>
  <si>
    <t>https://chromewebstore.google.com/detail/ignllhpmbnggadkmfabibalgmednlhom</t>
  </si>
  <si>
    <t>GIF Dance Party Extension</t>
  </si>
  <si>
    <t>https://chromewebstore.google.com/detail/ihcnbadcckafkjidbccichfdjbahnfnn</t>
  </si>
  <si>
    <t>Yet Another Drag and Go FIX</t>
  </si>
  <si>
    <t>https://chromewebstore.google.com/detail/ijbfjijnippekinigficbmbmfkiihpng</t>
  </si>
  <si>
    <t>DA Friends 2</t>
  </si>
  <si>
    <t>https://chromewebstore.google.com/detail/ijihfmdfcepacepmdfabfkocoeogilpn</t>
  </si>
  <si>
    <t>URL Shortener with QR Code</t>
  </si>
  <si>
    <t>https://chromewebstore.google.com/detail/imocofkcogboajnibnnjeehpmhfgpecl</t>
  </si>
  <si>
    <t>Shutterstock Reveal</t>
  </si>
  <si>
    <t>https://chromewebstore.google.com/detail/iogibhaacmieogkdgebfbjgoofdlcmgb</t>
  </si>
  <si>
    <t>Kindle Cloud Reader Translate</t>
  </si>
  <si>
    <t>https://chromewebstore.google.com/detail/ipalacjfeejceeogpnfaijpadginmfhk</t>
  </si>
  <si>
    <t>Responsive design tester</t>
  </si>
  <si>
    <t>https://chromewebstore.google.com/detail/jamkpeiamhgbainmggocjenjkcibfflb</t>
  </si>
  <si>
    <t>World Weather</t>
  </si>
  <si>
    <t>https://chromewebstore.google.com/detail/jbjeihiakbjchgaehgcilindlghfffnb</t>
  </si>
  <si>
    <t>Selectable</t>
  </si>
  <si>
    <t>https://chromewebstore.google.com/detail/jcidlhgdoojamkbpmhbpgldmajnobefd</t>
  </si>
  <si>
    <t>Trello Birds-eye</t>
  </si>
  <si>
    <t>https://chromewebstore.google.com/detail/jddlcajmgfdpfnekdppnapoldfhabkeg</t>
  </si>
  <si>
    <t>HelpfreelyApp™ - Donation Reminder</t>
  </si>
  <si>
    <t>https://chromewebstore.google.com/detail/jdmdpnpmopoeeekibkglofpeagfeffbm</t>
  </si>
  <si>
    <t>Transmogrify for Plex</t>
  </si>
  <si>
    <t>https://chromewebstore.google.com/detail/jdogfefgaagaledbkgeffgbjlaaplpgo</t>
  </si>
  <si>
    <t>偏爱微软雅黑字体</t>
  </si>
  <si>
    <t>https://chromewebstore.google.com/detail/jjeknnigbkhhilfjhoijbddeaihdpmdi</t>
  </si>
  <si>
    <t>XKCD substitutions</t>
  </si>
  <si>
    <t>https://chromewebstore.google.com/detail/jkgogmboalmaijfgfhfepckdgjeopfhk</t>
  </si>
  <si>
    <t>Win95 NewTab</t>
  </si>
  <si>
    <t>https://chromewebstore.google.com/detail/jldkfnpihcmhefmocabimamogcmmmeia</t>
  </si>
  <si>
    <t>Alice Keeler QuickShare Screenshot</t>
  </si>
  <si>
    <t>https://chromewebstore.google.com/detail/jleaobdiilmfmkjfeednlfkkmpdjogfd</t>
  </si>
  <si>
    <t>Kahoot name bypass</t>
  </si>
  <si>
    <t>https://chromewebstore.google.com/detail/jlfoemebeemiccmeabkegdpoehiafhbn</t>
  </si>
  <si>
    <t>RemoteLiveReload</t>
  </si>
  <si>
    <t>https://chromewebstore.google.com/detail/jlppknnillhjgiengoigajegdpieppei</t>
  </si>
  <si>
    <t>雅婷逐字稿: 即時字幕，會議紀錄</t>
  </si>
  <si>
    <t>https://chromewebstore.google.com/detail/jmmhllpicjmeoohojhilgekmaibkdeop</t>
  </si>
  <si>
    <t>Amazon Killer</t>
  </si>
  <si>
    <t>https://chromewebstore.google.com/detail/jndbieelpiaihakdaflepdbamcllgobd</t>
  </si>
  <si>
    <t>W Zoom</t>
  </si>
  <si>
    <t>https://chromewebstore.google.com/detail/jneiefgdpanjnbjgdiaokmgjnbhclaom</t>
  </si>
  <si>
    <t>PhishArm</t>
  </si>
  <si>
    <t>https://chromewebstore.google.com/detail/jpmhiebafbmpcanplokjlcnnpghkkofi</t>
  </si>
  <si>
    <t>滑らかな日本語フォント化</t>
  </si>
  <si>
    <t>https://chromewebstore.google.com/detail/kamdcckkgcgmcompadgcnkpggiebafpj</t>
  </si>
  <si>
    <t>Page saver</t>
  </si>
  <si>
    <t>https://chromewebstore.google.com/detail/kbchedinmkicifjhlmlcnklhephjpngp</t>
  </si>
  <si>
    <t>一键下载到小米路由器</t>
  </si>
  <si>
    <t>https://chromewebstore.google.com/detail/kfcpablabgofhgdifeokmojafdnlomhp</t>
  </si>
  <si>
    <t>WhatWeb Plus</t>
  </si>
  <si>
    <t>https://chromewebstore.google.com/detail/kgflicojnojlmdocnkhnhkpbkadmpglh</t>
  </si>
  <si>
    <t>Material Design New Tab</t>
  </si>
  <si>
    <t>https://chromewebstore.google.com/detail/kgfodmcknjlgkbgkkafogbdaibkfgdgo</t>
  </si>
  <si>
    <t>Sync Sofa - Online Video Synchronizer</t>
  </si>
  <si>
    <t>https://chromewebstore.google.com/detail/kgpnhgmpijhpkefpddoehhminpfiddmg</t>
  </si>
  <si>
    <t>MIDI Player</t>
  </si>
  <si>
    <t>https://chromewebstore.google.com/detail/khppfbnjbaampmeeiocjhcodkklkcfjf</t>
  </si>
  <si>
    <t>Swell</t>
  </si>
  <si>
    <t>https://chromewebstore.google.com/detail/kibcamhgdmenhpbfnkbgjnnamhmfgknk</t>
  </si>
  <si>
    <t>YouTube Captions Search</t>
  </si>
  <si>
    <t>https://chromewebstore.google.com/detail/kimbeggjgnmckoikpckibeoaocafcpbg</t>
  </si>
  <si>
    <t>CeloExtensionWallet</t>
  </si>
  <si>
    <t>https://chromewebstore.google.com/detail/kkilomkmpmkbdnfelcpgckmpcaemjcdh</t>
  </si>
  <si>
    <t>JSBeautify for Google Chrome™</t>
  </si>
  <si>
    <t>https://chromewebstore.google.com/detail/kkioiolcacgoihiiekambdciinadbpfk</t>
  </si>
  <si>
    <t>ClassroomAPP</t>
  </si>
  <si>
    <t>https://chromewebstore.google.com/detail/klfppiphagoacacnpplbmbekopjehope</t>
  </si>
  <si>
    <t>全球网站流量查询</t>
  </si>
  <si>
    <t>https://chromewebstore.google.com/detail/kngmbepbohaeeihlfmkdcdcccejkhjhn</t>
  </si>
  <si>
    <t>Rucola - доступ к закрытым промокодам</t>
  </si>
  <si>
    <t>https://chromewebstore.google.com/detail/kponpgbmhldcnpphiaflmibpkibijcme</t>
  </si>
  <si>
    <t>StretchView</t>
  </si>
  <si>
    <t>https://chromewebstore.google.com/detail/ladceggegjmncgmjnnenegojgcinflci</t>
  </si>
  <si>
    <t>Image Size Check</t>
  </si>
  <si>
    <t>https://chromewebstore.google.com/detail/ladmjfmdefajlebeacdjmgibboanfepi</t>
  </si>
  <si>
    <t>Record and Metadata Comparator for Salesforce</t>
  </si>
  <si>
    <t>https://chromewebstore.google.com/detail/laghgcpekjofijkmojnhfeiplbffaljp</t>
  </si>
  <si>
    <t>Git History Browser Extension</t>
  </si>
  <si>
    <t>https://chromewebstore.google.com/detail/laghnmifffncfonaoffcndocllegejnf</t>
  </si>
  <si>
    <t>Twitch Auto-Redeem Channel Points</t>
  </si>
  <si>
    <t>https://chromewebstore.google.com/detail/lggkblkmildmnfpgbhlggfalgpkmojpf</t>
  </si>
  <si>
    <t>WEBX Recordings Controls Automator</t>
  </si>
  <si>
    <t>https://chromewebstore.google.com/detail/lgkgpifjihgnoknjpnnldhhenefjpadi</t>
  </si>
  <si>
    <t>Email this page (ver I. DUMAIRE) v2.1</t>
  </si>
  <si>
    <t>https://chromewebstore.google.com/detail/licmdalmnnmacjecaajcjdnjadoplnjo</t>
  </si>
  <si>
    <t>Chrome Radio Player</t>
  </si>
  <si>
    <t>https://chromewebstore.google.com/detail/lkikidpclhfnegmhcgklioclbijpleoj</t>
  </si>
  <si>
    <t>Snoozz - Snooze Tabs &amp; Windows for later</t>
  </si>
  <si>
    <t>https://chromewebstore.google.com/detail/lklendgldejcnkkaldoggoapclkepgfb</t>
  </si>
  <si>
    <t>Remove Most Visited Pages</t>
  </si>
  <si>
    <t>https://chromewebstore.google.com/detail/llcihajgaigeicmdohjkiehbacoiggbh</t>
  </si>
  <si>
    <t>Tab Slideshow</t>
  </si>
  <si>
    <t>https://chromewebstore.google.com/detail/loepeenhjndiclafjgoackjblfhonogb</t>
  </si>
  <si>
    <t>XM Helper</t>
  </si>
  <si>
    <t>https://chromewebstore.google.com/detail/loogobkkpakgbbacdgojpheijeahapkl</t>
  </si>
  <si>
    <t>ضد فیشینگ درگاه‌های بانکی</t>
  </si>
  <si>
    <t>https://chromewebstore.google.com/detail/meppninpiceflfgidaiabknjmjdkfalg</t>
  </si>
  <si>
    <t>Tab Search</t>
  </si>
  <si>
    <t>https://chromewebstore.google.com/detail/mgfejaiakfkkipbelelkcfbimnfjhebn</t>
  </si>
  <si>
    <t>SCTPextension</t>
  </si>
  <si>
    <t>https://chromewebstore.google.com/detail/mgpjobdchiggokhnaajapklalckojolh</t>
  </si>
  <si>
    <t>Fortnite Wallpapers and New Tab</t>
  </si>
  <si>
    <t>https://chromewebstore.google.com/detail/mhbjbdglobddcdoaebmhmkdjbpjlbkhi</t>
  </si>
  <si>
    <t>Localhost</t>
  </si>
  <si>
    <t>https://chromewebstore.google.com/detail/mjhkaggimgaoooehpggbjkankpbkmcjl</t>
  </si>
  <si>
    <t>Roblox DevEst</t>
  </si>
  <si>
    <t>https://chromewebstore.google.com/detail/mjoelkhmpnpbpdblgocjimjabjjdfmpo</t>
  </si>
  <si>
    <t>Linux Scroll Speed Fix</t>
  </si>
  <si>
    <t>https://chromewebstore.google.com/detail/mlboohjioameadaedfjcpemcaangkkbp</t>
  </si>
  <si>
    <t>Reddit Check</t>
  </si>
  <si>
    <t>https://chromewebstore.google.com/detail/mllceaiaedaingchlgolnfiibippgkmj</t>
  </si>
  <si>
    <t>PageRank Display</t>
  </si>
  <si>
    <t>https://chromewebstore.google.com/detail/mmhofljhcphkbkjmhaiagmbajikkfnep</t>
  </si>
  <si>
    <t>CFCA CryptoKit.PLA Extension</t>
  </si>
  <si>
    <t>https://chromewebstore.google.com/detail/mmmkcieblgelnnjbnicdipakndgmglgl</t>
  </si>
  <si>
    <t>网页编码修改（Charset）</t>
  </si>
  <si>
    <t>https://chromewebstore.google.com/detail/mnnlnpbaaojjmihapdoffoicnnaokpmj</t>
  </si>
  <si>
    <t>TrackOFF</t>
  </si>
  <si>
    <t>https://chromewebstore.google.com/detail/mpfenjafnlicmamjnpoohobgpmldkpoj</t>
  </si>
  <si>
    <t>PDF Viewer for Vimium C</t>
  </si>
  <si>
    <t>https://chromewebstore.google.com/detail/nacjakoppgmdcpemlfnfegmlhipddanj</t>
  </si>
  <si>
    <t>FilterBypass</t>
  </si>
  <si>
    <t>https://chromewebstore.google.com/detail/naeeohopejehgjckpkmbdojogdipklbj</t>
  </si>
  <si>
    <t>SSL Checker</t>
  </si>
  <si>
    <t>https://chromewebstore.google.com/detail/nbanpljakngdndmmekhogfliinegiapb</t>
  </si>
  <si>
    <t>Yumprint</t>
  </si>
  <si>
    <t>https://chromewebstore.google.com/detail/nboinfelnglhdhgchcmomigiddalpjka</t>
  </si>
  <si>
    <t>Meet view all</t>
  </si>
  <si>
    <t>https://chromewebstore.google.com/detail/ncdkpefkincbindoojieajcilimcjaae</t>
  </si>
  <si>
    <t>SVG Screenshot</t>
  </si>
  <si>
    <t>https://chromewebstore.google.com/detail/nfakpcpmhhilkdpphcjgnokknpbpdllg</t>
  </si>
  <si>
    <t>金山词霸右键查询</t>
  </si>
  <si>
    <t>https://chromewebstore.google.com/detail/nggghhclpmecenfkhdflgaaojdacpphj</t>
  </si>
  <si>
    <t>取色器</t>
  </si>
  <si>
    <t>https://chromewebstore.google.com/detail/nhkjcaiojlbfebmjiechahfdmppccgnn</t>
  </si>
  <si>
    <t>Play Movies Fullscreen</t>
  </si>
  <si>
    <t>https://chromewebstore.google.com/detail/nienaghdopiidkcmeoadejnnjangghnm</t>
  </si>
  <si>
    <t>AliPriceCompare - price comparison</t>
  </si>
  <si>
    <t>https://chromewebstore.google.com/detail/niicehbadcoefddejdcmlgkbdpkbegem</t>
  </si>
  <si>
    <t>Cashbe - лучший кэшбэк сервис</t>
  </si>
  <si>
    <t>https://chromewebstore.google.com/detail/nikjkfpkdchpheoilbeekhbimcofegkl</t>
  </si>
  <si>
    <t>Change GeoLocation</t>
  </si>
  <si>
    <t>https://chromewebstore.google.com/detail/njjpmclekpigefnogajiknnheheacoaj</t>
  </si>
  <si>
    <t>Webynar Recorder</t>
  </si>
  <si>
    <t>https://chromewebstore.google.com/detail/njoncjjljflelpenbbeinnhifcanjhee</t>
  </si>
  <si>
    <t>Free VPN</t>
  </si>
  <si>
    <t>https://chromewebstore.google.com/detail/njpmifchgidinihmijhcfpbdmglecdlb</t>
  </si>
  <si>
    <t>Thunder Download Manager</t>
  </si>
  <si>
    <t>https://chromewebstore.google.com/detail/nllgadppmkoamdlocamdnmimkehhojai</t>
  </si>
  <si>
    <t>Angular watchers</t>
  </si>
  <si>
    <t>https://chromewebstore.google.com/detail/nlmjblobloedpmkmmckeehnbfalnjnjk</t>
  </si>
  <si>
    <t>Scroll it!</t>
  </si>
  <si>
    <t>https://chromewebstore.google.com/detail/nlndoolndemidhlomaokpfbicfnjeeed</t>
  </si>
  <si>
    <t>Scholar with Code</t>
  </si>
  <si>
    <t>https://chromewebstore.google.com/detail/nlnjigejpgngahmoainkakaafabijeki</t>
  </si>
  <si>
    <t>ひらがなツールチップ</t>
  </si>
  <si>
    <t>https://chromewebstore.google.com/detail/noappbdpoidambdenlpefmkgnjhclkne</t>
  </si>
  <si>
    <t>YouTube Live chat filter</t>
  </si>
  <si>
    <t>https://chromewebstore.google.com/detail/noekfhlpihlpicbghhjiflhgkfgcikjh</t>
  </si>
  <si>
    <t>MyAdFilter</t>
  </si>
  <si>
    <t>https://chromewebstore.google.com/detail/nojneofchnoggimehkmbkjgpnciihkak</t>
  </si>
  <si>
    <t>Piez</t>
  </si>
  <si>
    <t>https://chromewebstore.google.com/detail/npbccjkjemgagjioahfccljgnlkdleod</t>
  </si>
  <si>
    <t>Marmoset</t>
  </si>
  <si>
    <t>https://chromewebstore.google.com/detail/npkfpddkpefnmkflhhligbkofhnafieb</t>
  </si>
  <si>
    <t>IncrediMail</t>
  </si>
  <si>
    <t>https://chromewebstore.google.com/detail/npndnkjhbbmjlbcbmkkdkmfofjkaaahm</t>
  </si>
  <si>
    <t>Music Visualizer for YouTube™ Music</t>
  </si>
  <si>
    <t>https://chromewebstore.google.com/detail/ofhohcappnjhojpboeamfijglinngdnb</t>
  </si>
  <si>
    <t>KDE Connect</t>
  </si>
  <si>
    <t>https://chromewebstore.google.com/detail/ofmplbbfigookafjahpeepbggpofdhbo</t>
  </si>
  <si>
    <t>Keybase</t>
  </si>
  <si>
    <t>https://chromewebstore.google.com/detail/ognfafcpbkogffpmmdglhbjboeojlefj</t>
  </si>
  <si>
    <t>blatube.com</t>
  </si>
  <si>
    <t>https://chromewebstore.google.com/detail/ohjjhfjlnkoanfielofllebjokpmdlom</t>
  </si>
  <si>
    <t>Hacker Tab</t>
  </si>
  <si>
    <t>https://chromewebstore.google.com/detail/olmfokfdiaekgfcpgjomahmkllgkanoa</t>
  </si>
  <si>
    <t>Auto Refresh</t>
  </si>
  <si>
    <t>https://chromewebstore.google.com/detail/omcjgdddgjlioknfggaelopggehgfcea</t>
  </si>
  <si>
    <t>Media Grabber</t>
  </si>
  <si>
    <t>https://chromewebstore.google.com/detail/ompogmmmcfgapifeghieaklpblkkoloo</t>
  </si>
  <si>
    <t>YouTube™ TV Desktop</t>
  </si>
  <si>
    <t>https://chromewebstore.google.com/detail/onikdilmkkgioinnhpgimbhffdgldnoi</t>
  </si>
  <si>
    <t>AcFun HTML5 Player</t>
  </si>
  <si>
    <t>https://chromewebstore.google.com/detail/onjihgccojkcmlmlbjmgkcnehdbpbhcf</t>
  </si>
  <si>
    <t>Unspoiler</t>
  </si>
  <si>
    <t>https://chromewebstore.google.com/detail/oookgbbhgojdebhnmkmhgfagoiknifgi</t>
  </si>
  <si>
    <t>Time Is Money</t>
  </si>
  <si>
    <t>https://chromewebstore.google.com/detail/ooppbnomdcjmoepangldchpmjhkeendl</t>
  </si>
  <si>
    <t>Best Reader View</t>
  </si>
  <si>
    <t>https://chromewebstore.google.com/detail/ooppcohacjcoekjgiajkkjgepofncbdl</t>
  </si>
  <si>
    <t>AVIM - Vietnamese Input Method</t>
  </si>
  <si>
    <t>https://chromewebstore.google.com/detail/opgbbffpdglhkpglnlkiclakjlpiedoh</t>
  </si>
  <si>
    <t>Polaroid Madness</t>
  </si>
  <si>
    <t>https://chromewebstore.google.com/detail/pbakcedgfbkngkamdnodjdbmmbigepaa</t>
  </si>
  <si>
    <t>Github 百宝箱</t>
  </si>
  <si>
    <t>https://chromewebstore.google.com/detail/pbggmlghklngacbdkdjcebaaglkcokhp</t>
  </si>
  <si>
    <t>Avionte Echo</t>
  </si>
  <si>
    <t>https://chromewebstore.google.com/detail/pcdpmeeakgehfnimhbgfpcgcmhmglajd</t>
  </si>
  <si>
    <t>Steam Card Assistant</t>
  </si>
  <si>
    <t>https://chromewebstore.google.com/detail/peclgodihffdabhnecgclojooijaeeeb</t>
  </si>
  <si>
    <t>WaterlooWorks Azure</t>
  </si>
  <si>
    <t>https://chromewebstore.google.com/detail/peeaakkcmdoeljddgdkcailflcballmm</t>
  </si>
  <si>
    <t>Are You Watching This?!</t>
  </si>
  <si>
    <t>https://chromewebstore.google.com/detail/pfneigogocifpmjngcpbhfmjhbckjcao</t>
  </si>
  <si>
    <t>OVPN.com</t>
  </si>
  <si>
    <t>https://chromewebstore.google.com/detail/pgogbeeleccaogghlpmoilbegdhacfnn</t>
  </si>
  <si>
    <t>Header Hacker</t>
  </si>
  <si>
    <t>https://chromewebstore.google.com/detail/phnffahgegfkcobeaapbenpmdnkifigc</t>
  </si>
  <si>
    <t>Dr.FLARE</t>
  </si>
  <si>
    <t>https://chromewebstore.google.com/detail/pibckhncbjabhlomohgcdedacopeooml</t>
  </si>
  <si>
    <t>Music of Minecraft</t>
  </si>
  <si>
    <t>https://chromewebstore.google.com/detail/piidlenoacbeeecjfdkjcgcienfgnkjn</t>
  </si>
  <si>
    <t>SimpleFill - Autofill Forms</t>
  </si>
  <si>
    <t>https://chromewebstore.google.com/detail/pjdkmeabgpggjenaichdfjhdckcejjik</t>
  </si>
  <si>
    <t>Slim Lists for Trello</t>
  </si>
  <si>
    <t>https://chromewebstore.google.com/detail/pjlejgbmijmafmobaofcgblpdbkaodod</t>
  </si>
  <si>
    <t>TTV AdEraser</t>
  </si>
  <si>
    <t>https://chromewebstore.google.com/detail/pjnopimdnmhiaanhjfficogijajbhjnc</t>
  </si>
  <si>
    <t>GeoPrinter</t>
  </si>
  <si>
    <t>https://chromewebstore.google.com/detail/pkejgpgaflkeonkliblcplomemekogop</t>
  </si>
  <si>
    <t>CalendarWeek</t>
  </si>
  <si>
    <t>https://chromewebstore.google.com/detail/pkmjkmagmdipoioaihlbahnkjhpappjm</t>
  </si>
  <si>
    <t>Header-Editor</t>
  </si>
  <si>
    <t>https://chromewebstore.google.com/detail/pkokmcnklmgbepioackopoknkdlhefjl</t>
  </si>
  <si>
    <t>Downloader for Lazada</t>
  </si>
  <si>
    <t>https://chromewebstore.google.com/detail/poadggnmgoaalhgdkjfdmkjaihableef</t>
  </si>
  <si>
    <t>Day Counter - New Tab Page</t>
  </si>
  <si>
    <t>https://chromewebstore.google.com/detail/popaiegponeiefbiddhmaphpbdjoegff</t>
  </si>
  <si>
    <t>JotterPad - Markdown, Fountain Editor</t>
  </si>
  <si>
    <t>https://chromewebstore.google.com/detail/eedchpibggikoahhgjpikeacbnlnnfge</t>
  </si>
  <si>
    <t>BelkaVPN is VPN, Proxy to Unblock any sites</t>
  </si>
  <si>
    <t>https://chromewebstore.google.com/detail/npgimkapccfidfkfoklhpkgmhgfejhbj</t>
  </si>
  <si>
    <t>Live Custom CSS,JS injector on pages</t>
  </si>
  <si>
    <t>https://chromewebstore.google.com/detail/gamgadbdliolbhjdcfjjpjfjhgfnckbp</t>
  </si>
  <si>
    <t>SenecaAnswer</t>
  </si>
  <si>
    <t>https://chromewebstore.google.com/detail/aacmadajiomocfofkfpfjdcbbgdlonkc</t>
  </si>
  <si>
    <t>Better CDCS</t>
  </si>
  <si>
    <t>https://chromewebstore.google.com/detail/adaiboomihahdddciolkcfhalmdnlneh</t>
  </si>
  <si>
    <t>Downloader for Reddit™</t>
  </si>
  <si>
    <t>https://chromewebstore.google.com/detail/aecepinapldaiocchalkijbjekkjohce</t>
  </si>
  <si>
    <t>Animated Gif Capture</t>
  </si>
  <si>
    <t>https://chromewebstore.google.com/detail/aecmckhhfknljgicfkpbinfkpnijehcm</t>
  </si>
  <si>
    <t>https://chromewebstore.google.com/detail/aenihapfpbplnoodpaebohaknejoidaj</t>
  </si>
  <si>
    <t>Page Monitor Pro</t>
  </si>
  <si>
    <t>https://chromewebstore.google.com/detail/aggebfalegkdaebfdldpaolhmlalbakp</t>
  </si>
  <si>
    <t>Uploads Only for Youtube™</t>
  </si>
  <si>
    <t>https://chromewebstore.google.com/detail/ajdnlgehefnmaiighnbaibekhdfhnipd</t>
  </si>
  <si>
    <t>Black and White</t>
  </si>
  <si>
    <t>https://chromewebstore.google.com/detail/amdnjmpcoialaikdldjbnkipmckdheie</t>
  </si>
  <si>
    <t>Tab Hibernate</t>
  </si>
  <si>
    <t>https://chromewebstore.google.com/detail/ammlihljcndoijbkoobiobhjgoopiidn</t>
  </si>
  <si>
    <t>OVC - One Video Control</t>
  </si>
  <si>
    <t>https://chromewebstore.google.com/detail/analeldnikfgekckpcppegfekineelbb</t>
  </si>
  <si>
    <t>WikiTube</t>
  </si>
  <si>
    <t>https://chromewebstore.google.com/detail/aneddidibfifdpbeppmpoackniodpekj</t>
  </si>
  <si>
    <t>Jitsi Desktop Streamer for meet.viseven.com</t>
  </si>
  <si>
    <t>https://chromewebstore.google.com/detail/aobebmleelbgbonejgbokglicljhaaae</t>
  </si>
  <si>
    <t>Sleep Timer</t>
  </si>
  <si>
    <t>https://chromewebstore.google.com/detail/aogefgiamlllkemngojodbhbdigamjkj</t>
  </si>
  <si>
    <t>Roll20 Colourise</t>
  </si>
  <si>
    <t>https://chromewebstore.google.com/detail/aohbmgaolpimlnfonicdhkialgannnii</t>
  </si>
  <si>
    <t>ClearBrowserData</t>
  </si>
  <si>
    <t>https://chromewebstore.google.com/detail/apehfighfmpoieeniallefdeibodgmmb</t>
  </si>
  <si>
    <t>Coder's Calendar</t>
  </si>
  <si>
    <t>https://chromewebstore.google.com/detail/bageaffklfkikjigoclfgengklfnidll</t>
  </si>
  <si>
    <t>Earls Browser</t>
  </si>
  <si>
    <t>https://chromewebstore.google.com/detail/bajbkoongpoeddacnegpakakhemifgmk</t>
  </si>
  <si>
    <t>ESPN Private League Key API</t>
  </si>
  <si>
    <t>https://chromewebstore.google.com/detail/bakealnpgdijapoiibbgdbogehhmaopn</t>
  </si>
  <si>
    <t>Regex Search</t>
  </si>
  <si>
    <t>https://chromewebstore.google.com/detail/bcdabfmndggphffkchfdcekcokmbnkjl</t>
  </si>
  <si>
    <t>Quick Tab</t>
  </si>
  <si>
    <t>https://chromewebstore.google.com/detail/bdeifmcaonlafkglbdpbbhkeecjnkipo</t>
  </si>
  <si>
    <t>AB Tasty</t>
  </si>
  <si>
    <t>https://chromewebstore.google.com/detail/bdiahcebghgckgbgmjhdbecjkedpcidn</t>
  </si>
  <si>
    <t>Webcam Preview</t>
  </si>
  <si>
    <t>https://chromewebstore.google.com/detail/becngjhkfeeldhnjgbgndeedogbnaejg</t>
  </si>
  <si>
    <t>Visited</t>
  </si>
  <si>
    <t>https://chromewebstore.google.com/detail/bfcodeehkjogenemacopdbhabjebnbah</t>
  </si>
  <si>
    <t>Wordpress Style Editor</t>
  </si>
  <si>
    <t>https://chromewebstore.google.com/detail/bgdpllcnhcmpfcheafdhimpklhjoommn</t>
  </si>
  <si>
    <t>Ecto Wallet</t>
  </si>
  <si>
    <t>https://chromewebstore.google.com/detail/bgjogpoidejdemgoochpnkmdjpocgkha</t>
  </si>
  <si>
    <t>Online Alarm Clock</t>
  </si>
  <si>
    <t>https://chromewebstore.google.com/detail/bgnmojbefoplnleefojcghjopmopidaj</t>
  </si>
  <si>
    <t>יואל גבע</t>
  </si>
  <si>
    <t>https://chromewebstore.google.com/detail/bhlchidmlalaccjoechflhbgkgkndjoh</t>
  </si>
  <si>
    <t>StraTistiX with aRPEe Score for Strava</t>
  </si>
  <si>
    <t>https://chromewebstore.google.com/detail/bilbbbdgdimchenccmooakpfomfajepd</t>
  </si>
  <si>
    <t>JoinTabs</t>
  </si>
  <si>
    <t>https://chromewebstore.google.com/detail/bjmimocndihpmdoelbiilpkkfkppikap</t>
  </si>
  <si>
    <t>Piwaa</t>
  </si>
  <si>
    <t>https://chromewebstore.google.com/detail/bkcibcjcbhgjoddeldfmgkbaipjkidpf</t>
  </si>
  <si>
    <t>Trends Everywhere - Never miss a trend</t>
  </si>
  <si>
    <t>https://chromewebstore.google.com/detail/blilbgcjmmpbcjiopbifnoopnpfhdipg</t>
  </si>
  <si>
    <t>FlyView for SharePoint and Office 365 Sites</t>
  </si>
  <si>
    <t>https://chromewebstore.google.com/detail/blmfdjjomajmejdkdbcabhgfonkhfaam</t>
  </si>
  <si>
    <t>Clean Calculator Extension</t>
  </si>
  <si>
    <t>https://chromewebstore.google.com/detail/bmhlkhlncmgcdeicfehhpifjhgneenoc</t>
  </si>
  <si>
    <t>QbitTorrent Client</t>
  </si>
  <si>
    <t>https://chromewebstore.google.com/detail/bnajgmchnmlnjggkflnpjllgpjbckoja</t>
  </si>
  <si>
    <t>Iframe Detector</t>
  </si>
  <si>
    <t>https://chromewebstore.google.com/detail/bndckplfkckfjbgmgnkkemkdpafdablg</t>
  </si>
  <si>
    <t>Default Account for Google™ products</t>
  </si>
  <si>
    <t>https://chromewebstore.google.com/detail/bnocikekcdchphdpfffcgikiblhnkdad</t>
  </si>
  <si>
    <t>Surveillance Client NVR</t>
  </si>
  <si>
    <t>https://chromewebstore.google.com/detail/boagamamebolcgbbpghdbadebfclkbdb</t>
  </si>
  <si>
    <t>Highlight tool</t>
  </si>
  <si>
    <t>https://chromewebstore.google.com/detail/bocgmaooafgikalnonpaccinefpncobc</t>
  </si>
  <si>
    <t>SafeBrowser</t>
  </si>
  <si>
    <t>https://chromewebstore.google.com/detail/bohffanknhdkpedmpcgephfdgabemfkb</t>
  </si>
  <si>
    <t>DAT Bootcamp Biology</t>
  </si>
  <si>
    <t>https://chromewebstore.google.com/detail/boifjfacnencpfgncaijcbekbffnfean</t>
  </si>
  <si>
    <t>Free OCR extract text from ActiveTab</t>
  </si>
  <si>
    <t>https://chromewebstore.google.com/detail/bomlpocneecngaomhddeggcinnaoohgo</t>
  </si>
  <si>
    <t>贴吧签到助手</t>
  </si>
  <si>
    <t>https://chromewebstore.google.com/detail/bpheclmhommpomjoeoifcggjmdelgaoj</t>
  </si>
  <si>
    <t>Python Compiler Editor</t>
  </si>
  <si>
    <t>https://chromewebstore.google.com/detail/cbobmdabfjfogbodncgennjhpcmdlfin</t>
  </si>
  <si>
    <t>Covfefe</t>
  </si>
  <si>
    <t>https://chromewebstore.google.com/detail/ccdjnhaifeigaidilnnajickpbjhbfom</t>
  </si>
  <si>
    <t>Simple Autofill</t>
  </si>
  <si>
    <t>https://chromewebstore.google.com/detail/cdjplknefldnfcncohonjbeeocljjmbm</t>
  </si>
  <si>
    <t>Twitter Unfollow Unfollowers</t>
  </si>
  <si>
    <t>https://chromewebstore.google.com/detail/cejdihbofllcmhnmniakjilchgfaebcf</t>
  </si>
  <si>
    <t>FixPlay</t>
  </si>
  <si>
    <t>https://chromewebstore.google.com/detail/cfakdddemgaldaenbeccjmpdmdahcoji</t>
  </si>
  <si>
    <t>YouTweak for YouTube™ - Subscription Manager</t>
  </si>
  <si>
    <t>https://chromewebstore.google.com/detail/cfgpigllcihcpkbokdnmpkjobnebflgh</t>
  </si>
  <si>
    <t>https://chromewebstore.google.com/detail/cghmfdbnaglgkbajgpkciklfeafoknmp</t>
  </si>
  <si>
    <t>Assistant RGAA</t>
  </si>
  <si>
    <t>https://chromewebstore.google.com/detail/cgpmofepeeiaaljkcclfldhaalfpcand</t>
  </si>
  <si>
    <t>GeForce NOW Unlocker</t>
  </si>
  <si>
    <t>https://chromewebstore.google.com/detail/chgiddljhokfbppnhfphdabejocpopgk</t>
  </si>
  <si>
    <t>有道词典划词扩展2023</t>
  </si>
  <si>
    <t>https://chromewebstore.google.com/detail/chgkpfgnhlojjpjchjcbpbgmdnmfmmil</t>
  </si>
  <si>
    <t>LiveReload++</t>
  </si>
  <si>
    <t>https://chromewebstore.google.com/detail/ciehpookapcdlakedibajeccomagbfab</t>
  </si>
  <si>
    <t>Robotman</t>
  </si>
  <si>
    <t>https://chromewebstore.google.com/detail/cjpdlmjbocfbhjgdpmfkcphkacmighmb</t>
  </si>
  <si>
    <t>TAOBAOEXPRESS Order Tool</t>
  </si>
  <si>
    <t>https://chromewebstore.google.com/detail/cljgeamakelbidoianknbfedaejiocgi</t>
  </si>
  <si>
    <t>Fiverr Workspace</t>
  </si>
  <si>
    <t>https://chromewebstore.google.com/detail/cllajfedflpkeplbcojolihhlmmafmbb</t>
  </si>
  <si>
    <t>jQuery Unique Selector</t>
  </si>
  <si>
    <t>https://chromewebstore.google.com/detail/cmdmlphjbobhblimniofbnlfkmpcjlgd</t>
  </si>
  <si>
    <t>TimeDoser</t>
  </si>
  <si>
    <t>https://chromewebstore.google.com/detail/cmkneeaihlcdllananjlkmppnkdahdcc</t>
  </si>
  <si>
    <t>GloboPlay TV</t>
  </si>
  <si>
    <t>https://chromewebstore.google.com/detail/cnbkpkpfckpmnjjkoenloilapocnaiak</t>
  </si>
  <si>
    <t>Night mode for Aliexpress</t>
  </si>
  <si>
    <t>https://chromewebstore.google.com/detail/cnfjjjccgdhpmagdikdfdoamffinllog</t>
  </si>
  <si>
    <t>Twitter One Click Block</t>
  </si>
  <si>
    <t>https://chromewebstore.google.com/detail/cpkbcemgamhinbingpodkfnpnofkloae</t>
  </si>
  <si>
    <t>REST Client APIsHub</t>
  </si>
  <si>
    <t>https://chromewebstore.google.com/detail/dabkfpeebkikmgdianbkchblbdibbfhl</t>
  </si>
  <si>
    <t>Love O'Clock</t>
  </si>
  <si>
    <t>https://chromewebstore.google.com/detail/dbcnbegbcdfdlndabgemkabfhfllocma</t>
  </si>
  <si>
    <t>https://chromewebstore.google.com/detail/dcaaabmopjlkogkeahlbehpnppgleahf</t>
  </si>
  <si>
    <t>https://chromewebstore.google.com/detail/dcgkemofanbgjhnbmjjfomcgdkmobhgi</t>
  </si>
  <si>
    <t>Prayer Times</t>
  </si>
  <si>
    <t>https://chromewebstore.google.com/detail/dchjcpaccnemnmhnnmkcpapjieaknljk</t>
  </si>
  <si>
    <t>Toolbox</t>
  </si>
  <si>
    <t>https://chromewebstore.google.com/detail/dckjbbhlbmojeohhjlobfllblcoannge</t>
  </si>
  <si>
    <t>Card Numbers for Trello</t>
  </si>
  <si>
    <t>https://chromewebstore.google.com/detail/ddadhlcejiholmdiihbdcfoapdfkhicn</t>
  </si>
  <si>
    <t>Word to PDF Converter Pro</t>
  </si>
  <si>
    <t>https://chromewebstore.google.com/detail/ddbmednkcaaciannkbjaineoecjkclfg</t>
  </si>
  <si>
    <t>Web Strike</t>
  </si>
  <si>
    <t>https://chromewebstore.google.com/detail/ddgcohekjighkfgkhcpdinbifogpaglg</t>
  </si>
  <si>
    <t>CFCA CertEnrollment.QZCCBank Extension</t>
  </si>
  <si>
    <t>https://chromewebstore.google.com/detail/degapcaafepdhjjaoaoaaickindhehka</t>
  </si>
  <si>
    <t>SOQL Extractor and Analyzer for SalesForce</t>
  </si>
  <si>
    <t>https://chromewebstore.google.com/detail/deihalhihjdilndoidoclmhmgllebkfj</t>
  </si>
  <si>
    <t>wireframify</t>
  </si>
  <si>
    <t>https://chromewebstore.google.com/detail/denkephjglddepmhdlaaigjionglkdbb</t>
  </si>
  <si>
    <t>ソーシャルゲームPCブラウザ</t>
  </si>
  <si>
    <t>https://chromewebstore.google.com/detail/dfdobmhlmkdmiokclbhgmiiehioogbbi</t>
  </si>
  <si>
    <t>Trilium Web Clipper</t>
  </si>
  <si>
    <t>https://chromewebstore.google.com/detail/dfhgmnfclbebfobmblelddiejjcijbjm</t>
  </si>
  <si>
    <t>DotChat</t>
  </si>
  <si>
    <t>https://chromewebstore.google.com/detail/dgadhpmlfghhmiladkdodenkkcoiplcm</t>
  </si>
  <si>
    <t>키즈노트에서 사진/동영상 다운로드 받기</t>
  </si>
  <si>
    <t>https://chromewebstore.google.com/detail/dglhbebhfdidbfoeknnfghdbleecgopl</t>
  </si>
  <si>
    <t>Volume Controller</t>
  </si>
  <si>
    <t>https://chromewebstore.google.com/detail/dikemolgkkmhlgpgnmndjekbbckmgfmh</t>
  </si>
  <si>
    <t>Remote Play</t>
  </si>
  <si>
    <t>https://chromewebstore.google.com/detail/djbeppfhfnoenjialnekbeggaokpoljk</t>
  </si>
  <si>
    <t>Chrome OS Wallpapers</t>
  </si>
  <si>
    <t>https://chromewebstore.google.com/detail/dkfibabkihblcenahmcdmfepojcejoan</t>
  </si>
  <si>
    <t>Sumo</t>
  </si>
  <si>
    <t>https://chromewebstore.google.com/detail/dlgipkaoljiajmolhibpngjppeckkjjp</t>
  </si>
  <si>
    <t>Sibnet BetterPlayer</t>
  </si>
  <si>
    <t>https://chromewebstore.google.com/detail/dlpiocjogoilggigpijnoamnjjolfhdm</t>
  </si>
  <si>
    <t>Dizu</t>
  </si>
  <si>
    <t>https://chromewebstore.google.com/detail/dmmkcklhpicggimepcmiiiinhjgfpabp</t>
  </si>
  <si>
    <t>Stop Mod Reposts</t>
  </si>
  <si>
    <t>https://chromewebstore.google.com/detail/dmooeeefhgcabgimjgdjaldjkddeopmp</t>
  </si>
  <si>
    <t>VASCO Smart Card Reader Extension</t>
  </si>
  <si>
    <t>https://chromewebstore.google.com/detail/doaamlfgfbkiofmbmaahkaaipgfmkhkh</t>
  </si>
  <si>
    <t>Umi Enabler</t>
  </si>
  <si>
    <t>https://chromewebstore.google.com/detail/ebpgknlgpomojokdkpgphjigniicjcgc</t>
  </si>
  <si>
    <t>SafeEngine</t>
  </si>
  <si>
    <t>https://chromewebstore.google.com/detail/edlabnkomhapginaagocjphimjellekl</t>
  </si>
  <si>
    <t>Save To The Wayback Machine</t>
  </si>
  <si>
    <t>https://chromewebstore.google.com/detail/eebpioaailbjojmdbmlpomfgijnlcemk</t>
  </si>
  <si>
    <t>Prevent Duplicate Tabs</t>
  </si>
  <si>
    <t>https://chromewebstore.google.com/detail/eednccpckdkpojaiemedoejdngappaag</t>
  </si>
  <si>
    <t>Sitemod.io</t>
  </si>
  <si>
    <t>https://chromewebstore.google.com/detail/efjbaneaebkanjmhengnedpllfdiocin</t>
  </si>
  <si>
    <t>Focus 45</t>
  </si>
  <si>
    <t>https://chromewebstore.google.com/detail/efjdfkfpnffgkdgehkenoikpbadfgple</t>
  </si>
  <si>
    <t>Default Search Tool</t>
  </si>
  <si>
    <t>https://chromewebstore.google.com/detail/efmlapiifhopliikdcggdflihnhnadcc</t>
  </si>
  <si>
    <t>Amazon Affiliates Link Maker</t>
  </si>
  <si>
    <t>https://chromewebstore.google.com/detail/egkocgaccgbefacjmdnlfmlmccgacjck</t>
  </si>
  <si>
    <t>DICOM image viewer</t>
  </si>
  <si>
    <t>https://chromewebstore.google.com/detail/ehppmcooahfnlfhhcflpkcjmonkoindc</t>
  </si>
  <si>
    <t>Graphulator With Numerical Calculus</t>
  </si>
  <si>
    <t>https://chromewebstore.google.com/detail/eimkcffdakecfnjnkcbefpndphkgmjah</t>
  </si>
  <si>
    <t>CFCA CertEnrollment.zjmtbank Extension</t>
  </si>
  <si>
    <t>https://chromewebstore.google.com/detail/ekjkdponophncgphllhplkelgpogjgjd</t>
  </si>
  <si>
    <t>Myanmar ZawGyi and Unicode Converter</t>
  </si>
  <si>
    <t>https://chromewebstore.google.com/detail/elnngfdiiddneiinllplklpadfogajck</t>
  </si>
  <si>
    <t>Auto Scroll</t>
  </si>
  <si>
    <t>https://chromewebstore.google.com/detail/eochlhpceohhhfogfeladaifggikcjhk</t>
  </si>
  <si>
    <t>KittyKeys</t>
  </si>
  <si>
    <t>https://chromewebstore.google.com/detail/eojlhfcihickhmgmipooaplflklcibkh</t>
  </si>
  <si>
    <t>Save As MHTML</t>
  </si>
  <si>
    <t>https://chromewebstore.google.com/detail/eomfifclcdpkaghkehajpolkdnkmegfa</t>
  </si>
  <si>
    <t>Mouse Click Highlighter (mClick)</t>
  </si>
  <si>
    <t>https://chromewebstore.google.com/detail/faacfelnnfhdicdmkdeclkeanllppdbm</t>
  </si>
  <si>
    <t>Mind The Word</t>
  </si>
  <si>
    <t>https://chromewebstore.google.com/detail/fabjlaokbhaoehejcoblhahcekmogbom</t>
  </si>
  <si>
    <t>Chegg Skip Extension</t>
  </si>
  <si>
    <t>https://chromewebstore.google.com/detail/faccodjobfpcgkppnoikebhllclepeia</t>
  </si>
  <si>
    <t>Map Switcher</t>
  </si>
  <si>
    <t>https://chromewebstore.google.com/detail/fanpjcbgdinjeknjikpfnldfpnnpkelb</t>
  </si>
  <si>
    <t>NTHU_ScoreSharing</t>
  </si>
  <si>
    <t>https://chromewebstore.google.com/detail/fbbgchnopppgncdjbckkjehfchncghdf</t>
  </si>
  <si>
    <t>Rapid WordReference</t>
  </si>
  <si>
    <t>https://chromewebstore.google.com/detail/fbdhepgjnfmdlbfggopmjgnnhmcnghdf</t>
  </si>
  <si>
    <t>LanguageTool (old version)</t>
  </si>
  <si>
    <t>https://chromewebstore.google.com/detail/fbnhlpaknddgpjajidodjdidnaonmhcl</t>
  </si>
  <si>
    <t>Keep Last Two Tabs</t>
  </si>
  <si>
    <t>https://chromewebstore.google.com/detail/fcnmaiiahjldikaollhjobhchdbhfhgf</t>
  </si>
  <si>
    <t>Just Tweet Button</t>
  </si>
  <si>
    <t>https://chromewebstore.google.com/detail/feikojefkpembojkeegfajbbfecocddd</t>
  </si>
  <si>
    <t>Teamo.ru</t>
  </si>
  <si>
    <t>https://chromewebstore.google.com/detail/fhnifebbafonofdnbimiaejahcfifmec</t>
  </si>
  <si>
    <t>Microsoft Teams Chat Extractor</t>
  </si>
  <si>
    <t>https://chromewebstore.google.com/detail/fhnkibfmfnbebnhcihmpdbibjgolbifm</t>
  </si>
  <si>
    <t>Windy</t>
  </si>
  <si>
    <t>https://chromewebstore.google.com/detail/fjidjgneljagnakdcijilikbmgoajeln</t>
  </si>
  <si>
    <t>Gold &amp; Silver price</t>
  </si>
  <si>
    <t>https://chromewebstore.google.com/detail/fkgjfjogmipihchhfchdmhblgdpdeagg</t>
  </si>
  <si>
    <t>Weebly Dashboard Extension</t>
  </si>
  <si>
    <t>https://chromewebstore.google.com/detail/fkhpeihpgdipchpfmddkfcigllaaiaki</t>
  </si>
  <si>
    <t>Cleaner</t>
  </si>
  <si>
    <t>https://chromewebstore.google.com/detail/fmldiainnnecolalfmbeajgnhgbaekfa</t>
  </si>
  <si>
    <t>Get Referrer URL</t>
  </si>
  <si>
    <t>https://chromewebstore.google.com/detail/foeoiieheeibpcncbalmoejmfankigah</t>
  </si>
  <si>
    <t>Slither.io Exclusive - Get New Features</t>
  </si>
  <si>
    <t>https://chromewebstore.google.com/detail/foigpdheanhpdikafahciabdjhaognmo</t>
  </si>
  <si>
    <t>牛魔王数据助手</t>
  </si>
  <si>
    <t>https://chromewebstore.google.com/detail/fpgjjnkajmmmoohnenpokkacgplhkcbp</t>
  </si>
  <si>
    <t>[Earthchie] ทำให้เว็บกลับมามีสี</t>
  </si>
  <si>
    <t>https://chromewebstore.google.com/detail/gagmhnbbnoealbgkjikehgpglhjbdkgf</t>
  </si>
  <si>
    <t>Nofollow SEO Link Highlighter</t>
  </si>
  <si>
    <t>https://chromewebstore.google.com/detail/gamkimojcjodhglgkmeigpnakpefkkcd</t>
  </si>
  <si>
    <t>ETHSBell</t>
  </si>
  <si>
    <t>https://chromewebstore.google.com/detail/gbkjjbecehodfeijbdmoieepgmfdlgle</t>
  </si>
  <si>
    <t>EASY CORS</t>
  </si>
  <si>
    <t>https://chromewebstore.google.com/detail/gcdaaelgdlicnnichhholnoagafangej</t>
  </si>
  <si>
    <t>Tab Switcher</t>
  </si>
  <si>
    <t>https://chromewebstore.google.com/detail/gcilookdakgpccpbcjgnpaecofklimck</t>
  </si>
  <si>
    <t>Pepper panel - SMM инструмент для Вконтакте</t>
  </si>
  <si>
    <t>https://chromewebstore.google.com/detail/gcollagbbfbncnhmgcaedamlogdpelnp</t>
  </si>
  <si>
    <t>Coconut Chrome Extension</t>
  </si>
  <si>
    <t>https://chromewebstore.google.com/detail/gdaialcljocaeiioennhhncfklpchflb</t>
  </si>
  <si>
    <t>Download Notifier</t>
  </si>
  <si>
    <t>https://chromewebstore.google.com/detail/gdekiloeocnfnochnkldpkmllmfiaeke</t>
  </si>
  <si>
    <t>HubSpot Developer Extension</t>
  </si>
  <si>
    <t>https://chromewebstore.google.com/detail/gebemkdecnlgbcanplbgdpcffpdnfdfo</t>
  </si>
  <si>
    <t>Shader Editor</t>
  </si>
  <si>
    <t>https://chromewebstore.google.com/detail/ggeaidddejpbakgafapihjbgdlbbbpob</t>
  </si>
  <si>
    <t>乐视海外翻墙软件</t>
  </si>
  <si>
    <t>https://chromewebstore.google.com/detail/giflhhbjkgabmgndepijmndnbdlpibpo</t>
  </si>
  <si>
    <t>Bootstrap Twitter Offline Docs</t>
  </si>
  <si>
    <t>https://chromewebstore.google.com/detail/gihkgljdimgfffabkemicpaeljmoobil</t>
  </si>
  <si>
    <t>Real Academia Española</t>
  </si>
  <si>
    <t>https://chromewebstore.google.com/detail/gjioaolfjcmghlcdkaocopjngkiaaifg</t>
  </si>
  <si>
    <t>Popsters Addon for Instagram analysis</t>
  </si>
  <si>
    <t>https://chromewebstore.google.com/detail/gjnjfnghbiibhfppahonjegijjcnhllb</t>
  </si>
  <si>
    <t>Dogcheck from Undertale as error pages</t>
  </si>
  <si>
    <t>https://chromewebstore.google.com/detail/gldldjjpgpdblaaejdfigckokakanoha</t>
  </si>
  <si>
    <t>LanFolder</t>
  </si>
  <si>
    <t>https://chromewebstore.google.com/detail/gmhmnhjihabohahcllfgjooaoecglhpi</t>
  </si>
  <si>
    <t>암호화폐 시세 정보</t>
  </si>
  <si>
    <t>https://chromewebstore.google.com/detail/gmiobjealkacpdmlnanoefnolgndbdje</t>
  </si>
  <si>
    <t>Social Media Advanced Search - Find User Info</t>
  </si>
  <si>
    <t>https://chromewebstore.google.com/detail/gohepdenmnoijddphlfdaojicklmpckm</t>
  </si>
  <si>
    <t>Grid View for Google Meet (fixed)</t>
  </si>
  <si>
    <t>https://chromewebstore.google.com/detail/gonilfkffkiginkddoiaijmoadjifpoa</t>
  </si>
  <si>
    <t>▷ EPSON L3110 L3115 L3116 RESETTER 100% FREE</t>
  </si>
  <si>
    <t>https://chromewebstore.google.com/detail/gpmacnieleppnogafmljbelfpkklagbi</t>
  </si>
  <si>
    <t>OmniDrive</t>
  </si>
  <si>
    <t>https://chromewebstore.google.com/detail/gpnikbcifngfgfcgcgfahidojdpklfia</t>
  </si>
  <si>
    <t>iCampus Check</t>
  </si>
  <si>
    <t>https://chromewebstore.google.com/detail/hackfjdbiccajlckgjnkejepipjjbepm</t>
  </si>
  <si>
    <t>Play with MPV</t>
  </si>
  <si>
    <t>https://chromewebstore.google.com/detail/hahklcmnfgffdlchjigehabfbiigleji</t>
  </si>
  <si>
    <t>table-to-spreadsheet</t>
  </si>
  <si>
    <t>https://chromewebstore.google.com/detail/haidhlbpihfihbjcggmffnmhgiddjcoc</t>
  </si>
  <si>
    <t>Excel Data Filler - CTH</t>
  </si>
  <si>
    <t>https://chromewebstore.google.com/detail/hbdlidnbnmkmbeompcakgedghogdbbkf</t>
  </si>
  <si>
    <t>Styler Beta</t>
  </si>
  <si>
    <t>https://chromewebstore.google.com/detail/hbhkfnpodhdcaophahpkiflechaoddoi</t>
  </si>
  <si>
    <t>QuickClean</t>
  </si>
  <si>
    <t>https://chromewebstore.google.com/detail/hcdeoflfbkpmebldjfkemfhjomgjipgn</t>
  </si>
  <si>
    <t>Self-stick notes</t>
  </si>
  <si>
    <t>https://chromewebstore.google.com/detail/hcdihnnnfbdeinkamogggghnmcfaebca</t>
  </si>
  <si>
    <t>https://chromewebstore.google.com/detail/hcglieiegpckeibpgbiikpbmaofgcpaa</t>
  </si>
  <si>
    <t>In-Page SEO Analysis</t>
  </si>
  <si>
    <t>https://chromewebstore.google.com/detail/hdeoafjegchjkmadbbjlbhiooliinkja</t>
  </si>
  <si>
    <t>National Geographic™ Photo Of The Day</t>
  </si>
  <si>
    <t>https://chromewebstore.google.com/detail/hdjopnnholiccdbmnbkdkhekajephmml</t>
  </si>
  <si>
    <t>CFCA CertEnrollment.BDBank Extension</t>
  </si>
  <si>
    <t>https://chromewebstore.google.com/detail/heaefblpkhamkcnaihalcmdjiokdgnei</t>
  </si>
  <si>
    <t>Fast Search for eBay</t>
  </si>
  <si>
    <t>https://chromewebstore.google.com/detail/hfdilejbabibpfcgmpeflocbnkeckdfn</t>
  </si>
  <si>
    <t>Stolen Camera Finder</t>
  </si>
  <si>
    <t>https://chromewebstore.google.com/detail/hfhlngbcdalpjiejaenfchpcajdmpeom</t>
  </si>
  <si>
    <t>Harbor Freight Coupons</t>
  </si>
  <si>
    <t>https://chromewebstore.google.com/detail/hhbonmijejindhnfgcdggfdbklphhloj</t>
  </si>
  <si>
    <t>The Old Reader</t>
  </si>
  <si>
    <t>https://chromewebstore.google.com/detail/hhdpibondcndkgpoobpnndbbelpidhpk</t>
  </si>
  <si>
    <t>World Air Quality Index</t>
  </si>
  <si>
    <t>https://chromewebstore.google.com/detail/hhhfnanaabgcafkmlplbifbhknnbmidl</t>
  </si>
  <si>
    <t>Tab ReTitle</t>
  </si>
  <si>
    <t>https://chromewebstore.google.com/detail/hilgambgdpjgljhjdaccadahckpdiapo</t>
  </si>
  <si>
    <t>Video Chat for WhatsApp™ Web</t>
  </si>
  <si>
    <t>https://chromewebstore.google.com/detail/himmciocmhnindiepdhcfhikjhpgabfa</t>
  </si>
  <si>
    <t>Texmage</t>
  </si>
  <si>
    <t>https://chromewebstore.google.com/detail/hjgbehhikdpmpglfjiknhjffnlfnphbo</t>
  </si>
  <si>
    <t>Smart-ID WebAutoLogin</t>
  </si>
  <si>
    <t>https://chromewebstore.google.com/detail/hjjngolnpaaikemddabgdaobickpknco</t>
  </si>
  <si>
    <t>IITG AutoLogin</t>
  </si>
  <si>
    <t>https://chromewebstore.google.com/detail/hlbcdnfdlghcdgkhgbiboicdcpddjnnb</t>
  </si>
  <si>
    <t>Better Scrollbar</t>
  </si>
  <si>
    <t>https://chromewebstore.google.com/detail/hllbomlnkhcgejgcjaidcodpnkefhjcg</t>
  </si>
  <si>
    <t>Let Me Out</t>
  </si>
  <si>
    <t>https://chromewebstore.google.com/detail/hnfdibcbmlppjlkefinedeffoiomlecc</t>
  </si>
  <si>
    <t>BibTex It!</t>
  </si>
  <si>
    <t>https://chromewebstore.google.com/detail/hofkoiddldajhihgjbckeffpodeoockc</t>
  </si>
  <si>
    <t>Blue Prism 7.0.1 Browser Extension</t>
  </si>
  <si>
    <t>https://chromewebstore.google.com/detail/hpaajmgfhgakaamoopdhieneihpmeapm</t>
  </si>
  <si>
    <t>IMG inspector</t>
  </si>
  <si>
    <t>https://chromewebstore.google.com/detail/hpogobkggapdhmfnamfnhmchcbmehokb</t>
  </si>
  <si>
    <t>QUT Timetable Planner</t>
  </si>
  <si>
    <t>https://chromewebstore.google.com/detail/iakogcgjbbfakakbpmlocfgabpdhboja</t>
  </si>
  <si>
    <t>History Limiter Custom</t>
  </si>
  <si>
    <t>https://chromewebstore.google.com/detail/ibpfkplbhnbiklpjacjbaelahebmbmpp</t>
  </si>
  <si>
    <t>ORF Radiothek Download</t>
  </si>
  <si>
    <t>https://chromewebstore.google.com/detail/ibpocciholggdbggengnomeikgkibmah</t>
  </si>
  <si>
    <t>SpotifyTree</t>
  </si>
  <si>
    <t>https://chromewebstore.google.com/detail/icgnedmflkjdghcdbglhfcjjphibffpo</t>
  </si>
  <si>
    <t>TinyURL Maker</t>
  </si>
  <si>
    <t>https://chromewebstore.google.com/detail/icjgknkfhpgnpjmhchbjacifboahiajj</t>
  </si>
  <si>
    <t>MiCounter</t>
  </si>
  <si>
    <t>https://chromewebstore.google.com/detail/idcnhbaefagbglkinhliaelonppplneh</t>
  </si>
  <si>
    <t>Add to Blueprint</t>
  </si>
  <si>
    <t>https://chromewebstore.google.com/detail/ifeladbcpppilicpddbbmnfbgemaeeai</t>
  </si>
  <si>
    <t>Enable Teams Calling</t>
  </si>
  <si>
    <t>https://chromewebstore.google.com/detail/ifgnnjhhfdpjpjokajkolhioakajhidc</t>
  </si>
  <si>
    <t>Scales &amp; Modes Quick Reference</t>
  </si>
  <si>
    <t>https://chromewebstore.google.com/detail/ijnffcpmmpapfapajdkajkdegnghgeci</t>
  </si>
  <si>
    <t>Multi Layout Manager</t>
  </si>
  <si>
    <t>https://chromewebstore.google.com/detail/ijpiffheldgmdkbaohoilabdnmeinand</t>
  </si>
  <si>
    <t>Dynalist Companion Clipper</t>
  </si>
  <si>
    <t>https://chromewebstore.google.com/detail/ilcnkabiejjaijmenfmfobnkplflaglb</t>
  </si>
  <si>
    <t>Speed Reader</t>
  </si>
  <si>
    <t>https://chromewebstore.google.com/detail/ilfodmgfnklehinlndjdjbmhndkhiand</t>
  </si>
  <si>
    <t>Type Japanese</t>
  </si>
  <si>
    <t>https://chromewebstore.google.com/detail/ilhbdihflmdkeaalnjjbiclonlodghkm</t>
  </si>
  <si>
    <t>yet another speed dial</t>
  </si>
  <si>
    <t>https://chromewebstore.google.com/detail/imohnlganmafcmidafklgkgfgaagiohn</t>
  </si>
  <si>
    <t>Herp Derp for YouTube™</t>
  </si>
  <si>
    <t>https://chromewebstore.google.com/detail/ioomnmgjblnnolpdgdhebainmfbipjoh</t>
  </si>
  <si>
    <t>GITHUBER - New Tab</t>
  </si>
  <si>
    <t>https://chromewebstore.google.com/detail/janmcneaglgklfljjcpihkkomeghljnf</t>
  </si>
  <si>
    <t>Spotify artist's all songs</t>
  </si>
  <si>
    <t>https://chromewebstore.google.com/detail/jdicfniianljldbajoghhnilmnghgmno</t>
  </si>
  <si>
    <t>Workflowy Web Clipper</t>
  </si>
  <si>
    <t>https://chromewebstore.google.com/detail/jgapgnoonjgchibeajphaejhabcnklbn</t>
  </si>
  <si>
    <t>Autify Recorder (Legacy)</t>
  </si>
  <si>
    <t>https://chromewebstore.google.com/detail/jggibfiodonlmkjbmlooehabjldddbgn</t>
  </si>
  <si>
    <t>Productivity Pet</t>
  </si>
  <si>
    <t>https://chromewebstore.google.com/detail/jglfkmlldmnmbgcokbaefbgcpjifhogo</t>
  </si>
  <si>
    <t>CS:GO Lounge Bump Bot</t>
  </si>
  <si>
    <t>https://chromewebstore.google.com/detail/jhfkidfnhjcjjamcbdepeohblphlamgk</t>
  </si>
  <si>
    <t>一起惠购物助手</t>
  </si>
  <si>
    <t>https://chromewebstore.google.com/detail/jjcbbdnfiapchhkemifphepfgilhdokf</t>
  </si>
  <si>
    <t>Social Revealer Plus</t>
  </si>
  <si>
    <t>https://chromewebstore.google.com/detail/jkaedhaeddmnmeaogfnbgmmmhlbiljme</t>
  </si>
  <si>
    <t>Salesforce Data/Metadata Utility</t>
  </si>
  <si>
    <t>https://chromewebstore.google.com/detail/jkmajpplbomebfegjjagbeoblheeehld</t>
  </si>
  <si>
    <t>Zoho Expense</t>
  </si>
  <si>
    <t>https://chromewebstore.google.com/detail/jmlaohefegdedjnmgpedcoococlpdida</t>
  </si>
  <si>
    <t>Modify Content-Type</t>
  </si>
  <si>
    <t>https://chromewebstore.google.com/detail/jnfofbopfpaoeojgieggflbpcblhfhka</t>
  </si>
  <si>
    <t>vREST - REST API Testing Tool</t>
  </si>
  <si>
    <t>https://chromewebstore.google.com/detail/jnhibbjmekoijdjaopflcjbjieamifhh</t>
  </si>
  <si>
    <t>FPS Control</t>
  </si>
  <si>
    <t>https://chromewebstore.google.com/detail/jolcefamincmnepgphdiojccmfaflane</t>
  </si>
  <si>
    <t>Tab Thumbnails Switcher</t>
  </si>
  <si>
    <t>https://chromewebstore.google.com/detail/jpaiaplhepeiilhiegfnknedhjepknng</t>
  </si>
  <si>
    <t>Pholody Slideshow</t>
  </si>
  <si>
    <t>https://chromewebstore.google.com/detail/kacblojlkodlpoiknfljhamkegibpgfi</t>
  </si>
  <si>
    <t>AliBaba Image Downloader &amp; Editor</t>
  </si>
  <si>
    <t>https://chromewebstore.google.com/detail/kaefboomflkchpcemdfcleklomdincbo</t>
  </si>
  <si>
    <t>HBO GO Quality Enforcer</t>
  </si>
  <si>
    <t>https://chromewebstore.google.com/detail/kbmjfcgbpnigcngkjgfjmaameebdhhab</t>
  </si>
  <si>
    <t>Поиск на Яндекс.Маркет</t>
  </si>
  <si>
    <t>https://chromewebstore.google.com/detail/kcajglmkmpjbgmhkndelbkljpffblood</t>
  </si>
  <si>
    <t>Dictionnaire : définitions mots français</t>
  </si>
  <si>
    <t>https://chromewebstore.google.com/detail/kddmkefoecfohkbmcgkdpfhgghfnpbij</t>
  </si>
  <si>
    <t>Google Meet Hide Video</t>
  </si>
  <si>
    <t>https://chromewebstore.google.com/detail/kdpjfeopbjnldmeipakehahbidmjfmco</t>
  </si>
  <si>
    <t>History Blocker by Site</t>
  </si>
  <si>
    <t>https://chromewebstore.google.com/detail/keamekimefemnbgegbfkdkmbomaahfai</t>
  </si>
  <si>
    <t>AgroMod: The Only Agar.io Merge Timer</t>
  </si>
  <si>
    <t>https://chromewebstore.google.com/detail/kekfokjeliilaipagomdhmlfhbmpllkk</t>
  </si>
  <si>
    <t>Leo Dictionary Widget</t>
  </si>
  <si>
    <t>https://chromewebstore.google.com/detail/kepemmpmljphklmpfgfmhpjhpdlccpke</t>
  </si>
  <si>
    <t>Invite All</t>
  </si>
  <si>
    <t>https://chromewebstore.google.com/detail/kfiadggaijonhadndemaccnilcmnljah</t>
  </si>
  <si>
    <t>https://chromewebstore.google.com/detail/kfjclcfpbfhdmikhohhjacgdmndneckj</t>
  </si>
  <si>
    <t>Sticky Note</t>
  </si>
  <si>
    <t>https://chromewebstore.google.com/detail/khmmaepcamdkhdikdaphneenognobngd</t>
  </si>
  <si>
    <t>Recognize</t>
  </si>
  <si>
    <t>https://chromewebstore.google.com/detail/khonmmgfpdbncbianbikkhchhgleeako</t>
  </si>
  <si>
    <t>Random Student Generator for Google Classroom</t>
  </si>
  <si>
    <t>https://chromewebstore.google.com/detail/kieflbdkopabcodmbpibhafnjalkpkod</t>
  </si>
  <si>
    <t>Font Awesome Icon Finder</t>
  </si>
  <si>
    <t>https://chromewebstore.google.com/detail/kjejboahkcobalmgldloeinebmbomgog</t>
  </si>
  <si>
    <t>https://chromewebstore.google.com/detail/kkcbifggchajpkagcpagenpfghbplghc</t>
  </si>
  <si>
    <t>Cosmo VPN</t>
  </si>
  <si>
    <t>https://chromewebstore.google.com/detail/kkgfomhpbhjbhlkealickgjbfpjdpbmf</t>
  </si>
  <si>
    <t>Tab Position Customizer - Modified</t>
  </si>
  <si>
    <t>https://chromewebstore.google.com/detail/kkhcdbdhbmegbbhgmdhhpfmjhlhjlghp</t>
  </si>
  <si>
    <t>Form+</t>
  </si>
  <si>
    <t>https://chromewebstore.google.com/detail/kkhmpnfekpgmeljnlcfnabmpanhdmfjg</t>
  </si>
  <si>
    <t>Formily DevTools</t>
  </si>
  <si>
    <t>https://chromewebstore.google.com/detail/kkocalmbfnplecdmbadaapgapdioecfm</t>
  </si>
  <si>
    <t>Git Master</t>
  </si>
  <si>
    <t>https://chromewebstore.google.com/detail/klmeolbcejnhefkapdchfhlhhjgobhmo</t>
  </si>
  <si>
    <t>JobDiva Chrome Extension</t>
  </si>
  <si>
    <t>https://chromewebstore.google.com/detail/kmafmhimenmmjnpkodojnacmlabacmid</t>
  </si>
  <si>
    <t>Scraping Helper</t>
  </si>
  <si>
    <t>https://chromewebstore.google.com/detail/kmghfpaenbmakjffjhjncacmhagadgbg</t>
  </si>
  <si>
    <t>My Java Zone Extension</t>
  </si>
  <si>
    <t>https://chromewebstore.google.com/detail/kngneeakgdidggilaidebghjjkbkglkb</t>
  </si>
  <si>
    <t>UC Sync</t>
  </si>
  <si>
    <t>https://chromewebstore.google.com/detail/knngjajhgkigjgiblkjjfoenpkcokngl</t>
  </si>
  <si>
    <t>Read Across The Aisle</t>
  </si>
  <si>
    <t>https://chromewebstore.google.com/detail/knonchlbnkaddhihddlejfchjjnadmeh</t>
  </si>
  <si>
    <t>Cloud Browser</t>
  </si>
  <si>
    <t>https://chromewebstore.google.com/detail/komolablmhfobefcfiianchnmggpmpmd</t>
  </si>
  <si>
    <t>RSI Companion</t>
  </si>
  <si>
    <t>https://chromewebstore.google.com/detail/kopamahnjkchmgjkoejfconipkclhibf</t>
  </si>
  <si>
    <t>everyday.app | Do it every day!</t>
  </si>
  <si>
    <t>https://chromewebstore.google.com/detail/kpcjjapfjdgjlmoehhliomplgjnbdcpc</t>
  </si>
  <si>
    <t>Hidup Cuan Scraper - Tokopedia</t>
  </si>
  <si>
    <t>https://chromewebstore.google.com/detail/kpdblbepjhhdilfanfgmkdnmllgefife</t>
  </si>
  <si>
    <t>PageProbe - Automatic Page Monitor</t>
  </si>
  <si>
    <t>https://chromewebstore.google.com/detail/kpkcofgbohgcpjkeidodnmaokbjlnmac</t>
  </si>
  <si>
    <t>Tweepi Bulk Default Action (aka Select All)</t>
  </si>
  <si>
    <t>https://chromewebstore.google.com/detail/kpniicpnanbaopgkcagaphglbeaejnph</t>
  </si>
  <si>
    <t>Blue Prism 7.0 Browser Extension</t>
  </si>
  <si>
    <t>https://chromewebstore.google.com/detail/lbnooplepikajpiphjgfoniaakpclemh</t>
  </si>
  <si>
    <t>Rainy</t>
  </si>
  <si>
    <t>https://chromewebstore.google.com/detail/lcbmijabmhohpnmdjbioodhdlaimbdcf</t>
  </si>
  <si>
    <t>Week Number</t>
  </si>
  <si>
    <t>https://chromewebstore.google.com/detail/lcdmdikpgdjoagalpngockiddgkbdaig</t>
  </si>
  <si>
    <t>Wikipedia Quick Hints</t>
  </si>
  <si>
    <t>https://chromewebstore.google.com/detail/ldnhgfghebflgcndlbppfanbchpgmkna</t>
  </si>
  <si>
    <t>Rock Hand</t>
  </si>
  <si>
    <t>https://chromewebstore.google.com/detail/ledmjlnkdlappilhaaihfhanlpdjjalm</t>
  </si>
  <si>
    <t>Auto Redeem Twitch Bonus</t>
  </si>
  <si>
    <t>https://chromewebstore.google.com/detail/leheoeognmlgfdljnhckphighdlpnpnd</t>
  </si>
  <si>
    <t>Commanders Act Assistant</t>
  </si>
  <si>
    <t>https://chromewebstore.google.com/detail/lfaifjhjdolnpnlgeohohaalbeidhlpj</t>
  </si>
  <si>
    <t>Baixar Premium - Desprotetor de link</t>
  </si>
  <si>
    <t>https://chromewebstore.google.com/detail/lfeddhgiaaieipgnknjamalgeclhkamo</t>
  </si>
  <si>
    <t>https://chromewebstore.google.com/detail/lfmbbdekdhbhclbdocgadegfcdjmagal</t>
  </si>
  <si>
    <t>Thanos It</t>
  </si>
  <si>
    <t>https://chromewebstore.google.com/detail/lhapaogdadehkjdlhmlfdnpmncdcojcn</t>
  </si>
  <si>
    <t>CFCA CertEnrollment.PLA Extension</t>
  </si>
  <si>
    <t>https://chromewebstore.google.com/detail/lheaanfghanpnholfnckoompcbdandjk</t>
  </si>
  <si>
    <t>Downloads Pro</t>
  </si>
  <si>
    <t>https://chromewebstore.google.com/detail/lhhocifdmhogpekeppdjamkelohahbop</t>
  </si>
  <si>
    <t>Netflix Subtitles Translator</t>
  </si>
  <si>
    <t>https://chromewebstore.google.com/detail/lifnhhhbkmkobgokokejfjnfpgcnappe</t>
  </si>
  <si>
    <t>Airbnb Price Per Night Corrector</t>
  </si>
  <si>
    <t>https://chromewebstore.google.com/detail/lijeilcglmadpkbengpkfnkpmcehecfe</t>
  </si>
  <si>
    <t>Find this pic</t>
  </si>
  <si>
    <t>https://chromewebstore.google.com/detail/lipgmjpepegfmijhpkoedhckijlelkgl</t>
  </si>
  <si>
    <t>Linkirani</t>
  </si>
  <si>
    <t>https://chromewebstore.google.com/detail/lkfbpmilmogbplanpheiejbofpeafbof</t>
  </si>
  <si>
    <t>Mannco.store Antiscam</t>
  </si>
  <si>
    <t>https://chromewebstore.google.com/detail/llbdehgkjokeodpffneagciojeegphdc</t>
  </si>
  <si>
    <t>RESTful Stress</t>
  </si>
  <si>
    <t>https://chromewebstore.google.com/detail/lljgneahfmgjmpglpbhmkangancgdgeb</t>
  </si>
  <si>
    <t>Snake</t>
  </si>
  <si>
    <t>https://chromewebstore.google.com/detail/lnkcbfimmmgcemkbgfghlpoamhoakdif</t>
  </si>
  <si>
    <t>Cookie Eater</t>
  </si>
  <si>
    <t>https://chromewebstore.google.com/detail/loeapdhmokmdkoklhijjmpgjdcieebgj</t>
  </si>
  <si>
    <t>Form History Control (II)</t>
  </si>
  <si>
    <t>https://chromewebstore.google.com/detail/lpcccgcdjibejkgiaeijbmkpbnbkglkb</t>
  </si>
  <si>
    <t>Blackboard Enhancement Suite</t>
  </si>
  <si>
    <t>https://chromewebstore.google.com/detail/mbmniljdacmobchkdodbbimnnfemgjda</t>
  </si>
  <si>
    <t>Disable Ctrl + Scroll Wheel Zoom</t>
  </si>
  <si>
    <t>https://chromewebstore.google.com/detail/mdpfkohgfpidohkakdbpmnngaocglmhl</t>
  </si>
  <si>
    <t>Jitsi Desktop Streamer</t>
  </si>
  <si>
    <t>https://chromewebstore.google.com/detail/medbfmklifghknhgfajeaepbnhcimpjk</t>
  </si>
  <si>
    <t>Zephyr Capture for JIRA</t>
  </si>
  <si>
    <t>https://chromewebstore.google.com/detail/meebenkoljjgogkbnlabbmdbbhpeifck</t>
  </si>
  <si>
    <t>GoBrunch Screen Share</t>
  </si>
  <si>
    <t>https://chromewebstore.google.com/detail/meefekdbnfknopenfokiacipalgnkdee</t>
  </si>
  <si>
    <t>Solong</t>
  </si>
  <si>
    <t>https://chromewebstore.google.com/detail/memijejgibaodndkimcclfapfladdchj</t>
  </si>
  <si>
    <t>DOI Helper</t>
  </si>
  <si>
    <t>https://chromewebstore.google.com/detail/mfdbhfpaedhhgglcahhmhgannefehicb</t>
  </si>
  <si>
    <t>ezASIN powered by eLister Pro</t>
  </si>
  <si>
    <t>https://chromewebstore.google.com/detail/mfdnhgjejhhnfnpjhndlpibhbfmdcbch</t>
  </si>
  <si>
    <t>Tab Notes</t>
  </si>
  <si>
    <t>https://chromewebstore.google.com/detail/mhgiefelomcdfcdbknkkohpibdpbdhmo</t>
  </si>
  <si>
    <t>Arduino IOT Controller</t>
  </si>
  <si>
    <t>https://chromewebstore.google.com/detail/migmknbcmbejjmalfbmkieiamadapdmo</t>
  </si>
  <si>
    <t>ConvergeHub Lead Generator</t>
  </si>
  <si>
    <t>https://chromewebstore.google.com/detail/mjcffemmfdpcjekgonelgmphacdhhbod</t>
  </si>
  <si>
    <t>WPintel - WordPress Vulnerability Scanner</t>
  </si>
  <si>
    <t>https://chromewebstore.google.com/detail/mkhmkjcbidkifopffebieonhhkondlfe</t>
  </si>
  <si>
    <t>Falcon</t>
  </si>
  <si>
    <t>https://chromewebstore.google.com/detail/mmifbbohghecjloeklpbinkjpbplfalb</t>
  </si>
  <si>
    <t>Nitter Redirect</t>
  </si>
  <si>
    <t>https://chromewebstore.google.com/detail/mohaicophfnifehkkkdbcejkflmgfkof</t>
  </si>
  <si>
    <t>Google Wallpaper Art</t>
  </si>
  <si>
    <t>https://chromewebstore.google.com/detail/mojbfofholnnfgdkcgabcfkjelblkgmh</t>
  </si>
  <si>
    <t>NZB Unity</t>
  </si>
  <si>
    <t>https://chromewebstore.google.com/detail/mpejfoghnejnbfkpbiafklkmlhebkapb</t>
  </si>
  <si>
    <t>Pinboard Plus</t>
  </si>
  <si>
    <t>https://chromewebstore.google.com/detail/mphdppdgoagghpmmhodmfajjlloijnbd</t>
  </si>
  <si>
    <t>Blue Prism Browser Extension</t>
  </si>
  <si>
    <t>https://chromewebstore.google.com/detail/nadpbbdaaifbaebnniobcfpiifbfokij</t>
  </si>
  <si>
    <t>Share to WhatsApp</t>
  </si>
  <si>
    <t>https://chromewebstore.google.com/detail/nbcbmhabgcajfdcfdkmoibecllfpijcj</t>
  </si>
  <si>
    <t>Webpad</t>
  </si>
  <si>
    <t>https://chromewebstore.google.com/detail/nbjajjpleonofjhcholjhjakpdmgfgga</t>
  </si>
  <si>
    <t>Code Coverage Calculator</t>
  </si>
  <si>
    <t>https://chromewebstore.google.com/detail/ncdifkcipeniikkbckejmnbbcofdheig</t>
  </si>
  <si>
    <t>Relay Developer Tools</t>
  </si>
  <si>
    <t>https://chromewebstore.google.com/detail/ncedobpgnmkhcmnnkcimnobpfepidadl</t>
  </si>
  <si>
    <t>Better Battlelog Fix(BBLog)</t>
  </si>
  <si>
    <t>https://chromewebstore.google.com/detail/ncopbeadajoekpedjllcakdmbmgnfgph</t>
  </si>
  <si>
    <t>CFCA CryptoKit.BDBank Extension</t>
  </si>
  <si>
    <t>https://chromewebstore.google.com/detail/ndjhbhcchlkpdgpnekdhmeoogmoakidf</t>
  </si>
  <si>
    <t>Streetview Screenshot</t>
  </si>
  <si>
    <t>https://chromewebstore.google.com/detail/nehbekcijblfffffinpjfoicfcjbcjen</t>
  </si>
  <si>
    <t>PC Protect Safe Site</t>
  </si>
  <si>
    <t>https://chromewebstore.google.com/detail/nggnllipjhjadjehkjcfgcomahomninl</t>
  </si>
  <si>
    <t>Speed Downloader</t>
  </si>
  <si>
    <t>https://chromewebstore.google.com/detail/nhhdkapljemlnpbdhjnbmacblgbnkebe</t>
  </si>
  <si>
    <t>Trump Blocker</t>
  </si>
  <si>
    <t>https://chromewebstore.google.com/detail/nhmckipmafnikgjnaeadpngccggobaej</t>
  </si>
  <si>
    <t>Prime Away</t>
  </si>
  <si>
    <t>https://chromewebstore.google.com/detail/niifcleepdmiglkgdbjddeilclfdella</t>
  </si>
  <si>
    <t>Print email without logo</t>
  </si>
  <si>
    <t>https://chromewebstore.google.com/detail/niooegglpelonkgbeejcplccleadcfdc</t>
  </si>
  <si>
    <t>Mitel Web Extension</t>
  </si>
  <si>
    <t>https://chromewebstore.google.com/detail/njodpoefbejllnijefababpjlkhologo</t>
  </si>
  <si>
    <t>MP3 Player Online – LastPlayer.Online</t>
  </si>
  <si>
    <t>https://chromewebstore.google.com/detail/nkoipdagfegeelgahfaakgpkekhnlnme</t>
  </si>
  <si>
    <t>calm - style your new tab</t>
  </si>
  <si>
    <t>https://chromewebstore.google.com/detail/nlbogimjpbkdemejcldggipfglbcflmn</t>
  </si>
  <si>
    <t>Volume Booster</t>
  </si>
  <si>
    <t>https://chromewebstore.google.com/detail/nolbmjhicibknokpnbdaleabonbmioil</t>
  </si>
  <si>
    <t>Twitch Legacy Chat</t>
  </si>
  <si>
    <t>https://chromewebstore.google.com/detail/nonbdfmekapigdafeajhmhbkbnfibfhg</t>
  </si>
  <si>
    <t>Mata</t>
  </si>
  <si>
    <t>https://chromewebstore.google.com/detail/oakhnpcgdembaopakdnfkejfcaeipeik</t>
  </si>
  <si>
    <t>HabitLab</t>
  </si>
  <si>
    <t>https://chromewebstore.google.com/detail/obghclocpdgcekcognpkblghkedcpdgd</t>
  </si>
  <si>
    <t>Feed Intent Viewer</t>
  </si>
  <si>
    <t>https://chromewebstore.google.com/detail/oceapojkdgeophkjdijkpbjifdnfimdh</t>
  </si>
  <si>
    <t>CFCA CryptoKit.Midea Extension</t>
  </si>
  <si>
    <t>https://chromewebstore.google.com/detail/oclhidoialnpdfmfcebdehleffhjkafm</t>
  </si>
  <si>
    <t>Reflektive</t>
  </si>
  <si>
    <t>https://chromewebstore.google.com/detail/ofjegoecgdcdjepdijahaimjmkemeghj</t>
  </si>
  <si>
    <t>Roblox Stream Browser</t>
  </si>
  <si>
    <t>https://chromewebstore.google.com/detail/ogdpmndhefljkmmfchnekenfamicgepf</t>
  </si>
  <si>
    <t>领星ERP助手</t>
  </si>
  <si>
    <t>https://chromewebstore.google.com/detail/ohndmfaecddmecehfdidjhncfdajjeed</t>
  </si>
  <si>
    <t>StopFlash Flash Blocker</t>
  </si>
  <si>
    <t>https://chromewebstore.google.com/detail/oiiohfpnbijbgdidjfcpcljcfbmkaooi</t>
  </si>
  <si>
    <t>Kanbanly</t>
  </si>
  <si>
    <t>https://chromewebstore.google.com/detail/oinopeelpidbddmdhhllmpifaohjdkom</t>
  </si>
  <si>
    <t>Change Case</t>
  </si>
  <si>
    <t>https://chromewebstore.google.com/detail/okecofhlheppfglpgakbmhhohicoikcm</t>
  </si>
  <si>
    <t>Mobile DevTools</t>
  </si>
  <si>
    <t>https://chromewebstore.google.com/detail/okfdckomkajiaeejefanbonnhppmplpo</t>
  </si>
  <si>
    <t>Tropic Storm Access</t>
  </si>
  <si>
    <t>https://chromewebstore.google.com/detail/okkobeojihghldlofbhjoenijjblmiag</t>
  </si>
  <si>
    <t>Add Doc to Classroom</t>
  </si>
  <si>
    <t>https://chromewebstore.google.com/detail/omnmfbjgmackkcedkabbpdpcijahechl</t>
  </si>
  <si>
    <t>Custom Right-Click Menu</t>
  </si>
  <si>
    <t>https://chromewebstore.google.com/detail/onnbmgmepodkilcbdodhfepllfmafmlj</t>
  </si>
  <si>
    <t>Tab Bundler</t>
  </si>
  <si>
    <t>https://chromewebstore.google.com/detail/ooajenhhhbdbcolenhmmkgmkcocfdahd</t>
  </si>
  <si>
    <t>ProtectedSEARCH</t>
  </si>
  <si>
    <t>https://chromewebstore.google.com/detail/ooakmpmnagdmgngeicgmaopeiknckopn</t>
  </si>
  <si>
    <t>Xpress Sign-On Extension(JSW-XSO 7.0)</t>
  </si>
  <si>
    <t>https://chromewebstore.google.com/detail/paojnnpimjmgppnibpnphlkoeomcfffn</t>
  </si>
  <si>
    <t>World of Tanks: Live</t>
  </si>
  <si>
    <t>https://chromewebstore.google.com/detail/pbdkaekoljplbgncigpmddkjlfoomkha</t>
  </si>
  <si>
    <t>Juris-M Connector</t>
  </si>
  <si>
    <t>https://chromewebstore.google.com/detail/pbhldkcipcaeniadfnhhdaealdfjgbpj</t>
  </si>
  <si>
    <t>Inkah: Chinese &amp; Korean Pop-up Dictionary</t>
  </si>
  <si>
    <t>https://chromewebstore.google.com/detail/pcgmedbmchghfgikplcimdmfldfnecec</t>
  </si>
  <si>
    <t>ToDo</t>
  </si>
  <si>
    <t>https://chromewebstore.google.com/detail/pcofajehbfbjnloomppmdfcjpoaemhmd</t>
  </si>
  <si>
    <t>Gosuslugi Autofill</t>
  </si>
  <si>
    <t>https://chromewebstore.google.com/detail/pcpddmeglhedjeedfglodbfkcagcnjfb</t>
  </si>
  <si>
    <t>Minimal Reading Mode</t>
  </si>
  <si>
    <t>https://chromewebstore.google.com/detail/peoapnglceoafojobbkpohnojniabmkd</t>
  </si>
  <si>
    <t>FramelessApp Ext</t>
  </si>
  <si>
    <t>https://chromewebstore.google.com/detail/peoodjkcnljekllfedckepfejklfomed</t>
  </si>
  <si>
    <t>https://chromewebstore.google.com/detail/pfkpgccmeafapmchhknifkncoehlnnfj</t>
  </si>
  <si>
    <t>NPR Player</t>
  </si>
  <si>
    <t>https://chromewebstore.google.com/detail/pflcdcelbkdhfjglfpgiodfknhpdcmjl</t>
  </si>
  <si>
    <t>Clone Page</t>
  </si>
  <si>
    <t>https://chromewebstore.google.com/detail/pgdjbeehbeajkcaflkboflehcdbidode</t>
  </si>
  <si>
    <t>Browser Ghost</t>
  </si>
  <si>
    <t>https://chromewebstore.google.com/detail/pgkfdknjaidahdoiodilffcnafbfffjo</t>
  </si>
  <si>
    <t>有道写作</t>
  </si>
  <si>
    <t>https://chromewebstore.google.com/detail/pihneiihahcfmjfegfjodnbiienlbpkm</t>
  </si>
  <si>
    <t>Personalized Web</t>
  </si>
  <si>
    <t>https://chromewebstore.google.com/detail/plcnnpdmhobdfbponjpedobekiogmbco</t>
  </si>
  <si>
    <t>Swiggy Order Stats</t>
  </si>
  <si>
    <t>https://chromewebstore.google.com/detail/pmebbadefknbmnhkkagaleehhoijfdhh</t>
  </si>
  <si>
    <t>TXT小說閱讀器</t>
  </si>
  <si>
    <t>https://chromewebstore.google.com/detail/pmihmdfpaajgmbdggejokbhkabhopnmd</t>
  </si>
  <si>
    <t>Hercules Browser</t>
  </si>
  <si>
    <t>https://chromewebstore.google.com/detail/pnkdnemmobffmkgcmnbndclmcjobmlpf</t>
  </si>
  <si>
    <t>CFCA CertEnrollment.Midea Extension</t>
  </si>
  <si>
    <t>https://chromewebstore.google.com/detail/pnocmgimjhoepacoohdlhmhhmphnbgoc</t>
  </si>
  <si>
    <t>Arrows10 アマゾン KWインデックス＆検索順位 チェックツール</t>
  </si>
  <si>
    <t>https://chromewebstore.google.com/detail/poplnlhpljnfdfgbnahmffgcgafflopj</t>
  </si>
  <si>
    <t>Simple Twitch Giveaways</t>
  </si>
  <si>
    <t>https://chromewebstore.google.com/detail/aacnakggjhpkobmgcbngbljobfaejaoi</t>
  </si>
  <si>
    <t>Duelingnexus deck exporter</t>
  </si>
  <si>
    <t>https://chromewebstore.google.com/detail/aaloejogbofkmmonaddiaogjjjdjlpcd</t>
  </si>
  <si>
    <t>Blue Prism 6.10 Browser Extension</t>
  </si>
  <si>
    <t>https://chromewebstore.google.com/detail/aaoedoanmdcohhdbadkgjjfdmbbmiffe</t>
  </si>
  <si>
    <t>Steep and Cheap Countdown Timer</t>
  </si>
  <si>
    <t>https://chromewebstore.google.com/detail/aaompibpddahnlhaklkapjkgiajbfkhm</t>
  </si>
  <si>
    <t>Fast Page Scroll</t>
  </si>
  <si>
    <t>https://chromewebstore.google.com/detail/abbjgieefhoknlhpjjbbejhhjfgjeife</t>
  </si>
  <si>
    <t>Sutherland Robility Connect</t>
  </si>
  <si>
    <t>https://chromewebstore.google.com/detail/aboenfjacedibonlehnlmonjibinfcgl</t>
  </si>
  <si>
    <t>二维码小助手</t>
  </si>
  <si>
    <t>https://chromewebstore.google.com/detail/acdfkjjfbghehjbojgnmjijpbgahmhee</t>
  </si>
  <si>
    <t>Black and Red Scrollbar</t>
  </si>
  <si>
    <t>https://chromewebstore.google.com/detail/acgecdfblegjbbejckcbldclahcdpgdp</t>
  </si>
  <si>
    <t>Hide Incognito Mode</t>
  </si>
  <si>
    <t>https://chromewebstore.google.com/detail/admokidfeboogldpfhheflggdligklpl</t>
  </si>
  <si>
    <t>Smart card access extension</t>
  </si>
  <si>
    <t>https://chromewebstore.google.com/detail/aecddkbjfdcefeiagnimheencdkmkefm</t>
  </si>
  <si>
    <t>VSCO Viewer</t>
  </si>
  <si>
    <t>https://chromewebstore.google.com/detail/afmhfdkkjmddchbkdlhgejiclbbpgfbf</t>
  </si>
  <si>
    <t>Refined Bitbucket</t>
  </si>
  <si>
    <t>https://chromewebstore.google.com/detail/afppminkfnfngihdocacbgeajbbdklkf</t>
  </si>
  <si>
    <t>https://chromewebstore.google.com/detail/agddlcilhjaiekablhdnaojfagkpnnjg</t>
  </si>
  <si>
    <t>SimAquarium Extension</t>
  </si>
  <si>
    <t>https://chromewebstore.google.com/detail/aihjpkojknmkmmpeceojgaeccoeeaddo</t>
  </si>
  <si>
    <t>Blur It Out</t>
  </si>
  <si>
    <t>https://chromewebstore.google.com/detail/aiocpnokjcmpelmlmekbjjblcompckhe</t>
  </si>
  <si>
    <t>Looty! Stash search for Path of Exile</t>
  </si>
  <si>
    <t>https://chromewebstore.google.com/detail/ajfbflclpnpbjkfibijekgcombcgehbi</t>
  </si>
  <si>
    <t>Browser Cast - Phone remote 4 your PC browser</t>
  </si>
  <si>
    <t>https://chromewebstore.google.com/detail/akbdooghbmenilbdgkpapgliaplhgjeb</t>
  </si>
  <si>
    <t>Photo Downloader</t>
  </si>
  <si>
    <t>https://chromewebstore.google.com/detail/akgbekdpgegfglbmldaljbeihfcgbofl</t>
  </si>
  <si>
    <t>Enable Screen Sharing - V1</t>
  </si>
  <si>
    <t>https://chromewebstore.google.com/detail/aknnfmghapkdmlimhhdgbpkbiefombni</t>
  </si>
  <si>
    <t>Save Participants (Google Meet &amp; MS Teams)</t>
  </si>
  <si>
    <t>https://chromewebstore.google.com/detail/amajpgnakbemacnkmnjbkoacbaephjfd</t>
  </si>
  <si>
    <t>Purse: Shop with Bitcoin (Beta)</t>
  </si>
  <si>
    <t>https://chromewebstore.google.com/detail/amdginnpaflghjbbdkfenpekaeifnpee</t>
  </si>
  <si>
    <t>Autodesk fusion360 learnings expander</t>
  </si>
  <si>
    <t>https://chromewebstore.google.com/detail/amkdnibbgekpljlononmmglfppeihpdn</t>
  </si>
  <si>
    <t>Siteimprove Browser Extension</t>
  </si>
  <si>
    <t>https://chromewebstore.google.com/detail/amoojkmllfodlpgmdnclkgdnejgpeada</t>
  </si>
  <si>
    <t>Save Code</t>
  </si>
  <si>
    <t>https://chromewebstore.google.com/detail/annlhfjgbkfmbbejkbdpgbmpbcjnehbb</t>
  </si>
  <si>
    <t>Alpheios Reading Tools</t>
  </si>
  <si>
    <t>https://chromewebstore.google.com/detail/apkmkeppocbbebomnhdmhfenfifkhjfd</t>
  </si>
  <si>
    <t>Statistics 24</t>
  </si>
  <si>
    <t>https://chromewebstore.google.com/detail/bacddgiookhgfeeaiioiiifimomoknmj</t>
  </si>
  <si>
    <t>Vbukit Chromecast Browser Plugin</t>
  </si>
  <si>
    <t>https://chromewebstore.google.com/detail/bcjkhhgcjlhfbkamaabehklnnnnneifi</t>
  </si>
  <si>
    <t>Twitter Video Download</t>
  </si>
  <si>
    <t>https://chromewebstore.google.com/detail/bcobmoggclhhpkdckmnmhejleeihgmgk</t>
  </si>
  <si>
    <t>Blank New Tab</t>
  </si>
  <si>
    <t>https://chromewebstore.google.com/detail/beafekehjfhnkpnnjegadfdncaipnljp</t>
  </si>
  <si>
    <t>Seventeen: Carat Central Kpop</t>
  </si>
  <si>
    <t>https://chromewebstore.google.com/detail/bfbkaicljfncoidecpbgdjefionbahlp</t>
  </si>
  <si>
    <t>Alpha Browser 2.0</t>
  </si>
  <si>
    <t>https://chromewebstore.google.com/detail/bfbobdlagdgbknpjoeidaefbhjcengjg</t>
  </si>
  <si>
    <t>Real-Time Tab Sync</t>
  </si>
  <si>
    <t>https://chromewebstore.google.com/detail/bflolmfdngaflefhmapdbbjmclioljck</t>
  </si>
  <si>
    <t>Allow Clipboard</t>
  </si>
  <si>
    <t>https://chromewebstore.google.com/detail/bgafccceonganlcmcojjacanoadnhmac</t>
  </si>
  <si>
    <t>Chrome Presentation Mode</t>
  </si>
  <si>
    <t>https://chromewebstore.google.com/detail/bgcfdodiekfhjfdcamaelkanbbifepib</t>
  </si>
  <si>
    <t>CloudWatch Synthetics Recorder</t>
  </si>
  <si>
    <t>https://chromewebstore.google.com/detail/bhdnlmmgiplmbcdmkkdfplenecpegfno</t>
  </si>
  <si>
    <t>Stats Checker for Google Analytics™</t>
  </si>
  <si>
    <t>https://chromewebstore.google.com/detail/bhhijgglehlaflknjkgjbhbjhbfgnpjm</t>
  </si>
  <si>
    <t>Org Header for Salesforce®</t>
  </si>
  <si>
    <t>https://chromewebstore.google.com/detail/bhnfbnhpmnfacebccnjjoeecgmnbhjam</t>
  </si>
  <si>
    <t>رسمیو | Rasmio</t>
  </si>
  <si>
    <t>https://chromewebstore.google.com/detail/bjbnpbcfdafpkplddacjlfiiimdhpkhd</t>
  </si>
  <si>
    <t>Clickjacking Test</t>
  </si>
  <si>
    <t>https://chromewebstore.google.com/detail/bjhigladkmnpmglhcnpeiplekpanekpi</t>
  </si>
  <si>
    <t>The Pirate Bay torrent search</t>
  </si>
  <si>
    <t>https://chromewebstore.google.com/detail/bjkpenmobbeedaclipgbebdkkhdcndka</t>
  </si>
  <si>
    <t>BPM Tapper</t>
  </si>
  <si>
    <t>https://chromewebstore.google.com/detail/bjmlgmafibinjaenlecblghckooofkma</t>
  </si>
  <si>
    <t>Find Selector</t>
  </si>
  <si>
    <t>https://chromewebstore.google.com/detail/bkbofjphmlieeijckncaopohipgminhc</t>
  </si>
  <si>
    <t>Lehen hitza euskaraz</t>
  </si>
  <si>
    <t>https://chromewebstore.google.com/detail/blabaldcgjcicckhojgankkjjfcjjefh</t>
  </si>
  <si>
    <t>SellerDost - Free Daraz Product Hunting Tool</t>
  </si>
  <si>
    <t>https://chromewebstore.google.com/detail/blbiaonjllllhnnblbddfhncokpmogjh</t>
  </si>
  <si>
    <t>Mute Notifications</t>
  </si>
  <si>
    <t>https://chromewebstore.google.com/detail/bmjdeaihnngnnnaldgakphcaanioohgn</t>
  </si>
  <si>
    <t>Udemy Subtitle Translator with Custom Style</t>
  </si>
  <si>
    <t>https://chromewebstore.google.com/detail/boobfniiepghnbeplehgjjmjnfehmnba</t>
  </si>
  <si>
    <t>Fast Forward Cookie Clicker</t>
  </si>
  <si>
    <t>https://chromewebstore.google.com/detail/cabpifjghnpgidgabhhcglnmabpggcem</t>
  </si>
  <si>
    <t>Boost Nine Pro Extension</t>
  </si>
  <si>
    <t>https://chromewebstore.google.com/detail/cagjnmggjoldimomobkioelipinmoddn</t>
  </si>
  <si>
    <t>Trendstastic</t>
  </si>
  <si>
    <t>https://chromewebstore.google.com/detail/cbcmjpjgkjebibnojeedgapogoohckae</t>
  </si>
  <si>
    <t>Click-to-Call for Web and CRM</t>
  </si>
  <si>
    <t>https://chromewebstore.google.com/detail/cbjgpemimjmpbldgimfocbanmmkoefbi</t>
  </si>
  <si>
    <t>Open Spotify Desktop App</t>
  </si>
  <si>
    <t>https://chromewebstore.google.com/detail/ccilmbdijoknlfpepncnebjkiclplhig</t>
  </si>
  <si>
    <t>Color Palette</t>
  </si>
  <si>
    <t>https://chromewebstore.google.com/detail/ccpijdhjamhdeljmaepelipackhmiepd</t>
  </si>
  <si>
    <t>HTML Heading Highlighter</t>
  </si>
  <si>
    <t>https://chromewebstore.google.com/detail/cdfideipbjhenjiijgmifpfgkhoneaic</t>
  </si>
  <si>
    <t>UTC Time Now</t>
  </si>
  <si>
    <t>https://chromewebstore.google.com/detail/ceffohncmfdlkdjbnojpdbmnfnigonba</t>
  </si>
  <si>
    <t>Tel Linker</t>
  </si>
  <si>
    <t>https://chromewebstore.google.com/detail/ceiihmdnpjglaoolchdmncoffhhbgodj</t>
  </si>
  <si>
    <t>Equation Finder</t>
  </si>
  <si>
    <t>https://chromewebstore.google.com/detail/cempkcjhopkkdjbhdcmogacchkllmkoi</t>
  </si>
  <si>
    <t>Clip To WorkFlowy</t>
  </si>
  <si>
    <t>https://chromewebstore.google.com/detail/cfifjihfoegnccifkcdomdookdckhaah</t>
  </si>
  <si>
    <t>Drive Slideshow</t>
  </si>
  <si>
    <t>https://chromewebstore.google.com/detail/cfioaajkjmmdpnebpkjanmpaffnahaai</t>
  </si>
  <si>
    <t>Unblock Sites</t>
  </si>
  <si>
    <t>https://chromewebstore.google.com/detail/cfpodbpbpcaccakppfhhmocmjleehngd</t>
  </si>
  <si>
    <t>award.flights</t>
  </si>
  <si>
    <t>https://chromewebstore.google.com/detail/cgkmhlnbmfjmlplmcdnannneiplmjiba</t>
  </si>
  <si>
    <t>Safe Surf</t>
  </si>
  <si>
    <t>https://chromewebstore.google.com/detail/cgmllohkcppmnkfpijpngkplpdbikhlf</t>
  </si>
  <si>
    <t>PubMed Genius</t>
  </si>
  <si>
    <t>https://chromewebstore.google.com/detail/cgplmlkapmilmmccefnmllkdhjlkiako</t>
  </si>
  <si>
    <t>Evergreen Notes (for Notion)</t>
  </si>
  <si>
    <t>https://chromewebstore.google.com/detail/chhpogndpjcgjbnbcodhdnilklfanmfh</t>
  </si>
  <si>
    <t>Maximize Flash</t>
  </si>
  <si>
    <t>https://chromewebstore.google.com/detail/chihjmmmhbapnhemoopibkekbojilhge</t>
  </si>
  <si>
    <t>Black Box Content Hider</t>
  </si>
  <si>
    <t>https://chromewebstore.google.com/detail/chnfcckibdbgjabhojhmdcnbiiogbleb</t>
  </si>
  <si>
    <t>Mindful (Beta)</t>
  </si>
  <si>
    <t>https://chromewebstore.google.com/detail/cieekmjjdkckhpidgaffphlaljdfhhab</t>
  </si>
  <si>
    <t>reminDO</t>
  </si>
  <si>
    <t>https://chromewebstore.google.com/detail/cioghjjkbkedmiipnkpopholijehcddj</t>
  </si>
  <si>
    <t>360 Degree Extension</t>
  </si>
  <si>
    <t>https://chromewebstore.google.com/detail/ciomikhpohnecdfdpiakhjbmfbmjpmkf</t>
  </si>
  <si>
    <t>DROPSEEK - Product Sourcing app for Shopify</t>
  </si>
  <si>
    <t>https://chromewebstore.google.com/detail/cjekpooehbkibbkgdbfmcnmhgegklnmj</t>
  </si>
  <si>
    <t>Gantt for Trello | by Placker.com</t>
  </si>
  <si>
    <t>https://chromewebstore.google.com/detail/cjmlnaabfplidoaeildcdndpnefcdhoh</t>
  </si>
  <si>
    <t>Window Positioner</t>
  </si>
  <si>
    <t>https://chromewebstore.google.com/detail/cjoidmhkohpfflneoadklkfkekihbjia</t>
  </si>
  <si>
    <t>OwO</t>
  </si>
  <si>
    <t>https://chromewebstore.google.com/detail/ckfodameiahfhlainaclajkgfagkpodb</t>
  </si>
  <si>
    <t>Omoguru - The Easiest Way to Read</t>
  </si>
  <si>
    <t>https://chromewebstore.google.com/detail/ckinimcmjlcaclahdpbeklbgfjidaeml</t>
  </si>
  <si>
    <t>Reference App</t>
  </si>
  <si>
    <t>https://chromewebstore.google.com/detail/clgddkmefkffmfinedklminbclibddlf</t>
  </si>
  <si>
    <t>Proxxy</t>
  </si>
  <si>
    <t>https://chromewebstore.google.com/detail/clkkaggocmafajhbcbknhcgnbmagjohi</t>
  </si>
  <si>
    <t>Unix Timestamp Converter</t>
  </si>
  <si>
    <t>https://chromewebstore.google.com/detail/clkkocmhcpfginlphpgjmgpdffihcbmm</t>
  </si>
  <si>
    <t>URL to QR code converter</t>
  </si>
  <si>
    <t>https://chromewebstore.google.com/detail/cnbelooiikkmhknahgkckaikndlmlhfd</t>
  </si>
  <si>
    <t>Spy Drop - Fiyat Takip</t>
  </si>
  <si>
    <t>https://chromewebstore.google.com/detail/cnkgefjeknjodlkfmfmjelgbmfbnkmma</t>
  </si>
  <si>
    <t>Responsive CV: Resume Maker from LinkedIn</t>
  </si>
  <si>
    <t>https://chromewebstore.google.com/detail/cnnffgdlkepdhppahlfeojbpjlbbpgep</t>
  </si>
  <si>
    <t>Plex bulk downloader</t>
  </si>
  <si>
    <t>https://chromewebstore.google.com/detail/coiigbmcndbjgabknjnaiangcommnnob</t>
  </si>
  <si>
    <t>PSChrome</t>
  </si>
  <si>
    <t>https://chromewebstore.google.com/detail/cpgoncheakfjhldfbebekijoeaabnfeb</t>
  </si>
  <si>
    <t>Enhanced Google Analytics Annotations</t>
  </si>
  <si>
    <t>https://chromewebstore.google.com/detail/damoaceajjhenadgpppcccgmanobikjh</t>
  </si>
  <si>
    <t>ExportThisCookie</t>
  </si>
  <si>
    <t>https://chromewebstore.google.com/detail/dannllckdimllhkiplchkcaoheibealk</t>
  </si>
  <si>
    <t>Wattpad Read Mode</t>
  </si>
  <si>
    <t>https://chromewebstore.google.com/detail/dcccjojljijikdpgfollhdhfnmcedkkg</t>
  </si>
  <si>
    <t>Edit Webpage</t>
  </si>
  <si>
    <t>https://chromewebstore.google.com/detail/dcemlmncjcljhjfbijimcamijgfdgieb</t>
  </si>
  <si>
    <t>Shutterfly Exporter</t>
  </si>
  <si>
    <t>https://chromewebstore.google.com/detail/dcfcbchldhelnhnohooelmmfdkkemnal</t>
  </si>
  <si>
    <t>Template</t>
  </si>
  <si>
    <t>https://chromewebstore.google.com/detail/dcjnfaoifoefmnbhhlbppaebgnccfddf</t>
  </si>
  <si>
    <t>wasavi</t>
  </si>
  <si>
    <t>https://chromewebstore.google.com/detail/dgogifpkoilgiofhhhodbodcfgomelhe</t>
  </si>
  <si>
    <t>EasyIQ IdP – Ringkøbing-Skjern Kommune</t>
  </si>
  <si>
    <t>https://chromewebstore.google.com/detail/dhapdlckafkgfpdmiehjdmhnpjkaobfn</t>
  </si>
  <si>
    <t>FoE - Helper &amp; Tools</t>
  </si>
  <si>
    <t>https://chromewebstore.google.com/detail/dhhnfhlnfcmnamjbaljhahcklhajihln</t>
  </si>
  <si>
    <t>Hilton ResSmart Click to Dial</t>
  </si>
  <si>
    <t>https://chromewebstore.google.com/detail/dhkkimcelcgopfjblmblfhbihlihhppe</t>
  </si>
  <si>
    <t>Company Information in Google</t>
  </si>
  <si>
    <t>https://chromewebstore.google.com/detail/dhlalbbccdkkonkpeaailagagppobblb</t>
  </si>
  <si>
    <t>Unitrans</t>
  </si>
  <si>
    <t>https://chromewebstore.google.com/detail/dhoomabpflmndikhoiolpogmjlnegben</t>
  </si>
  <si>
    <t>YouTube Subscriptions Exporter</t>
  </si>
  <si>
    <t>https://chromewebstore.google.com/detail/dhpojdmnffaocepmljcdcongdmkjblan</t>
  </si>
  <si>
    <t>Cookie Profile Switcher</t>
  </si>
  <si>
    <t>https://chromewebstore.google.com/detail/dicajblfgcpecbkhkjaljphlmkhohelc</t>
  </si>
  <si>
    <t>New tabs to the front</t>
  </si>
  <si>
    <t>https://chromewebstore.google.com/detail/dildejdbnjjfnpflnoplbfgcjpdlkjjm</t>
  </si>
  <si>
    <t>店雷达-1688跨境选品工具和数据分析运营插件</t>
  </si>
  <si>
    <t>https://chromewebstore.google.com/detail/dilpkmipcjppflnkjifjidiammgiiaag</t>
  </si>
  <si>
    <t>strava-map-switcher</t>
  </si>
  <si>
    <t>https://chromewebstore.google.com/detail/djcheclpmmkcdkjcenfamalobdenmici</t>
  </si>
  <si>
    <t>Cyano Wallet</t>
  </si>
  <si>
    <t>https://chromewebstore.google.com/detail/dkdedlpgdmmkkfjabffeganieamfklkm</t>
  </si>
  <si>
    <t>Gumtree AU</t>
  </si>
  <si>
    <t>https://chromewebstore.google.com/detail/dkikcapmobbpchilifibnfndebjdeilg</t>
  </si>
  <si>
    <t>Webspotter Technology Checker &amp; Email lookup</t>
  </si>
  <si>
    <t>https://chromewebstore.google.com/detail/dleekicmcmdlfpmocbpllipgohgghhoj</t>
  </si>
  <si>
    <t>Highlight Color</t>
  </si>
  <si>
    <t>https://chromewebstore.google.com/detail/dllbflhpdeinobodaaibnojmgejkkjii</t>
  </si>
  <si>
    <t>ayaya's Bookmark Tree</t>
  </si>
  <si>
    <t>https://chromewebstore.google.com/detail/dneehabidhbfdiohdhbhjbbljobchgab</t>
  </si>
  <si>
    <t>Right Click Email for Gmail</t>
  </si>
  <si>
    <t>https://chromewebstore.google.com/detail/dnlfochnjjonhempkinfokflaclicokg</t>
  </si>
  <si>
    <t>Email My Students</t>
  </si>
  <si>
    <t>https://chromewebstore.google.com/detail/dobolefimaffkkkohihlhdigcmjehoge</t>
  </si>
  <si>
    <t>Forex Market Hours</t>
  </si>
  <si>
    <t>https://chromewebstore.google.com/detail/dpalpikdbngjpghphidcecanadfdnmfg</t>
  </si>
  <si>
    <t>Mouse XY</t>
  </si>
  <si>
    <t>https://chromewebstore.google.com/detail/dpijpplkkbkoeeennbogompkkehepfin</t>
  </si>
  <si>
    <t>Save RedGIFs, gfycat, Imgur GIFs as mp4</t>
  </si>
  <si>
    <t>https://chromewebstore.google.com/detail/ealipkphbaohckcjcpgdepjibpceolmf</t>
  </si>
  <si>
    <t>Deezerify</t>
  </si>
  <si>
    <t>https://chromewebstore.google.com/detail/eamncajdopiabocecbhclhannloflleo</t>
  </si>
  <si>
    <t>Folha Grátis</t>
  </si>
  <si>
    <t>https://chromewebstore.google.com/detail/eaokgpjnifijoicnmjldjpekchljhbbp</t>
  </si>
  <si>
    <t>Temp Business Email Address</t>
  </si>
  <si>
    <t>https://chromewebstore.google.com/detail/ednjmeomfcmonkgaogcgmfeelgegkpma</t>
  </si>
  <si>
    <t>Context Bookmarks</t>
  </si>
  <si>
    <t>https://chromewebstore.google.com/detail/ednnkpljcbpjcoplcooifiblghkephlh</t>
  </si>
  <si>
    <t>Stopwatch</t>
  </si>
  <si>
    <t>https://chromewebstore.google.com/detail/eedabbfjpacefmdfbjcploljmhlgkcph</t>
  </si>
  <si>
    <t>Torrent magnet finder</t>
  </si>
  <si>
    <t>https://chromewebstore.google.com/detail/egeneelmedfcnakdkkpoflpfiogmgjhk</t>
  </si>
  <si>
    <t>Music Storm - visualize any music tab</t>
  </si>
  <si>
    <t>https://chromewebstore.google.com/detail/egmilngkgddnnmkpkonkpkjkipiihmkh</t>
  </si>
  <si>
    <t>Codeforces++</t>
  </si>
  <si>
    <t>https://chromewebstore.google.com/detail/ehbcfilpfnlahficlpimomapmbccieoi</t>
  </si>
  <si>
    <t>Pink background</t>
  </si>
  <si>
    <t>https://chromewebstore.google.com/detail/ehiaijjfijdbaepbhgompjomellejfoj</t>
  </si>
  <si>
    <t>Dev Tools App</t>
  </si>
  <si>
    <t>https://chromewebstore.google.com/detail/eichfopopofffkbhjgbabdegakcdmpkm</t>
  </si>
  <si>
    <t>Hover</t>
  </si>
  <si>
    <t>https://chromewebstore.google.com/detail/eiiibfemcfcehadokcldlcdljfdlmolj</t>
  </si>
  <si>
    <t>Youtube TV</t>
  </si>
  <si>
    <t>https://chromewebstore.google.com/detail/eipbidbihnpafjpfpcpnnfmlebiagola</t>
  </si>
  <si>
    <t>History Button</t>
  </si>
  <si>
    <t>https://chromewebstore.google.com/detail/ejbmfhgfpejndimejlfghaddkphononj</t>
  </si>
  <si>
    <t>Endless Page Scroller</t>
  </si>
  <si>
    <t>https://chromewebstore.google.com/detail/elejfbgccaknplepagepnbpflnoomioj</t>
  </si>
  <si>
    <t>Go back with backspace</t>
  </si>
  <si>
    <t>https://chromewebstore.google.com/detail/emacifekhnajdlgeejloncjbcnoingnd</t>
  </si>
  <si>
    <t>人人相册下载器</t>
  </si>
  <si>
    <t>https://chromewebstore.google.com/detail/enmkdplopmpkfnlefdldpkbcmihgcdec</t>
  </si>
  <si>
    <t>Cryptocurrency Price Tracker</t>
  </si>
  <si>
    <t>https://chromewebstore.google.com/detail/eoflfhfpgdhgbegbpgckkailbndcgpod</t>
  </si>
  <si>
    <t>Agile CRM</t>
  </si>
  <si>
    <t>https://chromewebstore.google.com/detail/eofoblinhpjfhkjlfckmeidagfogclib</t>
  </si>
  <si>
    <t>ActionScript 3.0 Search</t>
  </si>
  <si>
    <t>https://chromewebstore.google.com/detail/epbimhhenalihknndiglmjaehfpifaeg</t>
  </si>
  <si>
    <t>马六甲跨境助手</t>
  </si>
  <si>
    <t>https://chromewebstore.google.com/detail/ephabedpajngbmeohfngglhabgfcjgjl</t>
  </si>
  <si>
    <t>Fancy &amp; Cool Text Generator</t>
  </si>
  <si>
    <t>https://chromewebstore.google.com/detail/fafnphaopehepcmfnakggljonnhkofpk</t>
  </si>
  <si>
    <t>Twitch Channel Points Autoclicker (Lite)</t>
  </si>
  <si>
    <t>https://chromewebstore.google.com/detail/fapndfdannkgofolmaihpbigbolcobek</t>
  </si>
  <si>
    <t>Pull Up Flash</t>
  </si>
  <si>
    <t>https://chromewebstore.google.com/detail/fbhapfcojegildkbfcidlnknbamgibkl</t>
  </si>
  <si>
    <t>Goodreads Right Click</t>
  </si>
  <si>
    <t>https://chromewebstore.google.com/detail/fbicpmopjallgdpklipffmihodimmcbe</t>
  </si>
  <si>
    <t>EasyIQ IdP – Hvidovre Kommune</t>
  </si>
  <si>
    <t>https://chromewebstore.google.com/detail/fbmpipnebmifpjijhpbdcjjeebbaphao</t>
  </si>
  <si>
    <t>URSTYLE Clipper Tool</t>
  </si>
  <si>
    <t>https://chromewebstore.google.com/detail/fdjlldokfdiglkajbadmgbmbnljokpag</t>
  </si>
  <si>
    <t>Wattpad Dark Mode</t>
  </si>
  <si>
    <t>https://chromewebstore.google.com/detail/fdkdhnmocjdpgbjofkmkcfnhkblmadce</t>
  </si>
  <si>
    <t>JavaEE API Search</t>
  </si>
  <si>
    <t>https://chromewebstore.google.com/detail/fdncdgdjflfnpbibedmlfdjafkinnfcl</t>
  </si>
  <si>
    <t>TopRecipeFinder</t>
  </si>
  <si>
    <t>https://chromewebstore.google.com/detail/fdnjiondibmefmnjdbokflohocecpeoa</t>
  </si>
  <si>
    <t>AliPrice.com shortcut</t>
  </si>
  <si>
    <t>https://chromewebstore.google.com/detail/febgkbbbbocnmjpgblmhenpgnobanogi</t>
  </si>
  <si>
    <t>X Button</t>
  </si>
  <si>
    <t>https://chromewebstore.google.com/detail/ffeofhiiabipephomkglcjbhgglddeeg</t>
  </si>
  <si>
    <t>CollabDown</t>
  </si>
  <si>
    <t>https://chromewebstore.google.com/detail/ffgphkdmeoodlppmdmlonohncngfgnnk</t>
  </si>
  <si>
    <t>Sign JPRPS</t>
  </si>
  <si>
    <t>https://chromewebstore.google.com/detail/fgbfnbkkollcgnpibaedekjjeenfjbdn</t>
  </si>
  <si>
    <t>Microsoft Teams Reply</t>
  </si>
  <si>
    <t>https://chromewebstore.google.com/detail/fgdlknkkknhcdldggojiooiemajodncl</t>
  </si>
  <si>
    <t>Paper Of The Day</t>
  </si>
  <si>
    <t>https://chromewebstore.google.com/detail/fgmkbejeokkpojkldlieonblomokajnf</t>
  </si>
  <si>
    <t>Luckydog Winner Generator Tool 2020</t>
  </si>
  <si>
    <t>https://chromewebstore.google.com/detail/fhhappeemmamffhkmaebfhnimglfjkao</t>
  </si>
  <si>
    <t>Scroll to Bottom</t>
  </si>
  <si>
    <t>https://chromewebstore.google.com/detail/filgdcpknaklibnfoejliopebdipligb</t>
  </si>
  <si>
    <t>老司机编码助手</t>
  </si>
  <si>
    <t>https://chromewebstore.google.com/detail/fimkjebbomamhcamiebchfaiaenggpka</t>
  </si>
  <si>
    <t>SnapTwitter: Twitter Video Download</t>
  </si>
  <si>
    <t>https://chromewebstore.google.com/detail/fjloccpjmhaaejcfjhnlkgeankdjfhjo</t>
  </si>
  <si>
    <t>TSR Wait Skipper</t>
  </si>
  <si>
    <t>https://chromewebstore.google.com/detail/fkhnpccgeinkjjpfhpjeohobbmnpapkc</t>
  </si>
  <si>
    <t>JSON Finder</t>
  </si>
  <si>
    <t>https://chromewebstore.google.com/detail/flhdcaebggmmpnnaljiajhihdfconkbj</t>
  </si>
  <si>
    <t>URL Tracking Stripper &amp; Redirect Skipper</t>
  </si>
  <si>
    <t>https://chromewebstore.google.com/detail/flnagcobkfofedknnnmofijmmkbgfamf</t>
  </si>
  <si>
    <t>My Little Password</t>
  </si>
  <si>
    <t>https://chromewebstore.google.com/detail/floifiapkmdcpbnppnfjikpbmgbbdijf</t>
  </si>
  <si>
    <t>RiteBoost</t>
  </si>
  <si>
    <t>https://chromewebstore.google.com/detail/flookmlccbimcdpnbblpdjhpmjlblfgg</t>
  </si>
  <si>
    <t>Groups Show Time</t>
  </si>
  <si>
    <t>https://chromewebstore.google.com/detail/flpcifoeceefgkgpmapjajdkoboidhmj</t>
  </si>
  <si>
    <t>Word Highlighter</t>
  </si>
  <si>
    <t>https://chromewebstore.google.com/detail/flpifgahbaopfmnlmcgkkodanhoifdpa</t>
  </si>
  <si>
    <t>Brawl stars Cursor</t>
  </si>
  <si>
    <t>https://chromewebstore.google.com/detail/fmaalognklkjmannniekhbbapoppcimk</t>
  </si>
  <si>
    <t>Screen Share Application</t>
  </si>
  <si>
    <t>https://chromewebstore.google.com/detail/fmajmkhjmknoegfgdhpiflefolclojef</t>
  </si>
  <si>
    <t>LiveGamers.pl</t>
  </si>
  <si>
    <t>https://chromewebstore.google.com/detail/fmdjpbfannegkalllfnlfhjplgdjdnei</t>
  </si>
  <si>
    <t>TabSaver</t>
  </si>
  <si>
    <t>https://chromewebstore.google.com/detail/fmjkkhoegfianolbdbceddpgnidbfpmo</t>
  </si>
  <si>
    <t>Persian eSpeak</t>
  </si>
  <si>
    <t>https://chromewebstore.google.com/detail/fnbfedemccfdngpmeppjkkiglilfaifh</t>
  </si>
  <si>
    <t>Chrome Direct Print</t>
  </si>
  <si>
    <t>https://chromewebstore.google.com/detail/fnfkcaeloalplnglklappfjfjeafakeo</t>
  </si>
  <si>
    <t>Shadowsocks</t>
  </si>
  <si>
    <t>https://chromewebstore.google.com/detail/fnhhahhihediajgefcnlpdmnogndblbi</t>
  </si>
  <si>
    <t>SmartAdblock</t>
  </si>
  <si>
    <t>https://chromewebstore.google.com/detail/fofomggefchbeiemhdhacdojbefmkhfb</t>
  </si>
  <si>
    <t>Micro Breaks</t>
  </si>
  <si>
    <t>https://chromewebstore.google.com/detail/fofomifmemjbnomlpjdnengjfddljcbe</t>
  </si>
  <si>
    <t>Download Tumblr images</t>
  </si>
  <si>
    <t>https://chromewebstore.google.com/detail/fpojonadgdgbdcliijkjibcapfbmllod</t>
  </si>
  <si>
    <t>Synology add download</t>
  </si>
  <si>
    <t>https://chromewebstore.google.com/detail/gaedlpnklpnpgjonldlmmmnmhhadicnk</t>
  </si>
  <si>
    <t>Thumbnail Viewer for YouTube™</t>
  </si>
  <si>
    <t>https://chromewebstore.google.com/detail/galcjdfminhddlmheppdgddbekgdofcm</t>
  </si>
  <si>
    <t>Console Recorder for AWS</t>
  </si>
  <si>
    <t>https://chromewebstore.google.com/detail/ganlhgooidfbijjidcpkeaohjnkeicba</t>
  </si>
  <si>
    <t>Wordology</t>
  </si>
  <si>
    <t>https://chromewebstore.google.com/detail/ganonoebdpdnhcbolgkelccfaffgmlpd</t>
  </si>
  <si>
    <t>Keepin' Tabs – tabs manager</t>
  </si>
  <si>
    <t>https://chromewebstore.google.com/detail/gaodngaiillepoddeloolejnhjglabkn</t>
  </si>
  <si>
    <t>SoundTouch Chrome Extension</t>
  </si>
  <si>
    <t>https://chromewebstore.google.com/detail/gapfkijlllenhmgddoldcfedfiiakfgg</t>
  </si>
  <si>
    <t>屏蔽商业推广</t>
  </si>
  <si>
    <t>https://chromewebstore.google.com/detail/gcaopcbfgkfmgofkkbfbmiajolihocoa</t>
  </si>
  <si>
    <t>webhint</t>
  </si>
  <si>
    <t>https://chromewebstore.google.com/detail/gccemnpihkbgkdmoogenkbkckppadcag</t>
  </si>
  <si>
    <t>Seen Blocker</t>
  </si>
  <si>
    <t>https://chromewebstore.google.com/detail/gchmppebfedehcmemdmhojamlnanmafn</t>
  </si>
  <si>
    <t>AngularJS Inspect Watchers</t>
  </si>
  <si>
    <t>https://chromewebstore.google.com/detail/gdfcinoagafkodbnkjemaajfahnmfkhg</t>
  </si>
  <si>
    <t>SSS Autofill</t>
  </si>
  <si>
    <t>https://chromewebstore.google.com/detail/gdhmefadngapdfphedlcimcdplachcip</t>
  </si>
  <si>
    <t>No Search For</t>
  </si>
  <si>
    <t>https://chromewebstore.google.com/detail/gfilnngoaebchcnkmppbnijaakeccdjc</t>
  </si>
  <si>
    <t>Kaiserapps - Web Developer Tools</t>
  </si>
  <si>
    <t>https://chromewebstore.google.com/detail/gglhpbcdnlhflfpacllleoeofbipdgjl</t>
  </si>
  <si>
    <t>Nuke Anything</t>
  </si>
  <si>
    <t>https://chromewebstore.google.com/detail/ghoehocgoliemjdnbjjcaohgofgpkfgg</t>
  </si>
  <si>
    <t>Quick 'K'</t>
  </si>
  <si>
    <t>https://chromewebstore.google.com/detail/gilkjbonaifnnghbdpjmbomjjfffabmn</t>
  </si>
  <si>
    <t>Left Right Sound Select</t>
  </si>
  <si>
    <t>https://chromewebstore.google.com/detail/gjaliinpmkmkehebabkfkhpbfaekgljn</t>
  </si>
  <si>
    <t>Go PopOut!</t>
  </si>
  <si>
    <t>https://chromewebstore.google.com/detail/gkancbhpmeiamiljkcfajhebcimjjbie</t>
  </si>
  <si>
    <t>Yandex Quotes</t>
  </si>
  <si>
    <t>https://chromewebstore.google.com/detail/gkfdbfhccgafhdgeoojacffkljgofkml</t>
  </si>
  <si>
    <t>Current Weather - New Tab</t>
  </si>
  <si>
    <t>https://chromewebstore.google.com/detail/gkgglahfccodheljaolemocokldjbnbh</t>
  </si>
  <si>
    <t>Permanent Readability</t>
  </si>
  <si>
    <t>https://chromewebstore.google.com/detail/gkoadlaadbnnaipkigapbbgbclcdhkaf</t>
  </si>
  <si>
    <t>Marketo Sales</t>
  </si>
  <si>
    <t>https://chromewebstore.google.com/detail/gllmkcahdekdbapmdfnffclacbpnicaj</t>
  </si>
  <si>
    <t>SSL/TLS安全评估报告</t>
  </si>
  <si>
    <t>https://chromewebstore.google.com/detail/gmkdfchigicneikpcdakcoglhiecneak</t>
  </si>
  <si>
    <t>Pokémon Showdown Enhanced Tooltips</t>
  </si>
  <si>
    <t>https://chromewebstore.google.com/detail/gmkpigbaephkbabhogllilhepglikolk</t>
  </si>
  <si>
    <t>FMPLAY URL Getter</t>
  </si>
  <si>
    <t>https://chromewebstore.google.com/detail/gnnmepchabebcpbopfnejhgfmpblafnf</t>
  </si>
  <si>
    <t>Chromesthesia</t>
  </si>
  <si>
    <t>https://chromewebstore.google.com/detail/gocpionhjoififoliaelkfheedcafgin</t>
  </si>
  <si>
    <t>Javascript Object Browser</t>
  </si>
  <si>
    <t>https://chromewebstore.google.com/detail/gpaagbhojejffmocmmjclhedfijjafja</t>
  </si>
  <si>
    <t>Film Stack</t>
  </si>
  <si>
    <t>https://chromewebstore.google.com/detail/gpcloglcoibdbkafhnmghmaeofdikpnm</t>
  </si>
  <si>
    <t>Classbee - Online Class Recorder &amp; Playback</t>
  </si>
  <si>
    <t>https://chromewebstore.google.com/detail/gppjmggcabclbfckbgmljnidgemfgjef</t>
  </si>
  <si>
    <t>Enhancer for VIT Vellore Academics</t>
  </si>
  <si>
    <t>https://chromewebstore.google.com/detail/hafeeaangmkbibcaahfjdmmmeappjbbp</t>
  </si>
  <si>
    <t>Youtube™ Actual Top Comments</t>
  </si>
  <si>
    <t>https://chromewebstore.google.com/detail/hbdmelobmfcompinikjdaiphhonbgfpn</t>
  </si>
  <si>
    <t>Steam Market Auto-Agree</t>
  </si>
  <si>
    <t>https://chromewebstore.google.com/detail/hdommeagcldeibnepgadkfbhiofkndgf</t>
  </si>
  <si>
    <t>Stock &amp; Cryptocurrency Monitor</t>
  </si>
  <si>
    <t>https://chromewebstore.google.com/detail/heclkjfhijjcnikjhncnihdbcokfdono</t>
  </si>
  <si>
    <t>AudibleHero for Audible</t>
  </si>
  <si>
    <t>https://chromewebstore.google.com/detail/hemgkbfmploojfhljdcpbloffgkfamlb</t>
  </si>
  <si>
    <t>Woord - Text to Speech</t>
  </si>
  <si>
    <t>https://chromewebstore.google.com/detail/hfbgaebkpgmceelecplahfjcmpbllpjh</t>
  </si>
  <si>
    <t>Troy</t>
  </si>
  <si>
    <t>https://chromewebstore.google.com/detail/hflapaedaljpdhhdcdgkmhgmcncdchca</t>
  </si>
  <si>
    <t>Mockup Builder</t>
  </si>
  <si>
    <t>https://chromewebstore.google.com/detail/hfllfiimcgelfjkiedbcakabjekfldig</t>
  </si>
  <si>
    <t>CSDN自动展开+去广告+净化剪贴板</t>
  </si>
  <si>
    <t>https://chromewebstore.google.com/detail/hgknnlekfojmhgcaianhcoggcklinnic</t>
  </si>
  <si>
    <t>AutoRemote</t>
  </si>
  <si>
    <t>https://chromewebstore.google.com/detail/hglmpnnkhfjpnoheioijdpleijlmfcfb</t>
  </si>
  <si>
    <t>한국어 글자수 세기</t>
  </si>
  <si>
    <t>https://chromewebstore.google.com/detail/hgnnllcclhhigideaknjkbbmnokfocgd</t>
  </si>
  <si>
    <t>PDF Merge</t>
  </si>
  <si>
    <t>https://chromewebstore.google.com/detail/hiagbhcincnckilkbbglilfchoehldmj</t>
  </si>
  <si>
    <t>Tagtician: Adobe Launch &amp; DTM Debugger</t>
  </si>
  <si>
    <t>https://chromewebstore.google.com/detail/hiaoiehpkillodoeillmodjcadmfmcbg</t>
  </si>
  <si>
    <t>Mitel Connect Web Dialer</t>
  </si>
  <si>
    <t>https://chromewebstore.google.com/detail/hkciiohohfimeecpjoidoipjpalbabld</t>
  </si>
  <si>
    <t>Search Incognito</t>
  </si>
  <si>
    <t>https://chromewebstore.google.com/detail/hlcgjkbdmlnfmelambncafejbemlfodl</t>
  </si>
  <si>
    <t>PHP shell</t>
  </si>
  <si>
    <t>https://chromewebstore.google.com/detail/hlpgiileennpalklffkdgjodnppfnccd</t>
  </si>
  <si>
    <t>COVID Vaccine Slot Checker- India</t>
  </si>
  <si>
    <t>https://chromewebstore.google.com/detail/hmmahfccoaoebmjhmcnbbomomkimomhi</t>
  </si>
  <si>
    <t>The tiny URL shortener</t>
  </si>
  <si>
    <t>https://chromewebstore.google.com/detail/hohdkaanpmcooenkhecbakblkepcnfop</t>
  </si>
  <si>
    <t>Merch Search For</t>
  </si>
  <si>
    <t>https://chromewebstore.google.com/detail/hoijhdloilmokgoenciedbokagejpdam</t>
  </si>
  <si>
    <t>Popup Annoyer</t>
  </si>
  <si>
    <t>https://chromewebstore.google.com/detail/hpgmmcbcpgjlkfpdelbidecgohplfcck</t>
  </si>
  <si>
    <t>Autohide Downloads Bar</t>
  </si>
  <si>
    <t>https://chromewebstore.google.com/detail/iaefpjibipfaofmigecedfapfgplmplo</t>
  </si>
  <si>
    <t>X-Browser</t>
  </si>
  <si>
    <t>https://chromewebstore.google.com/detail/iajpapiodpjcgiocblamfbdollecekmh</t>
  </si>
  <si>
    <t>CFCA CertEnrollment.SXCCB Extension</t>
  </si>
  <si>
    <t>https://chromewebstore.google.com/detail/iapcgihppihpcegfmjobpeeongnnfodc</t>
  </si>
  <si>
    <t>Protractor Protector</t>
  </si>
  <si>
    <t>https://chromewebstore.google.com/detail/ibjbhbhcgbkiohfmddokjmmbkbgpfgnl</t>
  </si>
  <si>
    <t>零维</t>
  </si>
  <si>
    <t>https://chromewebstore.google.com/detail/ibkcolodejfkapecfacofdibcaoldbjf</t>
  </si>
  <si>
    <t>Better Dark Mode</t>
  </si>
  <si>
    <t>https://chromewebstore.google.com/detail/ibkdocnpanhgcbbfadninaflpgjecmod</t>
  </si>
  <si>
    <t>NetSuite Record JSON Viewer</t>
  </si>
  <si>
    <t>https://chromewebstore.google.com/detail/ibkdphopcbimokejnhhgelcancfabhba</t>
  </si>
  <si>
    <t>postMessage debugger</t>
  </si>
  <si>
    <t>https://chromewebstore.google.com/detail/ibnkhbkkelpcgofjlfnlanbigclpldad</t>
  </si>
  <si>
    <t>Spice Client</t>
  </si>
  <si>
    <t>https://chromewebstore.google.com/detail/icklgohmolmmdagbigdkhhcgdechbeje</t>
  </si>
  <si>
    <t>Hackers toolkit</t>
  </si>
  <si>
    <t>https://chromewebstore.google.com/detail/iebkeiopbbfnmieadmojmocohdmaghmb</t>
  </si>
  <si>
    <t>Lab Ray Logger by Jellyneo</t>
  </si>
  <si>
    <t>https://chromewebstore.google.com/detail/iepcfehgcfcoildehjncoefphpdfahhp</t>
  </si>
  <si>
    <t>View Youtube™ Thumbnail</t>
  </si>
  <si>
    <t>https://chromewebstore.google.com/detail/ifeljkoeopnppmdlaofbgepbghddigpf</t>
  </si>
  <si>
    <t>Robotcorder</t>
  </si>
  <si>
    <t>https://chromewebstore.google.com/detail/ifiilbfgcemdapeibjfohnfpfmfblmpd</t>
  </si>
  <si>
    <t>Color Space</t>
  </si>
  <si>
    <t>https://chromewebstore.google.com/detail/ifmbfjgnachickfhchheghlmannlgcma</t>
  </si>
  <si>
    <t>Easy Text Copy</t>
  </si>
  <si>
    <t>https://chromewebstore.google.com/detail/ifnpgfoniiadhamkbgdiokjefenpacjm</t>
  </si>
  <si>
    <t>Photo Editor Pro</t>
  </si>
  <si>
    <t>https://chromewebstore.google.com/detail/igibeccagmmhpoaidmcfpkhgaagpmnef</t>
  </si>
  <si>
    <t>New Tab Google Translator</t>
  </si>
  <si>
    <t>https://chromewebstore.google.com/detail/igopmeppmijehcoikklecabcdflhopgh</t>
  </si>
  <si>
    <t>YouBlock</t>
  </si>
  <si>
    <t>https://chromewebstore.google.com/detail/ihhpifdmgophogphhddppiclngkbhnal</t>
  </si>
  <si>
    <t>Print Extension</t>
  </si>
  <si>
    <t>https://chromewebstore.google.com/detail/iiojelkcnhebcbofcnfilpcclfhkfhhh</t>
  </si>
  <si>
    <t>You No Cards</t>
  </si>
  <si>
    <t>https://chromewebstore.google.com/detail/ijjegnfpommcmglgjpifikbhnlbboikl</t>
  </si>
  <si>
    <t>Acta365Classroom</t>
  </si>
  <si>
    <t>https://chromewebstore.google.com/detail/ikbddjmmdbonmkdablliminbkbcecmmd</t>
  </si>
  <si>
    <t>FirePHP (Official)</t>
  </si>
  <si>
    <t>https://chromewebstore.google.com/detail/ikfbpappjhegehjflebknjbhdocbgkdi</t>
  </si>
  <si>
    <t>Short URL and QR code generator</t>
  </si>
  <si>
    <t>https://chromewebstore.google.com/detail/ikihojdapjkjkglimjpnoenohodhacbk</t>
  </si>
  <si>
    <t>Netflix Flip - Rotate Netflix in Your Browser</t>
  </si>
  <si>
    <t>https://chromewebstore.google.com/detail/ikofeeinmcingcdchnhkeljfmbigmjnp</t>
  </si>
  <si>
    <t>Ответы к Решу ОГЭ и Решу ЕГЭ - РешуОГЭ/ЕГЭ+</t>
  </si>
  <si>
    <t>https://chromewebstore.google.com/detail/ilocfjnmkngcmoonmlpmdiigiddlloea</t>
  </si>
  <si>
    <t>Naver Band Post &amp; Comment Remover</t>
  </si>
  <si>
    <t>https://chromewebstore.google.com/detail/imkeopbmlpnjdgniafkbkpdhbdigmdbk</t>
  </si>
  <si>
    <t>简法主页</t>
  </si>
  <si>
    <t>https://chromewebstore.google.com/detail/ipkflbbmmgipgkeokeejadapmdeoldgp</t>
  </si>
  <si>
    <t>مواقيت الصلاة: إشعارات الصلاة في المتصفح</t>
  </si>
  <si>
    <t>https://chromewebstore.google.com/detail/ipkhkglhpmngdkgclngmlpkekkpplbgm</t>
  </si>
  <si>
    <t>Comfortable Atcoder</t>
  </si>
  <si>
    <t>https://chromewebstore.google.com/detail/ipmmkccdccnephfilbjdnmnfcbopbpaj</t>
  </si>
  <si>
    <t>Meteor DevTools</t>
  </si>
  <si>
    <t>https://chromewebstore.google.com/detail/ippapidnnboiophakmmhkdlchoccbgje</t>
  </si>
  <si>
    <t>When was this website published?</t>
  </si>
  <si>
    <t>https://chromewebstore.google.com/detail/ippcpkdkcjdghdnodahajpjdolfibjon</t>
  </si>
  <si>
    <t>JSON downloader</t>
  </si>
  <si>
    <t>https://chromewebstore.google.com/detail/jbfdnmiljibiadikgcigcgcfdeehphmi</t>
  </si>
  <si>
    <t>DOM node tree viewer.</t>
  </si>
  <si>
    <t>https://chromewebstore.google.com/detail/jbplakkefflidgnjhckoahendgekokfc</t>
  </si>
  <si>
    <t>Gradient Merge for Google Calendar™ Events</t>
  </si>
  <si>
    <t>https://chromewebstore.google.com/detail/jcgbfnkjigkdllodnaecmdipcojhopfc</t>
  </si>
  <si>
    <t>CORS Helper</t>
  </si>
  <si>
    <t>https://chromewebstore.google.com/detail/jckpaobldaolbbchaeicopkcljcaiaka</t>
  </si>
  <si>
    <t>https://chromewebstore.google.com/detail/jcmgkikfgdbehjdajjdnebnnmmknfblm</t>
  </si>
  <si>
    <t>Hey Girl</t>
  </si>
  <si>
    <t>https://chromewebstore.google.com/detail/jcpmmhaffdebnmkjelaohgjmndeongip</t>
  </si>
  <si>
    <t>Timer Pro</t>
  </si>
  <si>
    <t>https://chromewebstore.google.com/detail/jdlppncbmfbloihpaegmcomnfoibmpnj</t>
  </si>
  <si>
    <t>Ecommerce Inspector for Shopify and more</t>
  </si>
  <si>
    <t>https://chromewebstore.google.com/detail/jefhcdbdiekhoggnankdaaplnlehknkg</t>
  </si>
  <si>
    <t>みんなよう見とる</t>
  </si>
  <si>
    <t>https://chromewebstore.google.com/detail/jemjppnfnbmdlnpndcmpcjgmkmkbiall</t>
  </si>
  <si>
    <t>Slack Emoji Uploader</t>
  </si>
  <si>
    <t>https://chromewebstore.google.com/detail/jfacjbibcobdehekkieokkloinlfdomg</t>
  </si>
  <si>
    <t>Export Tabs URLs</t>
  </si>
  <si>
    <t>https://chromewebstore.google.com/detail/jfcmbgcnangoalgpopaakignejjfpcmo</t>
  </si>
  <si>
    <t>Robux Worth Calculator</t>
  </si>
  <si>
    <t>https://chromewebstore.google.com/detail/jfpoennlpiaeplmoahaacgnknnllninp</t>
  </si>
  <si>
    <t>Paste to download</t>
  </si>
  <si>
    <t>https://chromewebstore.google.com/detail/jghdppgkpdccfpobmilnnhgahhpjhbne</t>
  </si>
  <si>
    <t>Chaff</t>
  </si>
  <si>
    <t>https://chromewebstore.google.com/detail/jgjhamliocfhehbocekgcddfjpgdjnje</t>
  </si>
  <si>
    <t>WebPageTest</t>
  </si>
  <si>
    <t>https://chromewebstore.google.com/detail/jhbepelanbbipbinkkjcadbjjinjmiec</t>
  </si>
  <si>
    <t>Emoji copy and paste</t>
  </si>
  <si>
    <t>https://chromewebstore.google.com/detail/jigpnmkhillllgkkjndpmepocpglgdgh</t>
  </si>
  <si>
    <t>HiztegiBar</t>
  </si>
  <si>
    <t>https://chromewebstore.google.com/detail/jjcgaodnmocmejpebjkokngdbcmnefln</t>
  </si>
  <si>
    <t>kinemaster mod apk - Download For Smartphones</t>
  </si>
  <si>
    <t>https://chromewebstore.google.com/detail/jjckapnhmbdlhjlcakfidneengcpikpa</t>
  </si>
  <si>
    <t>EmailOnGitHub</t>
  </si>
  <si>
    <t>https://chromewebstore.google.com/detail/jjmphadcgcmpdnombcomlmmbmojccmcf</t>
  </si>
  <si>
    <t>Seelie</t>
  </si>
  <si>
    <t>https://chromewebstore.google.com/detail/jkapcfbicpbhigopkhpielmbkgfchdgh</t>
  </si>
  <si>
    <t>Html Scan</t>
  </si>
  <si>
    <t>https://chromewebstore.google.com/detail/jkkccmdilclkdkhkfdmcbdiagpibmpne</t>
  </si>
  <si>
    <t>WorldWeatherOnline</t>
  </si>
  <si>
    <t>https://chromewebstore.google.com/detail/jkpahjicmehopmlkbenbkmckcedlcmhk</t>
  </si>
  <si>
    <t>TrackCheck for SoundCloud</t>
  </si>
  <si>
    <t>https://chromewebstore.google.com/detail/jmjdcajkhmddfnfjhghodnijajdmcloe</t>
  </si>
  <si>
    <t>Biblia en Español</t>
  </si>
  <si>
    <t>https://chromewebstore.google.com/detail/jnjlgikhlncikdjaggpkefenokgjknik</t>
  </si>
  <si>
    <t>Semantic inspector</t>
  </si>
  <si>
    <t>https://chromewebstore.google.com/detail/jobakbebljifplmcapcooffdbdmfdbjh</t>
  </si>
  <si>
    <t>ER-help Extension</t>
  </si>
  <si>
    <t>https://chromewebstore.google.com/detail/jpefkkpmalfnilnbghfnjodceifpemdb</t>
  </si>
  <si>
    <t>Agentium: User agent switcher</t>
  </si>
  <si>
    <t>https://chromewebstore.google.com/detail/kabejgcoafnliefbhejpfahdecimjcje</t>
  </si>
  <si>
    <t>DictationBox</t>
  </si>
  <si>
    <t>https://chromewebstore.google.com/detail/kbjkbnakcaaohhjmhbidbbhoecklidae</t>
  </si>
  <si>
    <t>Browser Fingerprint Protector</t>
  </si>
  <si>
    <t>https://chromewebstore.google.com/detail/kcklikpoajnpdpjgamjfepagpdkhahpn</t>
  </si>
  <si>
    <t>Rakuten Anti Mail Magazine</t>
  </si>
  <si>
    <t>https://chromewebstore.google.com/detail/kclbpbfpfddcglkinajbcfcldhpdkmmk</t>
  </si>
  <si>
    <t>Design Mode</t>
  </si>
  <si>
    <t>https://chromewebstore.google.com/detail/kcohlfofdggbjmbjoiopaddbjjblgnkl</t>
  </si>
  <si>
    <t>Proxybonanza Proxy Manager</t>
  </si>
  <si>
    <t>https://chromewebstore.google.com/detail/kconeelhhdbnjombompadmclijkcfbph</t>
  </si>
  <si>
    <t>Retinex - online photo editor</t>
  </si>
  <si>
    <t>https://chromewebstore.google.com/detail/kdddlmfedcpcblakijdkfindjedklikb</t>
  </si>
  <si>
    <t>Zimbra Mail Notifier</t>
  </si>
  <si>
    <t>https://chromewebstore.google.com/detail/kglapfficgodpkmenjfpfcignofghanc</t>
  </si>
  <si>
    <t>nDocuSoft</t>
  </si>
  <si>
    <t>https://chromewebstore.google.com/detail/kgmbjoakninmbejgngppphhlbcjelcif</t>
  </si>
  <si>
    <t>Hide Google Drive features</t>
  </si>
  <si>
    <t>https://chromewebstore.google.com/detail/khpbeljaehgajdlenemdebfmdmfdmmgj</t>
  </si>
  <si>
    <t>Twitch Bonus Chest Auto Clicker (Enhanced)</t>
  </si>
  <si>
    <t>https://chromewebstore.google.com/detail/kibalnfonkjeflihncmfdngdeekcmfel</t>
  </si>
  <si>
    <t>Open in SpyFu</t>
  </si>
  <si>
    <t>https://chromewebstore.google.com/detail/kinakejknkolmphmemahohadokadjcil</t>
  </si>
  <si>
    <t>Tiny D20</t>
  </si>
  <si>
    <t>https://chromewebstore.google.com/detail/kioakkagkemhjepoflhccjmabkhbiepp</t>
  </si>
  <si>
    <t>IP Address Finder</t>
  </si>
  <si>
    <t>https://chromewebstore.google.com/detail/kkknjljffdiobgejpmpcagehcpenklnd</t>
  </si>
  <si>
    <t>Word Of The Day!</t>
  </si>
  <si>
    <t>https://chromewebstore.google.com/detail/kloedcdpipobfmidkoafhmmmlpfjjehl</t>
  </si>
  <si>
    <t>Reddit Hide Sidebar</t>
  </si>
  <si>
    <t>https://chromewebstore.google.com/detail/kmhljmlnmkpkfidhceknegheeplgmngg</t>
  </si>
  <si>
    <t>V-CUBE Screen Share</t>
  </si>
  <si>
    <t>https://chromewebstore.google.com/detail/knijlkhfongiklhihkeoaipfhhlhpohb</t>
  </si>
  <si>
    <t>JavaScript Injector</t>
  </si>
  <si>
    <t>https://chromewebstore.google.com/detail/knmnopfmccchnnfdoiddbihbcboeedll</t>
  </si>
  <si>
    <t>Battlelog BF4 Player Count Checker</t>
  </si>
  <si>
    <t>https://chromewebstore.google.com/detail/kobhgndjbalfbieppfglfamlglgdfmah</t>
  </si>
  <si>
    <t>AVRChick</t>
  </si>
  <si>
    <t>https://chromewebstore.google.com/detail/kpbgbcocfgjbmnpplcjlcammjdkgogba</t>
  </si>
  <si>
    <t>URL Redirector</t>
  </si>
  <si>
    <t>https://chromewebstore.google.com/detail/kpdinddojclpdndplpblgckkfepjplie</t>
  </si>
  <si>
    <t>Free Gmail Signature - Light Pink</t>
  </si>
  <si>
    <t>https://chromewebstore.google.com/detail/kpnpeakbgaamfdapfedfgpbnkfhaalgg</t>
  </si>
  <si>
    <t>OP.GG Darkmode</t>
  </si>
  <si>
    <t>https://chromewebstore.google.com/detail/ladhbdfdpfjaeonkdmdnogplgbpoiaja</t>
  </si>
  <si>
    <t>Twambit ScreenCast Recorder</t>
  </si>
  <si>
    <t>https://chromewebstore.google.com/detail/ladmdjdnjfflielmgnmcnljncjpnlklk</t>
  </si>
  <si>
    <t>Video Playback Speed (2x-4x-16x)</t>
  </si>
  <si>
    <t>https://chromewebstore.google.com/detail/lakkbciakcddnjmpenppddehppgjmdno</t>
  </si>
  <si>
    <t>CryptoTabs</t>
  </si>
  <si>
    <t>https://chromewebstore.google.com/detail/lbcjaollbgiecemkpbllpkbeffegcllo</t>
  </si>
  <si>
    <t>Tick Time Tracking</t>
  </si>
  <si>
    <t>https://chromewebstore.google.com/detail/lbedjfknabfhnfchndcipdipllmmkljm</t>
  </si>
  <si>
    <t>Twitch Giveaways Reloaded</t>
  </si>
  <si>
    <t>https://chromewebstore.google.com/detail/lbhgdbhopkhialmcnhdcpomjpekkekpf</t>
  </si>
  <si>
    <t>ekill</t>
  </si>
  <si>
    <t>https://chromewebstore.google.com/detail/lcgdpfaiipaelnpepigdafiogebaeedg</t>
  </si>
  <si>
    <t>PxtoRem</t>
  </si>
  <si>
    <t>https://chromewebstore.google.com/detail/ldbemkmafmibhpncgagpegmhbhpolnlp</t>
  </si>
  <si>
    <t>Crossover Chrome Extension</t>
  </si>
  <si>
    <t>https://chromewebstore.google.com/detail/ldioohgilefagnheacoadblbnijeicln</t>
  </si>
  <si>
    <t>Smart TV Emulator</t>
  </si>
  <si>
    <t>https://chromewebstore.google.com/detail/ldolgfmfhlgpgnmplmblipcdmojfhbld</t>
  </si>
  <si>
    <t>Twitch Auto Looter</t>
  </si>
  <si>
    <t>https://chromewebstore.google.com/detail/lfaegjjpmoccjblndpnlgkkaikkcjhhi</t>
  </si>
  <si>
    <t>Image info</t>
  </si>
  <si>
    <t>https://chromewebstore.google.com/detail/lhjppngegpcocmjoflncllmpcldjnbmk</t>
  </si>
  <si>
    <t>FileZigZag - Online Free Converter</t>
  </si>
  <si>
    <t>https://chromewebstore.google.com/detail/lhmkiondbkdipiamhlejekifohkchahl</t>
  </si>
  <si>
    <t>FSRAR CryptoPlugin</t>
  </si>
  <si>
    <t>https://chromewebstore.google.com/detail/liabdglniakbjkmeljnanknablieadkg</t>
  </si>
  <si>
    <t>Fix Hootsuite Ext</t>
  </si>
  <si>
    <t>https://chromewebstore.google.com/detail/libkeepfhbgiamhpajlgfcoljimloknk</t>
  </si>
  <si>
    <t>云盘万能钥匙-轻盈-免费-共享</t>
  </si>
  <si>
    <t>https://chromewebstore.google.com/detail/lijdblodiicfbnabekcfgnfdohphbogb</t>
  </si>
  <si>
    <t>Avatar Maker Online</t>
  </si>
  <si>
    <t>https://chromewebstore.google.com/detail/likiiimmebiicjdadpepiifoknjfddfj</t>
  </si>
  <si>
    <t>PACWeb</t>
  </si>
  <si>
    <t>https://chromewebstore.google.com/detail/lipchhllklhmehlnknonpkjgaolabkfd</t>
  </si>
  <si>
    <t>Recx Security Analyser</t>
  </si>
  <si>
    <t>https://chromewebstore.google.com/detail/ljafjhbjenhgcgnikniijchkngljgjda</t>
  </si>
  <si>
    <t>Pic info</t>
  </si>
  <si>
    <t>https://chromewebstore.google.com/detail/ljociicifligbnfpobemibmmecnbbmla</t>
  </si>
  <si>
    <t>Easy Clipboard</t>
  </si>
  <si>
    <t>https://chromewebstore.google.com/detail/lkpiolleljimgohflbgekkbeoiajighj</t>
  </si>
  <si>
    <t>NAVER Dictionary - Right Click Context Menu</t>
  </si>
  <si>
    <t>https://chromewebstore.google.com/detail/lleedlmnoojfhnkaecmgkhemapcgpppl</t>
  </si>
  <si>
    <t>Realize for React</t>
  </si>
  <si>
    <t>https://chromewebstore.google.com/detail/llondniabnmnappjekpflmgcikaiilmh</t>
  </si>
  <si>
    <t>GetDigest Add-On</t>
  </si>
  <si>
    <t>https://chromewebstore.google.com/detail/lmelmdoimijenelaokcdhhebmfhpjipd</t>
  </si>
  <si>
    <t>Song Vocal Extractor</t>
  </si>
  <si>
    <t>https://chromewebstore.google.com/detail/lnbaadooobnmoahpcgljfioimghcnfje</t>
  </si>
  <si>
    <t>No Per-Script Font!</t>
  </si>
  <si>
    <t>https://chromewebstore.google.com/detail/lndmkajeoopejggihiomoaepinlhblmm</t>
  </si>
  <si>
    <t>Netflix profanity filter</t>
  </si>
  <si>
    <t>https://chromewebstore.google.com/detail/maljbdebgffplibkcchbjahfjhppkpmp</t>
  </si>
  <si>
    <t>Url Editor PRO</t>
  </si>
  <si>
    <t>https://chromewebstore.google.com/detail/maoigfcibanjdgnepaiiadjhgmejclea</t>
  </si>
  <si>
    <t>1-2-3 Kupovina s Jeftinije.hr</t>
  </si>
  <si>
    <t>https://chromewebstore.google.com/detail/mcljfnnepfafdljkpfacdbohjobjhbmo</t>
  </si>
  <si>
    <t>CatBlock</t>
  </si>
  <si>
    <t>https://chromewebstore.google.com/detail/mdcgnhlfpnbeieiiccmebgkfdebafodo</t>
  </si>
  <si>
    <t>Blackboard Video Speed</t>
  </si>
  <si>
    <t>https://chromewebstore.google.com/detail/mdpfffijdiaiooefbiojcjilebamggig</t>
  </si>
  <si>
    <t>ShopSavvy</t>
  </si>
  <si>
    <t>https://chromewebstore.google.com/detail/megchchilhekbbnfcklodmndefbhkbco</t>
  </si>
  <si>
    <t>Canvas files Downloader</t>
  </si>
  <si>
    <t>https://chromewebstore.google.com/detail/meonopfejondoahgndhocmaenpcebkhb</t>
  </si>
  <si>
    <t>SDFC Dev Console Data Exporter</t>
  </si>
  <si>
    <t>https://chromewebstore.google.com/detail/mfcddagpdnfokfnbnoeephmfoifgdbid</t>
  </si>
  <si>
    <t>Stop-it</t>
  </si>
  <si>
    <t>https://chromewebstore.google.com/detail/mgbmndipjhghcencokiedbkfgbomdpmd</t>
  </si>
  <si>
    <t>Tabs aside</t>
  </si>
  <si>
    <t>https://chromewebstore.google.com/detail/mgmjbodjgijnebfgohlnjkegdpbdjgin</t>
  </si>
  <si>
    <t>TiffOne</t>
  </si>
  <si>
    <t>https://chromewebstore.google.com/detail/mhdcjcilknaincbghadamlbdfgnpcebg</t>
  </si>
  <si>
    <t>1 click Google Draw</t>
  </si>
  <si>
    <t>https://chromewebstore.google.com/detail/mjbgoobglbjpjmjkocghjmpkcponiemh</t>
  </si>
  <si>
    <t>Polynesian Keyboard</t>
  </si>
  <si>
    <t>https://chromewebstore.google.com/detail/mjffedinmmdbebmljeoobdiccmoldidg</t>
  </si>
  <si>
    <t>DataLink™ for TriCaster™</t>
  </si>
  <si>
    <t>https://chromewebstore.google.com/detail/mjpehbafabejicbgnchgmhnleppcbgfi</t>
  </si>
  <si>
    <t>Save Text to File</t>
  </si>
  <si>
    <t>https://chromewebstore.google.com/detail/mkepenkbhepjelljcfiooignmpfgochi</t>
  </si>
  <si>
    <t>TV WatchList</t>
  </si>
  <si>
    <t>https://chromewebstore.google.com/detail/mkjcjbkackpifmmpmhjfojjindefnffk</t>
  </si>
  <si>
    <t>Roblox Reviews</t>
  </si>
  <si>
    <t>https://chromewebstore.google.com/detail/mkjmfnfelagifmamhjibjpggdidpjnjj</t>
  </si>
  <si>
    <t>TabMark - NewTab Speed Dial Extension</t>
  </si>
  <si>
    <t>https://chromewebstore.google.com/detail/mklfhpmcnamcncipgjdildbffdjdfdol</t>
  </si>
  <si>
    <t>qTLS</t>
  </si>
  <si>
    <t>https://chromewebstore.google.com/detail/mlhndmhjkoeggdhifdlglkldgppjifpf</t>
  </si>
  <si>
    <t>Hotkeys</t>
  </si>
  <si>
    <t>https://chromewebstore.google.com/detail/mmbiohbmijkiimgcgijfomelgpmdiigb</t>
  </si>
  <si>
    <t>Open New Tab After Current Tab</t>
  </si>
  <si>
    <t>https://chromewebstore.google.com/detail/mmcgnaachjapbbchcpjihhgjhpfcnoan</t>
  </si>
  <si>
    <t>Step Tracker</t>
  </si>
  <si>
    <t>https://chromewebstore.google.com/detail/mmehkkgdjeabomkpmpfkemcomagemjfn</t>
  </si>
  <si>
    <t>Vip Crack</t>
  </si>
  <si>
    <t>https://chromewebstore.google.com/detail/mmephpcmjcplemnjjjohocfgijndcnbn</t>
  </si>
  <si>
    <t>Рамблер/погода</t>
  </si>
  <si>
    <t>https://chromewebstore.google.com/detail/mnellcecpgpeniolniglgfdfphfeoffo</t>
  </si>
  <si>
    <t>Twitch Clip Downloader 2020</t>
  </si>
  <si>
    <t>https://chromewebstore.google.com/detail/mnenbmhckgnahghjhelklajobocdiijf</t>
  </si>
  <si>
    <t>Media Player for YouTube™</t>
  </si>
  <si>
    <t>https://chromewebstore.google.com/detail/moebmmkeehmohghiialcoemcmebekbap</t>
  </si>
  <si>
    <t>Steam All Region Price Checker</t>
  </si>
  <si>
    <t>https://chromewebstore.google.com/detail/mopoebekmlkmahpfjjgibkbnciooimhn</t>
  </si>
  <si>
    <t>MeetRemote</t>
  </si>
  <si>
    <t>https://chromewebstore.google.com/detail/naabbdmohmekdgecllphidjiaobnekcc</t>
  </si>
  <si>
    <t>Backstay</t>
  </si>
  <si>
    <t>https://chromewebstore.google.com/detail/nacgpnjabcgfbnbgahakofjoebbknhao</t>
  </si>
  <si>
    <t>CP Calendar</t>
  </si>
  <si>
    <t>https://chromewebstore.google.com/detail/nahdeimiheknmpknkenfkmhonnlboeim</t>
  </si>
  <si>
    <t>Rick Roll Detector</t>
  </si>
  <si>
    <t>https://chromewebstore.google.com/detail/naiegljfmojjaphollbjobpedcdnkkfp</t>
  </si>
  <si>
    <t>Word Counter</t>
  </si>
  <si>
    <t>https://chromewebstore.google.com/detail/naipbdlipiclagppfadakpfhfpmjpmae</t>
  </si>
  <si>
    <t>Netflix Multi-Subtitles</t>
  </si>
  <si>
    <t>https://chromewebstore.google.com/detail/nbefemlknofkcmjaacjbfebcodllpncj</t>
  </si>
  <si>
    <t>Django Debug Panel</t>
  </si>
  <si>
    <t>https://chromewebstore.google.com/detail/nbiajhhibgfgkjegbnflpdccejocmbbn</t>
  </si>
  <si>
    <t>DNS Flusher</t>
  </si>
  <si>
    <t>https://chromewebstore.google.com/detail/nbomnjapnclaocillijpceooehonajnk</t>
  </si>
  <si>
    <t>Four in a Row (Connect 4)</t>
  </si>
  <si>
    <t>https://chromewebstore.google.com/detail/nedmgahpcodjodffangidkibceihkdhn</t>
  </si>
  <si>
    <t>Minimal Consent</t>
  </si>
  <si>
    <t>https://chromewebstore.google.com/detail/neefikeccjlabaelikoghiiknjdbckal</t>
  </si>
  <si>
    <t>Summarizer</t>
  </si>
  <si>
    <t>https://chromewebstore.google.com/detail/nehmaijilccnklmhkjlmmcnbjobdodhp</t>
  </si>
  <si>
    <t>Cute Puppies of The Day</t>
  </si>
  <si>
    <t>https://chromewebstore.google.com/detail/nenoggmhpdbhlankidnhgmmpbhgdnnai</t>
  </si>
  <si>
    <t>BigQuery Mate</t>
  </si>
  <si>
    <t>https://chromewebstore.google.com/detail/nepgdloeceldecnoaaegljlichnfognh</t>
  </si>
  <si>
    <t>Linked Booster - Social Automation Tool</t>
  </si>
  <si>
    <t>https://chromewebstore.google.com/detail/nfcldgholonecfckicgfmekkecmnopbi</t>
  </si>
  <si>
    <t>Zorin Connect</t>
  </si>
  <si>
    <t>https://chromewebstore.google.com/detail/nfcnjkekppjddipfnfbbohdocpgjnmee</t>
  </si>
  <si>
    <t>BonPatron</t>
  </si>
  <si>
    <t>https://chromewebstore.google.com/detail/nfhfkijfhpnnpiojakclepbbpjhefgla</t>
  </si>
  <si>
    <t>Highlight Search Keywords</t>
  </si>
  <si>
    <t>https://chromewebstore.google.com/detail/nflhamjkngakbdnihackfkjoabknmooi</t>
  </si>
  <si>
    <t>Responsinator</t>
  </si>
  <si>
    <t>https://chromewebstore.google.com/detail/nfpglclbdnldbkeiicnnnodjbjclejem</t>
  </si>
  <si>
    <t>EasyIQ IdP – Svendborg Kommune</t>
  </si>
  <si>
    <t>https://chromewebstore.google.com/detail/ngfmobbhhdnhlafjcliaddmgcafbihcd</t>
  </si>
  <si>
    <t>Tistory Text Counter</t>
  </si>
  <si>
    <t>https://chromewebstore.google.com/detail/ngifhofemdmpebnnffnljccfdaiaoppd</t>
  </si>
  <si>
    <t>哔哩哔哩·猜你喜欢</t>
  </si>
  <si>
    <t>https://chromewebstore.google.com/detail/ngjddnobeppdekpmimhiamkoonoaccdf</t>
  </si>
  <si>
    <t>Chrome Bookmarks</t>
  </si>
  <si>
    <t>https://chromewebstore.google.com/detail/nhcaihbjbbggebncffmeemegdmkamppc</t>
  </si>
  <si>
    <t>ActiveGS</t>
  </si>
  <si>
    <t>https://chromewebstore.google.com/detail/nhndampajkkhamolmmnalddigpojomph</t>
  </si>
  <si>
    <t>Dark Theme Everywhere</t>
  </si>
  <si>
    <t>https://chromewebstore.google.com/detail/nibjplbnmmklkfnkpecgbffkifmdbjed</t>
  </si>
  <si>
    <t>添加到aria2</t>
  </si>
  <si>
    <t>https://chromewebstore.google.com/detail/nimeojfecmndgolmlmjghjmbpdkhhogl</t>
  </si>
  <si>
    <t>AKColor</t>
  </si>
  <si>
    <t>https://chromewebstore.google.com/detail/njhgppihgleonhgjanbjojnpgjkfmijo</t>
  </si>
  <si>
    <t>AssinaturaCerta - Assinatura digital na Web</t>
  </si>
  <si>
    <t>https://chromewebstore.google.com/detail/nkcckgodpfgkpcekfejhnjgmaobklaff</t>
  </si>
  <si>
    <t>Gantt chart for Trello</t>
  </si>
  <si>
    <t>https://chromewebstore.google.com/detail/nlmjokbigoalhligphdopakiodopbckj</t>
  </si>
  <si>
    <t>Adblock Fast</t>
  </si>
  <si>
    <t>https://chromewebstore.google.com/detail/nneejgmhfoecfeoffakdnolopppbbkfi</t>
  </si>
  <si>
    <t>Accessibility - A Powerful Web Assistant</t>
  </si>
  <si>
    <t>https://chromewebstore.google.com/detail/nnmmmhcflgbendklbhknkkacnjempijd</t>
  </si>
  <si>
    <t>Write Better</t>
  </si>
  <si>
    <t>https://chromewebstore.google.com/detail/nnnnnpmcdcloafmfkiihafnjidjkfmek</t>
  </si>
  <si>
    <t>谷歌搜索大内助手</t>
  </si>
  <si>
    <t>https://chromewebstore.google.com/detail/nodbcjhlapenofbimeinhpojlcfaeobe</t>
  </si>
  <si>
    <t>https://chromewebstore.google.com/detail/noehfcgcdhbabgbmhbahipodfpndjedc</t>
  </si>
  <si>
    <t>FamilySearch Tools</t>
  </si>
  <si>
    <t>https://chromewebstore.google.com/detail/nofeohbnmmegdlalmkbjhkcjgkgegblf</t>
  </si>
  <si>
    <t>Kawaii Faces (✿◠‿◠)</t>
  </si>
  <si>
    <t>https://chromewebstore.google.com/detail/npbgohkhpjcilfkglmmnkhelkbmmdloj</t>
  </si>
  <si>
    <t>Shaparak Verifier</t>
  </si>
  <si>
    <t>https://chromewebstore.google.com/detail/npigckpiilmfjkgngcffloobgehgmfme</t>
  </si>
  <si>
    <t>Song Instrumental Extractor</t>
  </si>
  <si>
    <t>https://chromewebstore.google.com/detail/obhjfdbfdbgdgfcmllkkenicklkpeebc</t>
  </si>
  <si>
    <t>What's My Lot?</t>
  </si>
  <si>
    <t>https://chromewebstore.google.com/detail/objjglckenggfelflfbgbgpdfljhiaah</t>
  </si>
  <si>
    <t>Cesium</t>
  </si>
  <si>
    <t>https://chromewebstore.google.com/detail/ocbhjemiokgibfojkkjapfealnbmgoek</t>
  </si>
  <si>
    <t>Blue Prism 6.10.1 Browser Extension</t>
  </si>
  <si>
    <t>https://chromewebstore.google.com/detail/ocmhoiiilbobfmailfagflkbgagjddem</t>
  </si>
  <si>
    <t>You(Tube) don't stop!</t>
  </si>
  <si>
    <t>https://chromewebstore.google.com/detail/odklofidedfkjjgjnobmpipmobmlgkel</t>
  </si>
  <si>
    <t>Snooze Tabby</t>
  </si>
  <si>
    <t>https://chromewebstore.google.com/detail/ododnaepjbicadkebdookecppfhjdmhp</t>
  </si>
  <si>
    <t>Webcollect</t>
  </si>
  <si>
    <t>https://chromewebstore.google.com/detail/oelfkekhpcninmpedocgakolepcflfko</t>
  </si>
  <si>
    <t>GPA FPT University</t>
  </si>
  <si>
    <t>https://chromewebstore.google.com/detail/oelplgmhagacafchcofdknhlfiinkjnj</t>
  </si>
  <si>
    <t>XML Editor</t>
  </si>
  <si>
    <t>https://chromewebstore.google.com/detail/offpnjldifddbopdmimolhcjniloicin</t>
  </si>
  <si>
    <t>Open with Overleaf</t>
  </si>
  <si>
    <t>https://chromewebstore.google.com/detail/ogkcgcbjhhpamnmaaplbafkmedigofaa</t>
  </si>
  <si>
    <t>ACF Tools</t>
  </si>
  <si>
    <t>https://chromewebstore.google.com/detail/ogliegjmpalokmaaeckcdgbhdeedcnmf</t>
  </si>
  <si>
    <t>自動価格比較／ショッピング検索（Auto Price Checker）[アプリ版]</t>
  </si>
  <si>
    <t>https://chromewebstore.google.com/detail/ohbfcdioplpccjeafjgapdmjcephkdif</t>
  </si>
  <si>
    <t>AmzRun Keyword Rank Checker (Amazon)</t>
  </si>
  <si>
    <t>https://chromewebstore.google.com/detail/ohkkpdodpaopjnbnkjhkbjijgimgpclk</t>
  </si>
  <si>
    <t>Serial Monitor</t>
  </si>
  <si>
    <t>https://chromewebstore.google.com/detail/ohncdkkhephpakbbecnkclhjkmbjnmlo</t>
  </si>
  <si>
    <t>International On-Screen Keyboard</t>
  </si>
  <si>
    <t>https://chromewebstore.google.com/detail/ohpiacnomiacdnhcfalghggiankgknak</t>
  </si>
  <si>
    <t>PayWallBlocker</t>
  </si>
  <si>
    <t>https://chromewebstore.google.com/detail/oifbpnmoaigfdjgpndhealhnnbbncmon</t>
  </si>
  <si>
    <t>Chrome Color Picker</t>
  </si>
  <si>
    <t>https://chromewebstore.google.com/detail/ojaclcbknieckfcapcbifaijoocfmpaj</t>
  </si>
  <si>
    <t>Force Microsoft Yahei Font</t>
  </si>
  <si>
    <t>https://chromewebstore.google.com/detail/ojlocjfaheiilmgjdgnoehhdigfedhjl</t>
  </si>
  <si>
    <t>AlloyDesigner</t>
  </si>
  <si>
    <t>https://chromewebstore.google.com/detail/ojooeaohlmgpcjajikhmibcnbebfenid</t>
  </si>
  <si>
    <t>Panopticlone</t>
  </si>
  <si>
    <t>https://chromewebstore.google.com/detail/ojpnimfglaagmipdcdabpfnehbbbaonm</t>
  </si>
  <si>
    <t>Virtual Tour for Google Street View™</t>
  </si>
  <si>
    <t>https://chromewebstore.google.com/detail/okgfglgogpkomipfflpajohdkaflndoh</t>
  </si>
  <si>
    <t>Don't Visit - Block Sites</t>
  </si>
  <si>
    <t>https://chromewebstore.google.com/detail/olccdihofjbikcpbejfgipnighnpabai</t>
  </si>
  <si>
    <t>Eloquent: Quick Capture and Highlighting</t>
  </si>
  <si>
    <t>https://chromewebstore.google.com/detail/olkmpnafmgcfindlljhgnminkhkfcckl</t>
  </si>
  <si>
    <t>Yandex Wordstat Keywords Add</t>
  </si>
  <si>
    <t>https://chromewebstore.google.com/detail/onaeegcgechoaflpkpmdcbgmdfhbbibp</t>
  </si>
  <si>
    <t>Ali Epacket</t>
  </si>
  <si>
    <t>https://chromewebstore.google.com/detail/onanhgahgihhhhjppnopocjglpbplkbc</t>
  </si>
  <si>
    <t>IP Location Lookup Tool</t>
  </si>
  <si>
    <t>https://chromewebstore.google.com/detail/opepgmgohfgekifjilijmdldmccfbgke</t>
  </si>
  <si>
    <t>Arduino Chrome Serial Monitor</t>
  </si>
  <si>
    <t>https://chromewebstore.google.com/detail/opgcocnebgmkhcafcclmgfldjhlnacjd</t>
  </si>
  <si>
    <t>Cursor Stickers</t>
  </si>
  <si>
    <t>https://chromewebstore.google.com/detail/opkjbkcbngimnacfmollcfldnpkdjhle</t>
  </si>
  <si>
    <t>Remove Youtube Comments</t>
  </si>
  <si>
    <t>https://chromewebstore.google.com/detail/opmmhbgndkjfloemfinlmklapbdebdcg</t>
  </si>
  <si>
    <t>Netflix Go</t>
  </si>
  <si>
    <t>https://chromewebstore.google.com/detail/paeeebcnfgiekoajpjllamdjihpbmokn</t>
  </si>
  <si>
    <t>Hand Tool</t>
  </si>
  <si>
    <t>https://chromewebstore.google.com/detail/paflchebahgbgeambpbhoieeanaddehf</t>
  </si>
  <si>
    <t>HoofSounds</t>
  </si>
  <si>
    <t>https://chromewebstore.google.com/detail/pakhjhphleppgakhlffhlfhbekfnobbk</t>
  </si>
  <si>
    <t>iTunes Preview Player</t>
  </si>
  <si>
    <t>https://chromewebstore.google.com/detail/palmdpiephigbbghebiffdcilobkggab</t>
  </si>
  <si>
    <t>Melhores Destinos</t>
  </si>
  <si>
    <t>https://chromewebstore.google.com/detail/pbkobmcegbmmjnfhholeonfacmfkpcja</t>
  </si>
  <si>
    <t>Linkman</t>
  </si>
  <si>
    <t>https://chromewebstore.google.com/detail/pchnedaeogijkjjkjigbijhbcanbdjkc</t>
  </si>
  <si>
    <t>Infinity New Tab for Mobile</t>
  </si>
  <si>
    <t>https://chromewebstore.google.com/detail/pdfladlchakneeclhmpoboohikpbchkj</t>
  </si>
  <si>
    <t>Canvas Overall Grade and GPA Calculator</t>
  </si>
  <si>
    <t>https://chromewebstore.google.com/detail/pdjihecpdkkgkocecgomaambbpbioeao</t>
  </si>
  <si>
    <t>9gag Night Mode</t>
  </si>
  <si>
    <t>https://chromewebstore.google.com/detail/pdoebgohinaejdpncadbahijijgoffke</t>
  </si>
  <si>
    <t>Walling Web Clipper</t>
  </si>
  <si>
    <t>https://chromewebstore.google.com/detail/penhhnlldkmlfappgmgjhhfkgeekdmpl</t>
  </si>
  <si>
    <t>Bookmark Manager Plus</t>
  </si>
  <si>
    <t>https://chromewebstore.google.com/detail/pfbeenngglcojppheoegjjjomfkejibg</t>
  </si>
  <si>
    <t>WZone NO PA API</t>
  </si>
  <si>
    <t>https://chromewebstore.google.com/detail/pgaabedmnacicfkgnbfdodgmdmpbcnpk</t>
  </si>
  <si>
    <t>geckoDM</t>
  </si>
  <si>
    <t>https://chromewebstore.google.com/detail/pgkfjobhhfckamidemkddfnnkknomobe</t>
  </si>
  <si>
    <t>WayBack Chrome</t>
  </si>
  <si>
    <t>https://chromewebstore.google.com/detail/phabfadigilgfagiclfpjnjljedbjclf</t>
  </si>
  <si>
    <t>OneClick Picsaver</t>
  </si>
  <si>
    <t>https://chromewebstore.google.com/detail/phpfkeikhkofikgikkgkhlafelljmpii</t>
  </si>
  <si>
    <t>tERMINAL</t>
  </si>
  <si>
    <t>https://chromewebstore.google.com/detail/piidfhkmlknfcpenlollfnbhfeamonmm</t>
  </si>
  <si>
    <t>PYR Image Saver</t>
  </si>
  <si>
    <t>https://chromewebstore.google.com/detail/pjcclpcnpfkpdkblgajbbjlmojdllmdi</t>
  </si>
  <si>
    <t>Adblocker Smart</t>
  </si>
  <si>
    <t>https://chromewebstore.google.com/detail/pkhdocodnaconhfddcgdgkhkommjemic</t>
  </si>
  <si>
    <t>The Great-er Tab Discarder</t>
  </si>
  <si>
    <t>https://chromewebstore.google.com/detail/plpkmjcnhhnpkblimgenmdhghfgghdpp</t>
  </si>
  <si>
    <t>Markdown Diagrams</t>
  </si>
  <si>
    <t>https://chromewebstore.google.com/detail/pmoglnmodacnbbofbgcagndelmgaclel</t>
  </si>
  <si>
    <t>Deca</t>
  </si>
  <si>
    <t>https://chromewebstore.google.com/detail/pocokkgjockoghhdjanddeclpedkpdni</t>
  </si>
  <si>
    <t>9xflix Download Free Movies</t>
  </si>
  <si>
    <t>https://chromewebstore.google.com/detail/poobpimndkmecgplnmojjpnmmgafbkph</t>
  </si>
  <si>
    <t>Beautify for Trello</t>
  </si>
  <si>
    <t>https://chromewebstore.google.com/detail/ppmoihbfiilgkkgcogbblhhanjjaocil</t>
  </si>
  <si>
    <t>FamilyFriendly Parental Control, Porn Blocker</t>
  </si>
  <si>
    <t>https://chromewebstore.google.com/detail/epdelmeadnnoadlcalkmacoopocdafnp</t>
  </si>
  <si>
    <t>aRockets - промокоды, акции и скидки</t>
  </si>
  <si>
    <t>https://chromewebstore.google.com/detail/ekegjbcgahdlpdhjohalkecfeknpbfke</t>
  </si>
  <si>
    <t>Webseite in PDF, JPG, PNG umwandeln</t>
  </si>
  <si>
    <t>https://chromewebstore.google.com/detail/cjianfjpjmljmhjjphoepbdieknkfkfb</t>
  </si>
  <si>
    <t>Auto Admit</t>
  </si>
  <si>
    <t>https://chromewebstore.google.com/detail/aaafaichkdancmiadaonoglfjeodjkik</t>
  </si>
  <si>
    <t>Balloons for Chrome</t>
  </si>
  <si>
    <t>https://chromewebstore.google.com/detail/aaighaoobppofhhfoakhmhpgdagfbdgc</t>
  </si>
  <si>
    <t>Find-A-Record</t>
  </si>
  <si>
    <t>https://chromewebstore.google.com/detail/abfejejjdbkmhigbgcmgmoihbjckiklb</t>
  </si>
  <si>
    <t>included-with-xbox-game-pass</t>
  </si>
  <si>
    <t>https://chromewebstore.google.com/detail/acohddgjcjfelbhaodiebiabljoadldk</t>
  </si>
  <si>
    <t>YouTube Screenshot</t>
  </si>
  <si>
    <t>https://chromewebstore.google.com/detail/admjdaoijfccdllogfnddnllkghmkpfb</t>
  </si>
  <si>
    <t>Amazon Command Quickly</t>
  </si>
  <si>
    <t>https://chromewebstore.google.com/detail/adnclnmfdlbkemdddekdhmofeippakhf</t>
  </si>
  <si>
    <t>TeslaFi Tesla Token Generator</t>
  </si>
  <si>
    <t>https://chromewebstore.google.com/detail/adnheflgkdelinknpflldgdapjpoampc</t>
  </si>
  <si>
    <t>Alice Keeler SlideShot</t>
  </si>
  <si>
    <t>https://chromewebstore.google.com/detail/aedgoefpkibhaiigkbjjgccgncldoice</t>
  </si>
  <si>
    <t>FIFA22 Home Page</t>
  </si>
  <si>
    <t>https://chromewebstore.google.com/detail/aeeiilbigdgkjonfhkpeajhdlhchokmo</t>
  </si>
  <si>
    <t>Accents &amp; Diacritics for Gmail</t>
  </si>
  <si>
    <t>https://chromewebstore.google.com/detail/aemcokmmdpmcgfegnllnjfnocamllleh</t>
  </si>
  <si>
    <t>Base64 Encoder/Decoder</t>
  </si>
  <si>
    <t>https://chromewebstore.google.com/detail/afdannbjainhcddbjjlhamdgnojibeoi</t>
  </si>
  <si>
    <t>Gmail POP3 Fetcher</t>
  </si>
  <si>
    <t>https://chromewebstore.google.com/detail/aflocdggkpgjglpbmdaabpkeklghkahl</t>
  </si>
  <si>
    <t>Synthetics Formatter for Selenium IDE</t>
  </si>
  <si>
    <t>https://chromewebstore.google.com/detail/agedeoibceidbaeajbehgiejlekicbfd</t>
  </si>
  <si>
    <t>exocad webview</t>
  </si>
  <si>
    <t>https://chromewebstore.google.com/detail/ageglinjmdhkgnaldlfaojgannkojcie</t>
  </si>
  <si>
    <t>ImageCap - Image download and capture</t>
  </si>
  <si>
    <t>https://chromewebstore.google.com/detail/ahajhopfbfpekcljjjppolcmapaidldc</t>
  </si>
  <si>
    <t>有道词典右键查询</t>
  </si>
  <si>
    <t>https://chromewebstore.google.com/detail/ahkmaoddmipjgkfhcfpljkiibpekmehn</t>
  </si>
  <si>
    <t>Synchrolator</t>
  </si>
  <si>
    <t>https://chromewebstore.google.com/detail/aiapcdmdlkmmlcnjnoochgppbmbpobng</t>
  </si>
  <si>
    <t>Watch UK TV</t>
  </si>
  <si>
    <t>https://chromewebstore.google.com/detail/aiebakhanplhafhhhebkaekfdiiecoog</t>
  </si>
  <si>
    <t>Quick Drive</t>
  </si>
  <si>
    <t>https://chromewebstore.google.com/detail/aijfbconiilhjgfljolkoiaockgenpgn</t>
  </si>
  <si>
    <t>The Last Sunday: reminder of life rushing by</t>
  </si>
  <si>
    <t>https://chromewebstore.google.com/detail/aiojhapcgfgmiacbbjfgedhlcchmpelh</t>
  </si>
  <si>
    <t>Explore nearby places for Airbnb</t>
  </si>
  <si>
    <t>https://chromewebstore.google.com/detail/ajklapihhlcmcoaeecfeegnfaibiahdg</t>
  </si>
  <si>
    <t>Fabasoft Folio 2017</t>
  </si>
  <si>
    <t>https://chromewebstore.google.com/detail/ajlbdflhaaflcepndpkdgejimggjcpnm</t>
  </si>
  <si>
    <t>Pinnacle Grade Calculator</t>
  </si>
  <si>
    <t>https://chromewebstore.google.com/detail/ajmebljhmdndihimeodajeiicccpdfei</t>
  </si>
  <si>
    <t>RiperVPN</t>
  </si>
  <si>
    <t>https://chromewebstore.google.com/detail/aklbjhncdccehkmomddjccjlpgfadegj</t>
  </si>
  <si>
    <t>https://chromewebstore.google.com/detail/akofeegpkdihaikifokhbilkaipgjboe</t>
  </si>
  <si>
    <t>Draft</t>
  </si>
  <si>
    <t>https://chromewebstore.google.com/detail/amlbbbgcijmiooecobhkjblcdkjldmdk</t>
  </si>
  <si>
    <t>蔚蓝主页</t>
  </si>
  <si>
    <t>https://chromewebstore.google.com/detail/amlphicekaahonoefoalobphkodkoalp</t>
  </si>
  <si>
    <t>JewishMusic Stream</t>
  </si>
  <si>
    <t>https://chromewebstore.google.com/detail/aogpohpdlalgbanndjocbimokbklkfbh</t>
  </si>
  <si>
    <t>Meet Kicker 🦶</t>
  </si>
  <si>
    <t>https://chromewebstore.google.com/detail/aonhapalnnnjlonafnammcbnafmafmpg</t>
  </si>
  <si>
    <t>My Social Media Custom Theme</t>
  </si>
  <si>
    <t>https://chromewebstore.google.com/detail/aoplmgafblbhcgmbcgdjlgckefefmpbg</t>
  </si>
  <si>
    <t>Element to Figma</t>
  </si>
  <si>
    <t>https://chromewebstore.google.com/detail/apadkficecnpmnjmedbpdbkikcofdpim</t>
  </si>
  <si>
    <t>AMZ Radar — Amazon price tracker for shopping</t>
  </si>
  <si>
    <t>https://chromewebstore.google.com/detail/apdkepbhjfikeebchkdgljccbogjdmom</t>
  </si>
  <si>
    <t>CPS Test</t>
  </si>
  <si>
    <t>https://chromewebstore.google.com/detail/aphphgiefmjmofabjffjdbhgiomkocil</t>
  </si>
  <si>
    <t>Bookmark Icon</t>
  </si>
  <si>
    <t>https://chromewebstore.google.com/detail/apkcacbhdpjmpgbioenjmjdlecijmbch</t>
  </si>
  <si>
    <t>GPS Link</t>
  </si>
  <si>
    <t>https://chromewebstore.google.com/detail/apnenglknmpfjpfcdbobpjigmaapjoip</t>
  </si>
  <si>
    <t>Demon Slayer Tanjiro Wallpapers New Tab</t>
  </si>
  <si>
    <t>https://chromewebstore.google.com/detail/appogchhpnhejfnleocdbnbhdmmledgc</t>
  </si>
  <si>
    <t>WME Validator</t>
  </si>
  <si>
    <t>https://chromewebstore.google.com/detail/baojhpeknpmkhplkcnpdcficcaaniaih</t>
  </si>
  <si>
    <t>Hacker News Enhancement Suite</t>
  </si>
  <si>
    <t>https://chromewebstore.google.com/detail/bappiabcodbpphnojdiaddhnilfnjmpm</t>
  </si>
  <si>
    <t>Twitch Emotes for Rabb.it</t>
  </si>
  <si>
    <t>https://chromewebstore.google.com/detail/bchmmfnbdgiijhplkbbkohfhpihmamac</t>
  </si>
  <si>
    <t>Hevvo Flash Enabler</t>
  </si>
  <si>
    <t>https://chromewebstore.google.com/detail/bckkmpmpogeglgfbdklgiknbglddloki</t>
  </si>
  <si>
    <t>Awesome Print Button</t>
  </si>
  <si>
    <t>https://chromewebstore.google.com/detail/bddbafgkmneiebpibclbakmdnijhgeim</t>
  </si>
  <si>
    <t>LightCast 2</t>
  </si>
  <si>
    <t>https://chromewebstore.google.com/detail/bdllbpaajbedehahefgjglijelgmmhjm</t>
  </si>
  <si>
    <t>Injector</t>
  </si>
  <si>
    <t>https://chromewebstore.google.com/detail/bfdonckegflhbiamlmidciapolfccmmb</t>
  </si>
  <si>
    <t>Tab DJ</t>
  </si>
  <si>
    <t>https://chromewebstore.google.com/detail/bfibdamncbfdindaeeecehmgkdjenjgb</t>
  </si>
  <si>
    <t>Hubstaff for Chromebook</t>
  </si>
  <si>
    <t>https://chromewebstore.google.com/detail/bfpajabhojlnokoghgnpjibklipampab</t>
  </si>
  <si>
    <t>No Redirect</t>
  </si>
  <si>
    <t>https://chromewebstore.google.com/detail/bgflddecjcadaapedngfifbkhghnpmep</t>
  </si>
  <si>
    <t>Save All Tab URLs</t>
  </si>
  <si>
    <t>https://chromewebstore.google.com/detail/bgjfbcjoaghcfdhnnnnaofkjbnelkkcm</t>
  </si>
  <si>
    <t>CryptoTicker by Coinigy</t>
  </si>
  <si>
    <t>https://chromewebstore.google.com/detail/bgjmoeebomokfcfmopbappgncbhppmec</t>
  </si>
  <si>
    <t>Web Clipper for Trello</t>
  </si>
  <si>
    <t>https://chromewebstore.google.com/detail/bgldhlkimfdidhgmndninednbehpcenk</t>
  </si>
  <si>
    <t>Clicker</t>
  </si>
  <si>
    <t>https://chromewebstore.google.com/detail/bhnlonlaadgnjhbmbjafmigneejilano</t>
  </si>
  <si>
    <t>Colorpeek</t>
  </si>
  <si>
    <t>https://chromewebstore.google.com/detail/bijmchgbjjmcmhldfpbamobldomjoioo</t>
  </si>
  <si>
    <t>Pix to pix (Pixel perfect by Ymatuhin)</t>
  </si>
  <si>
    <t>https://chromewebstore.google.com/detail/binboaimbgchaamickjnhgjdccohndin</t>
  </si>
  <si>
    <t>Copernic Desktop Search Connector</t>
  </si>
  <si>
    <t>https://chromewebstore.google.com/detail/bjdfpdlbeklikgponpiohccngpibjfeb</t>
  </si>
  <si>
    <t>Savelist</t>
  </si>
  <si>
    <t>https://chromewebstore.google.com/detail/bjdkhikjbkefnnfkaghgeejggggplfbi</t>
  </si>
  <si>
    <t>Pomodoro timer</t>
  </si>
  <si>
    <t>https://chromewebstore.google.com/detail/bjigpljapjlemfipjmmeidlcbaabcffe</t>
  </si>
  <si>
    <t>DomainFlag</t>
  </si>
  <si>
    <t>https://chromewebstore.google.com/detail/bjkkgiokpelbekeldjbjfklkjhfdbjgk</t>
  </si>
  <si>
    <t>First Paint &amp; Page Load Time</t>
  </si>
  <si>
    <t>https://chromewebstore.google.com/detail/bjkmldgdbbehjahimccnckggoofdommo</t>
  </si>
  <si>
    <t>ChronoMouse</t>
  </si>
  <si>
    <t>https://chromewebstore.google.com/detail/bjpokniooffiidjfhdofmalkpplpfeoa</t>
  </si>
  <si>
    <t>Plain Text Linker</t>
  </si>
  <si>
    <t>https://chromewebstore.google.com/detail/bkegjcmidjgnmjbeninfbhoaelblpgic</t>
  </si>
  <si>
    <t>القرآن الكريم</t>
  </si>
  <si>
    <t>https://chromewebstore.google.com/detail/bkjeokcipbjcghinfpkeelfgnjffhpkf</t>
  </si>
  <si>
    <t>Circle Screenshot</t>
  </si>
  <si>
    <t>https://chromewebstore.google.com/detail/bkkkofmilenhmllncomknceafibcpgkc</t>
  </si>
  <si>
    <t>MetaWallet</t>
  </si>
  <si>
    <t>https://chromewebstore.google.com/detail/bkklifkecemccedpkhcebagjpehhabfb</t>
  </si>
  <si>
    <t>Fast Page Load</t>
  </si>
  <si>
    <t>https://chromewebstore.google.com/detail/bknaplcbimdibpjbabccgddcleoealam</t>
  </si>
  <si>
    <t>StreetEasy Plus</t>
  </si>
  <si>
    <t>https://chromewebstore.google.com/detail/blabgegddnndfabfkcgibjomjliibapn</t>
  </si>
  <si>
    <t>Picture-in-Picture</t>
  </si>
  <si>
    <t>https://chromewebstore.google.com/detail/blbifcidolpiceehdgfhcfcnainjmcmj</t>
  </si>
  <si>
    <t>ESI Stylish</t>
  </si>
  <si>
    <t>https://chromewebstore.google.com/detail/bldankcfaddopfeelafmbkjboflldjki</t>
  </si>
  <si>
    <t>Pretty Gherkin</t>
  </si>
  <si>
    <t>https://chromewebstore.google.com/detail/blemhogdenfkkojlpghcinocbfjheioc</t>
  </si>
  <si>
    <t>Plugin Desk</t>
  </si>
  <si>
    <t>https://chromewebstore.google.com/detail/bmjjlaomahkobdcmgnbihomlipaoolnh</t>
  </si>
  <si>
    <t>Switchmark</t>
  </si>
  <si>
    <t>https://chromewebstore.google.com/detail/bnocffbiglfjjcgmifcampfmcbkfbhgc</t>
  </si>
  <si>
    <t>HTTP to HTTPS</t>
  </si>
  <si>
    <t>https://chromewebstore.google.com/detail/bodjneffehabmoepacpcomhfakbpagbe</t>
  </si>
  <si>
    <t>NetMarks - Bookmarks menu</t>
  </si>
  <si>
    <t>https://chromewebstore.google.com/detail/boepmphdpbdnficfifejnkejlljcefjb</t>
  </si>
  <si>
    <t>JAvascript based Database Editor</t>
  </si>
  <si>
    <t>https://chromewebstore.google.com/detail/bponbdjkefbmgkfiiphhabghkkfocook</t>
  </si>
  <si>
    <t>闪耀色彩异步脚本</t>
  </si>
  <si>
    <t>https://chromewebstore.google.com/detail/caafhkjcgpbinkgnghkojaoipgdkbcbc</t>
  </si>
  <si>
    <t>ScreenplaySubs - Netflix with Screenplays</t>
  </si>
  <si>
    <t>https://chromewebstore.google.com/detail/cacofhihgjfapcpaocgkaadkpmgfieki</t>
  </si>
  <si>
    <t>Video Looper</t>
  </si>
  <si>
    <t>https://chromewebstore.google.com/detail/cakhljgchfghghfapljifddkaomfijcn</t>
  </si>
  <si>
    <t>iNikolayev</t>
  </si>
  <si>
    <t>https://chromewebstore.google.com/detail/capkagcahfpeicbnbfepenbmognpecae</t>
  </si>
  <si>
    <t>Copy URL+</t>
  </si>
  <si>
    <t>https://chromewebstore.google.com/detail/capojgaalppngkaagaobmigigcgnidmn</t>
  </si>
  <si>
    <t>Bishop Vulnerability Scanner</t>
  </si>
  <si>
    <t>https://chromewebstore.google.com/detail/cbkdeoaaclnbidadjimofnhpbfhjakoe</t>
  </si>
  <si>
    <t>Tenhou English UI</t>
  </si>
  <si>
    <t>https://chromewebstore.google.com/detail/cbomnmkpjmleifejmnjhfnfnpiileiin</t>
  </si>
  <si>
    <t>Copy all links and image links to CSV or JSON</t>
  </si>
  <si>
    <t>https://chromewebstore.google.com/detail/ccddopnnikeeoogpfbnfommfoeliaidg</t>
  </si>
  <si>
    <t>i-search Automation2021</t>
  </si>
  <si>
    <t>https://chromewebstore.google.com/detail/cchjblhbdobgdokadbmaebmoiibllodl</t>
  </si>
  <si>
    <t>VNCtalk Desktop Streamer</t>
  </si>
  <si>
    <t>https://chromewebstore.google.com/detail/ccommbdjhehjihcilflmcdkooamhcncc</t>
  </si>
  <si>
    <t>Frameless for Instagram</t>
  </si>
  <si>
    <t>https://chromewebstore.google.com/detail/cdfbiogeodmlhbdbonimjojagiodddej</t>
  </si>
  <si>
    <t>SumThing</t>
  </si>
  <si>
    <t>https://chromewebstore.google.com/detail/cdjhlfdiajgnadonhhdlekfcdoefomen</t>
  </si>
  <si>
    <t>Auto-Register</t>
  </si>
  <si>
    <t>https://chromewebstore.google.com/detail/cdnggghhipolhgompbcoofhkebpogdoe</t>
  </si>
  <si>
    <t>Skribbl Helper</t>
  </si>
  <si>
    <t>https://chromewebstore.google.com/detail/ceipgkongjnjgeckhcinapechblgchjb</t>
  </si>
  <si>
    <t>SimpleTabOrder</t>
  </si>
  <si>
    <t>https://chromewebstore.google.com/detail/cekafjbmkfofacenifehbglhmajimhjf</t>
  </si>
  <si>
    <t>Simple Image Rotator</t>
  </si>
  <si>
    <t>https://chromewebstore.google.com/detail/celbdinhikbidipcbkmphghkoibafbik</t>
  </si>
  <si>
    <t>Extension Youtube Player</t>
  </si>
  <si>
    <t>https://chromewebstore.google.com/detail/cfjbdignpheklanjahlbdogdnbaklhig</t>
  </si>
  <si>
    <t>Scribe</t>
  </si>
  <si>
    <t>https://chromewebstore.google.com/detail/cfkhahgibalbckgminkacbbblpinfgoa</t>
  </si>
  <si>
    <t>New Tab Manager</t>
  </si>
  <si>
    <t>https://chromewebstore.google.com/detail/cgaoglehhddipnfdhdjmpcopgpejpofg</t>
  </si>
  <si>
    <t>HBO Max/Go Shortcuts</t>
  </si>
  <si>
    <t>https://chromewebstore.google.com/detail/cgfnijlagkjceiojopgopojbenmecdgn</t>
  </si>
  <si>
    <t>Ping</t>
  </si>
  <si>
    <t>https://chromewebstore.google.com/detail/cgopjgigkebmoobiijhnkdljjehckcpg</t>
  </si>
  <si>
    <t>Textarea Cache</t>
  </si>
  <si>
    <t>https://chromewebstore.google.com/detail/chpphekfimlabghbdankokcohcmnbmab</t>
  </si>
  <si>
    <t>MultiRow TweetDeck</t>
  </si>
  <si>
    <t>https://chromewebstore.google.com/detail/cjlaagghmikageagedknpkmapcjodnno</t>
  </si>
  <si>
    <t>Hulu PIP</t>
  </si>
  <si>
    <t>https://chromewebstore.google.com/detail/cjnnojbahbfmbhhpkcoihncbojdlhbnj</t>
  </si>
  <si>
    <t>Reload CSS</t>
  </si>
  <si>
    <t>https://chromewebstore.google.com/detail/ckaofffdgmblmfkglibpaleigpldjjem</t>
  </si>
  <si>
    <t>ZeroWiki</t>
  </si>
  <si>
    <t>https://chromewebstore.google.com/detail/cklaghejbnabhfdlaelhbjdepkfodkcj</t>
  </si>
  <si>
    <t>Animalese - Animal Crossing speak</t>
  </si>
  <si>
    <t>https://chromewebstore.google.com/detail/cklfhmnfapocoofjpkkceaabdkimgkbf</t>
  </si>
  <si>
    <t>500px Photo New Tab - Inspiration</t>
  </si>
  <si>
    <t>https://chromewebstore.google.com/detail/clbaflfnbbbgjppjogdmnhkgpiijamdg</t>
  </si>
  <si>
    <t>ShiftReader - Speed Read the Web</t>
  </si>
  <si>
    <t>https://chromewebstore.google.com/detail/clcbpepidaphghjahkionjhffkolcpek</t>
  </si>
  <si>
    <t>Torrent Clipper</t>
  </si>
  <si>
    <t>https://chromewebstore.google.com/detail/cmhdhpcfabppigjedlenkmleklplflhp</t>
  </si>
  <si>
    <t>https://chromewebstore.google.com/detail/cmjaflcjfodgbadocmpelolnfneppipe</t>
  </si>
  <si>
    <t>Classroom Redirector</t>
  </si>
  <si>
    <t>https://chromewebstore.google.com/detail/cnapdogghpeenfmlficdcbhflhemeoob</t>
  </si>
  <si>
    <t>Cloudopt  AdBlocker</t>
  </si>
  <si>
    <t>https://chromewebstore.google.com/detail/cnffkgfknlbnbfhihojeagbmcdcfdcnb</t>
  </si>
  <si>
    <t>Dota 2 Stream Browser</t>
  </si>
  <si>
    <t>https://chromewebstore.google.com/detail/cnhfhjlfbaehncgjfnleejhehimhleip</t>
  </si>
  <si>
    <t>Bookmark Lock</t>
  </si>
  <si>
    <t>https://chromewebstore.google.com/detail/comgdpdblghhphamnlfjdmcpfekanbke</t>
  </si>
  <si>
    <t>디씨 자동짤방</t>
  </si>
  <si>
    <t>https://chromewebstore.google.com/detail/cpjmmjoehdjkicbaiikanabgecjbdoko</t>
  </si>
  <si>
    <t>Schedule Builder Export</t>
  </si>
  <si>
    <t>https://chromewebstore.google.com/detail/dahicfbjacnkkdhphlloeeaadkenloaf</t>
  </si>
  <si>
    <t>Fix Lightshot</t>
  </si>
  <si>
    <t>https://chromewebstore.google.com/detail/dahidcllknfnoleplldmphdnmacjglph</t>
  </si>
  <si>
    <t>Http User-Agent Switcher</t>
  </si>
  <si>
    <t>https://chromewebstore.google.com/detail/dalfpgoflklogpfibbjelegbgfamlhof</t>
  </si>
  <si>
    <t>VoiSmart Social Chat</t>
  </si>
  <si>
    <t>https://chromewebstore.google.com/detail/dapnjppagigkdklehjnihbflmgkpbapm</t>
  </si>
  <si>
    <t>Tarjomak</t>
  </si>
  <si>
    <t>https://chromewebstore.google.com/detail/dbaahnceahihnikjnogoijfdccdonlia</t>
  </si>
  <si>
    <t>SageSure Flash Enabler</t>
  </si>
  <si>
    <t>https://chromewebstore.google.com/detail/dbhkpibloniaemkipklamlepffjihaom</t>
  </si>
  <si>
    <t>Chrome Auto Scroll</t>
  </si>
  <si>
    <t>https://chromewebstore.google.com/detail/dbimlbkcbphdbocgfkdanelhejpcbpfj</t>
  </si>
  <si>
    <t>chinese pinyin</t>
  </si>
  <si>
    <t>https://chromewebstore.google.com/detail/dbjilbkolbodebenablpomgeihnclgel</t>
  </si>
  <si>
    <t>Hikaru and GothamChess Tell You to MOVE</t>
  </si>
  <si>
    <t>https://chromewebstore.google.com/detail/dbooaamklijfogllbgookpiliaphkahb</t>
  </si>
  <si>
    <t>Google Meet - Auto Meeting Notes</t>
  </si>
  <si>
    <t>https://chromewebstore.google.com/detail/dcbhlmadhngmgbnjlegflhpbijcbbdde</t>
  </si>
  <si>
    <t>Deny Google Meet Join Requests</t>
  </si>
  <si>
    <t>https://chromewebstore.google.com/detail/dccddkkncdbglmlfmfjcgmhbppgddkag</t>
  </si>
  <si>
    <t>https://chromewebstore.google.com/detail/dcecmgaholkhgdkebcpgdjemmcmflpmf</t>
  </si>
  <si>
    <t>Mobile Browser Simulator UserAgent Switcher</t>
  </si>
  <si>
    <t>https://chromewebstore.google.com/detail/dcljefehlpjmoefgoohaobehbenocmkg</t>
  </si>
  <si>
    <t>Not yet, AV1</t>
  </si>
  <si>
    <t>https://chromewebstore.google.com/detail/dcmllfkiihingappljlkffafnlhdpbai</t>
  </si>
  <si>
    <t>迅雷快捷</t>
  </si>
  <si>
    <t>https://chromewebstore.google.com/detail/dddcejkalllobbpblapmkgnnehcfagdf</t>
  </si>
  <si>
    <t>pickasin - The ASIN tool for Amazon™</t>
  </si>
  <si>
    <t>https://chromewebstore.google.com/detail/ddjfolemleelcjeolkjafagchgibcekb</t>
  </si>
  <si>
    <t>SEOTOBO Extension</t>
  </si>
  <si>
    <t>https://chromewebstore.google.com/detail/deiongpjjbocjmonefmnldjmmkgbpkmh</t>
  </si>
  <si>
    <t>Pokemon Wallpapers HD New Tab Page</t>
  </si>
  <si>
    <t>https://chromewebstore.google.com/detail/dekjmbgmibnaghglnmmknjghlocibjbo</t>
  </si>
  <si>
    <t>RPA Automation Extension</t>
  </si>
  <si>
    <t>https://chromewebstore.google.com/detail/deknijehbgjmcifokgebbchmhpenfnee</t>
  </si>
  <si>
    <t>香港股票追蹤 (Hong Kong Stock Tracker)</t>
  </si>
  <si>
    <t>https://chromewebstore.google.com/detail/dfemhmpfkfmcmfdfiknifofpainceiki</t>
  </si>
  <si>
    <t>Corobizar - Alerte Live</t>
  </si>
  <si>
    <t>https://chromewebstore.google.com/detail/dflnhmchphajjkfadohcpiobjdhnfaed</t>
  </si>
  <si>
    <t>Who.is Lookup</t>
  </si>
  <si>
    <t>https://chromewebstore.google.com/detail/dfoplpgihamfobjlgeefieflfbpnpffg</t>
  </si>
  <si>
    <t>Site SEO Analysis</t>
  </si>
  <si>
    <t>https://chromewebstore.google.com/detail/dgbkldehhidnhpecibnmabmbclnokikd</t>
  </si>
  <si>
    <t>Ping Pong Pro</t>
  </si>
  <si>
    <t>https://chromewebstore.google.com/detail/dgcpabogbpfgndfnfhjkhkjaniaigclf</t>
  </si>
  <si>
    <t>Verticalize Rotate 90 degrees</t>
  </si>
  <si>
    <t>https://chromewebstore.google.com/detail/dhdfpijlmfebebnjcmpoeigbjekfmjmf</t>
  </si>
  <si>
    <t>Save Tabs</t>
  </si>
  <si>
    <t>https://chromewebstore.google.com/detail/dhgkdkollobnolailbckohhaikklnnki</t>
  </si>
  <si>
    <t>Vim</t>
  </si>
  <si>
    <t>https://chromewebstore.google.com/detail/dhhoacdlegcbdglbfnhgnlchpkdlofkb</t>
  </si>
  <si>
    <t>ePub Creator</t>
  </si>
  <si>
    <t>https://chromewebstore.google.com/detail/dholphmppikkchmalilfkmfanembgbil</t>
  </si>
  <si>
    <t>Seguralta Services Auto Login</t>
  </si>
  <si>
    <t>https://chromewebstore.google.com/detail/dibhjjgigjbgfdfgbjamcjminlflfgca</t>
  </si>
  <si>
    <t>Screen Size</t>
  </si>
  <si>
    <t>https://chromewebstore.google.com/detail/dibjkbohhllnokliflkbicfdeommfgpg</t>
  </si>
  <si>
    <t>Text-to-Speech Highlighter</t>
  </si>
  <si>
    <t>https://chromewebstore.google.com/detail/difkgogalighjoffonmipncaobobgnoj</t>
  </si>
  <si>
    <t>梦想网页资源下载器</t>
  </si>
  <si>
    <t>https://chromewebstore.google.com/detail/dilnicbdbobeikfinkokehkdhoiomnoa</t>
  </si>
  <si>
    <t>glink</t>
  </si>
  <si>
    <t>https://chromewebstore.google.com/detail/djamlokjblgcpopojpandilmhmlednie</t>
  </si>
  <si>
    <t>Unblock iQiyi - Free and unlimited</t>
  </si>
  <si>
    <t>https://chromewebstore.google.com/detail/djbemlbahoaipekaihggmelmhnalopih</t>
  </si>
  <si>
    <t>CroxyProxy Free Web Proxy Lite</t>
  </si>
  <si>
    <t>https://chromewebstore.google.com/detail/djpehmepgepfpoiaendmglmnjmmfalio</t>
  </si>
  <si>
    <t>https://chromewebstore.google.com/detail/dkabogmdcebincpnhjkblipnceehimch</t>
  </si>
  <si>
    <t>Dastine</t>
  </si>
  <si>
    <t>https://chromewebstore.google.com/detail/dkglikblegnhaglmhanneopiaednbehc</t>
  </si>
  <si>
    <t>Chrome Calculator</t>
  </si>
  <si>
    <t>https://chromewebstore.google.com/detail/dkmolnjgcflefpeajenclaejfddpcaml</t>
  </si>
  <si>
    <t>Salesforce Change Set Turbo</t>
  </si>
  <si>
    <t>https://chromewebstore.google.com/detail/dlcjllapchpeedkecmhfnpfenpbglioo</t>
  </si>
  <si>
    <t>HTML/URL to PDF with pdfmatrix.com</t>
  </si>
  <si>
    <t>https://chromewebstore.google.com/detail/dlmgniacaacmbccdegkadebbaphkonpb</t>
  </si>
  <si>
    <t>Hulu Easy Pop Out</t>
  </si>
  <si>
    <t>https://chromewebstore.google.com/detail/dmdidacioohghaemnkfhcmpjbmanmfok</t>
  </si>
  <si>
    <t>Download My Youtube Subscriptions</t>
  </si>
  <si>
    <t>https://chromewebstore.google.com/detail/dnemofhfmngncanaemmdnohjicnhjagb</t>
  </si>
  <si>
    <t>Smart Tab Mute</t>
  </si>
  <si>
    <t>https://chromewebstore.google.com/detail/dnfbgicfhchdpogmafjifjgbcjdaikgn</t>
  </si>
  <si>
    <t>Music Meal: Audio Player &amp; Playlist Streamer</t>
  </si>
  <si>
    <t>https://chromewebstore.google.com/detail/dnfclojpjpcpkepcobligoibhnjfpllm</t>
  </si>
  <si>
    <t>Agorapulse</t>
  </si>
  <si>
    <t>https://chromewebstore.google.com/detail/dodghoacmcolcigjioiapehcmpdadgmi</t>
  </si>
  <si>
    <t>FBReader on rollApp</t>
  </si>
  <si>
    <t>https://chromewebstore.google.com/detail/dokkeckpdbodhnkncfjbbgbejdjcflhm</t>
  </si>
  <si>
    <t>PlayStation Store Plus</t>
  </si>
  <si>
    <t>https://chromewebstore.google.com/detail/dopegccpneodjcmjigocogleccdmkkhl</t>
  </si>
  <si>
    <t>Screen &amp; Webcam Recorder + Editor - VADOO.TV</t>
  </si>
  <si>
    <t>https://chromewebstore.google.com/detail/dpbgkpijomoeagjakjllifnenpiodlkc</t>
  </si>
  <si>
    <t>Bookmarks Tagger</t>
  </si>
  <si>
    <t>https://chromewebstore.google.com/detail/dpiecafonfminhngabegejbligdagjfc</t>
  </si>
  <si>
    <t>Bring Pushbullet Notifications Back to Chrome</t>
  </si>
  <si>
    <t>https://chromewebstore.google.com/detail/dpmmngoajnhfhalbmdkglnekmkkijjap</t>
  </si>
  <si>
    <t>Tanuki Notifier for Google Chrome™</t>
  </si>
  <si>
    <t>https://chromewebstore.google.com/detail/eageapgbnjicdjjihgclpclilenjbobi</t>
  </si>
  <si>
    <t>JSON代码Unicode转义工具</t>
  </si>
  <si>
    <t>https://chromewebstore.google.com/detail/eagjeakmfmpdfkbbecfkogodmllbgknh</t>
  </si>
  <si>
    <t>PLANOLY Uploader</t>
  </si>
  <si>
    <t>https://chromewebstore.google.com/detail/ebpcimigfdcgmpaiboiipfkmceejkekp</t>
  </si>
  <si>
    <t>VNSHIELD - TƯỜNG LỬA</t>
  </si>
  <si>
    <t>https://chromewebstore.google.com/detail/eclakicbdanpgmpkecgmoeceghgjdeag</t>
  </si>
  <si>
    <t>Muscle VPN</t>
  </si>
  <si>
    <t>https://chromewebstore.google.com/detail/edknjdjielmpdlnllkdmaghlbpnmjmgb</t>
  </si>
  <si>
    <t>CactusVPN - VPN and Smart DNS services</t>
  </si>
  <si>
    <t>https://chromewebstore.google.com/detail/edlnbadicpbdobbgcngggefpdbnbnkch</t>
  </si>
  <si>
    <t>Apple Green</t>
  </si>
  <si>
    <t>https://chromewebstore.google.com/detail/edmkmnjkagnlalaamoaoihblemaeedib</t>
  </si>
  <si>
    <t>Amazon Lite</t>
  </si>
  <si>
    <t>https://chromewebstore.google.com/detail/eedjnccgojngdjcofkpkjcbopgcfkkjk</t>
  </si>
  <si>
    <t>SIP Phone</t>
  </si>
  <si>
    <t>https://chromewebstore.google.com/detail/eeffaijobgkgngjemggokhbjfmhklcmi</t>
  </si>
  <si>
    <t>Social Meter</t>
  </si>
  <si>
    <t>https://chromewebstore.google.com/detail/eelhfeamoijglbkgkkfddgkngokfabde</t>
  </si>
  <si>
    <t>SauceNAO Fetcher</t>
  </si>
  <si>
    <t>https://chromewebstore.google.com/detail/eencngjcaepgaaokekpnnabkecpfnchb</t>
  </si>
  <si>
    <t>SocialAnalyzer - Social Sentiment &amp; Analysis</t>
  </si>
  <si>
    <t>https://chromewebstore.google.com/detail/efeikkcpimdfpdlmlbjdecnmkknjcfcp</t>
  </si>
  <si>
    <t>Salesforce Lightning to Classic URL</t>
  </si>
  <si>
    <t>https://chromewebstore.google.com/detail/efkiamgopipogmbiedakafjdogfcipap</t>
  </si>
  <si>
    <t>Trello Card History</t>
  </si>
  <si>
    <t>https://chromewebstore.google.com/detail/efphljpdajpciigcmmfbhemjaanmoami</t>
  </si>
  <si>
    <t>Chrome Quick Console</t>
  </si>
  <si>
    <t>https://chromewebstore.google.com/detail/egnpebbaedhmkhdoachibnpiplmkjoke</t>
  </si>
  <si>
    <t>smarterPod: Simple and Smart Podcast Player</t>
  </si>
  <si>
    <t>https://chromewebstore.google.com/detail/ehlmnfeohfahemdjnakciaheggkojchf</t>
  </si>
  <si>
    <t>Launchpad for Google</t>
  </si>
  <si>
    <t>https://chromewebstore.google.com/detail/eilnaglmefieihnoliabhdbfldhimbog</t>
  </si>
  <si>
    <t>HTML DOM Navigation</t>
  </si>
  <si>
    <t>https://chromewebstore.google.com/detail/eimpgjcahblfpdgiknmbmglcafegimil</t>
  </si>
  <si>
    <t>Collect UI Collector's Extension</t>
  </si>
  <si>
    <t>https://chromewebstore.google.com/detail/eipaedejipdbpekheidjdpiogbnbafjm</t>
  </si>
  <si>
    <t>ETH gas alerts</t>
  </si>
  <si>
    <t>https://chromewebstore.google.com/detail/eiphjjopllhmdfikjnhgcgigmobbehnm</t>
  </si>
  <si>
    <t>AEM Chrome Plug-in</t>
  </si>
  <si>
    <t>https://chromewebstore.google.com/detail/ejdcnikffjleeffpigekhccpepplaode</t>
  </si>
  <si>
    <t>Volume Booster 2.0</t>
  </si>
  <si>
    <t>https://chromewebstore.google.com/detail/ejignddmhjbhbflngofijehfekikpaba</t>
  </si>
  <si>
    <t>Chrome Terminal</t>
  </si>
  <si>
    <t>https://chromewebstore.google.com/detail/ejmpoclnkkdepgggmppdbjpblncajlno</t>
  </si>
  <si>
    <t>Good News</t>
  </si>
  <si>
    <t>https://chromewebstore.google.com/detail/ekcmgkhakdlcondlgmadpiogjnlggpne</t>
  </si>
  <si>
    <t>Dynamics CRM Rename downloads</t>
  </si>
  <si>
    <t>https://chromewebstore.google.com/detail/elajgiibdjhcnabbdeimegnpbbpdkgai</t>
  </si>
  <si>
    <t>SoundCloud Search</t>
  </si>
  <si>
    <t>https://chromewebstore.google.com/detail/elbnoifhdccmcgjbbagofcmnoibejgkc</t>
  </si>
  <si>
    <t>Android SDK Search</t>
  </si>
  <si>
    <t>https://chromewebstore.google.com/detail/elihjfnjglabmkeonphlglkpjppchoco</t>
  </si>
  <si>
    <t>CSSSteal</t>
  </si>
  <si>
    <t>https://chromewebstore.google.com/detail/ellabkgcnhflepncdcnelhgclfkgmanh</t>
  </si>
  <si>
    <t>No Scripts for Google Chrome™</t>
  </si>
  <si>
    <t>https://chromewebstore.google.com/detail/emaadbacogbhahpfbbcncccdmnjaanbd</t>
  </si>
  <si>
    <t>Email Verifier</t>
  </si>
  <si>
    <t>https://chromewebstore.google.com/detail/enchjidoodnbfkmidpfjlbdbjjlomfkp</t>
  </si>
  <si>
    <t>Copy text without spaces - amaz.in/g</t>
  </si>
  <si>
    <t>https://chromewebstore.google.com/detail/eneceapeknmndclhpphgniekmnnlajjb</t>
  </si>
  <si>
    <t>Old Design VK</t>
  </si>
  <si>
    <t>https://chromewebstore.google.com/detail/enmbidembfifmcpbkknknhcpmmhnmgni</t>
  </si>
  <si>
    <t>Fusion Legacy</t>
  </si>
  <si>
    <t>https://chromewebstore.google.com/detail/eojgfgeapephofifpjgapdlaopfdhceh</t>
  </si>
  <si>
    <t>uWaterloo Schedule Exporter</t>
  </si>
  <si>
    <t>https://chromewebstore.google.com/detail/epamhdpboimbcdgokgldffcdkfmbmajg</t>
  </si>
  <si>
    <t>Quick create Google Docs™</t>
  </si>
  <si>
    <t>https://chromewebstore.google.com/detail/epclbcgdcfaiholkapkbaecldbffhhee</t>
  </si>
  <si>
    <t>Remote Deluge</t>
  </si>
  <si>
    <t>https://chromewebstore.google.com/detail/epcolmlaegimilnokaddncgmdafacohf</t>
  </si>
  <si>
    <t>Голосовой поиск</t>
  </si>
  <si>
    <t>https://chromewebstore.google.com/detail/fadhljkllimaogegfkkjflfedliilkok</t>
  </si>
  <si>
    <t>Youtube's Annotations No More</t>
  </si>
  <si>
    <t>https://chromewebstore.google.com/detail/fajnlldimiiipghabjgnbdidcnkghkgn</t>
  </si>
  <si>
    <t>YellowCloud for SoundCloud®</t>
  </si>
  <si>
    <t>https://chromewebstore.google.com/detail/fbdlmbhemipjmnkikilolfjbdkpfogba</t>
  </si>
  <si>
    <t>Three.js Editor Extension</t>
  </si>
  <si>
    <t>https://chromewebstore.google.com/detail/fbgbekpggeldiacgjkacbkkcbjhmakea</t>
  </si>
  <si>
    <t>Scroll Button</t>
  </si>
  <si>
    <t>https://chromewebstore.google.com/detail/fbkobdcckhcgleanepepnfaficicaogg</t>
  </si>
  <si>
    <t>Applitools for Selenium IDE</t>
  </si>
  <si>
    <t>https://chromewebstore.google.com/detail/fbnkflkahhlmhdgkddaafgnnokifobik</t>
  </si>
  <si>
    <t>Yandex spell checker</t>
  </si>
  <si>
    <t>https://chromewebstore.google.com/detail/fcgealmjicldkjfnjkgnfoofjkpomplo</t>
  </si>
  <si>
    <t>Time Tab</t>
  </si>
  <si>
    <t>https://chromewebstore.google.com/detail/fdjemjfcplhejdekgjbdjjobbkipoddd</t>
  </si>
  <si>
    <t>NewCP Flash Enabler</t>
  </si>
  <si>
    <t>https://chromewebstore.google.com/detail/fdjpgecmadhkbghjgbpncjdjbioakffl</t>
  </si>
  <si>
    <t>PwGen</t>
  </si>
  <si>
    <t>https://chromewebstore.google.com/detail/fdncmbefehplabbjadkkhfahhkdihmcj</t>
  </si>
  <si>
    <t>Revue Chrome</t>
  </si>
  <si>
    <t>https://chromewebstore.google.com/detail/fdnhneinocoonabhfbmelgkcmilaokcg</t>
  </si>
  <si>
    <t>Better Buy Orders</t>
  </si>
  <si>
    <t>https://chromewebstore.google.com/detail/fdohejjlbpikihghncmaejajdbpoiebj</t>
  </si>
  <si>
    <t>新浪微博（一键打开）</t>
  </si>
  <si>
    <t>https://chromewebstore.google.com/detail/fedkpjelkjajanbfnnhabdcoeobgiiho</t>
  </si>
  <si>
    <t>Robux To Money</t>
  </si>
  <si>
    <t>https://chromewebstore.google.com/detail/fedpmdfkilhcadoklbcdjokkjhpnhgma</t>
  </si>
  <si>
    <t>Mouse Gestures crx</t>
  </si>
  <si>
    <t>https://chromewebstore.google.com/detail/fefgpnlimkkhbjomhakgficgkgkeiaml</t>
  </si>
  <si>
    <t>Crypto Miner Blocker</t>
  </si>
  <si>
    <t>https://chromewebstore.google.com/detail/fekkecoifalagdiibmfnmjfmgmpblogb</t>
  </si>
  <si>
    <t>特价优惠实时推送：白菜党必备神器</t>
  </si>
  <si>
    <t>https://chromewebstore.google.com/detail/fencnigkojiegaifcngopoenckcgbcoo</t>
  </si>
  <si>
    <t>Clifl</t>
  </si>
  <si>
    <t>https://chromewebstore.google.com/detail/ffjbejplhhgfbhckieoklhaoibhckbed</t>
  </si>
  <si>
    <t>贴吧清洁者</t>
  </si>
  <si>
    <t>https://chromewebstore.google.com/detail/ffnpdhifpelckhfkhnamdpimbleanpom</t>
  </si>
  <si>
    <t>BIGIP Cookie Decoder</t>
  </si>
  <si>
    <t>https://chromewebstore.google.com/detail/fgbahkaekodceioljkpefkclechnccpl</t>
  </si>
  <si>
    <t>WordCloud Generator</t>
  </si>
  <si>
    <t>https://chromewebstore.google.com/detail/fggnjkmmkmlaikmfkcnkmimmmmmcfiab</t>
  </si>
  <si>
    <t>Русский Транслит / Russian Translit</t>
  </si>
  <si>
    <t>https://chromewebstore.google.com/detail/fgieggnhkbknnkemibeokkmpimipkgki</t>
  </si>
  <si>
    <t>Telegram Share</t>
  </si>
  <si>
    <t>https://chromewebstore.google.com/detail/fidbmokgkfolkdemodnghigjflilchhm</t>
  </si>
  <si>
    <t>Отзывы LOXDefender на сайте OLX™</t>
  </si>
  <si>
    <t>https://chromewebstore.google.com/detail/fiddcobkgebcjfghaeagpppboifhidci</t>
  </si>
  <si>
    <t>網路假期 - 解答查詢新增</t>
  </si>
  <si>
    <t>https://chromewebstore.google.com/detail/figcebmonllniaklhhjimjlgndjlgchd</t>
  </si>
  <si>
    <t>TrashMail.com: Create disposable address</t>
  </si>
  <si>
    <t>https://chromewebstore.google.com/detail/fihbdpohplcdnhllhliaeapefmmpcdjo</t>
  </si>
  <si>
    <t>Jailbreak the Patriarchy</t>
  </si>
  <si>
    <t>https://chromewebstore.google.com/detail/fiidcfoaaciclafodoficaofidfencgd</t>
  </si>
  <si>
    <t>Analizador de Textos</t>
  </si>
  <si>
    <t>https://chromewebstore.google.com/detail/fjbflgfccjfafjmcaiejjhgfngmhemma</t>
  </si>
  <si>
    <t>Green Eye</t>
  </si>
  <si>
    <t>https://chromewebstore.google.com/detail/fjbngeppiginhckphonoffahjcoagofd</t>
  </si>
  <si>
    <t>SUSHI Proxy - Unlimited Japan IP Free 3 Days</t>
  </si>
  <si>
    <t>https://chromewebstore.google.com/detail/fjdchobeoikpjadflakgacfgibmnkcfo</t>
  </si>
  <si>
    <t>Slither Pro</t>
  </si>
  <si>
    <t>https://chromewebstore.google.com/detail/fjffcfmgjapbeojnbalgnhlmglnpdlfl</t>
  </si>
  <si>
    <t>Better Subscriptions for YouTube™</t>
  </si>
  <si>
    <t>https://chromewebstore.google.com/detail/fkchdogohkjpnhfkganifkbbjcjofbjf</t>
  </si>
  <si>
    <t>Reveal for Netflix</t>
  </si>
  <si>
    <t>https://chromewebstore.google.com/detail/fkiohmjdmmcaenljmloepbdpcdfjdcpf</t>
  </si>
  <si>
    <t>翻譯2選1</t>
  </si>
  <si>
    <t>https://chromewebstore.google.com/detail/fklckakpjjghgcpdjaboalkfgmbkaanl</t>
  </si>
  <si>
    <t>NoImages</t>
  </si>
  <si>
    <t>https://chromewebstore.google.com/detail/fkmkefpehlolmdiloilglfcojbomaoii</t>
  </si>
  <si>
    <t>Sauron - Dark mode for all websites</t>
  </si>
  <si>
    <t>https://chromewebstore.google.com/detail/fleolcdonmhbeppkijpfbhfhpceehiic</t>
  </si>
  <si>
    <t>New Tab Page for Trello</t>
  </si>
  <si>
    <t>https://chromewebstore.google.com/detail/flhbeabcinhdnpbmapigmippphgfinga</t>
  </si>
  <si>
    <t>The Old Reader Notifier</t>
  </si>
  <si>
    <t>https://chromewebstore.google.com/detail/flnadglecinohkbmdpeooblldjpaimpo</t>
  </si>
  <si>
    <t>Karoo Route Grab</t>
  </si>
  <si>
    <t>https://chromewebstore.google.com/detail/fmgakapefkckdimkoglpoooaamfpfhld</t>
  </si>
  <si>
    <t>Canvas Grades Extension</t>
  </si>
  <si>
    <t>https://chromewebstore.google.com/detail/fneahceogligokfcllminogbilaamgbd</t>
  </si>
  <si>
    <t>Online Clock</t>
  </si>
  <si>
    <t>https://chromewebstore.google.com/detail/fngccdjlaoaoeimedabdbioefiicjiei</t>
  </si>
  <si>
    <t>https://chromewebstore.google.com/detail/fnhcbgbefhibeocpfiblfkgjfoiackbi</t>
  </si>
  <si>
    <t>Scheduled Click</t>
  </si>
  <si>
    <t>https://chromewebstore.google.com/detail/fnifoimglgjcmljjcepbgkcajiggfekp</t>
  </si>
  <si>
    <t>Cute Save Button</t>
  </si>
  <si>
    <t>https://chromewebstore.google.com/detail/foblnmhpgiilabdcbnfgoheplajhompg</t>
  </si>
  <si>
    <t>openLRSng - Configurator</t>
  </si>
  <si>
    <t>https://chromewebstore.google.com/detail/focgpgmpinbadijfcdimbdkgnpndjnkl</t>
  </si>
  <si>
    <t>Dismoi</t>
  </si>
  <si>
    <t>https://chromewebstore.google.com/detail/fpjlnlnbacohacebkadbbjebbipcknbg</t>
  </si>
  <si>
    <t>StockBlocker</t>
  </si>
  <si>
    <t>https://chromewebstore.google.com/detail/gabmlabpkcpincifnadmjplohbbljdba</t>
  </si>
  <si>
    <t>虾皮贝分析(Tiktok shop 零成本创业)</t>
  </si>
  <si>
    <t>https://chromewebstore.google.com/detail/gacfggacdlboibfpfajebpbncipchhma</t>
  </si>
  <si>
    <t>Watcher for Yandex Mail™</t>
  </si>
  <si>
    <t>https://chromewebstore.google.com/detail/gbahpfmknhllfegibbfdialakjagbdkl</t>
  </si>
  <si>
    <t>Allow copy</t>
  </si>
  <si>
    <t>https://chromewebstore.google.com/detail/gbjocelfmcapnmcocncmheabfhdhmadl</t>
  </si>
  <si>
    <t>Unblocked Games</t>
  </si>
  <si>
    <t>https://chromewebstore.google.com/detail/gcfpbekgphipjndnkglfjfgicbihmdni</t>
  </si>
  <si>
    <t>Environment Tagger</t>
  </si>
  <si>
    <t>https://chromewebstore.google.com/detail/gcjmehmhcfchpgfkkgbncjccgbfcajbd</t>
  </si>
  <si>
    <t>dynaBar D365FO</t>
  </si>
  <si>
    <t>https://chromewebstore.google.com/detail/gdjbelbckgeagibabjiklppbogphfgaa</t>
  </si>
  <si>
    <t>Youdao Dict</t>
  </si>
  <si>
    <t>https://chromewebstore.google.com/detail/geboigdomoihijcamklnhlcgnnpdgkmg</t>
  </si>
  <si>
    <t>Reward eShop plug-in</t>
  </si>
  <si>
    <t>https://chromewebstore.google.com/detail/geclbbfhndfjcgghimioopopfhilncda</t>
  </si>
  <si>
    <t>RapidFlash</t>
  </si>
  <si>
    <t>https://chromewebstore.google.com/detail/gehadojofkekobiohnefkabgimeniglh</t>
  </si>
  <si>
    <t>OK.ru | перейти на сайт в один клик</t>
  </si>
  <si>
    <t>https://chromewebstore.google.com/detail/geibmccfoabdhmkafjdkdmdmjkebgago</t>
  </si>
  <si>
    <t>Y. Split View</t>
  </si>
  <si>
    <t>https://chromewebstore.google.com/detail/gejhlimpekolibglangfmpnnidcgdhkj</t>
  </si>
  <si>
    <t>Edu-pal - Learning Feedback for Google Meet</t>
  </si>
  <si>
    <t>https://chromewebstore.google.com/detail/geopbiaefoieahodpfbclhoabkikbnkn</t>
  </si>
  <si>
    <t>Kill News Feed &amp; Stories.</t>
  </si>
  <si>
    <t>https://chromewebstore.google.com/detail/ggjocnbfiiifcaghdkkpgcpdednmnocb</t>
  </si>
  <si>
    <t>SourceViewer(zvSource)</t>
  </si>
  <si>
    <t>https://chromewebstore.google.com/detail/ggkbiakmiljlbbfhjajlpjgckcjanbab</t>
  </si>
  <si>
    <t>F8 Cookies - Share online accounts</t>
  </si>
  <si>
    <t>https://chromewebstore.google.com/detail/ggkomdlhljeidpokamlphcoeconilnfj</t>
  </si>
  <si>
    <t>Max Tabs</t>
  </si>
  <si>
    <t>https://chromewebstore.google.com/detail/ghhcibaghjbdjmnknknlnbobcblfcnma</t>
  </si>
  <si>
    <t>VPN Proxy</t>
  </si>
  <si>
    <t>https://chromewebstore.google.com/detail/ghlpcaaifadoekifkmbclpkhdiolfeol</t>
  </si>
  <si>
    <t>Collage - Debate Card Cutter and Library</t>
  </si>
  <si>
    <t>https://chromewebstore.google.com/detail/gidioiaaccicalfnambafpdfieeedioi</t>
  </si>
  <si>
    <t>BTC Ticker | Bitcoin Ticker</t>
  </si>
  <si>
    <t>https://chromewebstore.google.com/detail/gidpkdpdnngpfohekcfkfjbkieeihekj</t>
  </si>
  <si>
    <t>Hotcold Typing!</t>
  </si>
  <si>
    <t>https://chromewebstore.google.com/detail/gikgnaajhiofmngkodahgpjnpgacmhlc</t>
  </si>
  <si>
    <t>Meu Timão</t>
  </si>
  <si>
    <t>https://chromewebstore.google.com/detail/ginkglnlpcgmjafipbkpfoimoaoabami</t>
  </si>
  <si>
    <t>Read In Bed</t>
  </si>
  <si>
    <t>https://chromewebstore.google.com/detail/gjbepkalbfffninamijgbcniiiogcgjp</t>
  </si>
  <si>
    <t>SP Insider</t>
  </si>
  <si>
    <t>https://chromewebstore.google.com/detail/gjckpigahcbffmeofjfedlffddhfidhj</t>
  </si>
  <si>
    <t>Feedly Background Tab</t>
  </si>
  <si>
    <t>https://chromewebstore.google.com/detail/gjlijkhcebalcchkhgaiflaooghmoegk</t>
  </si>
  <si>
    <t>Outline Chrome Extension</t>
  </si>
  <si>
    <t>https://chromewebstore.google.com/detail/gkakhdblgdnbknpibnflepnhcpmpohnm</t>
  </si>
  <si>
    <t>slrclub manager</t>
  </si>
  <si>
    <t>https://chromewebstore.google.com/detail/gkhchcmganldlioegbalnkedbnhobacp</t>
  </si>
  <si>
    <t>Life Science Dictionary Tool WebExtension</t>
  </si>
  <si>
    <t>https://chromewebstore.google.com/detail/glamiehbjfdcihghdlcjlckipojhnocp</t>
  </si>
  <si>
    <t>Force HTTPS (SSL/TLS)</t>
  </si>
  <si>
    <t>https://chromewebstore.google.com/detail/gmcndcpdefigilbgpohccbocjdfeakgl</t>
  </si>
  <si>
    <t>Web Tracing Framework</t>
  </si>
  <si>
    <t>https://chromewebstore.google.com/detail/gmdhhnlkjmknaopofnadmoamhmnlicme</t>
  </si>
  <si>
    <t>AssetView</t>
  </si>
  <si>
    <t>https://chromewebstore.google.com/detail/gmmjlpalijddliofagfpmmmeapeojhje</t>
  </si>
  <si>
    <t>Image Tool</t>
  </si>
  <si>
    <t>https://chromewebstore.google.com/detail/gnmkbnaemkbbeeddfmbmdlnglfdmhdej</t>
  </si>
  <si>
    <t>WaybackMachine</t>
  </si>
  <si>
    <t>https://chromewebstore.google.com/detail/gofnhkhaadkoabedkchceagnjjicaihi</t>
  </si>
  <si>
    <t>Profitario - AliExpress Invoice Generator &amp; Reports</t>
  </si>
  <si>
    <t>https://chromewebstore.google.com/detail/gohemgflodfhnlmbimcgefjnnmjmgnka</t>
  </si>
  <si>
    <t>Assima Assist</t>
  </si>
  <si>
    <t>https://chromewebstore.google.com/detail/goifccjcpcahhmdjlmjhhlmdolhkbope</t>
  </si>
  <si>
    <t>Zabbix Vue</t>
  </si>
  <si>
    <t>https://chromewebstore.google.com/detail/goinajfhamfchlmkddedkncmlgfcieac</t>
  </si>
  <si>
    <t>Capitan Speed Dial - New Tab Visual Bookmarks</t>
  </si>
  <si>
    <t>https://chromewebstore.google.com/detail/gpcccgljmdlfdfcjgphppgpdhpgeahbk</t>
  </si>
  <si>
    <t>TextSummary</t>
  </si>
  <si>
    <t>https://chromewebstore.google.com/detail/gpenmlghfagcojbjjabkhblackjapnbk</t>
  </si>
  <si>
    <t>Apps for Google Drive</t>
  </si>
  <si>
    <t>https://chromewebstore.google.com/detail/gpjipfogpofikbnpfenncmppkcnocalk</t>
  </si>
  <si>
    <t>Open In IntelliJ</t>
  </si>
  <si>
    <t>https://chromewebstore.google.com/detail/gpmmlokoechmmeboecialijibkjajlaj</t>
  </si>
  <si>
    <t>Ruliweb Board Support</t>
  </si>
  <si>
    <t>https://chromewebstore.google.com/detail/hckkohbdkadobaoejafijhklaacifphp</t>
  </si>
  <si>
    <t>Pocketlikes | Free Instagram Likes</t>
  </si>
  <si>
    <t>https://chromewebstore.google.com/detail/hcmlgkfaeigpcklakkahmbaggklefpcb</t>
  </si>
  <si>
    <t>Add to Toodledo</t>
  </si>
  <si>
    <t>https://chromewebstore.google.com/detail/hdmhiihcenipfdlmkdlhmgijjimlpkim</t>
  </si>
  <si>
    <t>Goggle</t>
  </si>
  <si>
    <t>https://chromewebstore.google.com/detail/heklcfopgcknmiegnkeaoiaecamnhdlp</t>
  </si>
  <si>
    <t>Easy AliExpress ePacket Finder</t>
  </si>
  <si>
    <t>https://chromewebstore.google.com/detail/hencchoidjkafdoeoodcneiemlcfnbhb</t>
  </si>
  <si>
    <t>Bilibili Live Redirector</t>
  </si>
  <si>
    <t>https://chromewebstore.google.com/detail/hepginkihkijiebmanadpoipanjbipem</t>
  </si>
  <si>
    <t>Iconic History</t>
  </si>
  <si>
    <t>https://chromewebstore.google.com/detail/hfacpfhgpmaifaanbmgbbjkfgelookom</t>
  </si>
  <si>
    <t>Shopify Product Info by OptimCommerce</t>
  </si>
  <si>
    <t>https://chromewebstore.google.com/detail/hgdnbhdgboglidilhoipggepjlmmmaae</t>
  </si>
  <si>
    <t>Simple Offline Calculator</t>
  </si>
  <si>
    <t>https://chromewebstore.google.com/detail/hggicmogahedhllhjjhifddgcphgaggo</t>
  </si>
  <si>
    <t>Comments to Cats</t>
  </si>
  <si>
    <t>https://chromewebstore.google.com/detail/hgjfibdfedjcopejmhnhcimefdlfdpig</t>
  </si>
  <si>
    <t>Local Storage Explorer</t>
  </si>
  <si>
    <t>https://chromewebstore.google.com/detail/hglfomidogadbhelcfomenpieffpfaeb</t>
  </si>
  <si>
    <t>Auto HD 720p/1080p</t>
  </si>
  <si>
    <t>https://chromewebstore.google.com/detail/hglhiepjhbhcjpjnehnggbleobjlblde</t>
  </si>
  <si>
    <t>Planapple Save Button</t>
  </si>
  <si>
    <t>https://chromewebstore.google.com/detail/hhcboefjgjaapmjacmbbijgfaddecoho</t>
  </si>
  <si>
    <t>Fandom Enhance</t>
  </si>
  <si>
    <t>https://chromewebstore.google.com/detail/hhghjoikiknokaibmbniamildpnnajpo</t>
  </si>
  <si>
    <t>Roblox Revenue &amp; Rating Stats - RTrack</t>
  </si>
  <si>
    <t>https://chromewebstore.google.com/detail/hhgkfhlgacdclmkgjniellfcpfgcmonm</t>
  </si>
  <si>
    <t>Zoom Utils</t>
  </si>
  <si>
    <t>https://chromewebstore.google.com/detail/hhhlbediooifeabnlleljnbddcelmdpm</t>
  </si>
  <si>
    <t>Twitch Error AutoRefresher</t>
  </si>
  <si>
    <t>https://chromewebstore.google.com/detail/hhiipkcjbemmanpfdfdkhmfjpliniomn</t>
  </si>
  <si>
    <t>ニコ補助 - Download</t>
  </si>
  <si>
    <t>https://chromewebstore.google.com/detail/hhilmijlfhoacmoccpahalnmbjcfahcb</t>
  </si>
  <si>
    <t>Random Quote</t>
  </si>
  <si>
    <t>https://chromewebstore.google.com/detail/hhompecpighdhclapocgaaadjnmgahoi</t>
  </si>
  <si>
    <t>Camera Shutter Count</t>
  </si>
  <si>
    <t>https://chromewebstore.google.com/detail/hidmkebaeifbokhkdkhcokahfaiakdef</t>
  </si>
  <si>
    <t>Ritm Configure</t>
  </si>
  <si>
    <t>https://chromewebstore.google.com/detail/hifbbdpjdifimkkppglajhmkcikaandj</t>
  </si>
  <si>
    <t>Leetcode Timer</t>
  </si>
  <si>
    <t>https://chromewebstore.google.com/detail/hihcjkhhlbmckhhnjamfomegbnlffcni</t>
  </si>
  <si>
    <t>Smart Internet Porn Filter from vRate</t>
  </si>
  <si>
    <t>https://chromewebstore.google.com/detail/hikjbimjpogeajolkcggpbhjdlpifcmk</t>
  </si>
  <si>
    <t>CoffeeScript IDE</t>
  </si>
  <si>
    <t>https://chromewebstore.google.com/detail/hikjpmfebkagiijbdinakadphhjffaik</t>
  </si>
  <si>
    <t>Scan QR code</t>
  </si>
  <si>
    <t>https://chromewebstore.google.com/detail/hkfmcplbmbfhfocaobcnjkfelmfbdkcm</t>
  </si>
  <si>
    <t>划词翻译</t>
  </si>
  <si>
    <t>https://chromewebstore.google.com/detail/hkjafmjeochlepgldkncjipkjdhpipbj</t>
  </si>
  <si>
    <t>Archery Games</t>
  </si>
  <si>
    <t>https://chromewebstore.google.com/detail/hkladljdibplikfcfcdgaoobpdpaicci</t>
  </si>
  <si>
    <t>Video URLs for VLC</t>
  </si>
  <si>
    <t>https://chromewebstore.google.com/detail/hkmgpkkdjolenhddemkgngpiagjglecb</t>
  </si>
  <si>
    <t>smart-pass</t>
  </si>
  <si>
    <t>https://chromewebstore.google.com/detail/hlbkkfgplamgidcmijjcglabmiekfech</t>
  </si>
  <si>
    <t>Pinyin Reader</t>
  </si>
  <si>
    <t>https://chromewebstore.google.com/detail/hledmlpbeiablkglomlminfemnepgjlp</t>
  </si>
  <si>
    <t>Perculus 3 Ekran Paylaşım Eklentisi</t>
  </si>
  <si>
    <t>https://chromewebstore.google.com/detail/hlkgeeoonjpbagonlokmppbmndadkidb</t>
  </si>
  <si>
    <t>Magoosh GRE Vocab Highlighter</t>
  </si>
  <si>
    <t>https://chromewebstore.google.com/detail/hlkndiknofmlmajfocifccmplknafjeo</t>
  </si>
  <si>
    <t>Image download for Youtube™</t>
  </si>
  <si>
    <t>https://chromewebstore.google.com/detail/hmddfalndciigbdmikpibaleammmkcbm</t>
  </si>
  <si>
    <t>Adobe Live on Behance</t>
  </si>
  <si>
    <t>https://chromewebstore.google.com/detail/hmhpbcbhphljhbjjmjongooemknbjjoa</t>
  </si>
  <si>
    <t>JIRA Template Injector</t>
  </si>
  <si>
    <t>https://chromewebstore.google.com/detail/hmhpegjieopgbdmpocdmfkafjgcdmhha</t>
  </si>
  <si>
    <t>TabsFolders Tab &amp; Bookmark Manager</t>
  </si>
  <si>
    <t>https://chromewebstore.google.com/detail/hmpadeikehkcpfjbpgfolocddgmiofpm</t>
  </si>
  <si>
    <t>Quick Home Button</t>
  </si>
  <si>
    <t>https://chromewebstore.google.com/detail/hnejecidakmfncbfmklegjidgikiilgd</t>
  </si>
  <si>
    <t>Click-to-call для MANGO OFFICE</t>
  </si>
  <si>
    <t>https://chromewebstore.google.com/detail/hnffjpappohfnmhdimbpeljbnokjagdd</t>
  </si>
  <si>
    <t>MyEpitech</t>
  </si>
  <si>
    <t>https://chromewebstore.google.com/detail/hnkcafanoncncpkgboikhhikdomenepb</t>
  </si>
  <si>
    <t>https://chromewebstore.google.com/detail/hnpkdcghgfeaccigdjnibpkopebncakc</t>
  </si>
  <si>
    <t>JW Daily Scripture</t>
  </si>
  <si>
    <t>https://chromewebstore.google.com/detail/hoaeoknbnombjplkahejaedapopgclgg</t>
  </si>
  <si>
    <t>Space Galaxy Wallpapers New Tab</t>
  </si>
  <si>
    <t>https://chromewebstore.google.com/detail/hocfbimjcephnjnoihhhoogcmnakbmlh</t>
  </si>
  <si>
    <t>https://chromewebstore.google.com/detail/hofjanlkemfjdabokampgoehhfifbbjc</t>
  </si>
  <si>
    <t>Developer Tools</t>
  </si>
  <si>
    <t>https://chromewebstore.google.com/detail/holhpdfhbdhieddbpppnglddplfhopfi</t>
  </si>
  <si>
    <t>Reddit PGN viewer.</t>
  </si>
  <si>
    <t>https://chromewebstore.google.com/detail/hplecpnihkigeaiobbmfnfblepiadjdh</t>
  </si>
  <si>
    <t>SimpleChessBoard</t>
  </si>
  <si>
    <t>https://chromewebstore.google.com/detail/hppnfmeaoiochhjdlojgflkfedncdokl</t>
  </si>
  <si>
    <t>DragonLink</t>
  </si>
  <si>
    <t>https://chromewebstore.google.com/detail/iagdenmadjpeeigekdkdmlombbkjoanj</t>
  </si>
  <si>
    <t>Enhanced SteamGifts &amp; SteamTrades (ESGST)</t>
  </si>
  <si>
    <t>https://chromewebstore.google.com/detail/ibedmjbicclcdfmghnkfldnplocgihna</t>
  </si>
  <si>
    <t>CSS Exfil Protection</t>
  </si>
  <si>
    <t>https://chromewebstore.google.com/detail/ibeemfhcbbikonfajhamlkdgedmekifo</t>
  </si>
  <si>
    <t>Powerschool Grades</t>
  </si>
  <si>
    <t>https://chromewebstore.google.com/detail/ibklfmkdcaocoihmpjampgleiaahldpp</t>
  </si>
  <si>
    <t>FHS ROCKS</t>
  </si>
  <si>
    <t>https://chromewebstore.google.com/detail/ibmdlialbleknfcjmllmoclcpmaabchl</t>
  </si>
  <si>
    <t>Smart Bookmarks for YouTube: Productivity Up</t>
  </si>
  <si>
    <t>https://chromewebstore.google.com/detail/ichpfnleoiponjidhcbieonjdpnallmh</t>
  </si>
  <si>
    <t>Imgur to Gfycat</t>
  </si>
  <si>
    <t>https://chromewebstore.google.com/detail/idnninnhcleaikepmmomfnknbldalnjj</t>
  </si>
  <si>
    <t>Guitar Tuner - Tune by Ear</t>
  </si>
  <si>
    <t>https://chromewebstore.google.com/detail/iefinhiodbmoobdnoholloggphkoijoc</t>
  </si>
  <si>
    <t>梦想小说朗读助手</t>
  </si>
  <si>
    <t>https://chromewebstore.google.com/detail/iegiiapfgomeedpnmajohjdlcipbecha</t>
  </si>
  <si>
    <t>Speechyard for Netflix</t>
  </si>
  <si>
    <t>https://chromewebstore.google.com/detail/ieompfkbfmgldbklegjkbljclgncbagm</t>
  </si>
  <si>
    <t>ZbigZ - Official Extension</t>
  </si>
  <si>
    <t>https://chromewebstore.google.com/detail/ifchggdfkdbkpolgmclfhdlodpjciejl</t>
  </si>
  <si>
    <t>Tiktok : Unfollower !</t>
  </si>
  <si>
    <t>https://chromewebstore.google.com/detail/ifmoaiideadhbgdbjcckdbfpgmfplcem</t>
  </si>
  <si>
    <t>Domain Hunter Plus</t>
  </si>
  <si>
    <t>https://chromewebstore.google.com/detail/ifnkckdlnkmcmlmleoiofljanabhmjgg</t>
  </si>
  <si>
    <t>Site24x7 Web Transaction (Browser) Recorder</t>
  </si>
  <si>
    <t>https://chromewebstore.google.com/detail/igeibjcgmjjglmjkehpeepggejgbpjnk</t>
  </si>
  <si>
    <t>Google Meet Matrix Rain</t>
  </si>
  <si>
    <t>https://chromewebstore.google.com/detail/ihadpecfbccmcbpdlinbcmflaiddfion</t>
  </si>
  <si>
    <t>Todobook</t>
  </si>
  <si>
    <t>https://chromewebstore.google.com/detail/ihbejplhkeifejcpijadinaicidddbde</t>
  </si>
  <si>
    <t>InShorts</t>
  </si>
  <si>
    <t>https://chromewebstore.google.com/detail/ihdhfdeffimajgfmlfhhnhkckfedaikd</t>
  </si>
  <si>
    <t>iZoom</t>
  </si>
  <si>
    <t>https://chromewebstore.google.com/detail/iheccogfcpjfjbnlohnlgdljaefpgaoi</t>
  </si>
  <si>
    <t>abcCorrector para Chrome</t>
  </si>
  <si>
    <t>https://chromewebstore.google.com/detail/ihecjdmjoonlmpaahmjogolaecloipal</t>
  </si>
  <si>
    <t>Batch Save Pocket</t>
  </si>
  <si>
    <t>https://chromewebstore.google.com/detail/ihhiomekhplpdojbcaniaglcfopckaef</t>
  </si>
  <si>
    <t>ASU Professor Ratings</t>
  </si>
  <si>
    <t>https://chromewebstore.google.com/detail/iihdicimlmhhfmbifiifohcnihbbggfl</t>
  </si>
  <si>
    <t>i2Clipart - Just Free Clipart</t>
  </si>
  <si>
    <t>https://chromewebstore.google.com/detail/ijbfcacecjikacmkpnjekcjoidicclon</t>
  </si>
  <si>
    <t>XHR JSON Panel</t>
  </si>
  <si>
    <t>https://chromewebstore.google.com/detail/ijcheklmenppbikccakhlmmcbdjjcmgi</t>
  </si>
  <si>
    <t>Tabulazer - Table Filter and Sorter</t>
  </si>
  <si>
    <t>https://chromewebstore.google.com/detail/ikfbkffbgkdghhnjfoomdkeifljlepah</t>
  </si>
  <si>
    <t>Font Generator</t>
  </si>
  <si>
    <t>https://chromewebstore.google.com/detail/ikfngnkicddhaeccmccdlohnnnjmnhge</t>
  </si>
  <si>
    <t>Right Click to Search: Amazon ALL COUNTRIES!</t>
  </si>
  <si>
    <t>https://chromewebstore.google.com/detail/iliikbbpieeccmklkfhpahakkekgffah</t>
  </si>
  <si>
    <t>Videoland Party</t>
  </si>
  <si>
    <t>https://chromewebstore.google.com/detail/inkmmdhpebdaogigmlbhkfflcldnbbkb</t>
  </si>
  <si>
    <t>NetflixProxy</t>
  </si>
  <si>
    <t>https://chromewebstore.google.com/detail/inlphfnbcepbaogelcdakmekbckgaofo</t>
  </si>
  <si>
    <t>Google Apps Script Custom IDE</t>
  </si>
  <si>
    <t>https://chromewebstore.google.com/detail/iopfooincihblbhjfhogkejlpmmabmcn</t>
  </si>
  <si>
    <t>AnimSearch - Beautify Your Digital Experience</t>
  </si>
  <si>
    <t>https://chromewebstore.google.com/detail/ipgmnmdjjmipidgnhpcgippbmchbmgap</t>
  </si>
  <si>
    <t>Manage My Tabs - Tab Manager</t>
  </si>
  <si>
    <t>https://chromewebstore.google.com/detail/jbhejjmjopbmikcoffcckcnbaiohgbge</t>
  </si>
  <si>
    <t>Tiktak Games</t>
  </si>
  <si>
    <t>https://chromewebstore.google.com/detail/jbjclilbjhgcidlgjkdkaagnijkgohnn</t>
  </si>
  <si>
    <t>Xpress Sign-On Extension(TITAN 7.1)</t>
  </si>
  <si>
    <t>https://chromewebstore.google.com/detail/jbkgemmcefolmjpdjmjkecbdmelpjehn</t>
  </si>
  <si>
    <t>Color and Fonts Extractor</t>
  </si>
  <si>
    <t>https://chromewebstore.google.com/detail/jbnjlcapocfdcoieepfpmcjfjhjdfibo</t>
  </si>
  <si>
    <t>BlogLinkClipper</t>
  </si>
  <si>
    <t>https://chromewebstore.google.com/detail/jcbdhcdpoagflgclgidimolohhmofnma</t>
  </si>
  <si>
    <t>Battery Info</t>
  </si>
  <si>
    <t>https://chromewebstore.google.com/detail/jchnojkeefjdioodimacimfiefjdbpag</t>
  </si>
  <si>
    <t>Duolingo immersion unlocker</t>
  </si>
  <si>
    <t>https://chromewebstore.google.com/detail/jcmaidkdmpnbnkahcpiiaobdokbjcjkg</t>
  </si>
  <si>
    <t>Omegaluler</t>
  </si>
  <si>
    <t>https://chromewebstore.google.com/detail/jdkdfpbdfepbjjkcgpbicgffajbbmjin</t>
  </si>
  <si>
    <t>Date Calculator</t>
  </si>
  <si>
    <t>https://chromewebstore.google.com/detail/jecbmodojclbbpddaeiokmmiigamnkon</t>
  </si>
  <si>
    <t>Quick View docs</t>
  </si>
  <si>
    <t>https://chromewebstore.google.com/detail/jecfjjkhfhlcnagpnfkcgckmlbhilnba</t>
  </si>
  <si>
    <t>Fast Note</t>
  </si>
  <si>
    <t>https://chromewebstore.google.com/detail/jehbplmdjbmcbbdlghcphdhfakcgaiaj</t>
  </si>
  <si>
    <t>enable-selection</t>
  </si>
  <si>
    <t>https://chromewebstore.google.com/detail/jehoagbopeaefibnihnfgenfcilmcikj</t>
  </si>
  <si>
    <t>Telegram Browser</t>
  </si>
  <si>
    <t>https://chromewebstore.google.com/detail/jelojgjhjelahgpnagjbebbcedehkijl</t>
  </si>
  <si>
    <t>Cache Checker</t>
  </si>
  <si>
    <t>https://chromewebstore.google.com/detail/jfipdgenfgpoakdfnndhkgjnnopnlohn</t>
  </si>
  <si>
    <t>View Image button for Google Images™</t>
  </si>
  <si>
    <t>https://chromewebstore.google.com/detail/jfjcobdgpgnlhbibdbobbplehgkmjdni</t>
  </si>
  <si>
    <t>EmojiPanel for Twitter (Previously EmojiT)</t>
  </si>
  <si>
    <t>https://chromewebstore.google.com/detail/jfjmncmbmpnaljmmcmeefmkmionkojmd</t>
  </si>
  <si>
    <t>WorkFlowy to Google Calendar</t>
  </si>
  <si>
    <t>https://chromewebstore.google.com/detail/jgcnopjghjlddcncaiohpbchlojdhgde</t>
  </si>
  <si>
    <t>Visual Inspector(前端重构+视觉走查辅助工具)</t>
  </si>
  <si>
    <t>https://chromewebstore.google.com/detail/jgimcbonbekgeahallgcmiibdidjeeim</t>
  </si>
  <si>
    <t>D-ToolBox</t>
  </si>
  <si>
    <t>https://chromewebstore.google.com/detail/jglhicdjgkdpoeepmenmpkdnfbekdoko</t>
  </si>
  <si>
    <t>Datahug Relationship Manager</t>
  </si>
  <si>
    <t>https://chromewebstore.google.com/detail/jhcemppcfhghdemjhckgjnhfjhpglaic</t>
  </si>
  <si>
    <t>Certificate Info</t>
  </si>
  <si>
    <t>https://chromewebstore.google.com/detail/jhldepncoippkjgjkmambfglddmjdmaj</t>
  </si>
  <si>
    <t>Kanjidex</t>
  </si>
  <si>
    <t>https://chromewebstore.google.com/detail/jhongcfphlabkimfoamdbffjgifglifk</t>
  </si>
  <si>
    <t>速卖通商品价格分析</t>
  </si>
  <si>
    <t>https://chromewebstore.google.com/detail/jjbmdpbkacodjafhgffajjkklehlfall</t>
  </si>
  <si>
    <t>Bookmark All</t>
  </si>
  <si>
    <t>https://chromewebstore.google.com/detail/jjhpikpjjhlcmifagompgmhkjalhjopj</t>
  </si>
  <si>
    <t>Dardasim.net - Free Games</t>
  </si>
  <si>
    <t>https://chromewebstore.google.com/detail/jjielhkllbondoilpemfgocfmaadbanm</t>
  </si>
  <si>
    <t>KGen</t>
  </si>
  <si>
    <t>https://chromewebstore.google.com/detail/jkpcelefglapiahikhocfdcigfpaagcl</t>
  </si>
  <si>
    <t>Aviasales — поиск авиабилетов</t>
  </si>
  <si>
    <t>https://chromewebstore.google.com/detail/jmkhcdngpkacgjkmpnkhbocdemapfhhl</t>
  </si>
  <si>
    <t>AcFun助手</t>
  </si>
  <si>
    <t>https://chromewebstore.google.com/detail/jmpmiaajjammeafdklfobkfaobinefef</t>
  </si>
  <si>
    <t>salesforce-tool</t>
  </si>
  <si>
    <t>https://chromewebstore.google.com/detail/jnflefkepapddpkpiaghionnflkhfjmp</t>
  </si>
  <si>
    <t>Easy Cleaner</t>
  </si>
  <si>
    <t>https://chromewebstore.google.com/detail/jnjglafkllnhclhmcjbhigkfnfollfjl</t>
  </si>
  <si>
    <t>Codelf-Best GitHub Stars organizer</t>
  </si>
  <si>
    <t>https://chromewebstore.google.com/detail/jnmjaglhmmcplekpfnblniiammmdpaan</t>
  </si>
  <si>
    <t>Просмотр изображений</t>
  </si>
  <si>
    <t>https://chromewebstore.google.com/detail/jpampamblikognkmdnphbcajcmiaclmo</t>
  </si>
  <si>
    <t>Twice New Tab</t>
  </si>
  <si>
    <t>https://chromewebstore.google.com/detail/jpelibdllbipgjlnpmanoldlcbjbnelo</t>
  </si>
  <si>
    <t>Namaz Vakti</t>
  </si>
  <si>
    <t>https://chromewebstore.google.com/detail/jpeoinaammomobckocmbgihidfjbcnmo</t>
  </si>
  <si>
    <t>LJ Account Juggler</t>
  </si>
  <si>
    <t>https://chromewebstore.google.com/detail/jpfnihbghaikdicpdiciecbbdoegcfhc</t>
  </si>
  <si>
    <t>Block Website Notification Requests</t>
  </si>
  <si>
    <t>https://chromewebstore.google.com/detail/jpjjgdaekibbfkagoaalobjonlfplodg</t>
  </si>
  <si>
    <t>Jarvis AI</t>
  </si>
  <si>
    <t>https://chromewebstore.google.com/detail/kahgfgghgkbdbgahgmaoagapigcohbih</t>
  </si>
  <si>
    <t>Grids &amp; Rulers</t>
  </si>
  <si>
    <t>https://chromewebstore.google.com/detail/kaippllfihpjicemabbbcljbmcpccabl</t>
  </si>
  <si>
    <t>Emoji Polyfill</t>
  </si>
  <si>
    <t>https://chromewebstore.google.com/detail/kaplhmhahkanhjahbdbaamdaililfmkj</t>
  </si>
  <si>
    <t>Twitch HTML5</t>
  </si>
  <si>
    <t>https://chromewebstore.google.com/detail/kbbjgmpfbfcpdbjjpnmlblohndobdcco</t>
  </si>
  <si>
    <t>Image Autosizer</t>
  </si>
  <si>
    <t>https://chromewebstore.google.com/detail/kbbmeeflfcjnbeelhinbnlmdjmekfhbm</t>
  </si>
  <si>
    <t>Chrome Response Override</t>
  </si>
  <si>
    <t>https://chromewebstore.google.com/detail/kbipbobgpnhgghikihmodppmfbkbmgfj</t>
  </si>
  <si>
    <t>Exponator Live!</t>
  </si>
  <si>
    <t>https://chromewebstore.google.com/detail/kbnckhjhgepdfhgnklcffikhfndhfgfc</t>
  </si>
  <si>
    <t>Open in VS Code</t>
  </si>
  <si>
    <t>https://chromewebstore.google.com/detail/kcplfgklelmfcockoimjkdgnlkbfgkjf</t>
  </si>
  <si>
    <t>ペタサーチ</t>
  </si>
  <si>
    <t>https://chromewebstore.google.com/detail/kdbneplgbhkphiaiompcaodcdlegggdg</t>
  </si>
  <si>
    <t>Double Shot Search: Query side-by-side</t>
  </si>
  <si>
    <t>https://chromewebstore.google.com/detail/kddlkbpbepnaepdleclhdnfdpdogdhop</t>
  </si>
  <si>
    <t>Pongball</t>
  </si>
  <si>
    <t>https://chromewebstore.google.com/detail/kdhkghpcffppoodbinndeglnndbgdpkf</t>
  </si>
  <si>
    <t>Trello Boosted Boards</t>
  </si>
  <si>
    <t>https://chromewebstore.google.com/detail/kdnfiaaebipjfmlajbklkkcgkddakdnf</t>
  </si>
  <si>
    <t>Norton Setup Help</t>
  </si>
  <si>
    <t>https://chromewebstore.google.com/detail/kdogdkfddoankbmhceckddidofffobab</t>
  </si>
  <si>
    <t>Image Grabber</t>
  </si>
  <si>
    <t>https://chromewebstore.google.com/detail/kelnjkckgoidifjnpldnhhamcmhhachc</t>
  </si>
  <si>
    <t>Download Statusbar</t>
  </si>
  <si>
    <t>https://chromewebstore.google.com/detail/kfjkodkjnmdeookccjmcdbhhpbgkoche</t>
  </si>
  <si>
    <t>https://chromewebstore.google.com/detail/kgcldhfjkmojjlpkcigpfbdkbhcaeomd</t>
  </si>
  <si>
    <t>Environment Indicator</t>
  </si>
  <si>
    <t>https://chromewebstore.google.com/detail/kgdbcpllbbnimjgoiomfdebldcofmlbl</t>
  </si>
  <si>
    <t>OPEN IN VLC™ MEDIA PLAYER</t>
  </si>
  <si>
    <t>https://chromewebstore.google.com/detail/kgfmoklaodpeeldpdkakejcdlcekhdje</t>
  </si>
  <si>
    <t>Dropdown Search</t>
  </si>
  <si>
    <t>https://chromewebstore.google.com/detail/kgjaddbcmpmacilgaekjfelhdebfjgib</t>
  </si>
  <si>
    <t>Tab Snooze - Works as of Nov 7 2021</t>
  </si>
  <si>
    <t>https://chromewebstore.google.com/detail/kgnigbfnfjgpfaiaafcbgdkpalapiinb</t>
  </si>
  <si>
    <t>JSON-As-Table Viewer</t>
  </si>
  <si>
    <t>https://chromewebstore.google.com/detail/khclkgjdjddedohnomokbhinlmpclick</t>
  </si>
  <si>
    <t>MS Doc Link</t>
  </si>
  <si>
    <t>https://chromewebstore.google.com/detail/khildacmciagghamickjajfmhcbnkjhp</t>
  </si>
  <si>
    <t>WebRTC Leak Prevent Toggle</t>
  </si>
  <si>
    <t>https://chromewebstore.google.com/detail/kignegkkmknfpincglcjggfbgghpamim</t>
  </si>
  <si>
    <t>Easy QrCode</t>
  </si>
  <si>
    <t>https://chromewebstore.google.com/detail/kiohphgncdnnnnlgcimjpfffjdhbbnmo</t>
  </si>
  <si>
    <t>DeadMouse</t>
  </si>
  <si>
    <t>https://chromewebstore.google.com/detail/kioijmpindokaaahaeigkkkbogccljhm</t>
  </si>
  <si>
    <t>Visual Studio Code Extension Downloader</t>
  </si>
  <si>
    <t>https://chromewebstore.google.com/detail/kkggidpacdaijlgpigfjpdedcffjddec</t>
  </si>
  <si>
    <t>Center'd - Center the new YT</t>
  </si>
  <si>
    <t>https://chromewebstore.google.com/detail/kkgjcknlnbcciacdklmnafmfcfjnpcja</t>
  </si>
  <si>
    <t>School Loop Easy Loop</t>
  </si>
  <si>
    <t>https://chromewebstore.google.com/detail/kkhpoabcjhecnadcnkgldgpfbncbjfjj</t>
  </si>
  <si>
    <t>GitHub File Icons</t>
  </si>
  <si>
    <t>https://chromewebstore.google.com/detail/kkokonbjllgdmblmbichgkkikhlcnekp</t>
  </si>
  <si>
    <t>Web to Plex</t>
  </si>
  <si>
    <t>https://chromewebstore.google.com/detail/kmcinnefmnkfnmnmijfmbiaflncfifcn</t>
  </si>
  <si>
    <t>タブ保存＆復元</t>
  </si>
  <si>
    <t>https://chromewebstore.google.com/detail/kmdjdpdfgcfhcgdnalbkieekamggeceg</t>
  </si>
  <si>
    <t>Assinatura Digital - FP2 Tecnologia</t>
  </si>
  <si>
    <t>https://chromewebstore.google.com/detail/kmeepaldeebnneongokliggiocmbldfh</t>
  </si>
  <si>
    <t>My Snapp</t>
  </si>
  <si>
    <t>https://chromewebstore.google.com/detail/kmjgbjddieihpeglpobkhcnbejiooilh</t>
  </si>
  <si>
    <t>ZUNI Plant-It (Plant-It to ZUNI)</t>
  </si>
  <si>
    <t>https://chromewebstore.google.com/detail/kmnieaiikpcjjghapcpfcegmolinpadf</t>
  </si>
  <si>
    <t>Direct Download Link Finder</t>
  </si>
  <si>
    <t>https://chromewebstore.google.com/detail/knplaemikhjcdnlgnjboeobcoipnaglf</t>
  </si>
  <si>
    <t>Telegram Messenger (Pin Tab)</t>
  </si>
  <si>
    <t>https://chromewebstore.google.com/detail/kochicomoiaalkibahlmglcjdmpeeplj</t>
  </si>
  <si>
    <t>New네이버</t>
  </si>
  <si>
    <t>https://chromewebstore.google.com/detail/kofgbkkedcjbnabgeagelhdedhfeehnd</t>
  </si>
  <si>
    <t>GTD: Trello Card Links</t>
  </si>
  <si>
    <t>https://chromewebstore.google.com/detail/kpbpniempdinfjfgphomcfkijinlgfgj</t>
  </si>
  <si>
    <t>Jitsi Meetings (meet.uvasc.net)</t>
  </si>
  <si>
    <t>https://chromewebstore.google.com/detail/kpdfmmfeoffigfodpohjpldpikdfgbhe</t>
  </si>
  <si>
    <t>Comics Downloader</t>
  </si>
  <si>
    <t>https://chromewebstore.google.com/detail/kppcdcpdknadnfdblpnknkpejminjlfn</t>
  </si>
  <si>
    <t>merge files to pdf - with PDFzorro</t>
  </si>
  <si>
    <t>https://chromewebstore.google.com/detail/laihjkjmijalhlehhhmeadpcgamgolga</t>
  </si>
  <si>
    <t>Faster Panopto</t>
  </si>
  <si>
    <t>https://chromewebstore.google.com/detail/lbehhpicfbglgijknhemcjcmencaajid</t>
  </si>
  <si>
    <t>Googlifier</t>
  </si>
  <si>
    <t>https://chromewebstore.google.com/detail/lblbdlideidphhfofbpocigbkkhingfg</t>
  </si>
  <si>
    <t>秋津洲の目 - かものめ</t>
  </si>
  <si>
    <t>https://chromewebstore.google.com/detail/lcccofmmanfnibnkbiabbajhgfoodanj</t>
  </si>
  <si>
    <t>Harry Potter: Hogwarts Mystery</t>
  </si>
  <si>
    <t>https://chromewebstore.google.com/detail/lccnicplgjaeocinbihlkjobkgpbkfbj</t>
  </si>
  <si>
    <t>TotallyLayouts</t>
  </si>
  <si>
    <t>https://chromewebstore.google.com/detail/lcgckkcjgkbgjoablpejebabahbamfkc</t>
  </si>
  <si>
    <t>Video Play Speed</t>
  </si>
  <si>
    <t>https://chromewebstore.google.com/detail/lciiobdgpdlmfjnahgcdmgebmpfkphpb</t>
  </si>
  <si>
    <t>Snakou</t>
  </si>
  <si>
    <t>https://chromewebstore.google.com/detail/lcjhokogmfjbhdfnhpgpamfpjjgckejn</t>
  </si>
  <si>
    <t>Knockout Context Hover</t>
  </si>
  <si>
    <t>https://chromewebstore.google.com/detail/lcpnkclcbpmhekkjnkomhoecoiobbejf</t>
  </si>
  <si>
    <t>KMineSweeper</t>
  </si>
  <si>
    <t>https://chromewebstore.google.com/detail/ldmhhkobonimkpkfoabdmmngbbjcgilo</t>
  </si>
  <si>
    <t>directUC</t>
  </si>
  <si>
    <t>https://chromewebstore.google.com/detail/leflipcmaokfjdgpemeimelohgfdbdca</t>
  </si>
  <si>
    <t>M-Lab Measure</t>
  </si>
  <si>
    <t>https://chromewebstore.google.com/detail/leijmacehibmiomcnpaolboihcdepokh</t>
  </si>
  <si>
    <t>PlayIt on XBMC</t>
  </si>
  <si>
    <t>https://chromewebstore.google.com/detail/lfmmppchelncapanmhdefnmfjplkpchl</t>
  </si>
  <si>
    <t>Quick Zoom</t>
  </si>
  <si>
    <t>https://chromewebstore.google.com/detail/lgallnmjflibiofogpfalipjikgdaipb</t>
  </si>
  <si>
    <t>Roblox Trade Enhancer</t>
  </si>
  <si>
    <t>https://chromewebstore.google.com/detail/lhfjkdhahmelehfjhnbgopnghoeppjof</t>
  </si>
  <si>
    <t>Wordcounter</t>
  </si>
  <si>
    <t>https://chromewebstore.google.com/detail/lhggjeapfnagbjlklclkmlihhoandlib</t>
  </si>
  <si>
    <t>Clean Street View</t>
  </si>
  <si>
    <t>https://chromewebstore.google.com/detail/lhkidipggaennjfclhkocofdmbhcomhj</t>
  </si>
  <si>
    <t>Blocklist</t>
  </si>
  <si>
    <t>https://chromewebstore.google.com/detail/lhkohakojbnibcaoppkgojpfbcebkbpo</t>
  </si>
  <si>
    <t>https://chromewebstore.google.com/detail/lhlogiifobbflegkhfmijkkdcejkcmdj</t>
  </si>
  <si>
    <t>NATO Alphabet</t>
  </si>
  <si>
    <t>https://chromewebstore.google.com/detail/lhmcanklfjfcmdkakbnflgnjcgmpdkdo</t>
  </si>
  <si>
    <t>Learn Darklight</t>
  </si>
  <si>
    <t>https://chromewebstore.google.com/detail/lhodieepeghcemhpbloffmljoklaklho</t>
  </si>
  <si>
    <t>Trump Filter</t>
  </si>
  <si>
    <t>https://chromewebstore.google.com/detail/lhondapiaknegjpellpodegmeonigjic</t>
  </si>
  <si>
    <t>XML Editey</t>
  </si>
  <si>
    <t>https://chromewebstore.google.com/detail/liglgghpccflcebckjdmiplgjbicachl</t>
  </si>
  <si>
    <t>SaveTik - Tik Tok Downloader</t>
  </si>
  <si>
    <t>https://chromewebstore.google.com/detail/lilbblbpakjjohhllknkgcgfabehbiai</t>
  </si>
  <si>
    <t>Improver of hc</t>
  </si>
  <si>
    <t>https://chromewebstore.google.com/detail/ljbdocmmfpejofpcldginbilddlifjek</t>
  </si>
  <si>
    <t>YouTube subtitles viewer</t>
  </si>
  <si>
    <t>https://chromewebstore.google.com/detail/ljblecifcbmcdjbabhimddlladlkfdfg</t>
  </si>
  <si>
    <t>Chainlove Countdown Timer</t>
  </si>
  <si>
    <t>https://chromewebstore.google.com/detail/ljppcglljemjablfhgjdhndlpallobpl</t>
  </si>
  <si>
    <t>SUPER-VK 2.0</t>
  </si>
  <si>
    <t>https://chromewebstore.google.com/detail/lkhdjcjomgifjdihdiecifkigmdemjlh</t>
  </si>
  <si>
    <t>W3bin.com - Who is hosting that website?</t>
  </si>
  <si>
    <t>https://chromewebstore.google.com/detail/lljhfacjpknfplpagpnillgkiepplbjd</t>
  </si>
  <si>
    <t>BetterGaia</t>
  </si>
  <si>
    <t>https://chromewebstore.google.com/detail/lmgjagdflhhfjflolfalapokbplfldna</t>
  </si>
  <si>
    <t>Adblock Must Go On</t>
  </si>
  <si>
    <t>https://chromewebstore.google.com/detail/lmjpmkegbmbgedofmgcmmajdadldpndm</t>
  </si>
  <si>
    <t>CRX Inspector</t>
  </si>
  <si>
    <t>https://chromewebstore.google.com/detail/lmlpbkpknjcnfabomjkecmkigcphgomk</t>
  </si>
  <si>
    <t>OKIOCAM Stop Motion</t>
  </si>
  <si>
    <t>https://chromewebstore.google.com/detail/lnidgfoooocnaddmcclcipfgnelokjda</t>
  </si>
  <si>
    <t>Etsy Shop Tools</t>
  </si>
  <si>
    <t>https://chromewebstore.google.com/detail/lobpagdpoopcmipmanjdnhpkjlofpbbp</t>
  </si>
  <si>
    <t>MBDictionary(English/Chinese/Japanese/Korean)</t>
  </si>
  <si>
    <t>https://chromewebstore.google.com/detail/lpbnlilmgcemkbnmgiomhebhljhnokfd</t>
  </si>
  <si>
    <t>Markdown阅读器</t>
  </si>
  <si>
    <t>https://chromewebstore.google.com/detail/lpfleledablfbdekjbhcejmagnjoihgn</t>
  </si>
  <si>
    <t>Asteroids</t>
  </si>
  <si>
    <t>https://chromewebstore.google.com/detail/lpjljcoihnoipcoialpjbnfbojnolkej</t>
  </si>
  <si>
    <t>Emojify</t>
  </si>
  <si>
    <t>https://chromewebstore.google.com/detail/lpkndkffkmhcdkkdmeeelikmadjjmebe</t>
  </si>
  <si>
    <t>Extensions switcher</t>
  </si>
  <si>
    <t>https://chromewebstore.google.com/detail/mapmknaogodpakjopdhmdcilahbfbjpc</t>
  </si>
  <si>
    <t>马甲</t>
  </si>
  <si>
    <t>https://chromewebstore.google.com/detail/mbagihlilbaofbfpmnicoonnebmhohmm</t>
  </si>
  <si>
    <t>Google App Launcher</t>
  </si>
  <si>
    <t>https://chromewebstore.google.com/detail/mbiingeofjaobdlcimmeamefmgjmcgdd</t>
  </si>
  <si>
    <t>FamilySearch Family Tree Show Sources</t>
  </si>
  <si>
    <t>https://chromewebstore.google.com/detail/mbpaocchpmekmafpkliigmmkllfedmkb</t>
  </si>
  <si>
    <t>Font Awesome Icon Picker</t>
  </si>
  <si>
    <t>https://chromewebstore.google.com/detail/mcepmpclbgahgbpcgbmnpplcfmlaiopm</t>
  </si>
  <si>
    <t>Lenstag Rescue</t>
  </si>
  <si>
    <t>https://chromewebstore.google.com/detail/mciidkooancddoomldklgcklkbmlboog</t>
  </si>
  <si>
    <t>Dom Size Analyzer</t>
  </si>
  <si>
    <t>https://chromewebstore.google.com/detail/mcneiimlodlbmohipgdbbglgbmaoojen</t>
  </si>
  <si>
    <t>Conectores Textuales</t>
  </si>
  <si>
    <t>https://chromewebstore.google.com/detail/mdcmjnnhnpfohfpjjjnhhplenkmjokem</t>
  </si>
  <si>
    <t>Coding HTML</t>
  </si>
  <si>
    <t>https://chromewebstore.google.com/detail/mdmgabincholmoohfoniibddbldpfaef</t>
  </si>
  <si>
    <t>Tab-less</t>
  </si>
  <si>
    <t>https://chromewebstore.google.com/detail/mdndkociaebjkggmhnemegoegnbfbgoo</t>
  </si>
  <si>
    <t>Classic Retweet</t>
  </si>
  <si>
    <t>https://chromewebstore.google.com/detail/mejfljhfeahhhicjefeehikaooffggmf</t>
  </si>
  <si>
    <t>Meet Auto Admit</t>
  </si>
  <si>
    <t>https://chromewebstore.google.com/detail/mfbnjcfflkhefklaghlmpjlkgbegnbod</t>
  </si>
  <si>
    <t>Kickass torrent search</t>
  </si>
  <si>
    <t>https://chromewebstore.google.com/detail/mfejenndcibciljogmlhppblholelagg</t>
  </si>
  <si>
    <t>Trello Night</t>
  </si>
  <si>
    <t>https://chromewebstore.google.com/detail/mfifmoklnkpndjjcalemaggldbicmkki</t>
  </si>
  <si>
    <t>Scroll Speed</t>
  </si>
  <si>
    <t>https://chromewebstore.google.com/detail/mfmhdfkinffhnfhaalnabffcfjgcmdhl</t>
  </si>
  <si>
    <t>太空饭否</t>
  </si>
  <si>
    <t>https://chromewebstore.google.com/detail/mfofmcdbaeajgdeihmcjjohmhepcdcol</t>
  </si>
  <si>
    <t>Hebrew Tooltip Translation for Google Chrome™</t>
  </si>
  <si>
    <t>https://chromewebstore.google.com/detail/mhbjoppmeodjnkmbekpmfgicgiaecblm</t>
  </si>
  <si>
    <t>Table Booster for Google Analytics</t>
  </si>
  <si>
    <t>https://chromewebstore.google.com/detail/mhedbgbipbdppajofkiklhlbbdlldidj</t>
  </si>
  <si>
    <t>Offcloud.com Extension</t>
  </si>
  <si>
    <t>https://chromewebstore.google.com/detail/mhenombkbjeannffjnhcnelokhkfndch</t>
  </si>
  <si>
    <t>Devtools for Tailwind CSS</t>
  </si>
  <si>
    <t>https://chromewebstore.google.com/detail/mihalpimkkhhigoielhempcamoffhfij</t>
  </si>
  <si>
    <t>Twitch multistream</t>
  </si>
  <si>
    <t>https://chromewebstore.google.com/detail/mjaafpfnaeofaacnmkfdafldodlaomln</t>
  </si>
  <si>
    <t>Encoder / Decoder</t>
  </si>
  <si>
    <t>https://chromewebstore.google.com/detail/mjcdbmdlmjbjmpenpepgcpnmapclkaah</t>
  </si>
  <si>
    <t>Git Cheat Sheet</t>
  </si>
  <si>
    <t>https://chromewebstore.google.com/detail/mjdmgoiobnbkfcfjcceaodlcodhpokgn</t>
  </si>
  <si>
    <t>Points for Trello</t>
  </si>
  <si>
    <t>https://chromewebstore.google.com/detail/mkcpchladphoadhaclmnlphhijboljjk</t>
  </si>
  <si>
    <t>划词翻译(柯林斯词典)+扇贝生词本</t>
  </si>
  <si>
    <t>https://chromewebstore.google.com/detail/mkohdjbfagmlcaclajmadgkojelkbbfj</t>
  </si>
  <si>
    <t>Tranquility Reader</t>
  </si>
  <si>
    <t>https://chromewebstore.google.com/detail/mlbcofjdcpapkhdkchafogjpcnjnfijh</t>
  </si>
  <si>
    <t>UbiChr - Ubiquity for Chrome</t>
  </si>
  <si>
    <t>https://chromewebstore.google.com/detail/mlgfghegijfplmnoplodhgcnhakfpbeb</t>
  </si>
  <si>
    <t>微博助手</t>
  </si>
  <si>
    <t>https://chromewebstore.google.com/detail/mlgicmacgnloflibjaidfcmpemnmlkci</t>
  </si>
  <si>
    <t>さてはフォロワー買いました？今すぐチェックボタン - Chrome 拡張</t>
  </si>
  <si>
    <t>https://chromewebstore.google.com/detail/mljaeppcogkejonoejbocgcbilnmofho</t>
  </si>
  <si>
    <t>udata - data visualization plugin</t>
  </si>
  <si>
    <t>https://chromewebstore.google.com/detail/mmejbcacelkdcpaeccimglglbkeohlhe</t>
  </si>
  <si>
    <t>Ophirofox</t>
  </si>
  <si>
    <t>https://chromewebstore.google.com/detail/mmmjkgckgcpankonbgbianpnfenbhodf</t>
  </si>
  <si>
    <t>ExVTOP (Extended VTOP)</t>
  </si>
  <si>
    <t>https://chromewebstore.google.com/detail/mmncmmodffimfglkgomlgbgpcgidkbij</t>
  </si>
  <si>
    <t>Turntable.fm Extended</t>
  </si>
  <si>
    <t>https://chromewebstore.google.com/detail/mnciafhfaahhafklckmcabbncbgcjpeg</t>
  </si>
  <si>
    <t>Sudoku</t>
  </si>
  <si>
    <t>https://chromewebstore.google.com/detail/mnejlibhmapdlfjopobeadmenbbhgelg</t>
  </si>
  <si>
    <t>TezBox - Tezos Wallet</t>
  </si>
  <si>
    <t>https://chromewebstore.google.com/detail/mnfifefkajgofkcjkemidiaecocnkjeh</t>
  </si>
  <si>
    <t>timimi</t>
  </si>
  <si>
    <t>https://chromewebstore.google.com/detail/mnggafnmmhdoplbffagjihajeeikgbcg</t>
  </si>
  <si>
    <t>Omnibox App Launcher</t>
  </si>
  <si>
    <t>https://chromewebstore.google.com/detail/mnieoidhfojjegnlioncpneloopflfde</t>
  </si>
  <si>
    <t>用GetBy.Download離線下載磁力鏈接</t>
  </si>
  <si>
    <t>https://chromewebstore.google.com/detail/mnnamhamofdlheiloeenopobhmifpbci</t>
  </si>
  <si>
    <t>Quickline Chrome Plugin</t>
  </si>
  <si>
    <t>https://chromewebstore.google.com/detail/mnpiohgimhjcajegfkoenhhdjdgnfbhn</t>
  </si>
  <si>
    <t>TurboMeet - Turbocharge your Google Meet</t>
  </si>
  <si>
    <t>https://chromewebstore.google.com/detail/mohcccndblgelimaddnfbjbangcmibgp</t>
  </si>
  <si>
    <t>AutEM Exportador V2.0</t>
  </si>
  <si>
    <t>https://chromewebstore.google.com/detail/mohgglkpnbdalpiiemikjedijmhhgdhn</t>
  </si>
  <si>
    <t>Dragon Ball Super Clip Tab</t>
  </si>
  <si>
    <t>https://chromewebstore.google.com/detail/mopbacdddloogaaccclkbolpgihnoejh</t>
  </si>
  <si>
    <t>TCS Webmail</t>
  </si>
  <si>
    <t>https://chromewebstore.google.com/detail/mpmddhklininggcilpnocebfhmcifdic</t>
  </si>
  <si>
    <t>Iron Updater</t>
  </si>
  <si>
    <t>https://chromewebstore.google.com/detail/nabglnpmfhienaimnmbjigimjdafimjn</t>
  </si>
  <si>
    <t>postMessage Developer Tools</t>
  </si>
  <si>
    <t>https://chromewebstore.google.com/detail/nadeoelabbieobdpmejlfidbhhdicmpa</t>
  </si>
  <si>
    <t>Browserpass</t>
  </si>
  <si>
    <t>https://chromewebstore.google.com/detail/naepdomgkenhinolocfifgehidddafch</t>
  </si>
  <si>
    <t>Blank New Tab Page</t>
  </si>
  <si>
    <t>https://chromewebstore.google.com/detail/nanjankoodpibkkjgmmaeoccefklohao</t>
  </si>
  <si>
    <t>#wrap</t>
  </si>
  <si>
    <t>https://chromewebstore.google.com/detail/nbcgkdilbhnnoemimofnknocbkpldobi</t>
  </si>
  <si>
    <t>SendWin</t>
  </si>
  <si>
    <t>https://chromewebstore.google.com/detail/nbnjpdfblnfaniloehlfjkdfclljcgfn</t>
  </si>
  <si>
    <t>Countdown Killer</t>
  </si>
  <si>
    <t>https://chromewebstore.google.com/detail/ncccojappahgaagaaaieoofhiohjaogl</t>
  </si>
  <si>
    <t>Unblocker for BBC iPlayer</t>
  </si>
  <si>
    <t>https://chromewebstore.google.com/detail/ncloaegenmmidmomonndokgpojpkbmkn</t>
  </si>
  <si>
    <t>Extension Manager</t>
  </si>
  <si>
    <t>https://chromewebstore.google.com/detail/nddeiknmamlpagmnabfdlljlikeoanch</t>
  </si>
  <si>
    <t>Add URL To Window Title</t>
  </si>
  <si>
    <t>https://chromewebstore.google.com/detail/ndiaggkadcioihmhghipjmgfeamgjeoi</t>
  </si>
  <si>
    <t>Enable Right Click</t>
  </si>
  <si>
    <t>https://chromewebstore.google.com/detail/nemnpbkkffglpnjncoglabfglkidbbek</t>
  </si>
  <si>
    <t>Webpage Downloader</t>
  </si>
  <si>
    <t>https://chromewebstore.google.com/detail/nfkaeignpggbjnhhijmggoeploenicdo</t>
  </si>
  <si>
    <t>Wallpapers Home</t>
  </si>
  <si>
    <t>https://chromewebstore.google.com/detail/nflndjpnihekepaecdfjdhihobjlpdeo</t>
  </si>
  <si>
    <t>Block Archive &amp; Unenroll</t>
  </si>
  <si>
    <t>https://chromewebstore.google.com/detail/ngfiakljhmohmelbjjhiffcihiinflpj</t>
  </si>
  <si>
    <t>Bootstrap Grid for any Website</t>
  </si>
  <si>
    <t>https://chromewebstore.google.com/detail/ngjnlpkfccnglmlobafmobgjoiiliden</t>
  </si>
  <si>
    <t>爱看豆找书</t>
  </si>
  <si>
    <t>https://chromewebstore.google.com/detail/ngllidpgooocgmibccdgoajmdcmljfke</t>
  </si>
  <si>
    <t>VVLoad Task Manager</t>
  </si>
  <si>
    <t>https://chromewebstore.google.com/detail/nhcdkdllpbbldbllgjadnemkobkinodf</t>
  </si>
  <si>
    <t>恢复关闭的标签</t>
  </si>
  <si>
    <t>https://chromewebstore.google.com/detail/nhdghhbkaaohocakiepiogjhlllekfma</t>
  </si>
  <si>
    <t>mailto</t>
  </si>
  <si>
    <t>https://chromewebstore.google.com/detail/nhfdmebpfpogeakgjmgbalpnmggnnchj</t>
  </si>
  <si>
    <t>ふたば@アプリ としあき(仮) 出張版</t>
  </si>
  <si>
    <t>https://chromewebstore.google.com/detail/nhiegnhgjieegcgdkbneigigmpijbnhe</t>
  </si>
  <si>
    <t>YouTube Auto Volume Changer</t>
  </si>
  <si>
    <t>https://chromewebstore.google.com/detail/nhnjlogclbafnccpmakpeekineodeimb</t>
  </si>
  <si>
    <t>Xdebug</t>
  </si>
  <si>
    <t>https://chromewebstore.google.com/detail/nhodjblplijafdpjjfhhanfmchplpfgl</t>
  </si>
  <si>
    <t>Kadiska</t>
  </si>
  <si>
    <t>https://chromewebstore.google.com/detail/nibcpadmgplbioagpknbbeabnidndcic</t>
  </si>
  <si>
    <t>Download Notify</t>
  </si>
  <si>
    <t>https://chromewebstore.google.com/detail/nieieojodgghoomakdkpkeipnncmbhdo</t>
  </si>
  <si>
    <t>Easy Nepali Typing</t>
  </si>
  <si>
    <t>https://chromewebstore.google.com/detail/nifgeionndffoekogkpkjigcjnhdcdjp</t>
  </si>
  <si>
    <t>Wudooh وضوح</t>
  </si>
  <si>
    <t>https://chromewebstore.google.com/detail/nigfaloeeeakmmgndbdcijjegolpjfhn</t>
  </si>
  <si>
    <t>Snapfont - Preview fonts on any page</t>
  </si>
  <si>
    <t>https://chromewebstore.google.com/detail/nkddaimdokgdjkekmdakdaojkfaghomj</t>
  </si>
  <si>
    <t>Tenable.io Web Application Scanning</t>
  </si>
  <si>
    <t>https://chromewebstore.google.com/detail/nkmmlnphajhildmnjkjkgkjnggpnhkhk</t>
  </si>
  <si>
    <t>SoundCloud Likes to Playlist</t>
  </si>
  <si>
    <t>https://chromewebstore.google.com/detail/nkndddcbofchmjogahmikkapkaoglkoh</t>
  </si>
  <si>
    <t>豆瓣电台chrome版</t>
  </si>
  <si>
    <t>https://chromewebstore.google.com/detail/nljjfnjijdcagicaijhmaialoiahjckf</t>
  </si>
  <si>
    <t>Twitter Video Downloader</t>
  </si>
  <si>
    <t>https://chromewebstore.google.com/detail/nlkjkemkonahlpdjffgilcmgpghfphbj</t>
  </si>
  <si>
    <t>Popout Video Player</t>
  </si>
  <si>
    <t>https://chromewebstore.google.com/detail/nlkkdjbboeginjddlaldghockncacjpm</t>
  </si>
  <si>
    <t>Popout Tab</t>
  </si>
  <si>
    <t>https://chromewebstore.google.com/detail/nlnicneebppdmbhknnbdnilmfkbonhec</t>
  </si>
  <si>
    <t>Google Classroom Suite</t>
  </si>
  <si>
    <t>https://chromewebstore.google.com/detail/nlplighifcffggibcniobplggfggphia</t>
  </si>
  <si>
    <t>WebDict</t>
  </si>
  <si>
    <t>https://chromewebstore.google.com/detail/nnjjepljgjdohjjenolpeplgcmfjchih</t>
  </si>
  <si>
    <t>J CSS Reload</t>
  </si>
  <si>
    <t>https://chromewebstore.google.com/detail/nnmebjmgdonemncjdliomljdfhpnlekk</t>
  </si>
  <si>
    <t>Read Receipt Decliner</t>
  </si>
  <si>
    <t>https://chromewebstore.google.com/detail/nonmcdkdhgkljdlbkfdclcemmoenfbgb</t>
  </si>
  <si>
    <t>Rainbow Tab</t>
  </si>
  <si>
    <t>https://chromewebstore.google.com/detail/npfnmnpgmelioikiledodkimffbejdjn</t>
  </si>
  <si>
    <t>Fruumo - New Tab Page</t>
  </si>
  <si>
    <t>https://chromewebstore.google.com/detail/npknnddabjhdijgmmbocdicnknegobkm</t>
  </si>
  <si>
    <t>Significado Dicionário Priberam</t>
  </si>
  <si>
    <t>https://chromewebstore.google.com/detail/oahnbjfjdgpabgpdbnljaodhlgfeblhk</t>
  </si>
  <si>
    <t>Studentkortets Plugin</t>
  </si>
  <si>
    <t>https://chromewebstore.google.com/detail/oakginfeffaakolnlhkcflaebdgbfmfe</t>
  </si>
  <si>
    <t>PotatoSmile</t>
  </si>
  <si>
    <t>https://chromewebstore.google.com/detail/oalbpfagfhfkcmklpdanadjpbfdedndn</t>
  </si>
  <si>
    <t>Free Accounting Software by SlickPie</t>
  </si>
  <si>
    <t>https://chromewebstore.google.com/detail/oalnjhnakfpklfbnmnbgidfhemncplef</t>
  </si>
  <si>
    <t>ESPN Cookie Finder</t>
  </si>
  <si>
    <t>https://chromewebstore.google.com/detail/oapfffhnckhffnpiophbcmjnpomjkfcj</t>
  </si>
  <si>
    <t>Tiddly Drive</t>
  </si>
  <si>
    <t>https://chromewebstore.google.com/detail/oaphhjhbbabdjnpjpiliepphpmnioolo</t>
  </si>
  <si>
    <t>Kluk</t>
  </si>
  <si>
    <t>https://chromewebstore.google.com/detail/obanalcjjhlhikmhfkeifieifjbpnchg</t>
  </si>
  <si>
    <t>Daltonize</t>
  </si>
  <si>
    <t>https://chromewebstore.google.com/detail/obcnmdgpjakcffkcjnonpdlainhphpgh</t>
  </si>
  <si>
    <t>Meu Dim Dim - Cashback e Cupons de Descontos</t>
  </si>
  <si>
    <t>https://chromewebstore.google.com/detail/ocinlljpgedeimebndedmhjmbiigmoga</t>
  </si>
  <si>
    <t>Atlas Obscura Tabs</t>
  </si>
  <si>
    <t>https://chromewebstore.google.com/detail/odbdedlpknlpnibidnmjcmlopgegggbi</t>
  </si>
  <si>
    <t>梦想划词翻译—聚合词典搜索</t>
  </si>
  <si>
    <t>https://chromewebstore.google.com/detail/odfgigmpkhhhieicogijogfobfipijjh</t>
  </si>
  <si>
    <t>Flah - flash enabler</t>
  </si>
  <si>
    <t>https://chromewebstore.google.com/detail/odoiohbbplgpbkfinacjpmcfpgfinljb</t>
  </si>
  <si>
    <t>Akamai Developer Toolkit</t>
  </si>
  <si>
    <t>https://chromewebstore.google.com/detail/oeekflkhfpllpepjdkpodopelgaebeed</t>
  </si>
  <si>
    <t>Online News App</t>
  </si>
  <si>
    <t>https://chromewebstore.google.com/detail/oemdhbekdbklfkopmoalceaabbjmjpdb</t>
  </si>
  <si>
    <t>Netflix++</t>
  </si>
  <si>
    <t>https://chromewebstore.google.com/detail/ofiindmkglmjpndljggpcpamcglnmmpl</t>
  </si>
  <si>
    <t>Super Mania Ball</t>
  </si>
  <si>
    <t>https://chromewebstore.google.com/detail/ofnkhbghpfepphpopdkcgbloclnocfpb</t>
  </si>
  <si>
    <t>选课助手</t>
  </si>
  <si>
    <t>https://chromewebstore.google.com/detail/ogdbiinbadpfacfnngdjjcjcfkpmidfm</t>
  </si>
  <si>
    <t>Black-shrimp</t>
  </si>
  <si>
    <t>https://chromewebstore.google.com/detail/oggljfcldhdcoemgnamdaaaofaenefni</t>
  </si>
  <si>
    <t>GameSkip</t>
  </si>
  <si>
    <t>https://chromewebstore.google.com/detail/oglhollagcmlahfflcpgpoemjpjfafeo</t>
  </si>
  <si>
    <t>Fast New Tab Redirect</t>
  </si>
  <si>
    <t>https://chromewebstore.google.com/detail/ohnfdmfkceojnmepofncbddpdicdjcoi</t>
  </si>
  <si>
    <t>Khan Academy Language Toggle</t>
  </si>
  <si>
    <t>https://chromewebstore.google.com/detail/ohnjbklmpmcaagafdohmngealmpojabi</t>
  </si>
  <si>
    <t>SlideShare Clipper</t>
  </si>
  <si>
    <t>https://chromewebstore.google.com/detail/okaejpolmbadfbmnpnmdjdocdblgcija</t>
  </si>
  <si>
    <t>Roblox Quick Access</t>
  </si>
  <si>
    <t>https://chromewebstore.google.com/detail/oknfhghddpnfhibkiclbkcfpfahdhmkh</t>
  </si>
  <si>
    <t>Pastel Tab</t>
  </si>
  <si>
    <t>https://chromewebstore.google.com/detail/olbihpfkfhmeonjellidnieandnfaapd</t>
  </si>
  <si>
    <t>Adaptive Bitrate Manifest Viewer</t>
  </si>
  <si>
    <t>https://chromewebstore.google.com/detail/omjpjjekjefmdkidigpkhpjnojoadbih</t>
  </si>
  <si>
    <t>FEHeader</t>
  </si>
  <si>
    <t>https://chromewebstore.google.com/detail/omloppmdelcfeablljmjmonacajpfpmj</t>
  </si>
  <si>
    <t>Simple Material Design Palette</t>
  </si>
  <si>
    <t>https://chromewebstore.google.com/detail/onaeadclbaeleijcfmmhopgmmmpedifa</t>
  </si>
  <si>
    <t>Binance Toolkit</t>
  </si>
  <si>
    <t>https://chromewebstore.google.com/detail/onallmegfllpgimnkekmlpgcknbajapa</t>
  </si>
  <si>
    <t>N-bot - Microsoft Teams Online class Attender</t>
  </si>
  <si>
    <t>https://chromewebstore.google.com/detail/onbankppjhoeccfkpnhogojjllbefglb</t>
  </si>
  <si>
    <t>Stark VPN - Unlimited VPN Proxy</t>
  </si>
  <si>
    <t>https://chromewebstore.google.com/detail/onfbdcochddeofkfdjahmpmefpilbjpb</t>
  </si>
  <si>
    <t>网易云音乐下载插件</t>
  </si>
  <si>
    <t>https://chromewebstore.google.com/detail/onjdlclpcjjopdlmokbdbkmhfhonkghd</t>
  </si>
  <si>
    <t>买买买购物助手</t>
  </si>
  <si>
    <t>https://chromewebstore.google.com/detail/ooelmejmbcmaenhjphbegoigejcpaijj</t>
  </si>
  <si>
    <t>Startup Tracker</t>
  </si>
  <si>
    <t>https://chromewebstore.google.com/detail/oopaipoegcoodhcemiefhoeaneholpfj</t>
  </si>
  <si>
    <t>Bittrex Enhanced</t>
  </si>
  <si>
    <t>https://chromewebstore.google.com/detail/opefelljddckamffnphohkknfgbdnham</t>
  </si>
  <si>
    <t>Somiibo</t>
  </si>
  <si>
    <t>https://chromewebstore.google.com/detail/opidlipnbfhpdenbnanplcalbdgoplnc</t>
  </si>
  <si>
    <t>Последняя вкладка браузера.</t>
  </si>
  <si>
    <t>https://chromewebstore.google.com/detail/opjjnkenncfhccclamihhkgagcimhkgb</t>
  </si>
  <si>
    <t>VIT WiFi Auto Login</t>
  </si>
  <si>
    <t>https://chromewebstore.google.com/detail/opplgfmlhieaibnddnjciilcadohjopd</t>
  </si>
  <si>
    <t>Remove Cookie Banners</t>
  </si>
  <si>
    <t>https://chromewebstore.google.com/detail/pacehjmodmfilemfbcahnpdcdmlocjnm</t>
  </si>
  <si>
    <t>HTTPS Mixed Content Locator</t>
  </si>
  <si>
    <t>https://chromewebstore.google.com/detail/pbljfomgollbampmcmalflifheichabj</t>
  </si>
  <si>
    <t>Cookie Clicker Buddy</t>
  </si>
  <si>
    <t>https://chromewebstore.google.com/detail/pcjgpaoccfljpcenfoonloideeelljih</t>
  </si>
  <si>
    <t>Ensighten Developer Tools</t>
  </si>
  <si>
    <t>https://chromewebstore.google.com/detail/pcpaogkiacmmehpclbomfdhknjmndgpf</t>
  </si>
  <si>
    <t>COVID-19 STIRI OFICIALE</t>
  </si>
  <si>
    <t>https://chromewebstore.google.com/detail/pdcpkplohipjhdfdchpmgekifmcdbnha</t>
  </si>
  <si>
    <t>VueX</t>
  </si>
  <si>
    <t>https://chromewebstore.google.com/detail/pdhfkciemenekahpcoimfljmdifjllon</t>
  </si>
  <si>
    <t>Typeracer Assistant</t>
  </si>
  <si>
    <t>https://chromewebstore.google.com/detail/pdhpdibmmpabmojipngiikifminbkabf</t>
  </si>
  <si>
    <t>ScreenScraper</t>
  </si>
  <si>
    <t>https://chromewebstore.google.com/detail/pfegffhjcgkneoemnlniggnhkfioidjg</t>
  </si>
  <si>
    <t>No BBB</t>
  </si>
  <si>
    <t>https://chromewebstore.google.com/detail/pffipagakjgfndljjpkbdpoimojmgjca</t>
  </si>
  <si>
    <t>Formix - Шаблоны сообщений для соц. сетей</t>
  </si>
  <si>
    <t>https://chromewebstore.google.com/detail/pfncofjenonlikkhcbbgingooppdddde</t>
  </si>
  <si>
    <t>EZ Zoom</t>
  </si>
  <si>
    <t>https://chromewebstore.google.com/detail/pgjddfakmeeljhjhnhgakblggcfkmima</t>
  </si>
  <si>
    <t>Google Services Launcher</t>
  </si>
  <si>
    <t>https://chromewebstore.google.com/detail/pgmbbgdogjfgbnlcnfeoelfanbgaehma</t>
  </si>
  <si>
    <t>repl.it download</t>
  </si>
  <si>
    <t>https://chromewebstore.google.com/detail/pgmcojeijjhacgkkjaakdafmloncpema</t>
  </si>
  <si>
    <t>Discord Status</t>
  </si>
  <si>
    <t>https://chromewebstore.google.com/detail/phhkfpenalhlnhefgcehhdgoabneidjn</t>
  </si>
  <si>
    <t>Nobitago</t>
  </si>
  <si>
    <t>https://chromewebstore.google.com/detail/phkjgidaednepcinnjgofdfjmajjngji</t>
  </si>
  <si>
    <t>AmIUnique</t>
  </si>
  <si>
    <t>https://chromewebstore.google.com/detail/pigjfndpomdldkmoaiiigpbncemhjeca</t>
  </si>
  <si>
    <t>Artstation Downloader</t>
  </si>
  <si>
    <t>https://chromewebstore.google.com/detail/pjfglpaimjpcekmaicealmmahlnbjool</t>
  </si>
  <si>
    <t>TikTok - Download Without Watermark</t>
  </si>
  <si>
    <t>https://chromewebstore.google.com/detail/pkcbdgpgameiombpiiofoekagjhhdjpe</t>
  </si>
  <si>
    <t>MetaProducts Offline Explorer integration</t>
  </si>
  <si>
    <t>https://chromewebstore.google.com/detail/pkijdmeepjhpenmighhaodgfoogncnlk</t>
  </si>
  <si>
    <t>Just Save</t>
  </si>
  <si>
    <t>https://chromewebstore.google.com/detail/plaggkdohpgdahkidgjmbhafnbbacpno</t>
  </si>
  <si>
    <t>獨孤九劍 財務報表分析工具</t>
  </si>
  <si>
    <t>https://chromewebstore.google.com/detail/plbmnfkeakpfllpilfmmdchbcfkobbgd</t>
  </si>
  <si>
    <t>速卖通标题生成器和关键词采集</t>
  </si>
  <si>
    <t>https://chromewebstore.google.com/detail/pmbemjeijjfdhnpdcoajjchneahlhhkn</t>
  </si>
  <si>
    <t>mywebook clipping tool</t>
  </si>
  <si>
    <t>https://chromewebstore.google.com/detail/pmdnlbnecibhnahdcenfjpinmffahfmg</t>
  </si>
  <si>
    <t>WorkFlowy Clipper</t>
  </si>
  <si>
    <t>https://chromewebstore.google.com/detail/pmolhkonbppmihdpjmgclnclfppjndom</t>
  </si>
  <si>
    <t>Benzo Bookmarks</t>
  </si>
  <si>
    <t>https://chromewebstore.google.com/detail/pnchdkpeolmmjdpoabdkjdajjlklndjf</t>
  </si>
  <si>
    <t>My Browser Vpn</t>
  </si>
  <si>
    <t>https://chromewebstore.google.com/detail/ppajinakbfocjfnijggfndbdmjggcmde</t>
  </si>
  <si>
    <t>Image Extractor - by Visual View</t>
  </si>
  <si>
    <t>https://chromewebstore.google.com/detail/ppbbnicomlpilfkohhknjdkndelfncjl</t>
  </si>
  <si>
    <t>Universal Video Player Controls</t>
  </si>
  <si>
    <t>https://chromewebstore.google.com/detail/ppdnkejgcieghdpjnjokjeefbojbjdaa</t>
  </si>
  <si>
    <t>Extensión Compartir-Pantalla</t>
  </si>
  <si>
    <t>https://chromewebstore.google.com/detail/ppfkmgmknkindblboiieegbldpbnhklf</t>
  </si>
  <si>
    <t>Dark View</t>
  </si>
  <si>
    <t>https://chromewebstore.google.com/detail/ppnppfpknkjeipmglcigdiinakeaofbj</t>
  </si>
  <si>
    <t>Remove Twitch Recommended Channels, Live Chat</t>
  </si>
  <si>
    <t>https://chromewebstore.google.com/detail/kgoadafofbfjlfofcogilchhnabiffnh</t>
  </si>
  <si>
    <t>마트모어 - 이마트, 홈플러스, 롯데마트 가격 추적기</t>
  </si>
  <si>
    <t>https://chromewebstore.google.com/detail/leafmfbkokcceoiagejllolppihmkaec</t>
  </si>
  <si>
    <t>PDFBEAR - Convert, Merge, and Compress PDF</t>
  </si>
  <si>
    <t>https://chromewebstore.google.com/detail/khohmdnjgpgojomnimbmfjakkndfphgi</t>
  </si>
  <si>
    <t>Let Live</t>
  </si>
  <si>
    <t>https://chromewebstore.google.com/detail/aacggglhipafndnfihckmepmolhmbejc</t>
  </si>
  <si>
    <t>Radio Player Live</t>
  </si>
  <si>
    <t>https://chromewebstore.google.com/detail/aafalbmhhmidfmfcoaidbaabmcocgakk</t>
  </si>
  <si>
    <t>Messenger Black: Scheduled Dark Mode</t>
  </si>
  <si>
    <t>https://chromewebstore.google.com/detail/aakklflhdgofndhdkjgalldlnbgpgbob</t>
  </si>
  <si>
    <t>Map Maker Overlay</t>
  </si>
  <si>
    <t>https://chromewebstore.google.com/detail/abbhipgjfgfpbedbhbihihpnfelpjldb</t>
  </si>
  <si>
    <t>Really Good Emails / Capture!</t>
  </si>
  <si>
    <t>https://chromewebstore.google.com/detail/abbicmdidbmbhgmcpelledjbacnllnkk</t>
  </si>
  <si>
    <t>Background changer</t>
  </si>
  <si>
    <t>https://chromewebstore.google.com/detail/abghljkabehndngdedeomffainakibfo</t>
  </si>
  <si>
    <t>RxJS Devtools</t>
  </si>
  <si>
    <t>https://chromewebstore.google.com/detail/abgkgpfkdkafjidfgcjddeffnfnkoeil</t>
  </si>
  <si>
    <t>Disable Extensions and Apps</t>
  </si>
  <si>
    <t>https://chromewebstore.google.com/detail/abmoaeegegigmhgfmdmlhkoghibgkpkj</t>
  </si>
  <si>
    <t>FreyaVPN VPN Extension</t>
  </si>
  <si>
    <t>https://chromewebstore.google.com/detail/abphoilconkefmcnnnobhbpelpldcdbc</t>
  </si>
  <si>
    <t>Fantasy Points Browser Extension</t>
  </si>
  <si>
    <t>https://chromewebstore.google.com/detail/acacbbhfboldggccadfeopfbliabpock</t>
  </si>
  <si>
    <t>抖老板·账号管家</t>
  </si>
  <si>
    <t>https://chromewebstore.google.com/detail/acfpcgknkedjccopgcfpajjefagkfoii</t>
  </si>
  <si>
    <t>SavvyConnect Express</t>
  </si>
  <si>
    <t>https://chromewebstore.google.com/detail/achpfmdebpcipligeggmohmjkmfjijlb</t>
  </si>
  <si>
    <t>Fine Link Selector</t>
  </si>
  <si>
    <t>https://chromewebstore.google.com/detail/adcehildlgkafghlmnbnhegagachlioe</t>
  </si>
  <si>
    <t>web.Glitch()</t>
  </si>
  <si>
    <t>https://chromewebstore.google.com/detail/adgekmhmbbjeodgpjjpcnfgmeijefinp</t>
  </si>
  <si>
    <t>Calendar Block</t>
  </si>
  <si>
    <t>https://chromewebstore.google.com/detail/adlgciholbhcgjhkgnkcppodnflfodni</t>
  </si>
  <si>
    <t>Trello-Office</t>
  </si>
  <si>
    <t>https://chromewebstore.google.com/detail/adplchojbnceleieilggnpceikjeapjg</t>
  </si>
  <si>
    <t>Crunchyroll Full Screen, All The Time</t>
  </si>
  <si>
    <t>https://chromewebstore.google.com/detail/aebamgnddkjifkidngamjohhgkfholmj</t>
  </si>
  <si>
    <t>EdScratch en français</t>
  </si>
  <si>
    <t>https://chromewebstore.google.com/detail/aeiklncejanjjjannoindchdblikjhkb</t>
  </si>
  <si>
    <t>Magnetar</t>
  </si>
  <si>
    <t>https://chromewebstore.google.com/detail/aelfbedmomigndkbpbpplblbgeaaghnf</t>
  </si>
  <si>
    <t>Vision Translate - Smart highlight translator</t>
  </si>
  <si>
    <t>https://chromewebstore.google.com/detail/aemapjnikiphnefgmocicmlmbdhodkea</t>
  </si>
  <si>
    <t>Change Webpage Fonts</t>
  </si>
  <si>
    <t>https://chromewebstore.google.com/detail/afelmehoohjbjfpjbadonkcondbilglp</t>
  </si>
  <si>
    <t>Naruto 2021 Wallpapers and New Tab</t>
  </si>
  <si>
    <t>https://chromewebstore.google.com/detail/afgjgigbgcncilinpbbgpbnficpkmjop</t>
  </si>
  <si>
    <t>Google Meet Microphone</t>
  </si>
  <si>
    <t>https://chromewebstore.google.com/detail/afljajkplijmejjcccffakganicgkafk</t>
  </si>
  <si>
    <t>Linguee Context Menu</t>
  </si>
  <si>
    <t>https://chromewebstore.google.com/detail/agcillhniodhhnjmmigkgpbeodnclmmp</t>
  </si>
  <si>
    <t>Sveriges Radio Spelare</t>
  </si>
  <si>
    <t>https://chromewebstore.google.com/detail/agojbidllejeebbhcbonnlpodicladdk</t>
  </si>
  <si>
    <t>Drink Water Reminder</t>
  </si>
  <si>
    <t>https://chromewebstore.google.com/detail/agpjdannnbimjhjelbehcmalbaeambcd</t>
  </si>
  <si>
    <t>ETH Ticker | Ethereum Ticker | Token Ticker</t>
  </si>
  <si>
    <t>https://chromewebstore.google.com/detail/ahboebefkdoiomfpehlgjehokjjlndmj</t>
  </si>
  <si>
    <t>Unicode</t>
  </si>
  <si>
    <t>https://chromewebstore.google.com/detail/ahgignikbpeboaanhpliahmojhiacjcn</t>
  </si>
  <si>
    <t>时间戳转化</t>
  </si>
  <si>
    <t>https://chromewebstore.google.com/detail/ahkgjgnlldlkagonpndejcbhipkealgo</t>
  </si>
  <si>
    <t>Twitter Auto Refresh</t>
  </si>
  <si>
    <t>https://chromewebstore.google.com/detail/aidapiigacnbamggokpnphddajiilfjp</t>
  </si>
  <si>
    <t>Meteonova</t>
  </si>
  <si>
    <t>https://chromewebstore.google.com/detail/aiefnajnklcignlnnkkkffpmldmpidkd</t>
  </si>
  <si>
    <t>萌典 moedict</t>
  </si>
  <si>
    <t>https://chromewebstore.google.com/detail/aihifbidnaepclhnfppjnpbmeonhhloa</t>
  </si>
  <si>
    <t>NoIndex,NoFollow Meta Tag Checker</t>
  </si>
  <si>
    <t>https://chromewebstore.google.com/detail/aijcgkcgldkomeddnlpbhdelcpfamklm</t>
  </si>
  <si>
    <t>Таргет культиватор - помошник для ВКонтакте</t>
  </si>
  <si>
    <t>https://chromewebstore.google.com/detail/ailgcbdikiapkcbglcpfippolmjfljgi</t>
  </si>
  <si>
    <t>Tabbie</t>
  </si>
  <si>
    <t>https://chromewebstore.google.com/detail/aingjdeimmekeknhjcbnigfbfbboffeo</t>
  </si>
  <si>
    <t>Image Color Picker - find colors from image</t>
  </si>
  <si>
    <t>https://chromewebstore.google.com/detail/ainpldfncpicabccajiklbibogoonpjp</t>
  </si>
  <si>
    <t>Simple QR Generator</t>
  </si>
  <si>
    <t>https://chromewebstore.google.com/detail/ajaomcmkalmeeahjfdklkcjbljhbokjl</t>
  </si>
  <si>
    <t>ShinySearch</t>
  </si>
  <si>
    <t>https://chromewebstore.google.com/detail/ajfpaddcchjgaemolcibmlbgijkhdocl</t>
  </si>
  <si>
    <t>動畫瘋 Plus</t>
  </si>
  <si>
    <t>https://chromewebstore.google.com/detail/ajgafpcbdchnokkfimcnmoemeldnefnl</t>
  </si>
  <si>
    <t>MyRW :: My text ReWriter</t>
  </si>
  <si>
    <t>https://chromewebstore.google.com/detail/ajidbeahpmkfbjllenakjgjpoompbiii</t>
  </si>
  <si>
    <t>Nimo.tv Plus</t>
  </si>
  <si>
    <t>https://chromewebstore.google.com/detail/ajlmalinjdbkamfgjbamebnjeejbkkil</t>
  </si>
  <si>
    <t>EasyIQ IdP – Odsherred Kommune</t>
  </si>
  <si>
    <t>https://chromewebstore.google.com/detail/akihgihkelengbpamifhdmngachbjgab</t>
  </si>
  <si>
    <t>Musixmatch Lyrics Watermark Remover</t>
  </si>
  <si>
    <t>https://chromewebstore.google.com/detail/aldlkaonkdflcjlmdcbdnhgcmmnjijjn</t>
  </si>
  <si>
    <t>Новинки аудиокниг онлайн в браузере</t>
  </si>
  <si>
    <t>https://chromewebstore.google.com/detail/alnbfogmmhllgofhggijancpooogdodi</t>
  </si>
  <si>
    <t>Zoho Screen Sharing</t>
  </si>
  <si>
    <t>https://chromewebstore.google.com/detail/alojhmccmalcppopolaegbopeiakokne</t>
  </si>
  <si>
    <t>ROBLOX Forums+</t>
  </si>
  <si>
    <t>https://chromewebstore.google.com/detail/amfepecmobgaflidkebmofbgdgkgpman</t>
  </si>
  <si>
    <t>API Trace</t>
  </si>
  <si>
    <t>https://chromewebstore.google.com/detail/amnplbchpnilohkojmodepiappjhaehi</t>
  </si>
  <si>
    <t>Az Mask</t>
  </si>
  <si>
    <t>https://chromewebstore.google.com/detail/amobeamdmdnloajcaiomgegpakjdiacm</t>
  </si>
  <si>
    <t>Media Saver for Instagram</t>
  </si>
  <si>
    <t>https://chromewebstore.google.com/detail/annjojfceiaonmfjcddndgoegbijooia</t>
  </si>
  <si>
    <t>Meow Met</t>
  </si>
  <si>
    <t>https://chromewebstore.google.com/detail/annljkgbhnihbghkbfammlacnlfkdclp</t>
  </si>
  <si>
    <t>Aliplugin Pro</t>
  </si>
  <si>
    <t>https://chromewebstore.google.com/detail/aoajjebmcgjjecfgmncgablckdifcfad</t>
  </si>
  <si>
    <t>Keyboard Privacy</t>
  </si>
  <si>
    <t>https://chromewebstore.google.com/detail/aoeboeflhhnobfjkafamelopfeojdohk</t>
  </si>
  <si>
    <t>xPath To CSS Selector</t>
  </si>
  <si>
    <t>https://chromewebstore.google.com/detail/aoelbednjmdnkeldonljnijdejdnhjfi</t>
  </si>
  <si>
    <t>HD Camera Feed in Video Calls</t>
  </si>
  <si>
    <t>https://chromewebstore.google.com/detail/aojddkcamiecmkmbecpkjddnhpnpoaab</t>
  </si>
  <si>
    <t>OSX Resizer</t>
  </si>
  <si>
    <t>https://chromewebstore.google.com/detail/aopgpanbkndckicpnnnaeiebllepdldc</t>
  </si>
  <si>
    <t>Wake-On-Lan (WOL)</t>
  </si>
  <si>
    <t>https://chromewebstore.google.com/detail/apfabhfippohjkndobkbeoiplilgojei</t>
  </si>
  <si>
    <t>https://chromewebstore.google.com/detail/apgphfamplbbabmclbgpebdkclodnlpl</t>
  </si>
  <si>
    <t>Blue Prism 6.9 Browser Extension</t>
  </si>
  <si>
    <t>https://chromewebstore.google.com/detail/apjdloapfacpgloidbikcdcigljkgogg</t>
  </si>
  <si>
    <t>https://chromewebstore.google.com/detail/aplepkehejihebabfhghmdelnbppchnp</t>
  </si>
  <si>
    <t>Enhancer for Google Map Maker™</t>
  </si>
  <si>
    <t>https://chromewebstore.google.com/detail/apmfackigpphgbbanjkjcafbiciialnm</t>
  </si>
  <si>
    <t>Page Filter Effects</t>
  </si>
  <si>
    <t>https://chromewebstore.google.com/detail/apnbkmkpchabofhbnmhbdbnlpkbcomkg</t>
  </si>
  <si>
    <t>Mind maps</t>
  </si>
  <si>
    <t>https://chromewebstore.google.com/detail/apnopkndgalmmmanikgoihpnmkgflelc</t>
  </si>
  <si>
    <t>二维码网址</t>
  </si>
  <si>
    <t>https://chromewebstore.google.com/detail/apoogihgnkfpeamhldjjoebpphjcmank</t>
  </si>
  <si>
    <t>Fluig extension</t>
  </si>
  <si>
    <t>https://chromewebstore.google.com/detail/appcmpfjgmnjdhickdfnalkkalgejbff</t>
  </si>
  <si>
    <t>StrikeThrough for Gmail</t>
  </si>
  <si>
    <t>https://chromewebstore.google.com/detail/bafcgdbnifplmbidjllnefgbhglckgge</t>
  </si>
  <si>
    <t>IwillriL - Unnoficial Pocket Client</t>
  </si>
  <si>
    <t>https://chromewebstore.google.com/detail/bbabbdijmipkeilehcnbopedgbjejbmb</t>
  </si>
  <si>
    <t>Center Google Search Results</t>
  </si>
  <si>
    <t>https://chromewebstore.google.com/detail/bbcbaocecmnikgmgpbodcfekboiodppo</t>
  </si>
  <si>
    <t>uBO-Scope</t>
  </si>
  <si>
    <t>https://chromewebstore.google.com/detail/bbdpgcaljkaaigfcomhidmneffjjjfgp</t>
  </si>
  <si>
    <t>Page Refresher</t>
  </si>
  <si>
    <t>https://chromewebstore.google.com/detail/bbmplccbdhijapdpheaigjcdcgadecih</t>
  </si>
  <si>
    <t>Online Countdown</t>
  </si>
  <si>
    <t>https://chromewebstore.google.com/detail/bbobfhojppbhccdchodgghknbolnnhlb</t>
  </si>
  <si>
    <t>YouTubeTimeMemo</t>
  </si>
  <si>
    <t>https://chromewebstore.google.com/detail/bcadadmcbloddgfgklhaiifpncndpbcb</t>
  </si>
  <si>
    <t>PagerDuty Notifier</t>
  </si>
  <si>
    <t>https://chromewebstore.google.com/detail/bcmhejapohpmhgnpidaeiaedackacelm</t>
  </si>
  <si>
    <t>Multiaccount</t>
  </si>
  <si>
    <t>https://chromewebstore.google.com/detail/bcoiihabmfakmgppaccdhijkfgbbdjlj</t>
  </si>
  <si>
    <t>Robinhood Reports</t>
  </si>
  <si>
    <t>https://chromewebstore.google.com/detail/bdfejgnkjilbfajogjdjoelflfjjlbce</t>
  </si>
  <si>
    <t>Skribbl.io Letter Counter</t>
  </si>
  <si>
    <t>https://chromewebstore.google.com/detail/bdjejcobeddkhcpcemlbnoncfabmafce</t>
  </si>
  <si>
    <t>HTML Hierarchy Visualizer</t>
  </si>
  <si>
    <t>https://chromewebstore.google.com/detail/beaeppehjnnnidajcmalfcajahopihcb</t>
  </si>
  <si>
    <t>XSS</t>
  </si>
  <si>
    <t>https://chromewebstore.google.com/detail/bebjbdbgpmgdlfehkibnmgmbkcniaeij</t>
  </si>
  <si>
    <t>SmartVault Browser Extension</t>
  </si>
  <si>
    <t>https://chromewebstore.google.com/detail/beflnephjnapefbofpgcjkncdojndodl</t>
  </si>
  <si>
    <t>Mail My Tabs</t>
  </si>
  <si>
    <t>https://chromewebstore.google.com/detail/beohodjedhlnpeonfkbdafafkcndpmnk</t>
  </si>
  <si>
    <t>Ctrl-Z Reopen Closed Tab</t>
  </si>
  <si>
    <t>https://chromewebstore.google.com/detail/bfghbnamplhjmjgpdjohlidkmpgpfeod</t>
  </si>
  <si>
    <t>Mouse Pointer Double</t>
  </si>
  <si>
    <t>https://chromewebstore.google.com/detail/bfhfbhgccalkogdpcapeiicnjbdijcjk</t>
  </si>
  <si>
    <t>8D</t>
  </si>
  <si>
    <t>https://chromewebstore.google.com/detail/bfjkbhnihjgbahillbebohecpgcdhfao</t>
  </si>
  <si>
    <t>Incognitify</t>
  </si>
  <si>
    <t>https://chromewebstore.google.com/detail/bfooamdflgheadbaakfehmbdelmfogfa</t>
  </si>
  <si>
    <t>低調碼增強版</t>
  </si>
  <si>
    <t>https://chromewebstore.google.com/detail/bgdmklebbjngcmbjpbbbpgdgdhbjjlda</t>
  </si>
  <si>
    <t>Serenade for Chrome</t>
  </si>
  <si>
    <t>https://chromewebstore.google.com/detail/bgfbijeikimjmdjldemlegooghdjinmj</t>
  </si>
  <si>
    <t>LUMES 20-20-20</t>
  </si>
  <si>
    <t>https://chromewebstore.google.com/detail/bggllnkbdlkiimnpkndnceeelpabcogg</t>
  </si>
  <si>
    <t>Local-CORS</t>
  </si>
  <si>
    <t>https://chromewebstore.google.com/detail/bhachhlaofmplbfnefenmlnflolelkff</t>
  </si>
  <si>
    <t>Open local Link</t>
  </si>
  <si>
    <t>https://chromewebstore.google.com/detail/bhipgegdnofneghbmnmgbfdjfhbmejbe</t>
  </si>
  <si>
    <t>Quran Player</t>
  </si>
  <si>
    <t>https://chromewebstore.google.com/detail/bhjioncbieblaknjjgladehifnlhdjeb</t>
  </si>
  <si>
    <t>每氪净化</t>
  </si>
  <si>
    <t>https://chromewebstore.google.com/detail/bhjllcbooegngfdndlcbmelgcaalkodm</t>
  </si>
  <si>
    <t>SplitUp! - Tab manager</t>
  </si>
  <si>
    <t>https://chromewebstore.google.com/detail/bhoodecbejheonelhikcfahgpgahffmf</t>
  </si>
  <si>
    <t>RMS (Run My Script) - Script runner</t>
  </si>
  <si>
    <t>https://chromewebstore.google.com/detail/bifnofbpdbdmgopjoidbicngijjmlogj</t>
  </si>
  <si>
    <t>YouTube Repeat</t>
  </si>
  <si>
    <t>https://chromewebstore.google.com/detail/bijjfhgimphjklllkmbdapkfemdnhmpj</t>
  </si>
  <si>
    <t>Friday Night Funkin Cursor</t>
  </si>
  <si>
    <t>https://chromewebstore.google.com/detail/bimdkbbnmijmfphlbcklkijlaajjkdch</t>
  </si>
  <si>
    <t>ResponseTime Monitor</t>
  </si>
  <si>
    <t>https://chromewebstore.google.com/detail/bjgaobjkcmihhaiihefopfinhjaghfce</t>
  </si>
  <si>
    <t>CFCA CryptoKit.CRCC Extension</t>
  </si>
  <si>
    <t>https://chromewebstore.google.com/detail/bjgfcfngmakkiehffenhakjpcbmcioke</t>
  </si>
  <si>
    <t>SFMC OBJECT FINDER</t>
  </si>
  <si>
    <t>https://chromewebstore.google.com/detail/bkicfdfanedgnlddinjiojphnehpjnpd</t>
  </si>
  <si>
    <t>ReadFast powered by Spritz</t>
  </si>
  <si>
    <t>https://chromewebstore.google.com/detail/blbpafkooanpdcdcndkcckblghjddpke</t>
  </si>
  <si>
    <t>Overlay Remover Auto</t>
  </si>
  <si>
    <t>https://chromewebstore.google.com/detail/bleeelcpenoboaoodilaaapgbgjdjdaj</t>
  </si>
  <si>
    <t>behind!</t>
  </si>
  <si>
    <t>https://chromewebstore.google.com/detail/blfpdedbdighagggfhgihcocfheicfjk</t>
  </si>
  <si>
    <t>Photo resize compress and Zip</t>
  </si>
  <si>
    <t>https://chromewebstore.google.com/detail/blinbhliohhhnddefmgbaelknpjpopjh</t>
  </si>
  <si>
    <t>New Tab Startup Quotes</t>
  </si>
  <si>
    <t>https://chromewebstore.google.com/detail/bljnhgkajocmhlflgefahihojeajhjji</t>
  </si>
  <si>
    <t>#Clicky for Slack</t>
  </si>
  <si>
    <t>https://chromewebstore.google.com/detail/bllgmdlgbbmijcoecbnmgeoekhebgmac</t>
  </si>
  <si>
    <t>tabby</t>
  </si>
  <si>
    <t>https://chromewebstore.google.com/detail/bloclegocjpjjaandifppeocigahekjg</t>
  </si>
  <si>
    <t>WheresApp</t>
  </si>
  <si>
    <t>https://chromewebstore.google.com/detail/blonmediheekdlhdhfnfohegmhblapcb</t>
  </si>
  <si>
    <t>frienddl.io - score keeper</t>
  </si>
  <si>
    <t>https://chromewebstore.google.com/detail/bmadghlcpopfbnfcpmicdoafognfbhmm</t>
  </si>
  <si>
    <t>F1 TV Playback Controls</t>
  </si>
  <si>
    <t>https://chromewebstore.google.com/detail/bndmmpkkilmcaoddlicjenjffkihmmle</t>
  </si>
  <si>
    <t>Add-ons for Evernote Web App</t>
  </si>
  <si>
    <t>https://chromewebstore.google.com/detail/bnflfnhcfikgmmcmoghhejelmefpjhek</t>
  </si>
  <si>
    <t>Proxy Switchy Auto</t>
  </si>
  <si>
    <t>https://chromewebstore.google.com/detail/bnhejmehblohhaalgnnohedpijgkjeof</t>
  </si>
  <si>
    <t>Rain sound</t>
  </si>
  <si>
    <t>https://chromewebstore.google.com/detail/boccolgmoknhiidceemmgkoaggficcpl</t>
  </si>
  <si>
    <t>YouSpot</t>
  </si>
  <si>
    <t>https://chromewebstore.google.com/detail/bojlgkgcbdcldkhjjapllgncgdgalhfj</t>
  </si>
  <si>
    <t>IP Camera Picture Browser</t>
  </si>
  <si>
    <t>https://chromewebstore.google.com/detail/boklbhfpcjpdgdhjeglchaigmhbipijl</t>
  </si>
  <si>
    <t>YouTube Turbo Button</t>
  </si>
  <si>
    <t>https://chromewebstore.google.com/detail/bonbclphagmhlcpiahpimimkbmlamenc</t>
  </si>
  <si>
    <t>Weather Buddy</t>
  </si>
  <si>
    <t>https://chromewebstore.google.com/detail/bpbhcboindgomhjpohahlaoonfinnmkf</t>
  </si>
  <si>
    <t>瀏覽器閱讀輔助外掛Chinese Learning</t>
  </si>
  <si>
    <t>https://chromewebstore.google.com/detail/bpcliekjnopcagpekljnkpicfdpjfbkc</t>
  </si>
  <si>
    <t>Voz Living</t>
  </si>
  <si>
    <t>https://chromewebstore.google.com/detail/bpfbcbgognjimbmabiiphhofpgdcgbgc</t>
  </si>
  <si>
    <t>Word count</t>
  </si>
  <si>
    <t>https://chromewebstore.google.com/detail/bpfflbmfgeipgagicanlmccbioknoici</t>
  </si>
  <si>
    <t>Twitch Giveaways</t>
  </si>
  <si>
    <t>https://chromewebstore.google.com/detail/bpjdhheiliihcghpalfflhfpfbmcekij</t>
  </si>
  <si>
    <t>Reddit Link Opener</t>
  </si>
  <si>
    <t>https://chromewebstore.google.com/detail/bpjdjkonibhggbbjchphchlbonaijjme</t>
  </si>
  <si>
    <t>RemotePC Scheduler</t>
  </si>
  <si>
    <t>https://chromewebstore.google.com/detail/bpmilapammjhbeldoleojjclaihdbdoo</t>
  </si>
  <si>
    <t>TabToPopup</t>
  </si>
  <si>
    <t>https://chromewebstore.google.com/detail/bpnnnahgjgehfimcicpjmjidcoghhfpf</t>
  </si>
  <si>
    <t>Mute Tabs By Url</t>
  </si>
  <si>
    <t>https://chromewebstore.google.com/detail/bpokcenamldgbghabnklpmbkkcgcgdld</t>
  </si>
  <si>
    <t>HASHIGO! - Learning Japanese with Netflix</t>
  </si>
  <si>
    <t>https://chromewebstore.google.com/detail/cacindbnpcofhdcbhfbncglgdacdhoin</t>
  </si>
  <si>
    <t>AFS Prime</t>
  </si>
  <si>
    <t>https://chromewebstore.google.com/detail/caclhldkbdhkgncflgccigmdiljkdpdi</t>
  </si>
  <si>
    <t>Post Editor for Google+™</t>
  </si>
  <si>
    <t>https://chromewebstore.google.com/detail/canbakmdapinjpiabkbdgmpenllifmij</t>
  </si>
  <si>
    <t>Take Selfie</t>
  </si>
  <si>
    <t>https://chromewebstore.google.com/detail/cbbhgghlegjpkbhfhpmjoajkdngbfhlg</t>
  </si>
  <si>
    <t>Timebox++</t>
  </si>
  <si>
    <t>https://chromewebstore.google.com/detail/cbgpbhpefmeholmeodlhaalbcjgbafjd</t>
  </si>
  <si>
    <t>AdjusTimer</t>
  </si>
  <si>
    <t>https://chromewebstore.google.com/detail/cbolehniipnbcbmecpekldhjhnohifpm</t>
  </si>
  <si>
    <t>https://chromewebstore.google.com/detail/ccfpenhpilnacfeimonjfdndpphbgkaa</t>
  </si>
  <si>
    <t>DevTools Theme: Just Black</t>
  </si>
  <si>
    <t>https://chromewebstore.google.com/detail/cchpcfjfdljcfchegellgojokpfobjkd</t>
  </si>
  <si>
    <t>Jeux gratuits - The-JeuxFlash.com</t>
  </si>
  <si>
    <t>https://chromewebstore.google.com/detail/ccnaigimpbpdnckifklmbamndjonobio</t>
  </si>
  <si>
    <t>Chrono</t>
  </si>
  <si>
    <t>https://chromewebstore.google.com/detail/cdipjnbignkeledopgpgdlgbolhgkben</t>
  </si>
  <si>
    <t>ChocoChip - Cookie Manager</t>
  </si>
  <si>
    <t>https://chromewebstore.google.com/detail/cdllihdpcibkhhkidaicoeeiammjkokm</t>
  </si>
  <si>
    <t>Hitmarkers</t>
  </si>
  <si>
    <t>https://chromewebstore.google.com/detail/cdoieoennkhjndgdmaehgdgboigjakkb</t>
  </si>
  <si>
    <t>Sample IME for IME extension API</t>
  </si>
  <si>
    <t>https://chromewebstore.google.com/detail/ceaajjmckiakobniehbjpdcidfpohlin</t>
  </si>
  <si>
    <t>Videojs Webextension</t>
  </si>
  <si>
    <t>https://chromewebstore.google.com/detail/cebdpbolebkmgidigfffifoemdcbhibf</t>
  </si>
  <si>
    <t>Google Keep Encryptor</t>
  </si>
  <si>
    <t>https://chromewebstore.google.com/detail/cedkkpjolghccafognlkficihjmfedhc</t>
  </si>
  <si>
    <t>ImageQuilts</t>
  </si>
  <si>
    <t>https://chromewebstore.google.com/detail/ceebcpbapdnfnkhfogkbhbgknhgnaoee</t>
  </si>
  <si>
    <t>VK Photo Saver</t>
  </si>
  <si>
    <t>https://chromewebstore.google.com/detail/cejacfgegngnjehgamebpaolkljcgcmk</t>
  </si>
  <si>
    <t>Form Text Counter Badge</t>
  </si>
  <si>
    <t>https://chromewebstore.google.com/detail/cekmgllamfeimfigbknikfklahjmjcaa</t>
  </si>
  <si>
    <t>Redmine Notification</t>
  </si>
  <si>
    <t>https://chromewebstore.google.com/detail/cenhhgabijhpobnfnmkigobcefkmhjbj</t>
  </si>
  <si>
    <t>Amazon Product Analyzer</t>
  </si>
  <si>
    <t>https://chromewebstore.google.com/detail/cenhmlkkgfflhedkkmgkmgmbcpdflbni</t>
  </si>
  <si>
    <t>Integromat Customizable Extension</t>
  </si>
  <si>
    <t>https://chromewebstore.google.com/detail/cfamjaolobgncfhomepbmjjihlbkchgb</t>
  </si>
  <si>
    <t>Celestia IDE</t>
  </si>
  <si>
    <t>https://chromewebstore.google.com/detail/cfejbcmkcnkjjnohkmjogghgbjmojlck</t>
  </si>
  <si>
    <t>Tokenizator</t>
  </si>
  <si>
    <t>https://chromewebstore.google.com/detail/cfeppjpdaokjflnpmdmflnhecgbjicjm</t>
  </si>
  <si>
    <t>Header Inject</t>
  </si>
  <si>
    <t>https://chromewebstore.google.com/detail/cfmhknohjdjilpokjpdopankilegcglf</t>
  </si>
  <si>
    <t>Google Calendar Time Spent</t>
  </si>
  <si>
    <t>https://chromewebstore.google.com/detail/cfodljgdikllebejmhoifnmmcbfmamij</t>
  </si>
  <si>
    <t>Robinhood History Downloader &amp; Analyzer</t>
  </si>
  <si>
    <t>https://chromewebstore.google.com/detail/cfpnhaccjfaaianelddfckidjlnmoeab</t>
  </si>
  <si>
    <t>Wells Fargo - Autofocus login</t>
  </si>
  <si>
    <t>https://chromewebstore.google.com/detail/cgadmadfnbdaplnanejoebmbfpgpliee</t>
  </si>
  <si>
    <t>Sideview Plus: Multitask w/o Second Monitor</t>
  </si>
  <si>
    <t>https://chromewebstore.google.com/detail/cgkfhhagdgcjcjdkcbpohhhidlibblkn</t>
  </si>
  <si>
    <t>CommonKey</t>
  </si>
  <si>
    <t>https://chromewebstore.google.com/detail/chgfefjpcobfbnpmiokfjjaglahmnded</t>
  </si>
  <si>
    <t>Downloader for Instagram™</t>
  </si>
  <si>
    <t>https://chromewebstore.google.com/detail/cibdcahjafpbiaeailljelhpcjlmnlcm</t>
  </si>
  <si>
    <t>Unique Tabs</t>
  </si>
  <si>
    <t>https://chromewebstore.google.com/detail/cicbejncjmbkbahiicbiflndmhbcgibk</t>
  </si>
  <si>
    <t>Slides Reveal</t>
  </si>
  <si>
    <t>https://chromewebstore.google.com/detail/ciddpbgegdenbmddmmpiiebnnnafapma</t>
  </si>
  <si>
    <t>CoinMarketCap Enhanced</t>
  </si>
  <si>
    <t>https://chromewebstore.google.com/detail/cjdbebokopcgdhcefeijjdgfampgeejg</t>
  </si>
  <si>
    <t>Disable Adding People for Google Meet™</t>
  </si>
  <si>
    <t>https://chromewebstore.google.com/detail/cjdnohlmolgcpdfgkbfgjakihnoddmfl</t>
  </si>
  <si>
    <t>StockTrack.ca plugin</t>
  </si>
  <si>
    <t>https://chromewebstore.google.com/detail/cjeloakegabdmhnaiiakflnhnmpdlpbp</t>
  </si>
  <si>
    <t>QiWallet</t>
  </si>
  <si>
    <t>https://chromewebstore.google.com/detail/cjfeohjffkdehdblcolicjhhnbphcmna</t>
  </si>
  <si>
    <t>Our Forest — Plant trees with your browser</t>
  </si>
  <si>
    <t>https://chromewebstore.google.com/detail/cjgphmckkkgnlkbdaellanfoajipefnd</t>
  </si>
  <si>
    <t>testhelp</t>
  </si>
  <si>
    <t>https://chromewebstore.google.com/detail/cjkpjplnmflmkmhilpllfbnpngikigbl</t>
  </si>
  <si>
    <t>PoE Impact Trading</t>
  </si>
  <si>
    <t>https://chromewebstore.google.com/detail/ckfnddafphjahhiadjogilncdegmbpkm</t>
  </si>
  <si>
    <t>Radio Javan Player</t>
  </si>
  <si>
    <t>https://chromewebstore.google.com/detail/ckgbnjpcijhjpfnecakkeobeohelllod</t>
  </si>
  <si>
    <t>不要擋住 Imgur 啦！</t>
  </si>
  <si>
    <t>https://chromewebstore.google.com/detail/ckkjfkemnmgcbbejelimfpbjklfdampf</t>
  </si>
  <si>
    <t>WebGL Texture Monitor</t>
  </si>
  <si>
    <t>https://chromewebstore.google.com/detail/clacogadedfjdojijncmiblblcikgpci</t>
  </si>
  <si>
    <t>Easy Image Control</t>
  </si>
  <si>
    <t>https://chromewebstore.google.com/detail/clallboofkppmmmhdbjhamfhlhpchbij</t>
  </si>
  <si>
    <t>Custom colors for desmos</t>
  </si>
  <si>
    <t>https://chromewebstore.google.com/detail/clcdbeolcdigfefgbhlgghepjfkpdlgi</t>
  </si>
  <si>
    <t>Evernote Shortcuts</t>
  </si>
  <si>
    <t>https://chromewebstore.google.com/detail/clhjalfedcigiomjfmmjhgadnlmegobb</t>
  </si>
  <si>
    <t>JW Video subtitle download</t>
  </si>
  <si>
    <t>https://chromewebstore.google.com/detail/clldjfcbckgjalddckiaeifojelabbng</t>
  </si>
  <si>
    <t>SQLite Reader</t>
  </si>
  <si>
    <t>https://chromewebstore.google.com/detail/clpnhenadbibdbfendahnlakkcpocmej</t>
  </si>
  <si>
    <t>Chromebook Simulator</t>
  </si>
  <si>
    <t>https://chromewebstore.google.com/detail/cmdpfacmlgednonhndniedecknojeaeb</t>
  </si>
  <si>
    <t>CRM Integrator for Hosted Telephony</t>
  </si>
  <si>
    <t>https://chromewebstore.google.com/detail/cmldlhgkbcdnjfpckeeajjmnkjdfjlik</t>
  </si>
  <si>
    <t>Bib Bypasser</t>
  </si>
  <si>
    <t>https://chromewebstore.google.com/detail/cnckgkigmhklfcknfmcmjhocdmihafaj</t>
  </si>
  <si>
    <t>Cocos Creator Devtool</t>
  </si>
  <si>
    <t>https://chromewebstore.google.com/detail/cnmkiolbnmjlhdkabcgobbgdomhhdnho</t>
  </si>
  <si>
    <t>jetzt</t>
  </si>
  <si>
    <t>https://chromewebstore.google.com/detail/cnolacpkiokbppmgagjlfhllielebabb</t>
  </si>
  <si>
    <t>Briefcase Extension By Seller Locker</t>
  </si>
  <si>
    <t>https://chromewebstore.google.com/detail/codnaoknigbmllnohbnplkofjalolake</t>
  </si>
  <si>
    <t>Gmail message ID finder</t>
  </si>
  <si>
    <t>https://chromewebstore.google.com/detail/comcoiiifldaaejpbgbincdkoohihbae</t>
  </si>
  <si>
    <t>HTML5 Audio Tag Sound Effects</t>
  </si>
  <si>
    <t>https://chromewebstore.google.com/detail/cpcignakeijfoeckijgbilaccoecmdic</t>
  </si>
  <si>
    <t>VoxReader - Text to Speech</t>
  </si>
  <si>
    <t>https://chromewebstore.google.com/detail/cpfpnjcjglagplmgdalpgldhpaegnimb</t>
  </si>
  <si>
    <t>Netfix</t>
  </si>
  <si>
    <t>https://chromewebstore.google.com/detail/cpgbdfpoaalclikhghccccakifaoboam</t>
  </si>
  <si>
    <t>Free Email Tracking for Gmail - Mailalert</t>
  </si>
  <si>
    <t>https://chromewebstore.google.com/detail/cpgkjdokbgpdjgcfamoncohnfkldnglj</t>
  </si>
  <si>
    <t>sneak-peak</t>
  </si>
  <si>
    <t>https://chromewebstore.google.com/detail/cpimjbpbkpggeiicmehlcnmdoecmfane</t>
  </si>
  <si>
    <t>Angular Gauntlets</t>
  </si>
  <si>
    <t>https://chromewebstore.google.com/detail/cpinnkgbfohodioinipjdhehnihbgeph</t>
  </si>
  <si>
    <t>Auto Incognito Mode</t>
  </si>
  <si>
    <t>https://chromewebstore.google.com/detail/cpjkopihdcgpngcchfhgncmaklfpnemm</t>
  </si>
  <si>
    <t>PiPControl - Picture-in-Picture Control</t>
  </si>
  <si>
    <t>https://chromewebstore.google.com/detail/cplpgnoppkbccmlenoljnonjnepkcied</t>
  </si>
  <si>
    <t>Harry Potter Quotes</t>
  </si>
  <si>
    <t>https://chromewebstore.google.com/detail/daalkhgbfbieaefapmogolgaflalmijb</t>
  </si>
  <si>
    <t>多瑙影院去广告 Dnvod Ad Remover</t>
  </si>
  <si>
    <t>https://chromewebstore.google.com/detail/daeohababjfejibmakahfcffpjdhhanc</t>
  </si>
  <si>
    <t>Super Smash Flash 2</t>
  </si>
  <si>
    <t>https://chromewebstore.google.com/detail/daggnkohkdopbfmkjhcbcnjfkkilmbaa</t>
  </si>
  <si>
    <t>我的右键</t>
  </si>
  <si>
    <t>https://chromewebstore.google.com/detail/daldfnbbgabpcbkkccaooijdpmgnjemh</t>
  </si>
  <si>
    <t>OAuth Flows</t>
  </si>
  <si>
    <t>https://chromewebstore.google.com/detail/dandckbjghfejnhmnhloigndkeabdbbo</t>
  </si>
  <si>
    <t>KDP Sales Notifications</t>
  </si>
  <si>
    <t>https://chromewebstore.google.com/detail/dbeabmlhamomaaplbgkkpcoapajejnpn</t>
  </si>
  <si>
    <t>UnBlur Quora</t>
  </si>
  <si>
    <t>https://chromewebstore.google.com/detail/dbiilmhbpifcgcpikjfagempfijhfpgd</t>
  </si>
  <si>
    <t>Facebook Demetricator</t>
  </si>
  <si>
    <t>https://chromewebstore.google.com/detail/dbkgglbefgkimiadfjmgnkjmaoahephg</t>
  </si>
  <si>
    <t>无忧府超级VPN</t>
  </si>
  <si>
    <t>https://chromewebstore.google.com/detail/dbmfpajkdniocdhakblcepdkjbjgjllh</t>
  </si>
  <si>
    <t>Chess game</t>
  </si>
  <si>
    <t>https://chromewebstore.google.com/detail/dbmihiknkegbclhljngmibcfmdfolifk</t>
  </si>
  <si>
    <t>HTML5 Form validation remover</t>
  </si>
  <si>
    <t>https://chromewebstore.google.com/detail/dcpagcgkpeflhhampddilklcnjdjlmlb</t>
  </si>
  <si>
    <t>FFS MSDN in English</t>
  </si>
  <si>
    <t>https://chromewebstore.google.com/detail/ddaknggefjjgpnlhiejepbiplceedmfl</t>
  </si>
  <si>
    <t>Task Timer Pro</t>
  </si>
  <si>
    <t>https://chromewebstore.google.com/detail/dddgjgcemjgkhgeekbooigaiilbklkbm</t>
  </si>
  <si>
    <t>chatwork helper</t>
  </si>
  <si>
    <t>https://chromewebstore.google.com/detail/ddejlbfddlhkoaomiocpbjmpnjkbcnkj</t>
  </si>
  <si>
    <t>SdbNavigator</t>
  </si>
  <si>
    <t>https://chromewebstore.google.com/detail/ddhigekdfabonefhiildaiccafacphgg</t>
  </si>
  <si>
    <t>BareBones MIDI Player</t>
  </si>
  <si>
    <t>https://chromewebstore.google.com/detail/ddibjepofbeacmjfabjiagcgihdmbcgp</t>
  </si>
  <si>
    <t>Cisco Dialer</t>
  </si>
  <si>
    <t>https://chromewebstore.google.com/detail/deelocceageedapbhbdepkcpdmlmoeog</t>
  </si>
  <si>
    <t>The Price Geek</t>
  </si>
  <si>
    <t>https://chromewebstore.google.com/detail/definofoeccggpjeifncfpnpneheolob</t>
  </si>
  <si>
    <t>Markdown New Tab</t>
  </si>
  <si>
    <t>https://chromewebstore.google.com/detail/demppioeofcekpjcnlkmdjbabifjnokj</t>
  </si>
  <si>
    <t>MiniPlay</t>
  </si>
  <si>
    <t>https://chromewebstore.google.com/detail/dfddfiedihbijfeacjamchlliogmjjnd</t>
  </si>
  <si>
    <t>Out of the Sandbox Content Creator</t>
  </si>
  <si>
    <t>https://chromewebstore.google.com/detail/dfgadilhanjabjcighkgbmchinneoade</t>
  </si>
  <si>
    <t>Ecriture·Inclusive·Facile — e·i·f</t>
  </si>
  <si>
    <t>https://chromewebstore.google.com/detail/dfjcdiknbdbnfgecbkcaobgmeekinphg</t>
  </si>
  <si>
    <t>English to Urdu &amp; Urdu to English Translation</t>
  </si>
  <si>
    <t>https://chromewebstore.google.com/detail/dgdmemgbopknkilaegmgcldhhjbedkgi</t>
  </si>
  <si>
    <t>CheaperThan. Amazon</t>
  </si>
  <si>
    <t>https://chromewebstore.google.com/detail/dgoicbnaoajknfnkijgjdelfdihpicie</t>
  </si>
  <si>
    <t>Paste enabler</t>
  </si>
  <si>
    <t>https://chromewebstore.google.com/detail/dhadehfniifbmemochpmbofcjckpdnnl</t>
  </si>
  <si>
    <t>Dreditor</t>
  </si>
  <si>
    <t>https://chromewebstore.google.com/detail/dhdpoembhlojpmehepeadblhglloobao</t>
  </si>
  <si>
    <t>Paste On Screen</t>
  </si>
  <si>
    <t>https://chromewebstore.google.com/detail/dhiihpekdgggkglfppkmjjmnaigmnjao</t>
  </si>
  <si>
    <t>Recoil Dev Tools</t>
  </si>
  <si>
    <t>https://chromewebstore.google.com/detail/dhjcdlmklldodggmleehadpjephfgflc</t>
  </si>
  <si>
    <t>Lemoney Cash Back</t>
  </si>
  <si>
    <t>https://chromewebstore.google.com/detail/dhofjndjaldhcofopckdffmeooiojeed</t>
  </si>
  <si>
    <t>https://chromewebstore.google.com/detail/dibpjejofkkejnndlfjokflmnkekjkpn</t>
  </si>
  <si>
    <t>Onion VPN with Speed Control</t>
  </si>
  <si>
    <t>https://chromewebstore.google.com/detail/diekiockdlleigoinkcjjkpnpapbkfbo</t>
  </si>
  <si>
    <t>Fortnite - New tab - Current item shop</t>
  </si>
  <si>
    <t>https://chromewebstore.google.com/detail/digkkigjfonpcmeioejbnnmljllcjjje</t>
  </si>
  <si>
    <t>Shift-JIS memo</t>
  </si>
  <si>
    <t>https://chromewebstore.google.com/detail/dihokiangeioknmccpkiifdejhhempec</t>
  </si>
  <si>
    <t>Always Autocomplete</t>
  </si>
  <si>
    <t>https://chromewebstore.google.com/detail/djcfppnajkeijjkplclmeiddkefeaiel</t>
  </si>
  <si>
    <t>JiraRTL</t>
  </si>
  <si>
    <t>https://chromewebstore.google.com/detail/djnbhcebgngagmioniajfhbldkoegcco</t>
  </si>
  <si>
    <t>Giphy Tabs</t>
  </si>
  <si>
    <t>https://chromewebstore.google.com/detail/dkajnomnlpcpkekglpbbhcmmgljadopo</t>
  </si>
  <si>
    <t>Free Mind Map Creator</t>
  </si>
  <si>
    <t>https://chromewebstore.google.com/detail/dkbcljcbmgdplgkijcjljmkakkpkoppa</t>
  </si>
  <si>
    <t>GeText</t>
  </si>
  <si>
    <t>https://chromewebstore.google.com/detail/dkcgooalhicnkfdiaejibmfjcgoiflfg</t>
  </si>
  <si>
    <t>Better PopUp Blocker 2</t>
  </si>
  <si>
    <t>https://chromewebstore.google.com/detail/dkehgapnhfhohfhalnnelmefnappjoao</t>
  </si>
  <si>
    <t>Tamindir.com</t>
  </si>
  <si>
    <t>https://chromewebstore.google.com/detail/dknlbdfpbbcpeaammpkghhhpnffmlcfo</t>
  </si>
  <si>
    <t>Walmart for Chrome</t>
  </si>
  <si>
    <t>https://chromewebstore.google.com/detail/dljlfapccfckgfilfmiabmeobpigiopn</t>
  </si>
  <si>
    <t>ContentStudio - Social Media Scheduler</t>
  </si>
  <si>
    <t>https://chromewebstore.google.com/detail/dmcddloohffhmjngiieikfifpfneadcc</t>
  </si>
  <si>
    <t>Auto Scroller</t>
  </si>
  <si>
    <t>https://chromewebstore.google.com/detail/dmgcigedmaojaebigkcedlehimkmcbnm</t>
  </si>
  <si>
    <t>Direct URL to QR Code</t>
  </si>
  <si>
    <t>https://chromewebstore.google.com/detail/dmjngnlocikcdplcdhcglehjajmbdhlg</t>
  </si>
  <si>
    <t>Inspector for Google Maps JavaScript API</t>
  </si>
  <si>
    <t>https://chromewebstore.google.com/detail/dnabjecdalfmifnokifplpegmeglhibj</t>
  </si>
  <si>
    <t>Download Videos from NaverTV</t>
  </si>
  <si>
    <t>https://chromewebstore.google.com/detail/dncgmdhipopkicodhelghfikoceigocc</t>
  </si>
  <si>
    <t>Komponenta pro aplikaci MEP</t>
  </si>
  <si>
    <t>https://chromewebstore.google.com/detail/dnhcjnckjcgahnbihokikcbojidglifm</t>
  </si>
  <si>
    <t>Steward Plus</t>
  </si>
  <si>
    <t>https://chromewebstore.google.com/detail/dnkhdiodfglfckibnfcjbgddcgjgkacd</t>
  </si>
  <si>
    <t>易集书签收藏工具</t>
  </si>
  <si>
    <t>https://chromewebstore.google.com/detail/dnklfkipoaighjnffggpfkkipenmkkon</t>
  </si>
  <si>
    <t>ABC JS-CSS Injector</t>
  </si>
  <si>
    <t>https://chromewebstore.google.com/detail/dnoagfebjndkhkabjkkoeeijnjpmbimj</t>
  </si>
  <si>
    <t>FCiencias x MisProfesores</t>
  </si>
  <si>
    <t>https://chromewebstore.google.com/detail/dohpejgohngelepkpjhabhclphponoed</t>
  </si>
  <si>
    <t>Spacebar Counter</t>
  </si>
  <si>
    <t>https://chromewebstore.google.com/detail/dophfdfbpjnlcdgdjhnmghollijdkmnc</t>
  </si>
  <si>
    <t>다음 팝업 사전</t>
  </si>
  <si>
    <t>https://chromewebstore.google.com/detail/dpcoeknimimkeoinpbccpmjoamdghijj</t>
  </si>
  <si>
    <t>JSON-YAML Toggle</t>
  </si>
  <si>
    <t>https://chromewebstore.google.com/detail/dphedhpnbojdegjcokghhfploeobobbc</t>
  </si>
  <si>
    <t>Percent Calculator</t>
  </si>
  <si>
    <t>https://chromewebstore.google.com/detail/dpiiekoiagfahpcdkallgdfajfccodel</t>
  </si>
  <si>
    <t>Zoho Desk ASAP Extension</t>
  </si>
  <si>
    <t>https://chromewebstore.google.com/detail/dpmpajcoehngpinlpdomdckhjbhflodh</t>
  </si>
  <si>
    <t>Floating Video Pro</t>
  </si>
  <si>
    <t>https://chromewebstore.google.com/detail/eahphalndmiganhjibpfedaokkcpmjhn</t>
  </si>
  <si>
    <t>Wyliodrin STUDIO</t>
  </si>
  <si>
    <t>https://chromewebstore.google.com/detail/eajalplbgimhaodcnncciojhbpcogkan</t>
  </si>
  <si>
    <t>Roam Toolkit</t>
  </si>
  <si>
    <t>https://chromewebstore.google.com/detail/ebckolanhdjilblnkcgcgifaikppnhba</t>
  </si>
  <si>
    <t>AEM Chrome Extension - SourcedCode</t>
  </si>
  <si>
    <t>https://chromewebstore.google.com/detail/ebhapiodakbafkjhegnfcmohjccfedkm</t>
  </si>
  <si>
    <t>My Memorizer Tool</t>
  </si>
  <si>
    <t>https://chromewebstore.google.com/detail/ecdbnfkcfkokaclkaghkdaapaihiafcc</t>
  </si>
  <si>
    <t>Kuaidula快读啦</t>
  </si>
  <si>
    <t>https://chromewebstore.google.com/detail/eciblbmhipceenpjandbgolgdndlbple</t>
  </si>
  <si>
    <t>Omnifinder</t>
  </si>
  <si>
    <t>https://chromewebstore.google.com/detail/ecmipeblhclmbklgalmpgilfonejhlgb</t>
  </si>
  <si>
    <t>KDJ Singlish</t>
  </si>
  <si>
    <t>https://chromewebstore.google.com/detail/ecoofennebdojehcgmclnjdmillihhhm</t>
  </si>
  <si>
    <t>CoWIN: Vaccinator 💉</t>
  </si>
  <si>
    <t>https://chromewebstore.google.com/detail/edjhnplefifonpibnpeieioopodfloio</t>
  </si>
  <si>
    <t>Bookmark tags</t>
  </si>
  <si>
    <t>https://chromewebstore.google.com/detail/edpeidcfjfmepdgdjnodefckgdjbigem</t>
  </si>
  <si>
    <t>WebCite</t>
  </si>
  <si>
    <t>https://chromewebstore.google.com/detail/eedcgdapkfgbfdknngcpiphmfifgonji</t>
  </si>
  <si>
    <t>Workspaces</t>
  </si>
  <si>
    <t>https://chromewebstore.google.com/detail/eehocaoejekpmecmfecdkpohdkgkmoee</t>
  </si>
  <si>
    <t>右クリックからエキサイト翻訳[英和](なぞってエキサイト翻訳)</t>
  </si>
  <si>
    <t>https://chromewebstore.google.com/detail/eekjepfmcakinlecaaecodjgfphcanlf</t>
  </si>
  <si>
    <t>Lodestone inventory grabber</t>
  </si>
  <si>
    <t>https://chromewebstore.google.com/detail/eepjjjjplcaiebldejkkfhlnmhpgceno</t>
  </si>
  <si>
    <t>二维码生成器</t>
  </si>
  <si>
    <t>https://chromewebstore.google.com/detail/effgonodledjnccmbmenpilimbhljahh</t>
  </si>
  <si>
    <t>TwitShot for Chrome</t>
  </si>
  <si>
    <t>https://chromewebstore.google.com/detail/efndcbfgochdmkgjpinknmeakjfkgjlk</t>
  </si>
  <si>
    <t>Smart RSS</t>
  </si>
  <si>
    <t>https://chromewebstore.google.com/detail/eggggihfcaabljfpjiiaohloefmgejic</t>
  </si>
  <si>
    <t>Cloudbleed Bookmark Checker</t>
  </si>
  <si>
    <t>https://chromewebstore.google.com/detail/egoobjhmbpflgogbgbihhdeibdfnedii</t>
  </si>
  <si>
    <t>Firenvim</t>
  </si>
  <si>
    <t>https://chromewebstore.google.com/detail/egpjdkipkomnmjhjmdamaniclmdlobbo</t>
  </si>
  <si>
    <t>Simple Calculator</t>
  </si>
  <si>
    <t>https://chromewebstore.google.com/detail/ehclemkhpcjoodjgdlnaoodjbbfjhihj</t>
  </si>
  <si>
    <t>AliExpress Shopping and Cash Back</t>
  </si>
  <si>
    <t>https://chromewebstore.google.com/detail/ehgchfhpoohealbjenffnigbifaeacba</t>
  </si>
  <si>
    <t>Alchemize</t>
  </si>
  <si>
    <t>https://chromewebstore.google.com/detail/ehjicobhjldomnjicohkkejcgljecncf</t>
  </si>
  <si>
    <t>CSP Tester</t>
  </si>
  <si>
    <t>https://chromewebstore.google.com/detail/ehmipebdmhlmikaopdfoinmcjhhfadlf</t>
  </si>
  <si>
    <t>네이버 일본어 사전</t>
  </si>
  <si>
    <t>https://chromewebstore.google.com/detail/ehpgegjlegpdpjpffilhpgmmlgbhkbip</t>
  </si>
  <si>
    <t>Ali Dropship Connector</t>
  </si>
  <si>
    <t>https://chromewebstore.google.com/detail/eifgohhoabpigckfaodlcckgkoeijpio</t>
  </si>
  <si>
    <t>PIPsy - PIP out your video player!</t>
  </si>
  <si>
    <t>https://chromewebstore.google.com/detail/eifkfjbbngmilpppefdcnocfpdlaipal</t>
  </si>
  <si>
    <t>NavigUp</t>
  </si>
  <si>
    <t>https://chromewebstore.google.com/detail/eigojmmlmgigbldiclbpibmjnlbdpiaa</t>
  </si>
  <si>
    <t>truster</t>
  </si>
  <si>
    <t>https://chromewebstore.google.com/detail/eiiilcdomkafolppehfkjdaflcblakml</t>
  </si>
  <si>
    <t>全能二维码</t>
  </si>
  <si>
    <t>https://chromewebstore.google.com/detail/ejadepcppnegmgmndhbhpaicoffamngd</t>
  </si>
  <si>
    <t>ColorFish 🐠 Color Picker</t>
  </si>
  <si>
    <t>https://chromewebstore.google.com/detail/ejfgcoabhgdgaafjeindjmegacbklcin</t>
  </si>
  <si>
    <t>Condler</t>
  </si>
  <si>
    <t>https://chromewebstore.google.com/detail/ejjdbndmmongojeafjlilnchmkppbeap</t>
  </si>
  <si>
    <t>Groove EQ</t>
  </si>
  <si>
    <t>https://chromewebstore.google.com/detail/ekbpkpogdfpoaehbngjhfololhjndbdn</t>
  </si>
  <si>
    <t>Students Click2TAU</t>
  </si>
  <si>
    <t>https://chromewebstore.google.com/detail/ekjalehlcmifmhjgnenllniahiocdjch</t>
  </si>
  <si>
    <t>Full Width for Google Search Console</t>
  </si>
  <si>
    <t>https://chromewebstore.google.com/detail/eklcbfkfhemcgponnlbafdiiofbnopdn</t>
  </si>
  <si>
    <t>Split PDF for Google Chrome™</t>
  </si>
  <si>
    <t>https://chromewebstore.google.com/detail/ekojmgooipeonpigjjclfbflmbjhhkpk</t>
  </si>
  <si>
    <t>Widescreen for GitHub</t>
  </si>
  <si>
    <t>https://chromewebstore.google.com/detail/elikdceclccjilahimjfceoalhdbndan</t>
  </si>
  <si>
    <t>Devo</t>
  </si>
  <si>
    <t>https://chromewebstore.google.com/detail/elkhalpmbmbaeoemecpcfdcoekmpgmdm</t>
  </si>
  <si>
    <t>JetWebinar Screen Sharing</t>
  </si>
  <si>
    <t>https://chromewebstore.google.com/detail/elpoagpgipenhjnfgljbnacmgeihhhdm</t>
  </si>
  <si>
    <t>Generator danych testowych</t>
  </si>
  <si>
    <t>https://chromewebstore.google.com/detail/emdnjmkfcjemifplhmbkjmelnckonggd</t>
  </si>
  <si>
    <t>OnePass Password Manager &amp; Generator</t>
  </si>
  <si>
    <t>https://chromewebstore.google.com/detail/emeedobobbobllpippjidhpiigoffbbj</t>
  </si>
  <si>
    <t>Pink-out</t>
  </si>
  <si>
    <t>https://chromewebstore.google.com/detail/emgomhlfknapebclbdkonjilalfmchep</t>
  </si>
  <si>
    <t>Procrastinator</t>
  </si>
  <si>
    <t>https://chromewebstore.google.com/detail/enagjojfhclogmaemicdkkohjghgpodh</t>
  </si>
  <si>
    <t>Chrome Bing Dict</t>
  </si>
  <si>
    <t>https://chromewebstore.google.com/detail/enaoikphbblijoloobmapommnigpocid</t>
  </si>
  <si>
    <t>QuickReply</t>
  </si>
  <si>
    <t>https://chromewebstore.google.com/detail/enngmhjfhandgjeccahinpmjfmllklki</t>
  </si>
  <si>
    <t>Period Countdown</t>
  </si>
  <si>
    <t>https://chromewebstore.google.com/detail/enpponilfcooflcegkodmpdgboooohjm</t>
  </si>
  <si>
    <t>Tab Manager</t>
  </si>
  <si>
    <t>https://chromewebstore.google.com/detail/eobcjlgohobbfcgabmijkdgpjkknpbbo</t>
  </si>
  <si>
    <t>Adobe Experience Cloud Bookmarks</t>
  </si>
  <si>
    <t>https://chromewebstore.google.com/detail/eobofinmnpbpbbmjhoickgllciakebjn</t>
  </si>
  <si>
    <t>How To Run OmeTV on PC</t>
  </si>
  <si>
    <t>https://chromewebstore.google.com/detail/eohpihmnjndedfccbibjjlechjjeoooh</t>
  </si>
  <si>
    <t>Battreminder</t>
  </si>
  <si>
    <t>https://chromewebstore.google.com/detail/eolgelhflgphiebnjopklpnplinmemfi</t>
  </si>
  <si>
    <t>Wave Extension</t>
  </si>
  <si>
    <t>https://chromewebstore.google.com/detail/eomjeenhnoaegjeoljekagkjobjabalk</t>
  </si>
  <si>
    <t>sourceditor</t>
  </si>
  <si>
    <t>https://chromewebstore.google.com/detail/eonnlpadjpdnandpobhloihongackbpg</t>
  </si>
  <si>
    <t>https://chromewebstore.google.com/detail/epaickocpjcjjiopbdlahnnkpljdlchm</t>
  </si>
  <si>
    <t>Smartschool Dark Mode</t>
  </si>
  <si>
    <t>https://chromewebstore.google.com/detail/epedchlibfieifndgfjekmpaancjjfob</t>
  </si>
  <si>
    <t>Reaction Time Game</t>
  </si>
  <si>
    <t>https://chromewebstore.google.com/detail/epnapkhlpikljdnnhkmfebapmmekjlab</t>
  </si>
  <si>
    <t>Free Games notification</t>
  </si>
  <si>
    <t>https://chromewebstore.google.com/detail/epoifkmdegipjgiaffigkidfgaijmjke</t>
  </si>
  <si>
    <t>Text Changer</t>
  </si>
  <si>
    <t>https://chromewebstore.google.com/detail/fabkbngakgpgbfjcgniagacieofijajm</t>
  </si>
  <si>
    <t>TastyPlug</t>
  </si>
  <si>
    <t>https://chromewebstore.google.com/detail/faccgibalfdoihmenknhpfhldkmgaang</t>
  </si>
  <si>
    <t>Quire</t>
  </si>
  <si>
    <t>https://chromewebstore.google.com/detail/fafnibnpfejgmleffgpnddkboddbipgm</t>
  </si>
  <si>
    <t>Network Sniffer</t>
  </si>
  <si>
    <t>https://chromewebstore.google.com/detail/fakcbdabfjjicnmkhljhanahlhdkjlgf</t>
  </si>
  <si>
    <t>Twonky Viewer</t>
  </si>
  <si>
    <t>https://chromewebstore.google.com/detail/falgkeemlabollcgileonaakpaggaldk</t>
  </si>
  <si>
    <t>SSLTrust SSL Certificate Store</t>
  </si>
  <si>
    <t>https://chromewebstore.google.com/detail/fappknnhhggcjmeljjbjmibmhoninmem</t>
  </si>
  <si>
    <t>Extract to React</t>
  </si>
  <si>
    <t>https://chromewebstore.google.com/detail/fbdmadiknkkdfcgjdbmddklighibfomm</t>
  </si>
  <si>
    <t>Korean IPTV</t>
  </si>
  <si>
    <t>https://chromewebstore.google.com/detail/fbeembbkdhjmllclbpjipcceajlblhbn</t>
  </si>
  <si>
    <t>Cruxe</t>
  </si>
  <si>
    <t>https://chromewebstore.google.com/detail/fbflpifoodcfknnolhnambbiekfjekmb</t>
  </si>
  <si>
    <t>https://chromewebstore.google.com/detail/fbkigokjancnolojmhcgcfhgeeljolkh</t>
  </si>
  <si>
    <t>Cloud Storage Direct Links</t>
  </si>
  <si>
    <t>https://chromewebstore.google.com/detail/fbkkphfailagfnjpgmddfmghblmggbja</t>
  </si>
  <si>
    <t>Duolingo Binge</t>
  </si>
  <si>
    <t>https://chromewebstore.google.com/detail/fbmkgmcpggolmkdjjgmjeacpkefiddcp</t>
  </si>
  <si>
    <t>TextTeaser Browser Extension</t>
  </si>
  <si>
    <t>https://chromewebstore.google.com/detail/fbojgdgmgpmmjhipfcjnkgmafcomfngh</t>
  </si>
  <si>
    <t>디코시스템 구매대행 앱</t>
  </si>
  <si>
    <t>https://chromewebstore.google.com/detail/fcgdlnpeeheimiofifimdfpmfiljddlk</t>
  </si>
  <si>
    <t>NeoBuxOx</t>
  </si>
  <si>
    <t>https://chromewebstore.google.com/detail/fcpnnjlljgdcinojgocmjddolelccbjc</t>
  </si>
  <si>
    <t>JSON Table Editor</t>
  </si>
  <si>
    <t>https://chromewebstore.google.com/detail/fddklllgaiialpiglbmmpaofmiemkkdo</t>
  </si>
  <si>
    <t>YEE Extension</t>
  </si>
  <si>
    <t>https://chromewebstore.google.com/detail/fdehphjgknbbfmaopdnhciplgjfifjkc</t>
  </si>
  <si>
    <t>Image Searcher</t>
  </si>
  <si>
    <t>https://chromewebstore.google.com/detail/fdlbedhogoojcdcjmjpipjonabaoidlj</t>
  </si>
  <si>
    <t>Kazom</t>
  </si>
  <si>
    <t>https://chromewebstore.google.com/detail/feeeclckpfekcfbnplpmfoldhbllpikn</t>
  </si>
  <si>
    <t>Viewtrader</t>
  </si>
  <si>
    <t>https://chromewebstore.google.com/detail/fehpipicaiihbpiegagncpdfkfmodiol</t>
  </si>
  <si>
    <t>DNSSEC Validator</t>
  </si>
  <si>
    <t>https://chromewebstore.google.com/detail/feijekkdahhnjbhpiffgejphmokchdbo</t>
  </si>
  <si>
    <t>Post Likers Inviter</t>
  </si>
  <si>
    <t>https://chromewebstore.google.com/detail/fejhallhnhclcidkbgclianhgfoendle</t>
  </si>
  <si>
    <t>Dreamland Story - Play Game Shortcut</t>
  </si>
  <si>
    <t>https://chromewebstore.google.com/detail/femolaikomdnigbodefkjhpjgkdopbci</t>
  </si>
  <si>
    <t>Disposable Number</t>
  </si>
  <si>
    <t>https://chromewebstore.google.com/detail/fepcenjlhhocbchbhfconcfeblaflgab</t>
  </si>
  <si>
    <t>Send to Mail</t>
  </si>
  <si>
    <t>https://chromewebstore.google.com/detail/ffcinmkbpiamlpccghkkglghggpahnab</t>
  </si>
  <si>
    <t>AllTabs</t>
  </si>
  <si>
    <t>https://chromewebstore.google.com/detail/fffhmhcillaopdbhllfffhfhbcnkioco</t>
  </si>
  <si>
    <t>Direct Links for Ebay/Paypal/Amazon.</t>
  </si>
  <si>
    <t>https://chromewebstore.google.com/detail/ffpjegijenjngmidlmahaekajbhhdmml</t>
  </si>
  <si>
    <t>In-Browser File Viewer</t>
  </si>
  <si>
    <t>https://chromewebstore.google.com/detail/fgjpbkpdakjgkgndpophdhjdnkchijjd</t>
  </si>
  <si>
    <t>Gmail HTML basic</t>
  </si>
  <si>
    <t>https://chromewebstore.google.com/detail/fglojcpjnipennndfejiehbndbidenbh</t>
  </si>
  <si>
    <t>medium infinity reader</t>
  </si>
  <si>
    <t>https://chromewebstore.google.com/detail/fgmeboblogphchmhbkppjdjohckmmhan</t>
  </si>
  <si>
    <t>Azure DevOps Wiki Editor</t>
  </si>
  <si>
    <t>https://chromewebstore.google.com/detail/fhdmpmfccmhbdmlaclcllpfdddfnhbec</t>
  </si>
  <si>
    <t>Checkers</t>
  </si>
  <si>
    <t>https://chromewebstore.google.com/detail/fhgfkokmjjnahoomiaocooplcahgccna</t>
  </si>
  <si>
    <t>iMapBuilder Online - GMap Editor</t>
  </si>
  <si>
    <t>https://chromewebstore.google.com/detail/fhgkjpalccpgngmppjgfgeknfehopmoj</t>
  </si>
  <si>
    <t>AEM Navigator</t>
  </si>
  <si>
    <t>https://chromewebstore.google.com/detail/fhkechjkbbenaaoghnlmcepoolbfdmca</t>
  </si>
  <si>
    <t>八卦插IP</t>
  </si>
  <si>
    <t>https://chromewebstore.google.com/detail/fhnkhcdcpalgfgneoojgcbmhnfjaepii</t>
  </si>
  <si>
    <t>Archilovers Inspiration Tab</t>
  </si>
  <si>
    <t>https://chromewebstore.google.com/detail/fholofncjefknlbmfkjondfolbgddjon</t>
  </si>
  <si>
    <t>微博一键拉黑点赞 - OneKBlock</t>
  </si>
  <si>
    <t>https://chromewebstore.google.com/detail/fiabhebnoobfodnondepifmhgooeompn</t>
  </si>
  <si>
    <t>Hoteloogle</t>
  </si>
  <si>
    <t>https://chromewebstore.google.com/detail/fiffpcmdajgojnmfdfangagpimonnmdc</t>
  </si>
  <si>
    <t>Voicepods - Realistic Text to Speech</t>
  </si>
  <si>
    <t>https://chromewebstore.google.com/detail/fihebcnndekipadhomlgaiajoipkophe</t>
  </si>
  <si>
    <t>StudyIQ: Smart Way of Learning</t>
  </si>
  <si>
    <t>https://chromewebstore.google.com/detail/fiibfdgjeodlnklafeiginlalmdhjmmn</t>
  </si>
  <si>
    <t>Sloth</t>
  </si>
  <si>
    <t>https://chromewebstore.google.com/detail/filkeckmpdjogddcamkafnekhgfaehkc</t>
  </si>
  <si>
    <t>Yamaneta - cashback on Aliexpress and etc.</t>
  </si>
  <si>
    <t>https://chromewebstore.google.com/detail/filngkjpmpaglfkcenjiljkmeajoaiff</t>
  </si>
  <si>
    <t>Ribbet Photo Collage</t>
  </si>
  <si>
    <t>https://chromewebstore.google.com/detail/fipboklgcfdipbmihkgjofbemfbjhomf</t>
  </si>
  <si>
    <t>Mobile Pinterest for PC/MAC</t>
  </si>
  <si>
    <t>https://chromewebstore.google.com/detail/fjbjobpmgmgpcbdndpelgbfhnfjaacil</t>
  </si>
  <si>
    <t>Descarga Masiva CFDI SAT</t>
  </si>
  <si>
    <t>https://chromewebstore.google.com/detail/fjdogeikdkhflgmciddlakccnghigakg</t>
  </si>
  <si>
    <t>Zoho Sites</t>
  </si>
  <si>
    <t>https://chromewebstore.google.com/detail/fjiicadehcnbkjkkeoggfamngbfibicn</t>
  </si>
  <si>
    <t>Siderite's DNS Resolver</t>
  </si>
  <si>
    <t>https://chromewebstore.google.com/detail/fjjomhepnnicmnkfiopeimfpdbpegboa</t>
  </si>
  <si>
    <t>The Trumpweb</t>
  </si>
  <si>
    <t>https://chromewebstore.google.com/detail/fjkehfaokpmcbigmbgdhmjblecgfkedg</t>
  </si>
  <si>
    <t>Console.Re - Remote JavaScript Console</t>
  </si>
  <si>
    <t>https://chromewebstore.google.com/detail/fjljjpffehpkhlppnbhmeonlanjmkhhf</t>
  </si>
  <si>
    <t>Cisco SecureX Ribbon</t>
  </si>
  <si>
    <t>https://chromewebstore.google.com/detail/fjmnijfljaoenghofncmjikccfjdaldg</t>
  </si>
  <si>
    <t>Native FLV Playback</t>
  </si>
  <si>
    <t>https://chromewebstore.google.com/detail/fjmoemhemaejfjodjgnpkelbdgejnpgd</t>
  </si>
  <si>
    <t>Clipboard Sync Beta</t>
  </si>
  <si>
    <t>https://chromewebstore.google.com/detail/fjnapmokjlagcbibhioepcfijehhlbpj</t>
  </si>
  <si>
    <t>Wikimedia Input Tools</t>
  </si>
  <si>
    <t>https://chromewebstore.google.com/detail/fjnfifedbeeeibikgpggddmfbaeccaoh</t>
  </si>
  <si>
    <t>ngram viewer</t>
  </si>
  <si>
    <t>https://chromewebstore.google.com/detail/fkgnekciniccjnacbafpgepgdngeapbb</t>
  </si>
  <si>
    <t>Codebender.cc Extension</t>
  </si>
  <si>
    <t>https://chromewebstore.google.com/detail/fkjidelplakiboijmadcpcbpboihkmee</t>
  </si>
  <si>
    <t>Salesforce Marketing Cloud Extension</t>
  </si>
  <si>
    <t>https://chromewebstore.google.com/detail/fkmojdpmdmdmeohmebiejjclmegkalli</t>
  </si>
  <si>
    <t>InjectCode</t>
  </si>
  <si>
    <t>https://chromewebstore.google.com/detail/flhghpihapijancfhnicbnjifdodohpi</t>
  </si>
  <si>
    <t>Empty New Tab Page - Black</t>
  </si>
  <si>
    <t>https://chromewebstore.google.com/detail/fllomkdgoahjlgcblpldnpjcilipjelp</t>
  </si>
  <si>
    <t>cottonTracks</t>
  </si>
  <si>
    <t>https://chromewebstore.google.com/detail/flmfagndkngjknjjcoejaihmibcfcjdh</t>
  </si>
  <si>
    <t>Nepali Patro - http://nepalipatro.com.np</t>
  </si>
  <si>
    <t>https://chromewebstore.google.com/detail/fmdigckemedcngcmnkjkcjimcihmogdc</t>
  </si>
  <si>
    <t>SVN Browser</t>
  </si>
  <si>
    <t>https://chromewebstore.google.com/detail/fmecikjllhmgphepkbjdbngfedfiiabf</t>
  </si>
  <si>
    <t>Veracross GPA Viewer</t>
  </si>
  <si>
    <t>https://chromewebstore.google.com/detail/fmffbkdjpleccffeakmpdkinffkahbgb</t>
  </si>
  <si>
    <t>Danimal Soundboard!</t>
  </si>
  <si>
    <t>https://chromewebstore.google.com/detail/fmnbendpgeigfbbggclcongjkmpjnina</t>
  </si>
  <si>
    <t>Lepšia očkovacia registrácia</t>
  </si>
  <si>
    <t>https://chromewebstore.google.com/detail/fniphkhigniidpeeogcnmhgcnhfnajbo</t>
  </si>
  <si>
    <t>CryptoMining Blocker</t>
  </si>
  <si>
    <t>https://chromewebstore.google.com/detail/fnmgefajmfpflnopkgeodcbfkgpkbcaa</t>
  </si>
  <si>
    <t>XSS辅助工具</t>
  </si>
  <si>
    <t>https://chromewebstore.google.com/detail/focmpdmaogbbmkdcdnofaifpkmcbmfdp</t>
  </si>
  <si>
    <t>Task tracker | Task timer</t>
  </si>
  <si>
    <t>https://chromewebstore.google.com/detail/foieejideloffcogfliehljobfocglfc</t>
  </si>
  <si>
    <t>Developer Flags for Google Chrome™</t>
  </si>
  <si>
    <t>https://chromewebstore.google.com/detail/fojocjhjjckpokddghpfadcgeldkfafn</t>
  </si>
  <si>
    <t>VK ads blocker - блокировка рекламы ВКонтакте</t>
  </si>
  <si>
    <t>https://chromewebstore.google.com/detail/fomomdfamkmilpipcbnapeiegbiadbic</t>
  </si>
  <si>
    <t>Cursor Traveler: mouse move counter</t>
  </si>
  <si>
    <t>https://chromewebstore.google.com/detail/fpaofkicpfiiifjpmkcadjpedlohpgep</t>
  </si>
  <si>
    <t>One Click Add Parcel - WePost</t>
  </si>
  <si>
    <t>https://chromewebstore.google.com/detail/fpbbmgkekkdgipkngmlgcfgadhnapdle</t>
  </si>
  <si>
    <t>Pokemon Showdown Random Battle Tooltip</t>
  </si>
  <si>
    <t>https://chromewebstore.google.com/detail/fpeemclhojbkjkamiinkplghgkhddcgc</t>
  </si>
  <si>
    <t>Super Meet Mute</t>
  </si>
  <si>
    <t>https://chromewebstore.google.com/detail/gaahlcaciakkdkggcjhdhlhgfdblabec</t>
  </si>
  <si>
    <t>Cloudfront Purge Tool</t>
  </si>
  <si>
    <t>https://chromewebstore.google.com/detail/gadbenpggeagjgnameagcpjnjdlckkpb</t>
  </si>
  <si>
    <t>reddit Sidebar Hider</t>
  </si>
  <si>
    <t>https://chromewebstore.google.com/detail/gadkijfpineeapfidmlddbaiemjigpdb</t>
  </si>
  <si>
    <t>Google Search Console Extended</t>
  </si>
  <si>
    <t>https://chromewebstore.google.com/detail/gafcchglbfbajijlhhcnklpdcljldhlk</t>
  </si>
  <si>
    <t>NewsBot - Give me 5</t>
  </si>
  <si>
    <t>https://chromewebstore.google.com/detail/gahbhdbjjomehdmbjielhoflcmnecief</t>
  </si>
  <si>
    <t>Memory Monitor</t>
  </si>
  <si>
    <t>https://chromewebstore.google.com/detail/gaodmenekccdomeicdoldgdpcemlgiag</t>
  </si>
  <si>
    <t>Bootstrap 3.3.x Offline Guide</t>
  </si>
  <si>
    <t>https://chromewebstore.google.com/detail/gaojaekjdcfbdfiiggmklaocglaknnkd</t>
  </si>
  <si>
    <t>Sync Tab Groups</t>
  </si>
  <si>
    <t>https://chromewebstore.google.com/detail/gbkddinkjahdfhaiifploahejhmaaeoa</t>
  </si>
  <si>
    <t>Internet Connection Alerter</t>
  </si>
  <si>
    <t>https://chromewebstore.google.com/detail/gblkogokfmmijbaimilacehnjajkenmc</t>
  </si>
  <si>
    <t>Pixiv Ugoira WebM</t>
  </si>
  <si>
    <t>https://chromewebstore.google.com/detail/gbloepphddjkabijnjhaplhhamkmkmik</t>
  </si>
  <si>
    <t>cros-anywhere</t>
  </si>
  <si>
    <t>https://chromewebstore.google.com/detail/gcagclbpmooihllccniifbdekfeneebm</t>
  </si>
  <si>
    <t>NationStates++</t>
  </si>
  <si>
    <t>https://chromewebstore.google.com/detail/gcgdpgjockahmkhjgcfidmlahiicmagj</t>
  </si>
  <si>
    <t>zh-downloader</t>
  </si>
  <si>
    <t>https://chromewebstore.google.com/detail/gcknejnpflbcggigdinhahgngfhaomik</t>
  </si>
  <si>
    <t>Close tabs to the left</t>
  </si>
  <si>
    <t>https://chromewebstore.google.com/detail/gcmjpicopfkgmjdomahfjkmhpcelklba</t>
  </si>
  <si>
    <t>FIG</t>
  </si>
  <si>
    <t>https://chromewebstore.google.com/detail/gddhicbfkbaeciiogipbgjdmkjdfanng</t>
  </si>
  <si>
    <t>Słownik an-pl</t>
  </si>
  <si>
    <t>https://chromewebstore.google.com/detail/gdimodggclcfachocbnfnciifajkmfpc</t>
  </si>
  <si>
    <t>Stream Life</t>
  </si>
  <si>
    <t>https://chromewebstore.google.com/detail/gedlidghoggkjjbjjfklaljpcfioikho</t>
  </si>
  <si>
    <t>TravianTactics</t>
  </si>
  <si>
    <t>https://chromewebstore.google.com/detail/gegegmbnpdigalgfkegjgnfcpmolijdg</t>
  </si>
  <si>
    <t>Glance - New Tab replacement with RSS</t>
  </si>
  <si>
    <t>https://chromewebstore.google.com/detail/gegndkiddfjlkjkeahlajekmamjgpngl</t>
  </si>
  <si>
    <t>Helianthus.annuus</t>
  </si>
  <si>
    <t>https://chromewebstore.google.com/detail/gelkllafbnhilefggkgjgjanooclhddn</t>
  </si>
  <si>
    <t>4PDA Инспектор</t>
  </si>
  <si>
    <t>https://chromewebstore.google.com/detail/genocmfcloockjjgkdgifiabfampcgif</t>
  </si>
  <si>
    <t>速卖通半托管定价计算器</t>
  </si>
  <si>
    <t>https://chromewebstore.google.com/detail/gfefaehopggffjmpodfdplcjkjbmlpnc</t>
  </si>
  <si>
    <t>appchan x</t>
  </si>
  <si>
    <t>https://chromewebstore.google.com/detail/gfibffekgcmgabbfaibbbcapgnfobnoi</t>
  </si>
  <si>
    <t>Hotkeys for Search</t>
  </si>
  <si>
    <t>https://chromewebstore.google.com/detail/gfmeadbjkfhkeklgaomifcaihbhpeido</t>
  </si>
  <si>
    <t>Project Centurion AG</t>
  </si>
  <si>
    <t>https://chromewebstore.google.com/detail/gfmlilhophdchbdmihgdiphkkeeepecj</t>
  </si>
  <si>
    <t>Soccer Streams AceStream Linker</t>
  </si>
  <si>
    <t>https://chromewebstore.google.com/detail/gfobbobglfbphfkaeifonggijdmdgiaa</t>
  </si>
  <si>
    <t>RRSign</t>
  </si>
  <si>
    <t>https://chromewebstore.google.com/detail/ggeclmklnppbanapfalngfepijekjpki</t>
  </si>
  <si>
    <t>AngularJS Graph</t>
  </si>
  <si>
    <t>https://chromewebstore.google.com/detail/gghbihjmlhobaiedlbhcaellinkmlogj</t>
  </si>
  <si>
    <t>Record/Replay</t>
  </si>
  <si>
    <t>https://chromewebstore.google.com/detail/ggjfmmgmhdopapbclggmlhjdepljpmha</t>
  </si>
  <si>
    <t>CAT PARTY!😻🎉🐈🥳😹</t>
  </si>
  <si>
    <t>https://chromewebstore.google.com/detail/ggkedpioohgmaanpifhldbboibljkdmp</t>
  </si>
  <si>
    <t>LightShot Roulette</t>
  </si>
  <si>
    <t>https://chromewebstore.google.com/detail/ggnpgmocgnboafcpdmdojkdaaoddjape</t>
  </si>
  <si>
    <t>Interval Timer</t>
  </si>
  <si>
    <t>https://chromewebstore.google.com/detail/ggofbbndaeneibofhcakocmknlcoleaa</t>
  </si>
  <si>
    <t>Doge My Site</t>
  </si>
  <si>
    <t>https://chromewebstore.google.com/detail/ghefodhmgeofnfpbmjlkglokpgomcodc</t>
  </si>
  <si>
    <t>MHCT MouseHunt Helper</t>
  </si>
  <si>
    <t>https://chromewebstore.google.com/detail/ghfmjkamilolkalibpmokjigalmncfek</t>
  </si>
  <si>
    <t>Keypress Editor</t>
  </si>
  <si>
    <t>https://chromewebstore.google.com/detail/ghfooiajeobmcfhmajcblmompfdehnli</t>
  </si>
  <si>
    <t>Daily Mail Blocker</t>
  </si>
  <si>
    <t>https://chromewebstore.google.com/detail/ghjadbffkapbnlbccfjoljfhgolbofhi</t>
  </si>
  <si>
    <t>Scratch Fullscreen</t>
  </si>
  <si>
    <t>https://chromewebstore.google.com/detail/gihphjdlkigognnhkankfjcclijhadpe</t>
  </si>
  <si>
    <t>ADA ticker | Cardano ticker</t>
  </si>
  <si>
    <t>https://chromewebstore.google.com/detail/giigiakobnabpjepaocchngobehpbbgb</t>
  </si>
  <si>
    <t>spoonacular recipe saver</t>
  </si>
  <si>
    <t>https://chromewebstore.google.com/detail/gjfkonhifbgbcbdjjggkiibcmljfdfpb</t>
  </si>
  <si>
    <t>Интернет-банкинг ЦФТ-ДБО</t>
  </si>
  <si>
    <t>https://chromewebstore.google.com/detail/gjimohgoppopjioaalcikagnlhbhmimo</t>
  </si>
  <si>
    <t>CanBuy</t>
  </si>
  <si>
    <t>https://chromewebstore.google.com/detail/gjoopnklngamokaeodcngfcfdbomihdd</t>
  </si>
  <si>
    <t>Web Archiver</t>
  </si>
  <si>
    <t>https://chromewebstore.google.com/detail/gjpgpobcdndcdcidmgcmlphbomllapjp</t>
  </si>
  <si>
    <t>Unaddict</t>
  </si>
  <si>
    <t>https://chromewebstore.google.com/detail/gjpkdldojiaeanjdoifmldjdlgflemkl</t>
  </si>
  <si>
    <t>Quick Compose for Gmail™</t>
  </si>
  <si>
    <t>https://chromewebstore.google.com/detail/gkgfjfgolebaenhefmjbldmmiiokabni</t>
  </si>
  <si>
    <t>FitBitKeto</t>
  </si>
  <si>
    <t>https://chromewebstore.google.com/detail/gkpaagblehjajcbedipoaipnhclecemn</t>
  </si>
  <si>
    <t>EnjoyCSS</t>
  </si>
  <si>
    <t>https://chromewebstore.google.com/detail/glaicnlmooddlibnipmedfkfjkphoklc</t>
  </si>
  <si>
    <t>TVQue</t>
  </si>
  <si>
    <t>https://chromewebstore.google.com/detail/glcfcbpnklnoioicglgeagddedkbfbmk</t>
  </si>
  <si>
    <t>Pony Importer</t>
  </si>
  <si>
    <t>https://chromewebstore.google.com/detail/gldfiobnglilbkgbbahifeikpngcjmme</t>
  </si>
  <si>
    <t>Online Music Control</t>
  </si>
  <si>
    <t>https://chromewebstore.google.com/detail/glegacjlklaemdoofcoaainnhjcoadfn</t>
  </si>
  <si>
    <t>SUFLI - Netflix subtitles translator</t>
  </si>
  <si>
    <t>https://chromewebstore.google.com/detail/glhnfeapdblacaodpihdfcaijfddedec</t>
  </si>
  <si>
    <t>Xirvik .torrent to seedbox uploader</t>
  </si>
  <si>
    <t>https://chromewebstore.google.com/detail/gljdkkichjgocpdmiaachhlfccddcjgb</t>
  </si>
  <si>
    <t>Oh My IG</t>
  </si>
  <si>
    <t>https://chromewebstore.google.com/detail/glmlgaadcaohdmmpkkllhdkpjbeibond</t>
  </si>
  <si>
    <t>AliExpress Reviews Exporter | CSV &amp; Images</t>
  </si>
  <si>
    <t>https://chromewebstore.google.com/detail/glnajkhggmbljlcafknlkcihcheoankc</t>
  </si>
  <si>
    <t>Day Counter</t>
  </si>
  <si>
    <t>https://chromewebstore.google.com/detail/glnbjmdjpcccpdlckpenknmacmgbecpa</t>
  </si>
  <si>
    <t>Nullpo 5ch Reader</t>
  </si>
  <si>
    <t>https://chromewebstore.google.com/detail/glnikkggejkcjnnpjgafjjplofcamkae</t>
  </si>
  <si>
    <t>Range-selection Image Search</t>
  </si>
  <si>
    <t>https://chromewebstore.google.com/detail/gmhecmaeajphjedhdjogmmaakkfainfk</t>
  </si>
  <si>
    <t>RSS links for iTunes U courses</t>
  </si>
  <si>
    <t>https://chromewebstore.google.com/detail/gmmjfgbacaloikamokicljdicelmdihp</t>
  </si>
  <si>
    <t>WG Stealth</t>
  </si>
  <si>
    <t>https://chromewebstore.google.com/detail/gmojcbijaafhccilpieladabaiendmmd</t>
  </si>
  <si>
    <t>paraphrasing.io</t>
  </si>
  <si>
    <t>https://chromewebstore.google.com/detail/gndlahfkkmgaanliojbppponkcpohhnm</t>
  </si>
  <si>
    <t>Send to Airtable</t>
  </si>
  <si>
    <t>https://chromewebstore.google.com/detail/gnlfpcbhdipbidmkchkjlleppeijclbj</t>
  </si>
  <si>
    <t>Zattoyomi ニュース見出しリーダー</t>
  </si>
  <si>
    <t>https://chromewebstore.google.com/detail/gnmjncgndkpfalekfpclgiikaljccpcl</t>
  </si>
  <si>
    <t>Etsy Tags Extractor</t>
  </si>
  <si>
    <t>https://chromewebstore.google.com/detail/gnmpjacikebepcldbeiaghdlobpbbnjo</t>
  </si>
  <si>
    <t>FirePHP for Chrome</t>
  </si>
  <si>
    <t>https://chromewebstore.google.com/detail/goajlbdffkligccnfgibeilhdnnpaead</t>
  </si>
  <si>
    <t>Mick Schroeder's Citation Generator</t>
  </si>
  <si>
    <t>https://chromewebstore.google.com/detail/gocmebnobccjiigdnakfmlieghedgdhk</t>
  </si>
  <si>
    <t>Anime Watch Parties</t>
  </si>
  <si>
    <t>https://chromewebstore.google.com/detail/goinehmnmhnoaepodbngfgdgjeibgelh</t>
  </si>
  <si>
    <t>Valorant Theme - New Tab Video Wallpaper</t>
  </si>
  <si>
    <t>https://chromewebstore.google.com/detail/gokdopjgopnkdginfdjhpbakchalalfp</t>
  </si>
  <si>
    <t>Mileage Calculator by wheretocredit.com</t>
  </si>
  <si>
    <t>https://chromewebstore.google.com/detail/gomddcmabinakjildbgfoabbiakfkkfk</t>
  </si>
  <si>
    <t>紫鸟插件</t>
  </si>
  <si>
    <t>https://chromewebstore.google.com/detail/gooemkdilmkoeinjobpbmgbogjopbbif</t>
  </si>
  <si>
    <t>智淘_复制宝贝</t>
  </si>
  <si>
    <t>https://chromewebstore.google.com/detail/gpcddccmdcalkmfjicallifmnddihkgp</t>
  </si>
  <si>
    <t>Code Block Beautifier</t>
  </si>
  <si>
    <t>https://chromewebstore.google.com/detail/gpcjjddhdnilcbddlonlfgdbejfboonn</t>
  </si>
  <si>
    <t>Quick Menu for Google Chrome™</t>
  </si>
  <si>
    <t>https://chromewebstore.google.com/detail/gpkimglohcihapifmlbojjpdgeiejcip</t>
  </si>
  <si>
    <t>Cloudy Calculator 2</t>
  </si>
  <si>
    <t>https://chromewebstore.google.com/detail/gpnjkkgajfmdmbbpadigjlhpkaopfccl</t>
  </si>
  <si>
    <t>OpenSea Plus</t>
  </si>
  <si>
    <t>https://chromewebstore.google.com/detail/gppjdeelhcpegjlfgfjnbeljgbcejbmp</t>
  </si>
  <si>
    <t>PhoneTracking - GPS Phone Tracker</t>
  </si>
  <si>
    <t>https://chromewebstore.google.com/detail/haafcedjaceogpbeopamdmeckgdmldbb</t>
  </si>
  <si>
    <t>Video Search for YouTube</t>
  </si>
  <si>
    <t>https://chromewebstore.google.com/detail/habdalaejnjehgaadeignhbmllkdngpf</t>
  </si>
  <si>
    <t>ArchiveBox</t>
  </si>
  <si>
    <t>https://chromewebstore.google.com/detail/habonpimjphpdnmcfkaockjnffodikoj</t>
  </si>
  <si>
    <t>Night Vision</t>
  </si>
  <si>
    <t>https://chromewebstore.google.com/detail/hamjjddlcjfininpcaoankggglkblckb</t>
  </si>
  <si>
    <t>Simply Synonyms</t>
  </si>
  <si>
    <t>https://chromewebstore.google.com/detail/hapeijdlgbbhjmijhmgggnakcgdcpfap</t>
  </si>
  <si>
    <t>Easy to RSS</t>
  </si>
  <si>
    <t>https://chromewebstore.google.com/detail/hbcmpkcpbnecinpngdnfbnknfkdpdfli</t>
  </si>
  <si>
    <t>Daily Bible Verse</t>
  </si>
  <si>
    <t>https://chromewebstore.google.com/detail/hbcnmbidfinkocndbbchppnnnmlcdocl</t>
  </si>
  <si>
    <t>SurfSafe - join the fight against fake news</t>
  </si>
  <si>
    <t>https://chromewebstore.google.com/detail/hbpagabeiphkfhbboacggckhkkipgdmh</t>
  </si>
  <si>
    <t>SimpleDiscordCrypt</t>
  </si>
  <si>
    <t>https://chromewebstore.google.com/detail/hbplgmpfdabobhnadbfpknppljdfkiia</t>
  </si>
  <si>
    <t>Maxi best-of</t>
  </si>
  <si>
    <t>https://chromewebstore.google.com/detail/hcbifpgnodngojidpmahogbpchlcmjmd</t>
  </si>
  <si>
    <t>Dictionary Anywhere</t>
  </si>
  <si>
    <t>https://chromewebstore.google.com/detail/hcepmnlphdfefjddkgkblcjkbpbpemac</t>
  </si>
  <si>
    <t>Web-Translate</t>
  </si>
  <si>
    <t>https://chromewebstore.google.com/detail/hcgieffgpbjghiibedcileaobhopaodg</t>
  </si>
  <si>
    <t>[CB] eRepublik</t>
  </si>
  <si>
    <t>https://chromewebstore.google.com/detail/hcllofidbkalfnhfapholimfflgpojdp</t>
  </si>
  <si>
    <t>Show Frame</t>
  </si>
  <si>
    <t>https://chromewebstore.google.com/detail/hcmgcfdnagjkihmgjhbiombjdcgckgnb</t>
  </si>
  <si>
    <t>DrumUp</t>
  </si>
  <si>
    <t>https://chromewebstore.google.com/detail/hdbkcjlhppelfoljjhfkgaeffmamkmcb</t>
  </si>
  <si>
    <t>QTMHack</t>
  </si>
  <si>
    <t>https://chromewebstore.google.com/detail/hdnbkdgkacokppmmcgbmljaoljkbnell</t>
  </si>
  <si>
    <t>close_tab(s)</t>
  </si>
  <si>
    <t>https://chromewebstore.google.com/detail/hdoplfhlfoagdghmfamhnakmjjffeila</t>
  </si>
  <si>
    <t>InterviewBit</t>
  </si>
  <si>
    <t>https://chromewebstore.google.com/detail/healhengajmbpahbgiokccdoemnnlaak</t>
  </si>
  <si>
    <t>VisualEyes - Visual Insights for websites</t>
  </si>
  <si>
    <t>https://chromewebstore.google.com/detail/heephfjhabnjmmeiindjefllheeddogn</t>
  </si>
  <si>
    <t>Glitchy Glitch Gloo</t>
  </si>
  <si>
    <t>https://chromewebstore.google.com/detail/hehejefmdmpijnamjenkjogiamhoahha</t>
  </si>
  <si>
    <t>Lubuntu Scrollbars</t>
  </si>
  <si>
    <t>https://chromewebstore.google.com/detail/hemkkjpjknkkndhconammdhlhdkjclim</t>
  </si>
  <si>
    <t>Quick Settings</t>
  </si>
  <si>
    <t>https://chromewebstore.google.com/detail/hfaafepenlpgdjdkhdgdgidipgohdclf</t>
  </si>
  <si>
    <t>Amazon Prime Video - Rotten Tomatoes Overlay</t>
  </si>
  <si>
    <t>https://chromewebstore.google.com/detail/hfemgdpfoemphmhakjpcbepaggjmhjci</t>
  </si>
  <si>
    <t>Salesforce.com Id Clipper</t>
  </si>
  <si>
    <t>https://chromewebstore.google.com/detail/hfiffenhnefppjhloglpebefjlbhoeai</t>
  </si>
  <si>
    <t>RoLinker</t>
  </si>
  <si>
    <t>https://chromewebstore.google.com/detail/hfkcemahdlffhnlkogfmddikhggegfmg</t>
  </si>
  <si>
    <t>PaCanarias: Productos Amazon envío a Canarias</t>
  </si>
  <si>
    <t>https://chromewebstore.google.com/detail/hfnkpihhjamocbcmdcjdbbplgjoklmno</t>
  </si>
  <si>
    <t>Secioss AutoLogin</t>
  </si>
  <si>
    <t>https://chromewebstore.google.com/detail/hgabmgeiblbaoolibacenpdndiepahkk</t>
  </si>
  <si>
    <t>Create Google Calendar Event</t>
  </si>
  <si>
    <t>https://chromewebstore.google.com/detail/hgfcjgkfpcgkpjejigpabfioeghofajm</t>
  </si>
  <si>
    <t>Adjaranet Downloader</t>
  </si>
  <si>
    <t>https://chromewebstore.google.com/detail/hglehkpfnjjjnihahbhbppiciggfaphh</t>
  </si>
  <si>
    <t>Whiteboard</t>
  </si>
  <si>
    <t>https://chromewebstore.google.com/detail/hgoiijmhpdjkmecnlkpdcflgfjebpbhe</t>
  </si>
  <si>
    <t>Share me - Content sharing for Mobile/Tablet</t>
  </si>
  <si>
    <t>https://chromewebstore.google.com/detail/hhcmoefkofcdbfbpgibmffepdgaklppi</t>
  </si>
  <si>
    <t>JOSM Strava Heatmap</t>
  </si>
  <si>
    <t>https://chromewebstore.google.com/detail/hicmfobjcbinceoeegookkgllpdgkcdc</t>
  </si>
  <si>
    <t>Website Code Generators by WebCodeTools.com</t>
  </si>
  <si>
    <t>https://chromewebstore.google.com/detail/hiekdllknpjfplfdejdbajoahehmkogk</t>
  </si>
  <si>
    <t>Extension Control</t>
  </si>
  <si>
    <t>https://chromewebstore.google.com/detail/himccccaelhgphommckogopgpddngimf</t>
  </si>
  <si>
    <t>Cisco Threat Response Casebook (beta)</t>
  </si>
  <si>
    <t>https://chromewebstore.google.com/detail/himjbijchjdfcpnihaajckmjlignpkmh</t>
  </si>
  <si>
    <t>Tab Groups</t>
  </si>
  <si>
    <t>https://chromewebstore.google.com/detail/hipnhfelcpeakkbodboaekadfleolnbi</t>
  </si>
  <si>
    <t>Fuse Flow</t>
  </si>
  <si>
    <t>https://chromewebstore.google.com/detail/hkclahnmhniojcpfpkmolmdknbpnaccp</t>
  </si>
  <si>
    <t>Storyful Multisearch</t>
  </si>
  <si>
    <t>https://chromewebstore.google.com/detail/hkglibabhninbjmaccpajiakojeacnaf</t>
  </si>
  <si>
    <t>WoWsStatInfo</t>
  </si>
  <si>
    <t>https://chromewebstore.google.com/detail/hkgnleedlgehhehjjjbipfjlceepfkjk</t>
  </si>
  <si>
    <t>PNU VIDEO DOWNLOADER</t>
  </si>
  <si>
    <t>https://chromewebstore.google.com/detail/hkkgiaikmcbodmomfcadhdgconbijlbh</t>
  </si>
  <si>
    <t>T-Rex running Dinosaur</t>
  </si>
  <si>
    <t>https://chromewebstore.google.com/detail/hklcgjcljkpbpkaammpdgajgoejolfmm</t>
  </si>
  <si>
    <t>Virtual Business Card</t>
  </si>
  <si>
    <t>https://chromewebstore.google.com/detail/hlbknenglceebfhkcdbechnidloaphmc</t>
  </si>
  <si>
    <t>https://chromewebstore.google.com/detail/hleifpgbhiladknmecmkpgbgfmlnjhoh</t>
  </si>
  <si>
    <t>Dark Theme for Reddit</t>
  </si>
  <si>
    <t>https://chromewebstore.google.com/detail/hlhoffhnpiiamppijcbelojhpnhpjdcg</t>
  </si>
  <si>
    <t>Egerd</t>
  </si>
  <si>
    <t>https://chromewebstore.google.com/detail/hljmjgbejhgcdpjabemfbhdhophhndfd</t>
  </si>
  <si>
    <t>Profit Genie</t>
  </si>
  <si>
    <t>https://chromewebstore.google.com/detail/hlnddbinpplgecdbgpmjjcbbcleokmgj</t>
  </si>
  <si>
    <t>Passman</t>
  </si>
  <si>
    <t>https://chromewebstore.google.com/detail/hlpjhlifkgmoibhollggngbbhbejecph</t>
  </si>
  <si>
    <t>All Fnf Mods</t>
  </si>
  <si>
    <t>https://chromewebstore.google.com/detail/hlppghpgkinhomcehphccgkbjkbkcgkh</t>
  </si>
  <si>
    <t>Rdio Enhancer</t>
  </si>
  <si>
    <t>https://chromewebstore.google.com/detail/hmaalfaappddkggilhahaebfhdmmmngf</t>
  </si>
  <si>
    <t>Penguins</t>
  </si>
  <si>
    <t>https://chromewebstore.google.com/detail/hmaldlpfgpmhhljpiihjidjgemodjogi</t>
  </si>
  <si>
    <t>Api4Com - Extensão para Navegadores (Antigo)</t>
  </si>
  <si>
    <t>https://chromewebstore.google.com/detail/hmgiolmlfpcefkdacnihdpbaoenenlef</t>
  </si>
  <si>
    <t>もっと画像検索</t>
  </si>
  <si>
    <t>https://chromewebstore.google.com/detail/hmhhkndlnoppgilooalkecpmodbjkdmj</t>
  </si>
  <si>
    <t>Nota media en la UPM</t>
  </si>
  <si>
    <t>https://chromewebstore.google.com/detail/hmnjehdhjcmffbfeeejinggfhhkghnkp</t>
  </si>
  <si>
    <t>FUTWIZ Sync</t>
  </si>
  <si>
    <t>https://chromewebstore.google.com/detail/hmonmgdfpgohkocmljboopebpcpaccin</t>
  </si>
  <si>
    <t>Liverpool FC wallpaper HD</t>
  </si>
  <si>
    <t>https://chromewebstore.google.com/detail/hnciafnpogicjbaceehjoakjmgpbgdci</t>
  </si>
  <si>
    <t>Gradient Tabs</t>
  </si>
  <si>
    <t>https://chromewebstore.google.com/detail/hndkippiajpholnhmcmlcebbcgnhldbo</t>
  </si>
  <si>
    <t>YouTube Loop</t>
  </si>
  <si>
    <t>https://chromewebstore.google.com/detail/hndoffepfnjbeinjkiaamdphgllpgnmi</t>
  </si>
  <si>
    <t>淘宝店铺档案查看</t>
  </si>
  <si>
    <t>https://chromewebstore.google.com/detail/hngockjeakbglfgfbljedahgobammpbi</t>
  </si>
  <si>
    <t>▷ 123Movies - New Official Website Unblocked</t>
  </si>
  <si>
    <t>https://chromewebstore.google.com/detail/hnhpmjnpbniipmhfkibjbplgkobpejbi</t>
  </si>
  <si>
    <t>Porsche New Tab Wallpapers</t>
  </si>
  <si>
    <t>https://chromewebstore.google.com/detail/hnkbffipafpidcfbjnfmmdpdpmflocjf</t>
  </si>
  <si>
    <t>OkTools Save</t>
  </si>
  <si>
    <t>https://chromewebstore.google.com/detail/hnmjkpjfkgkjennckgjdmoikjbfkbfhc</t>
  </si>
  <si>
    <t>Site Bomb</t>
  </si>
  <si>
    <t>https://chromewebstore.google.com/detail/hnnabnffilimfgdcinlijkjkdemdonea</t>
  </si>
  <si>
    <t>DarkOrbit SID Login</t>
  </si>
  <si>
    <t>https://chromewebstore.google.com/detail/hnpbnnaglicijamhpmphajfkmdfpobca</t>
  </si>
  <si>
    <t>Steam Friends Enhancer</t>
  </si>
  <si>
    <t>https://chromewebstore.google.com/detail/homplpaldlodpgkcilfgcbfoaolbmplm</t>
  </si>
  <si>
    <t>Clippy</t>
  </si>
  <si>
    <t>https://chromewebstore.google.com/detail/honbeilkanbghjimjoniipnnehlmhggk</t>
  </si>
  <si>
    <t>Ubersuggest CPC &amp; Search Volume Enhancer</t>
  </si>
  <si>
    <t>https://chromewebstore.google.com/detail/hopggcicaffnjomhjjpogcelclkbnigp</t>
  </si>
  <si>
    <t>Stay for Browser</t>
  </si>
  <si>
    <t>https://chromewebstore.google.com/detail/hpbebebpjajeiadiakgckpahmhkbkpoa</t>
  </si>
  <si>
    <t>网文摘手</t>
  </si>
  <si>
    <t>https://chromewebstore.google.com/detail/hpdmagfinfjkljobgngfeecfglalnfpk</t>
  </si>
  <si>
    <t>Fast Boo Slideshow</t>
  </si>
  <si>
    <t>https://chromewebstore.google.com/detail/hpijlfldendkjfhdaebnbglbiajhempp</t>
  </si>
  <si>
    <t>Tabiverse: Space &amp; Planets in New Tab</t>
  </si>
  <si>
    <t>https://chromewebstore.google.com/detail/hpplgjkooibhfkmmepoikcjpadcojcik</t>
  </si>
  <si>
    <t>Save As File</t>
  </si>
  <si>
    <t>https://chromewebstore.google.com/detail/iajmdojjjiapknggfnckblngginmjnbe</t>
  </si>
  <si>
    <t>Семантический анализ текста от Miratext</t>
  </si>
  <si>
    <t>https://chromewebstore.google.com/detail/ialdfbinfjlmifbfolfjpmjgopapoigi</t>
  </si>
  <si>
    <t>Magnet-ссылка - http://rutracker.org</t>
  </si>
  <si>
    <t>https://chromewebstore.google.com/detail/ianjmfndalobopghadlipffinjopjgeg</t>
  </si>
  <si>
    <t>Project Tab Manager</t>
  </si>
  <si>
    <t>https://chromewebstore.google.com/detail/iapdnheekciiecjijobcglkcgeckpoia</t>
  </si>
  <si>
    <t>FXStreet - The Foreign Exchange Market</t>
  </si>
  <si>
    <t>https://chromewebstore.google.com/detail/ibbcojjolkfhjaecoicbmnokmbcaaigi</t>
  </si>
  <si>
    <t>Zen YouTube: Distraction free youtube</t>
  </si>
  <si>
    <t>https://chromewebstore.google.com/detail/ibcpcdiajmfmkieocebkoiofgdbbecel</t>
  </si>
  <si>
    <t>TxStreet ETH Gas Prices</t>
  </si>
  <si>
    <t>https://chromewebstore.google.com/detail/ibmcbgbkeofegdhoeijhfhofjkmdoima</t>
  </si>
  <si>
    <t>https://chromewebstore.google.com/detail/ibmpamplhebgoidhhlpdgenhdhmchdoa</t>
  </si>
  <si>
    <t>Dirt Farmer's Click Trap Remover</t>
  </si>
  <si>
    <t>https://chromewebstore.google.com/detail/icgpkdoghndaeolkpcikaieakkfjnall</t>
  </si>
  <si>
    <t>MYBEST代购代运助手 / 一键添加包裹</t>
  </si>
  <si>
    <t>https://chromewebstore.google.com/detail/icmnaoekiaeclonjdfheaomemmpapknm</t>
  </si>
  <si>
    <t>Photo Calendar 2020</t>
  </si>
  <si>
    <t>https://chromewebstore.google.com/detail/icolobglimlklcdpecoaecmdhlehbgkg</t>
  </si>
  <si>
    <t>ULaval Adobe Connect HTML5</t>
  </si>
  <si>
    <t>https://chromewebstore.google.com/detail/idnfbhpmefhpjhipmodgoabndangiljd</t>
  </si>
  <si>
    <t>A11Y - Color blindness empathy test</t>
  </si>
  <si>
    <t>https://chromewebstore.google.com/detail/idphhflanmeibmjgaciaadkmjebljhcc</t>
  </si>
  <si>
    <t>CommonChars</t>
  </si>
  <si>
    <t>https://chromewebstore.google.com/detail/idpokbmjkdnilkconegegocjmogiomgi</t>
  </si>
  <si>
    <t>一键图文: 新浪微博分享</t>
  </si>
  <si>
    <t>https://chromewebstore.google.com/detail/iekppabgndnppcokphidmgaodcfmlhac</t>
  </si>
  <si>
    <t>DZRQueueKeeper</t>
  </si>
  <si>
    <t>https://chromewebstore.google.com/detail/ielmojibkdphejjmkggejcjgclchomlg</t>
  </si>
  <si>
    <t>Gyroscope for Chrome</t>
  </si>
  <si>
    <t>https://chromewebstore.google.com/detail/ifakdojghbjeahenejfpgdfhhcmjgfle</t>
  </si>
  <si>
    <t>Knotes</t>
  </si>
  <si>
    <t>https://chromewebstore.google.com/detail/ifikafigdaiookblpafdpjfkffiocafj</t>
  </si>
  <si>
    <t>Tabsets</t>
  </si>
  <si>
    <t>https://chromewebstore.google.com/detail/ifohmndbcefggppiblfofpbkmdfmeing</t>
  </si>
  <si>
    <t>Search JSTOR</t>
  </si>
  <si>
    <t>https://chromewebstore.google.com/detail/igcbippnjiingjjdgcghglopgkjcoahb</t>
  </si>
  <si>
    <t>Bus Mountain Drive</t>
  </si>
  <si>
    <t>https://chromewebstore.google.com/detail/igkahjifnfkdaekmfddldheeddgmmbpp</t>
  </si>
  <si>
    <t>RegExr</t>
  </si>
  <si>
    <t>https://chromewebstore.google.com/detail/igncokdengclanbghanhfichlnhlpihl</t>
  </si>
  <si>
    <t>dejure.org Multi-Suche</t>
  </si>
  <si>
    <t>https://chromewebstore.google.com/detail/iheomcimaienmjdfppikgopbibjmcnda</t>
  </si>
  <si>
    <t>Paste From Context Menu</t>
  </si>
  <si>
    <t>https://chromewebstore.google.com/detail/ihfogeehoikadinpdoeapemeolcppfjf</t>
  </si>
  <si>
    <t>Reader Mode</t>
  </si>
  <si>
    <t>https://chromewebstore.google.com/detail/ihgjiapheabakagbnbaminbheoihgajn</t>
  </si>
  <si>
    <t>YouTube Normalizer</t>
  </si>
  <si>
    <t>https://chromewebstore.google.com/detail/ihlalbalpneokgcdiafhkjpnbekhlnmc</t>
  </si>
  <si>
    <t>Paste 'Lorem ipsum...'</t>
  </si>
  <si>
    <t>https://chromewebstore.google.com/detail/ihmllonaidjepimjdhjdcgodgekcmhop</t>
  </si>
  <si>
    <t>iConsumer Button</t>
  </si>
  <si>
    <t>https://chromewebstore.google.com/detail/iiegolhfllkppagjhcchakhkkbmepdgd</t>
  </si>
  <si>
    <t>JS Runtime Inspector</t>
  </si>
  <si>
    <t>https://chromewebstore.google.com/detail/iilpjebedgohcmlffhnkhbjhabkdhfmn</t>
  </si>
  <si>
    <t>Jakcodex/Muledump CORS Adapter</t>
  </si>
  <si>
    <t>https://chromewebstore.google.com/detail/iimhkldbldnmapepklmeeinclchfkddd</t>
  </si>
  <si>
    <t>World of Warcraft Search</t>
  </si>
  <si>
    <t>https://chromewebstore.google.com/detail/ijloicdileadhbjdlccmbaihgjjhkmjl</t>
  </si>
  <si>
    <t>Quick QRCode</t>
  </si>
  <si>
    <t>https://chromewebstore.google.com/detail/ijoeanckpfaegjkbdmbihinbdpgpcbba</t>
  </si>
  <si>
    <t>Google Enhancer</t>
  </si>
  <si>
    <t>https://chromewebstore.google.com/detail/ikbcccnfbfobgioefgaodgmnnnbjbbfn</t>
  </si>
  <si>
    <t>SaveTabs - Window &amp; Tab Manager</t>
  </si>
  <si>
    <t>https://chromewebstore.google.com/detail/ikjiakenkeediiafhihmipcdafkkhdno</t>
  </si>
  <si>
    <t>Amazing Affiliate Link</t>
  </si>
  <si>
    <t>https://chromewebstore.google.com/detail/ikoompcclgdajbbijbhpgfpigolnbgpk</t>
  </si>
  <si>
    <t>Lofter抓文插件</t>
  </si>
  <si>
    <t>https://chromewebstore.google.com/detail/ilabeeklpmaacpjamehodpkgkjidnmpf</t>
  </si>
  <si>
    <t>Tumblr Optimiser</t>
  </si>
  <si>
    <t>https://chromewebstore.google.com/detail/ilaebdchnmobmcalandfmfmlneeghoag</t>
  </si>
  <si>
    <t>Slitherio Zoom</t>
  </si>
  <si>
    <t>https://chromewebstore.google.com/detail/ilagegjgkbifmeambdfapeklafmnfmae</t>
  </si>
  <si>
    <t>MyanmarFontTagger</t>
  </si>
  <si>
    <t>https://chromewebstore.google.com/detail/ildjeipiccodnhbpjebhhodledejdeip</t>
  </si>
  <si>
    <t>Download Link Generator for Drive™</t>
  </si>
  <si>
    <t>https://chromewebstore.google.com/detail/ilhlicblaojlghndblbncdehbakkebim</t>
  </si>
  <si>
    <t>Better Twitter</t>
  </si>
  <si>
    <t>https://chromewebstore.google.com/detail/illmpnnkeobcgnnjghammeohfjpjoljp</t>
  </si>
  <si>
    <t>Product Content Checker</t>
  </si>
  <si>
    <t>https://chromewebstore.google.com/detail/ilmaafbmfcklldgoehebccigadbkbdpc</t>
  </si>
  <si>
    <t>Wmrok API</t>
  </si>
  <si>
    <t>https://chromewebstore.google.com/detail/ilnalplocpellobinblnoaeafioahbmo</t>
  </si>
  <si>
    <t>Original Size Image Downloader</t>
  </si>
  <si>
    <t>https://chromewebstore.google.com/detail/imnggmkkiihmhjjadialnhgpnpcolpji</t>
  </si>
  <si>
    <t>Nootpad</t>
  </si>
  <si>
    <t>https://chromewebstore.google.com/detail/impicfhanbdnokdchlcnafgdhenlffph</t>
  </si>
  <si>
    <t>PNG, GIF, JPEG Optimizer</t>
  </si>
  <si>
    <t>https://chromewebstore.google.com/detail/inagencdkahngbepkiglkggohojnmgnj</t>
  </si>
  <si>
    <t>Clipboard for Google Chrome™</t>
  </si>
  <si>
    <t>https://chromewebstore.google.com/detail/inedpbopjmklilkeklabaailcdjegflc</t>
  </si>
  <si>
    <t>Döviz ve Altın Kurları</t>
  </si>
  <si>
    <t>https://chromewebstore.google.com/detail/ingpkkkghfgkpejmhnojmmmjjfgkncga</t>
  </si>
  <si>
    <t>Overlay Blocker</t>
  </si>
  <si>
    <t>https://chromewebstore.google.com/detail/inncfpkneoefpgnoggjhcnkjhbcdeimo</t>
  </si>
  <si>
    <t>WordFinder</t>
  </si>
  <si>
    <t>https://chromewebstore.google.com/detail/ioanocinpfgampobfhpajpojecdjnnno</t>
  </si>
  <si>
    <t>Numbered Tabs</t>
  </si>
  <si>
    <t>https://chromewebstore.google.com/detail/iocebdgkllilbhbekghlbpmhfeejgcgi</t>
  </si>
  <si>
    <t>SmartHint by Magalu Cloud</t>
  </si>
  <si>
    <t>https://chromewebstore.google.com/detail/iojdllcccblbhnmidkcjkldijflcoblb</t>
  </si>
  <si>
    <t>Open in OpenOffice</t>
  </si>
  <si>
    <t>https://chromewebstore.google.com/detail/ioppgifkecchbmpobbkdkobildodihed</t>
  </si>
  <si>
    <t>Apple Music Controls</t>
  </si>
  <si>
    <t>https://chromewebstore.google.com/detail/jaafhbjfikdfpofhpkekcbfcfapafbmf</t>
  </si>
  <si>
    <t>Control V</t>
  </si>
  <si>
    <t>https://chromewebstore.google.com/detail/jadldmlipbooilonkjgpepfoalappaog</t>
  </si>
  <si>
    <t>Twitter Large Images</t>
  </si>
  <si>
    <t>https://chromewebstore.google.com/detail/jajkeadlaiibpkpnnihopfalndpfioag</t>
  </si>
  <si>
    <t>Canvas Quiz Filler</t>
  </si>
  <si>
    <t>https://chromewebstore.google.com/detail/jajkmamknneolieidnbnlhighhehbpik</t>
  </si>
  <si>
    <t>submit_java</t>
  </si>
  <si>
    <t>https://chromewebstore.google.com/detail/jamfbhbmmopcmncgnapfifjiimomgpfp</t>
  </si>
  <si>
    <t>WebRTC Leak Killer</t>
  </si>
  <si>
    <t>https://chromewebstore.google.com/detail/japjbgpadlgeagbegagkfccjpfnadgeb</t>
  </si>
  <si>
    <t>繁简转换</t>
  </si>
  <si>
    <t>https://chromewebstore.google.com/detail/jbbhegjcohelhpcpbmdlmbegdifpmmkm</t>
  </si>
  <si>
    <t>WFx for WorkFlowy</t>
  </si>
  <si>
    <t>https://chromewebstore.google.com/detail/jbehgpdjkcconnaagjhddddfdajbpfhi</t>
  </si>
  <si>
    <t>JPG to PDF</t>
  </si>
  <si>
    <t>https://chromewebstore.google.com/detail/jbhickinadkalablbimhndacboibojem</t>
  </si>
  <si>
    <t>https://chromewebstore.google.com/detail/jbnhjginpjihefndhjlhlggblfbefpod</t>
  </si>
  <si>
    <t>Cutouts</t>
  </si>
  <si>
    <t>https://chromewebstore.google.com/detail/jcjaaeialhaakckfpmpkipnjeiggekib</t>
  </si>
  <si>
    <t>CaptionSaver Pro for Google Meet</t>
  </si>
  <si>
    <t>https://chromewebstore.google.com/detail/jcjnciohaigmilnefoekdcpankdgkbpp</t>
  </si>
  <si>
    <t>Pacer speed reading</t>
  </si>
  <si>
    <t>https://chromewebstore.google.com/detail/jcofnjnjaijcgkcdklddpokkdmdnmckn</t>
  </si>
  <si>
    <t>Youtube repeat, speed up HTML5 video</t>
  </si>
  <si>
    <t>https://chromewebstore.google.com/detail/jddckpfgmljninkckblfgdgkbondijge</t>
  </si>
  <si>
    <t>GTA San Andreas</t>
  </si>
  <si>
    <t>https://chromewebstore.google.com/detail/jdgnicdahegmelcbafckanbaidnkdmbe</t>
  </si>
  <si>
    <t>10.0.0.0.1 Router Admin Login Extension</t>
  </si>
  <si>
    <t>https://chromewebstore.google.com/detail/jdlbgoobbclpbbdnhadjhojbnhfnlfcf</t>
  </si>
  <si>
    <t>My Episode Guide</t>
  </si>
  <si>
    <t>https://chromewebstore.google.com/detail/jeehkhpiepgmjpbcckdglnfmogadopkj</t>
  </si>
  <si>
    <t>Digital Photo Gallery</t>
  </si>
  <si>
    <t>https://chromewebstore.google.com/detail/jefgmnencamogchjibmjbikfjhkkbgkh</t>
  </si>
  <si>
    <t>Pegmatite</t>
  </si>
  <si>
    <t>https://chromewebstore.google.com/detail/jegkfbnfbfnohncpcfcimepibmhlkldo</t>
  </si>
  <si>
    <t>Music Mode for YouTube</t>
  </si>
  <si>
    <t>https://chromewebstore.google.com/detail/jeieekjcmkhfffleemgbiooooockfmha</t>
  </si>
  <si>
    <t>Steam Workshop Tools (Beta)</t>
  </si>
  <si>
    <t>https://chromewebstore.google.com/detail/jekojlmhflhofoniakbljfijmhobcgam</t>
  </si>
  <si>
    <t>Tumblr</t>
  </si>
  <si>
    <t>https://chromewebstore.google.com/detail/jeonhldgclpilgdoioblomenlbokoaff</t>
  </si>
  <si>
    <t>Simple Docker UI</t>
  </si>
  <si>
    <t>https://chromewebstore.google.com/detail/jfaelnolkgonnjdlkfokjadedkacbnib</t>
  </si>
  <si>
    <t>Track &amp; Trace Parcel Manager Dashboard</t>
  </si>
  <si>
    <t>https://chromewebstore.google.com/detail/jfbeaemkapflnkojkefefbpliabnflpf</t>
  </si>
  <si>
    <t>Poshmark Extension</t>
  </si>
  <si>
    <t>https://chromewebstore.google.com/detail/jfcncfpncjolblnbmgolgngenbofmgil</t>
  </si>
  <si>
    <t>Free eBooks on Amazon.com</t>
  </si>
  <si>
    <t>https://chromewebstore.google.com/detail/jfjffepjjcndpmlblipanlddaiebobgh</t>
  </si>
  <si>
    <t>arXiv Vanity</t>
  </si>
  <si>
    <t>https://chromewebstore.google.com/detail/jfnlkegibnoaagfdabjkchhocdhnoofk</t>
  </si>
  <si>
    <t>Coinhub</t>
  </si>
  <si>
    <t>https://chromewebstore.google.com/detail/jgaaimajipbpdogpdglhaphldakikgef</t>
  </si>
  <si>
    <t>ClipIt</t>
  </si>
  <si>
    <t>https://chromewebstore.google.com/detail/jgmemodiapblpagmpfdkpjinbhfkpife</t>
  </si>
  <si>
    <t>Playback Rate</t>
  </si>
  <si>
    <t>https://chromewebstore.google.com/detail/jgmkoefgnppfpagkhifpialkkkgnfgag</t>
  </si>
  <si>
    <t>Crowdfire</t>
  </si>
  <si>
    <t>https://chromewebstore.google.com/detail/jgnbklefkgedfbpjebhjgibfnobjcbli</t>
  </si>
  <si>
    <t>EDrop - Drop Shipping Tool</t>
  </si>
  <si>
    <t>https://chromewebstore.google.com/detail/jgpilhblmknfggjpkdcabajchcccgfeo</t>
  </si>
  <si>
    <t>Vecteezy</t>
  </si>
  <si>
    <t>https://chromewebstore.google.com/detail/jhgjgbepielhcjdamofdopfmfcdcfiin</t>
  </si>
  <si>
    <t>VLIVE Downloader</t>
  </si>
  <si>
    <t>https://chromewebstore.google.com/detail/jhpjlmmgagjofmhmbpdhpjifdgghobkn</t>
  </si>
  <si>
    <t>Cute Horses</t>
  </si>
  <si>
    <t>https://chromewebstore.google.com/detail/jiijikchlpdbgiddomlooeippbamognf</t>
  </si>
  <si>
    <t>扩展管理</t>
  </si>
  <si>
    <t>https://chromewebstore.google.com/detail/jijileelaefjahodboljljdgfpbjjlac</t>
  </si>
  <si>
    <t>Udemy Video Playback Speed</t>
  </si>
  <si>
    <t>https://chromewebstore.google.com/detail/jipobffkabkgddgmdmmgjoaopbnjnffn</t>
  </si>
  <si>
    <t>KenGoo</t>
  </si>
  <si>
    <t>https://chromewebstore.google.com/detail/jjbeocfmgckcnabhefnjnhbpppfmcgfd</t>
  </si>
  <si>
    <t>Alexa BrowserHelp</t>
  </si>
  <si>
    <t>https://chromewebstore.google.com/detail/jjjjekfmojknabiflakbmnmapkkmefbe</t>
  </si>
  <si>
    <t>Mosaic</t>
  </si>
  <si>
    <t>https://chromewebstore.google.com/detail/jjkdinonnkgnnapdocolkjfnabepfkmj</t>
  </si>
  <si>
    <t>Image Zoomer</t>
  </si>
  <si>
    <t>https://chromewebstore.google.com/detail/jjklmnaplojhioaalkolmpmbakgicpfc</t>
  </si>
  <si>
    <t>🎅🏻 Snowlord's Bag of Quizlet Exploits!</t>
  </si>
  <si>
    <t>https://chromewebstore.google.com/detail/jjppfdghakbnajlcgimoocongklffodn</t>
  </si>
  <si>
    <t>whos.amung.us Users Online Counter</t>
  </si>
  <si>
    <t>https://chromewebstore.google.com/detail/jkcbiekaonbmiomkbhhfdpllnjgicble</t>
  </si>
  <si>
    <t>Save to Polar</t>
  </si>
  <si>
    <t>https://chromewebstore.google.com/detail/jkfdkjomocoaljglgddnmhcbolldcafd</t>
  </si>
  <si>
    <t>YouTube Features — Analytics and Tools</t>
  </si>
  <si>
    <t>https://chromewebstore.google.com/detail/jkiedgmdpandlnbobnjcbhfklnpdaflc</t>
  </si>
  <si>
    <t>VK color changer - смена цвета и фона в ВК</t>
  </si>
  <si>
    <t>https://chromewebstore.google.com/detail/jmdenoijfejikcljfggmiijccnmdifjj</t>
  </si>
  <si>
    <t>Cúram File Edit Native Messaging Bridge</t>
  </si>
  <si>
    <t>https://chromewebstore.google.com/detail/jmhkbmmljlemjenoklondlldimojdgll</t>
  </si>
  <si>
    <t>Multi-Tab Controller for YouTube</t>
  </si>
  <si>
    <t>https://chromewebstore.google.com/detail/jmhlhicfnbopnflmpgdbeicgooafepli</t>
  </si>
  <si>
    <t>Miro Search</t>
  </si>
  <si>
    <t>https://chromewebstore.google.com/detail/jmlgjpmnmoamefpgloiafheajackekeb</t>
  </si>
  <si>
    <t>SwissNow - ServiceNOW toolbox</t>
  </si>
  <si>
    <t>https://chromewebstore.google.com/detail/jneeammdkdmlfgidcacmjmbijdmkdbjm</t>
  </si>
  <si>
    <t>YesWeHack VDP Finder</t>
  </si>
  <si>
    <t>https://chromewebstore.google.com/detail/jnknjejacdkpnaacfgolbmdohkhpphjb</t>
  </si>
  <si>
    <t>Canvas Dashboard Grades</t>
  </si>
  <si>
    <t>https://chromewebstore.google.com/detail/jnlnibjgafmamocabdhidiaajkdphkpe</t>
  </si>
  <si>
    <t>Laya Tree</t>
  </si>
  <si>
    <t>https://chromewebstore.google.com/detail/jnmdcbmpmfhnlchjdkcngihpjmgofajm</t>
  </si>
  <si>
    <t>simple translate - google网页翻译</t>
  </si>
  <si>
    <t>https://chromewebstore.google.com/detail/jnnifhpbkkodhfneckeloephjcopmlcd</t>
  </si>
  <si>
    <t>Group Extractor</t>
  </si>
  <si>
    <t>https://chromewebstore.google.com/detail/jolbgfjnbicnaipkklmgkpcfjkkgflcb</t>
  </si>
  <si>
    <t>Mobicip Parental Control with Screen Time</t>
  </si>
  <si>
    <t>https://chromewebstore.google.com/detail/jpafaidkicnfcohbcfegbokibbghpnee</t>
  </si>
  <si>
    <t>nnm-club seed helper</t>
  </si>
  <si>
    <t>https://chromewebstore.google.com/detail/jpoihkdhglpoihdkjmmgdkllpjalbmei</t>
  </si>
  <si>
    <t>Habitica</t>
  </si>
  <si>
    <t>https://chromewebstore.google.com/detail/kaioddlknfmbibclnlnmbgjajbacgnab</t>
  </si>
  <si>
    <t>直播关注助手</t>
  </si>
  <si>
    <t>https://chromewebstore.google.com/detail/kaiofkekiongfpgocmlpomimfnmcnfii</t>
  </si>
  <si>
    <t>S1 Demo</t>
  </si>
  <si>
    <t>https://chromewebstore.google.com/detail/kalbgfbifcaigjnkgagbeimcflnaijmc</t>
  </si>
  <si>
    <t>CleanTube</t>
  </si>
  <si>
    <t>https://chromewebstore.google.com/detail/kanfjhdeebkfgkbmnfknhejpadhlmiab</t>
  </si>
  <si>
    <t>Lifetime Deal Alert for AppSumo &amp; Dealify</t>
  </si>
  <si>
    <t>https://chromewebstore.google.com/detail/kbbachocflopihajoahdchlbjpdfdfkk</t>
  </si>
  <si>
    <t>Scraper Crawler V3</t>
  </si>
  <si>
    <t>https://chromewebstore.google.com/detail/kbhidgghgflkbalnkoeokcipocmigkfh</t>
  </si>
  <si>
    <t>Serial Projector</t>
  </si>
  <si>
    <t>https://chromewebstore.google.com/detail/kbkjgbkmphnikcpkcodjbifkblmgidia</t>
  </si>
  <si>
    <t>MobX Developer Tools Pro</t>
  </si>
  <si>
    <t>https://chromewebstore.google.com/detail/kbkofmkelombofknjlippaelfjhbpena</t>
  </si>
  <si>
    <t>TVple Eraser</t>
  </si>
  <si>
    <t>https://chromewebstore.google.com/detail/kbokemhcejmkhggldpaeojhhejmnffjc</t>
  </si>
  <si>
    <t>Call a Number via Fritz!Box</t>
  </si>
  <si>
    <t>https://chromewebstore.google.com/detail/kcalekkcloenlggckljneebibcfpoidh</t>
  </si>
  <si>
    <t>Text Zoom to increase font sizes</t>
  </si>
  <si>
    <t>https://chromewebstore.google.com/detail/kcebcpmpalcalchafgbhehjblldcakjb</t>
  </si>
  <si>
    <t>Meteor</t>
  </si>
  <si>
    <t>https://chromewebstore.google.com/detail/kcigpjcafekokoclamfendmaapcljead</t>
  </si>
  <si>
    <t>Redux Saga Dev Tools</t>
  </si>
  <si>
    <t>https://chromewebstore.google.com/detail/kclmpmjofefcpjlommdpokoccidafnbi</t>
  </si>
  <si>
    <t>Tooltip Editor</t>
  </si>
  <si>
    <t>https://chromewebstore.google.com/detail/kcoiifklhfpfmpllamlgpbjbogafgini</t>
  </si>
  <si>
    <t>My T-Mo Helper</t>
  </si>
  <si>
    <t>https://chromewebstore.google.com/detail/kddidpldlbihphhcbiicmnldjhocmmpl</t>
  </si>
  <si>
    <t>Pokemon Legends Extension</t>
  </si>
  <si>
    <t>https://chromewebstore.google.com/detail/kdelmhecjnbelecadmekaelngjhmadoi</t>
  </si>
  <si>
    <t>Plurk-HoverZoom</t>
  </si>
  <si>
    <t>https://chromewebstore.google.com/detail/kdfhnpognnnngdhdkdhkkmdgfklljnkg</t>
  </si>
  <si>
    <t>Easy Video Converter</t>
  </si>
  <si>
    <t>https://chromewebstore.google.com/detail/kdjabmieeogkccoiopmaaapnilmonjfj</t>
  </si>
  <si>
    <t>FantasyGuru ESPN Connector</t>
  </si>
  <si>
    <t>https://chromewebstore.google.com/detail/keckkajhmnildpdamoepjjnkbgkcfhpl</t>
  </si>
  <si>
    <t>ترجمة انجليزي الى عربي عن طريق تظليل النص</t>
  </si>
  <si>
    <t>https://chromewebstore.google.com/detail/keddpcnedcpoeephcakklnpbihhccdpn</t>
  </si>
  <si>
    <t>IDN Safe</t>
  </si>
  <si>
    <t>https://chromewebstore.google.com/detail/kegeenojcnijgmfgkcokknkbpmjcabdm</t>
  </si>
  <si>
    <t>Sleep Mode</t>
  </si>
  <si>
    <t>https://chromewebstore.google.com/detail/kekjbckkfbdknpcpcdpmlkbnleeddamg</t>
  </si>
  <si>
    <t>TSU Schedule Organizer</t>
  </si>
  <si>
    <t>https://chromewebstore.google.com/detail/kelgbdopkppoipmnjaeggkcbhncpeplb</t>
  </si>
  <si>
    <t>Paraphraser</t>
  </si>
  <si>
    <t>https://chromewebstore.google.com/detail/kenkeoadgknhbidjgipfoganifcbbhkg</t>
  </si>
  <si>
    <t>Padvish Antiphishing</t>
  </si>
  <si>
    <t>https://chromewebstore.google.com/detail/kfaajmhbkjgcpgehokmponmafikeojoi</t>
  </si>
  <si>
    <t>Bootstrap Viewport</t>
  </si>
  <si>
    <t>https://chromewebstore.google.com/detail/kflgmkikmbklpikoicfhonemdcemkdia</t>
  </si>
  <si>
    <t>soychile.cl  - Noticias de todo nuestro país</t>
  </si>
  <si>
    <t>https://chromewebstore.google.com/detail/kfmkbbiclelmdohlohkbiafbelpnnlda</t>
  </si>
  <si>
    <t>Autosave webpage</t>
  </si>
  <si>
    <t>https://chromewebstore.google.com/detail/kfnkfhdbeidcdpdlefbfabepmfhldkoi</t>
  </si>
  <si>
    <t>DevDocs</t>
  </si>
  <si>
    <t>https://chromewebstore.google.com/detail/kfollpcdnbaimpmjhkoghaegiendpidj</t>
  </si>
  <si>
    <t>Simplified Twitter</t>
  </si>
  <si>
    <t>https://chromewebstore.google.com/detail/kfopmjhmejbgomgeajemgpgpbckpoopg</t>
  </si>
  <si>
    <t>Happy Birthday Cards</t>
  </si>
  <si>
    <t>https://chromewebstore.google.com/detail/kgdbehohjbnkilhnglcmeaobgkfojnlo</t>
  </si>
  <si>
    <t>Switcher for Lastpass</t>
  </si>
  <si>
    <t>https://chromewebstore.google.com/detail/kgdllopgpknhbnmagaiifhddjkchmeln</t>
  </si>
  <si>
    <t>PhishDetector - True Phishing Detection</t>
  </si>
  <si>
    <t>https://chromewebstore.google.com/detail/kgecldbalfgmgelepbblodfoogmjdgmj</t>
  </si>
  <si>
    <t>Talkify</t>
  </si>
  <si>
    <t>https://chromewebstore.google.com/detail/kgfjafdahhkoiabgaappgdnojpgjbahi</t>
  </si>
  <si>
    <t>2IP сервисы</t>
  </si>
  <si>
    <t>https://chromewebstore.google.com/detail/kgfmdmaophhlcbningclnghjeijcokmi</t>
  </si>
  <si>
    <t>Crowdcast Screensharing</t>
  </si>
  <si>
    <t>https://chromewebstore.google.com/detail/kgmadhplahebfoiijgloflhakfjlkbpb</t>
  </si>
  <si>
    <t>Vertabelo</t>
  </si>
  <si>
    <t>https://chromewebstore.google.com/detail/kgoiecbcpnodglnehemdbnkdmelhonec</t>
  </si>
  <si>
    <t>DCSimpler</t>
  </si>
  <si>
    <t>https://chromewebstore.google.com/detail/kgpiejjjpjkcijopeabfleliifbhfnci</t>
  </si>
  <si>
    <t>AcFun Video Download</t>
  </si>
  <si>
    <t>https://chromewebstore.google.com/detail/khfheicddakgkjkocaokijccaaeebfko</t>
  </si>
  <si>
    <t>Pick Color</t>
  </si>
  <si>
    <t>https://chromewebstore.google.com/detail/khjolfgpcjhcmealonfmmchhagngnecf</t>
  </si>
  <si>
    <t>Scroll to Top</t>
  </si>
  <si>
    <t>https://chromewebstore.google.com/detail/khnloieeghjghmpjeaopaenibbneljpk</t>
  </si>
  <si>
    <t>Inbox Checker for ProtonMail</t>
  </si>
  <si>
    <t>https://chromewebstore.google.com/detail/khohmflpainliicgcnenjnldnmffnaec</t>
  </si>
  <si>
    <t>Chrome Do Not Disturb</t>
  </si>
  <si>
    <t>https://chromewebstore.google.com/detail/kidgbjjjkhkickaakajjpgdkcfnidphn</t>
  </si>
  <si>
    <t>Převod měn</t>
  </si>
  <si>
    <t>https://chromewebstore.google.com/detail/kjehaadplpgckpgeoddpnijogjaldela</t>
  </si>
  <si>
    <t>Download video from facebook</t>
  </si>
  <si>
    <t>https://chromewebstore.google.com/detail/kjjlfnmamiphaeamdngahedegooecnnc</t>
  </si>
  <si>
    <t>IE8 User-Agent</t>
  </si>
  <si>
    <t>https://chromewebstore.google.com/detail/kkbhjaadbajeblffmifelmhmagjmlpne</t>
  </si>
  <si>
    <t>Battery Monitor</t>
  </si>
  <si>
    <t>https://chromewebstore.google.com/detail/kkdiabnhbdikbmpaabginbifkmhbpbcf</t>
  </si>
  <si>
    <t>CC Generator</t>
  </si>
  <si>
    <t>https://chromewebstore.google.com/detail/klcpekhgaebbghffffpofgaipfcdplkc</t>
  </si>
  <si>
    <t>Highlighter + Notes</t>
  </si>
  <si>
    <t>https://chromewebstore.google.com/detail/kllkegeooedapeomenkneoilkodcleaa</t>
  </si>
  <si>
    <t>BigConsole</t>
  </si>
  <si>
    <t>https://chromewebstore.google.com/detail/klommbdmeefgobphaflhmnieheipjajm</t>
  </si>
  <si>
    <t>TKG Chrome App</t>
  </si>
  <si>
    <t>https://chromewebstore.google.com/detail/kmbmjdabhpdnpeobnbdchihdcdaccidi</t>
  </si>
  <si>
    <t>ClassPlus</t>
  </si>
  <si>
    <t>https://chromewebstore.google.com/detail/kmbnhpalnepccnjgaobhndnkimepecbl</t>
  </si>
  <si>
    <t>Bookmarks Tagging</t>
  </si>
  <si>
    <t>https://chromewebstore.google.com/detail/kmdepbjjhlbhohppiancfgdpkjcoajgb</t>
  </si>
  <si>
    <t>Launcher for Facebook™</t>
  </si>
  <si>
    <t>https://chromewebstore.google.com/detail/kmegdgpjegibeilcfnaoodjmfhajbffh</t>
  </si>
  <si>
    <t>Pdf Converter</t>
  </si>
  <si>
    <t>https://chromewebstore.google.com/detail/kmelgddoogigbocjfhgplgjplmlgclmo</t>
  </si>
  <si>
    <t>行云管家</t>
  </si>
  <si>
    <t>https://chromewebstore.google.com/detail/kmmedleieefbfhaifgpleobiikoegbof</t>
  </si>
  <si>
    <t>Genshin Impact Cursor</t>
  </si>
  <si>
    <t>https://chromewebstore.google.com/detail/kmpgegdondpjighcnnlnomapbefebhpj</t>
  </si>
  <si>
    <t>אתרים נפוצים - נטפרי</t>
  </si>
  <si>
    <t>https://chromewebstore.google.com/detail/kmpmofoajdopdjcgpbobcmlllfnjdknn</t>
  </si>
  <si>
    <t>Roblox LMaD Forum+</t>
  </si>
  <si>
    <t>https://chromewebstore.google.com/detail/kndacjhnpeocfgcflefoakfnegadncna</t>
  </si>
  <si>
    <t>Stardust Cookie Cutter</t>
  </si>
  <si>
    <t>https://chromewebstore.google.com/detail/knliaomflpbgdhnlhomjmmoahdfhnhae</t>
  </si>
  <si>
    <t>Live Helper Chat</t>
  </si>
  <si>
    <t>https://chromewebstore.google.com/detail/knooimelchgpbpblfhlgkdifnabcolin</t>
  </si>
  <si>
    <t>One Browser Agent</t>
  </si>
  <si>
    <t>https://chromewebstore.google.com/detail/kobbebjdlkjcdbnnonblhfofcajfkigj</t>
  </si>
  <si>
    <t>Heartbeat</t>
  </si>
  <si>
    <t>https://chromewebstore.google.com/detail/kogebojdmfhcaipmkfnnandcjmppfplh</t>
  </si>
  <si>
    <t>ТСН</t>
  </si>
  <si>
    <t>https://chromewebstore.google.com/detail/kpapekbedehhbojdcjklkjoflfncfpfa</t>
  </si>
  <si>
    <t>Stopwatch Tab</t>
  </si>
  <si>
    <t>https://chromewebstore.google.com/detail/kpgmkamkehfbeilamncpcaafbdfbjmmc</t>
  </si>
  <si>
    <t>Smart e-correspondence Native Extension</t>
  </si>
  <si>
    <t>https://chromewebstore.google.com/detail/kpkplkjmphmbgikkcfdfefdmpdojapdj</t>
  </si>
  <si>
    <t>Paste without spaces</t>
  </si>
  <si>
    <t>https://chromewebstore.google.com/detail/kppdpnmdpdjckgihabenefhimmebobgc</t>
  </si>
  <si>
    <t>Persona 5 Wallpaper - New Tab Theme</t>
  </si>
  <si>
    <t>https://chromewebstore.google.com/detail/laejnpabidnmdilphnjohkghnflgafdb</t>
  </si>
  <si>
    <t>ServiceNow Lookup</t>
  </si>
  <si>
    <t>https://chromewebstore.google.com/detail/lalhboihpjkhmcalhjlkehfnphpjebma</t>
  </si>
  <si>
    <t>Web Highlighter</t>
  </si>
  <si>
    <t>https://chromewebstore.google.com/detail/laoclledadegilngghaiilbepfgpekil</t>
  </si>
  <si>
    <t>Domain Switcher</t>
  </si>
  <si>
    <t>https://chromewebstore.google.com/detail/lbehdhpgigdlinfkidifkbhjnaglfojc</t>
  </si>
  <si>
    <t>List Goal</t>
  </si>
  <si>
    <t>https://chromewebstore.google.com/detail/lbeomnhfagdagoldnknhbfjfkdndfjof</t>
  </si>
  <si>
    <t>OpenSeadragonizer</t>
  </si>
  <si>
    <t>https://chromewebstore.google.com/detail/lbjfeiidhldnfohmhnnnjgcmgjbnibgd</t>
  </si>
  <si>
    <t>Salesforce Advanced Search &amp; Record Details</t>
  </si>
  <si>
    <t>https://chromewebstore.google.com/detail/lbkpckaekpilejfambbkphfedniacanj</t>
  </si>
  <si>
    <t>Sutherland Robility WebSpy</t>
  </si>
  <si>
    <t>https://chromewebstore.google.com/detail/lbmeghcehlmclgjmnefeflchpbdblamd</t>
  </si>
  <si>
    <t>dejavu</t>
  </si>
  <si>
    <t>https://chromewebstore.google.com/detail/lcanobbdndljimodckphgdmllahfcadd</t>
  </si>
  <si>
    <t>S-CSS-P</t>
  </si>
  <si>
    <t>https://chromewebstore.google.com/detail/lcficnblkhejenkbmiloebohoclaebdj</t>
  </si>
  <si>
    <t>Student Randomizer</t>
  </si>
  <si>
    <t>https://chromewebstore.google.com/detail/lcipncfbfemopganndembnmjjnhbaomk</t>
  </si>
  <si>
    <t>HTML5 Video Controller</t>
  </si>
  <si>
    <t>https://chromewebstore.google.com/detail/lckanjabhailhdngplhaejjjbpnfmdld</t>
  </si>
  <si>
    <t>Password Peek</t>
  </si>
  <si>
    <t>https://chromewebstore.google.com/detail/lclaiahiipkdhlgaepaklgpcggmgcfid</t>
  </si>
  <si>
    <t>TW2Overflow</t>
  </si>
  <si>
    <t>https://chromewebstore.google.com/detail/ldblmmabeclbplhbniokpnpaojcaekif</t>
  </si>
  <si>
    <t>ParsGet</t>
  </si>
  <si>
    <t>https://chromewebstore.google.com/detail/lddpfhnjbpgjdklcemagkpmoooejhkfk</t>
  </si>
  <si>
    <t>Handsfree for Web - Voice Control</t>
  </si>
  <si>
    <t>https://chromewebstore.google.com/detail/ldfboinpfdahkgnljbkohgimhimmafip</t>
  </si>
  <si>
    <t>Искать на торрентах</t>
  </si>
  <si>
    <t>https://chromewebstore.google.com/detail/ldifejjbhohmbcmepeoapookgnilmjlk</t>
  </si>
  <si>
    <t>Hex Color Code</t>
  </si>
  <si>
    <t>https://chromewebstore.google.com/detail/ldkfclmdlbkfifhjmheijigihfbpjmfg</t>
  </si>
  <si>
    <t>Bulletchat for YouTube</t>
  </si>
  <si>
    <t>https://chromewebstore.google.com/detail/ldlogbmoofpmjhkccjhajjkkkjojenip</t>
  </si>
  <si>
    <t>Tabs Protection Password</t>
  </si>
  <si>
    <t>https://chromewebstore.google.com/detail/ldphmgppmllkbknkbjkhpimlgjgkbogp</t>
  </si>
  <si>
    <t>IMAGE DOWNLOADER</t>
  </si>
  <si>
    <t>https://chromewebstore.google.com/detail/leakgmkipjfnmnacgakpggmilnhlmbcg</t>
  </si>
  <si>
    <t>Ethiq</t>
  </si>
  <si>
    <t>https://chromewebstore.google.com/detail/ledenamcmhhcjlolpkcglgcbbcjfmahg</t>
  </si>
  <si>
    <t>Tailwind Devtools</t>
  </si>
  <si>
    <t>https://chromewebstore.google.com/detail/lehhmglccbkmehbbldcmekdegmapaknb</t>
  </si>
  <si>
    <t>谷歌搜索助手</t>
  </si>
  <si>
    <t>https://chromewebstore.google.com/detail/lehnmibfjbbbpmfableamfaoieocghgn</t>
  </si>
  <si>
    <t>Inline Manual Authoring tool</t>
  </si>
  <si>
    <t>https://chromewebstore.google.com/detail/leiejllaoknebomjeebdjfeicdaaeijp</t>
  </si>
  <si>
    <t>The New York Times Podcasts</t>
  </si>
  <si>
    <t>https://chromewebstore.google.com/detail/leimmikdkodgbaimglohhceidbooddma</t>
  </si>
  <si>
    <t>Cookie Clone</t>
  </si>
  <si>
    <t>https://chromewebstore.google.com/detail/lekmaaaemhcgldgmgalajmoehddphfag</t>
  </si>
  <si>
    <t>Swift Snake 3D [Popup]</t>
  </si>
  <si>
    <t>https://chromewebstore.google.com/detail/lencaglpgihlglecbdkfhelldkbdholc</t>
  </si>
  <si>
    <t>YouTube - Don't Stop</t>
  </si>
  <si>
    <t>https://chromewebstore.google.com/detail/lfccbkicpiohnnalhapdgjadlcahicip</t>
  </si>
  <si>
    <t>Pantip Filter</t>
  </si>
  <si>
    <t>https://chromewebstore.google.com/detail/lfecojmicibekimjllflggfnbacephnm</t>
  </si>
  <si>
    <t>VK+ Switcher</t>
  </si>
  <si>
    <t>https://chromewebstore.google.com/detail/lfojgmgodcgmjoiokklgmailddgolmda</t>
  </si>
  <si>
    <t>Playmoss - Add Track Chrome Extension</t>
  </si>
  <si>
    <t>https://chromewebstore.google.com/detail/lgbommihnaoiabjnhfhckodfmfppfcgl</t>
  </si>
  <si>
    <t>Notifyer</t>
  </si>
  <si>
    <t>https://chromewebstore.google.com/detail/lgcickaldmfnogadcbgiadelhbfmbeoi</t>
  </si>
  <si>
    <t>SEO-HTML</t>
  </si>
  <si>
    <t>https://chromewebstore.google.com/detail/lgjdkielngenkbnfmioemjcldnhlcpkn</t>
  </si>
  <si>
    <t>PageLoad times</t>
  </si>
  <si>
    <t>https://chromewebstore.google.com/detail/lglmeekjblljbeemilnpakfhgaodnpik</t>
  </si>
  <si>
    <t>Wpp Web Customizer</t>
  </si>
  <si>
    <t>https://chromewebstore.google.com/detail/lhaamjcmnafobcjjcjfpglfonpdkoedb</t>
  </si>
  <si>
    <t>Material Freebox OS</t>
  </si>
  <si>
    <t>https://chromewebstore.google.com/detail/lhdfonhgkclaigpfmclbahllambeednh</t>
  </si>
  <si>
    <t>Google Meet virtual backgrounds</t>
  </si>
  <si>
    <t>https://chromewebstore.google.com/detail/lhhpifdkcdahnllampbkpideiogbjplm</t>
  </si>
  <si>
    <t>Content Security Policy Override</t>
  </si>
  <si>
    <t>https://chromewebstore.google.com/detail/lhieoncdgamiiogcllfmboilhgoknmpi</t>
  </si>
  <si>
    <t>NoPush</t>
  </si>
  <si>
    <t>https://chromewebstore.google.com/detail/lhpckbimofmmlihkgccfhejhjdklcemp</t>
  </si>
  <si>
    <t>Nomovdo - Video Blocker</t>
  </si>
  <si>
    <t>https://chromewebstore.google.com/detail/liceejagengiobjejmofgipjdmcojlli</t>
  </si>
  <si>
    <t>Chess - the board game</t>
  </si>
  <si>
    <t>https://chromewebstore.google.com/detail/licgjijkcdabjnhdhadlpepdigkjjigp</t>
  </si>
  <si>
    <t>Google Meet Meters</t>
  </si>
  <si>
    <t>https://chromewebstore.google.com/detail/ljbmkpdkikehladkjibcgdgogagagcag</t>
  </si>
  <si>
    <t>ThreatPinch Lookup</t>
  </si>
  <si>
    <t>https://chromewebstore.google.com/detail/ljdgplocfnmnofbhpkjclbefmjoikgke</t>
  </si>
  <si>
    <t>My Style</t>
  </si>
  <si>
    <t>https://chromewebstore.google.com/detail/ljdhjpmbnkbengahefamnhmegbdifhlb</t>
  </si>
  <si>
    <t>Edit with Emacs</t>
  </si>
  <si>
    <t>https://chromewebstore.google.com/detail/ljobjlafonikaiipfkggjbhkghgicgoh</t>
  </si>
  <si>
    <t>Pano View</t>
  </si>
  <si>
    <t>https://chromewebstore.google.com/detail/ljocfimgoablkhddbgakcbgfhdoamkhi</t>
  </si>
  <si>
    <t>Open in Instapaper Text</t>
  </si>
  <si>
    <t>https://chromewebstore.google.com/detail/lkdmfkbmdklogdfgcbcgdfhkmanmbhih</t>
  </si>
  <si>
    <t>Video Tape</t>
  </si>
  <si>
    <t>https://chromewebstore.google.com/detail/lkkdmddhgagekfkngjpldinmkjbfcfab</t>
  </si>
  <si>
    <t>Obox Tools - Friend Remover 2020</t>
  </si>
  <si>
    <t>https://chromewebstore.google.com/detail/lklafmehbmplcclnpcnpafbkocebmbam</t>
  </si>
  <si>
    <t>20/20/20 Vision</t>
  </si>
  <si>
    <t>https://chromewebstore.google.com/detail/lknjmkdopggoignpeekjhlldnmlfibef</t>
  </si>
  <si>
    <t>Mixcloud Tracklist</t>
  </si>
  <si>
    <t>https://chromewebstore.google.com/detail/lkoingeajallinlnijfpmmddoeoficef</t>
  </si>
  <si>
    <t>PHP Editey</t>
  </si>
  <si>
    <t>https://chromewebstore.google.com/detail/llbjnfdjheebjhdojkmlgpnlmfmgicdc</t>
  </si>
  <si>
    <t>LazySec</t>
  </si>
  <si>
    <t>https://chromewebstore.google.com/detail/llegephenamkbmnjbjpgkdakkfmgeggp</t>
  </si>
  <si>
    <t>SelectorLib</t>
  </si>
  <si>
    <t>https://chromewebstore.google.com/detail/llgknofgmghejanicfcjdibnhpofaefd</t>
  </si>
  <si>
    <t>迅雷离线Aria2</t>
  </si>
  <si>
    <t>https://chromewebstore.google.com/detail/llhdoolhgigbnppanegcohafahjgbpek</t>
  </si>
  <si>
    <t>Exify</t>
  </si>
  <si>
    <t>https://chromewebstore.google.com/detail/llhmhhnpmiikplpnkmbgbgmlenleecle</t>
  </si>
  <si>
    <t>Edgar</t>
  </si>
  <si>
    <t>https://chromewebstore.google.com/detail/lllcghinlkiklfoijochnncceebbnkoo</t>
  </si>
  <si>
    <t>Pirate Bay Ad Remover</t>
  </si>
  <si>
    <t>https://chromewebstore.google.com/detail/lloolcmnedpjhdcjpjoelobpagijonnp</t>
  </si>
  <si>
    <t>Paste as Markdown</t>
  </si>
  <si>
    <t>https://chromewebstore.google.com/detail/lmelpnmpkekjahgdihfajfebaddffokl</t>
  </si>
  <si>
    <t>Rest API Inspector</t>
  </si>
  <si>
    <t>https://chromewebstore.google.com/detail/lmhkmmkefopogbadhkfcaccjnaihajbh</t>
  </si>
  <si>
    <t>VidGrid Beta</t>
  </si>
  <si>
    <t>https://chromewebstore.google.com/detail/lmkkgchhgipopmpglpnpggpjgoipkobi</t>
  </si>
  <si>
    <t>Trove</t>
  </si>
  <si>
    <t>https://chromewebstore.google.com/detail/lmmkdhhionkgeflajjokpmeogekfdoel</t>
  </si>
  <si>
    <t>GitHub Plus</t>
  </si>
  <si>
    <t>https://chromewebstore.google.com/detail/lndphafdikhmpgopmchckooegfnifafm</t>
  </si>
  <si>
    <t>Coil</t>
  </si>
  <si>
    <t>https://chromewebstore.google.com/detail/locbifcbeldmnphbgkdigjmkbfkhbnca</t>
  </si>
  <si>
    <t>亚马逊卖家助手</t>
  </si>
  <si>
    <t>https://chromewebstore.google.com/detail/loiinpcflpeaeiojgdaidimhemjhobjp</t>
  </si>
  <si>
    <t>Similar Pages</t>
  </si>
  <si>
    <t>https://chromewebstore.google.com/detail/lpedgppinmnpgdblfmjdppaeeldcpnil</t>
  </si>
  <si>
    <t>NerdeFocus</t>
  </si>
  <si>
    <t>https://chromewebstore.google.com/detail/lpfiljldhgjecfepfljnbjnbjfhennpd</t>
  </si>
  <si>
    <t>CleanUp</t>
  </si>
  <si>
    <t>https://chromewebstore.google.com/detail/lpjdifkmhncpkkaaglchomjbgbopfjeo</t>
  </si>
  <si>
    <t>HTTP Header Modifier</t>
  </si>
  <si>
    <t>https://chromewebstore.google.com/detail/maaccnhcoaehdeehahenkmchinbdjjmi</t>
  </si>
  <si>
    <t>Bestlaw</t>
  </si>
  <si>
    <t>https://chromewebstore.google.com/detail/maffnemieclgahnalopfngbddfhneghd</t>
  </si>
  <si>
    <t>Pular Anúncios Youtube</t>
  </si>
  <si>
    <t>https://chromewebstore.google.com/detail/maglaephdkllcoiapnigipoejifepooh</t>
  </si>
  <si>
    <t>Gmail Image Border</t>
  </si>
  <si>
    <t>https://chromewebstore.google.com/detail/mahlicjkigbecnbblcogenidhakmghdk</t>
  </si>
  <si>
    <t>Vue Component Finder</t>
  </si>
  <si>
    <t>https://chromewebstore.google.com/detail/maldlhiallkfciipjnedanjjpnfaljpl</t>
  </si>
  <si>
    <t>Abre.ai! Encurtador de URL</t>
  </si>
  <si>
    <t>https://chromewebstore.google.com/detail/manbfoambbfcbnhmjbnbggklhoclonnb</t>
  </si>
  <si>
    <t>YouTube++</t>
  </si>
  <si>
    <t>https://chromewebstore.google.com/detail/mbaflkdlneldejanggphlhcepncjfaco</t>
  </si>
  <si>
    <t>Zerodha Scrip Plus</t>
  </si>
  <si>
    <t>https://chromewebstore.google.com/detail/mbdbfbeebekieflbpicploepnkblcmjp</t>
  </si>
  <si>
    <t>CSS Selector Finder for Chrome Devtools</t>
  </si>
  <si>
    <t>https://chromewebstore.google.com/detail/mbeedbpphndkijipfcklhlgmoolapiml</t>
  </si>
  <si>
    <t>What Font</t>
  </si>
  <si>
    <t>https://chromewebstore.google.com/detail/mbmmfmfiglgpcpboljabbhlogbcpebdh</t>
  </si>
  <si>
    <t>Music Only for Youtube</t>
  </si>
  <si>
    <t>https://chromewebstore.google.com/detail/mcaikbdablblhjhgpnbknbkbegogbhlm</t>
  </si>
  <si>
    <t>Messages for web Shortcuts</t>
  </si>
  <si>
    <t>https://chromewebstore.google.com/detail/mciklklnhemleglghlcjeigibjohmgac</t>
  </si>
  <si>
    <t>YoutubePreamp</t>
  </si>
  <si>
    <t>https://chromewebstore.google.com/detail/mcjbehbddnhmcecicjalhcigjhdccaac</t>
  </si>
  <si>
    <t>Copy page title and url</t>
  </si>
  <si>
    <t>https://chromewebstore.google.com/detail/mcnddmglmjbomnfgkehnnblncllkaedm</t>
  </si>
  <si>
    <t>TeacherView - Teacher Tools</t>
  </si>
  <si>
    <t>https://chromewebstore.google.com/detail/mddbkffabnjjaihpiocjdagclghhlcmd</t>
  </si>
  <si>
    <t>LinkMaster</t>
  </si>
  <si>
    <t>https://chromewebstore.google.com/detail/mdgncmfemcgcpdmchnenmkgfdpedokgo</t>
  </si>
  <si>
    <t>REVE Chat- Screen Sharing &amp; Cobrowsing Plugin</t>
  </si>
  <si>
    <t>https://chromewebstore.google.com/detail/mdjljoiaeenpboejapmbogfjpdljjndh</t>
  </si>
  <si>
    <t>Download Sorter</t>
  </si>
  <si>
    <t>https://chromewebstore.google.com/detail/mebfblkahpknogabckmdjcmjbnpfdpcj</t>
  </si>
  <si>
    <t>Cookie Clicker Extended</t>
  </si>
  <si>
    <t>https://chromewebstore.google.com/detail/mefkpmhgfljflbldannlgahlmhagdcoe</t>
  </si>
  <si>
    <t>Cite Marker</t>
  </si>
  <si>
    <t>https://chromewebstore.google.com/detail/melffdlldjphddahoppfddcacpaophhf</t>
  </si>
  <si>
    <t>Promoted Pin Hider</t>
  </si>
  <si>
    <t>https://chromewebstore.google.com/detail/mepooemkkklmilplmgkeljlnpnokjlbo</t>
  </si>
  <si>
    <t>Library Scan: OverDrive + Goodreads</t>
  </si>
  <si>
    <t>https://chromewebstore.google.com/detail/mfckggnkebdpaocogfekaaicafooeiik</t>
  </si>
  <si>
    <t>Epic Games Free Games List</t>
  </si>
  <si>
    <t>https://chromewebstore.google.com/detail/mfdedbeljebbgkenmgfpjmjfnkgcffdm</t>
  </si>
  <si>
    <t>Emoji Go</t>
  </si>
  <si>
    <t>https://chromewebstore.google.com/detail/mfdnijcalgckckdhbfplfjaoiclaagnj</t>
  </si>
  <si>
    <t>Committed - NewTab Todo and Goal Manager</t>
  </si>
  <si>
    <t>https://chromewebstore.google.com/detail/mffcogdacgpjnckjepacaicfliaocneb</t>
  </si>
  <si>
    <t>Udemy Custom Speed Changer</t>
  </si>
  <si>
    <t>https://chromewebstore.google.com/detail/mfinfiagnpnbijihonbeadgnfbihhpcf</t>
  </si>
  <si>
    <t>Save CSS</t>
  </si>
  <si>
    <t>https://chromewebstore.google.com/detail/mflkegihknjnhmpfnaimpfkjbkelhhkf</t>
  </si>
  <si>
    <t>CastImage for Chrome</t>
  </si>
  <si>
    <t>https://chromewebstore.google.com/detail/mfojbimoijkkmhoinjalikpafpklfdif</t>
  </si>
  <si>
    <t>New Tab Motivational Quotes</t>
  </si>
  <si>
    <t>https://chromewebstore.google.com/detail/mganbjhcinhhpelabgdgnogoaedcakke</t>
  </si>
  <si>
    <t>5000兆円コンバーター</t>
  </si>
  <si>
    <t>https://chromewebstore.google.com/detail/mgaphgebhfgmkahikdhdomnnpelbijmo</t>
  </si>
  <si>
    <t>wipeyy - Controllable "picture in picture".</t>
  </si>
  <si>
    <t>https://chromewebstore.google.com/detail/mgbnhohohiggdomiccdpkhaponabbfbc</t>
  </si>
  <si>
    <t>Web Essentials</t>
  </si>
  <si>
    <t>https://chromewebstore.google.com/detail/mghdcdlpcdiodelbplncnodiiadljhhk</t>
  </si>
  <si>
    <t>Cookie Compliance Audit Tool</t>
  </si>
  <si>
    <t>https://chromewebstore.google.com/detail/mginbgceeeielfenknclfcfegblhpkpf</t>
  </si>
  <si>
    <t>Decision Roulette</t>
  </si>
  <si>
    <t>https://chromewebstore.google.com/detail/mhhnbhdbgdlbolfilnpiecnkleiliidk</t>
  </si>
  <si>
    <t>Chrome Protect — Smart Search</t>
  </si>
  <si>
    <t>https://chromewebstore.google.com/detail/mhijjfhmpocbdbjkhcodbllohlobkpko</t>
  </si>
  <si>
    <t>Ever Accountable For Chrome</t>
  </si>
  <si>
    <t>https://chromewebstore.google.com/detail/mhpfiackdifhfjphkicjidjlnibkfgek</t>
  </si>
  <si>
    <t>Disable Numpad for Youtube</t>
  </si>
  <si>
    <t>https://chromewebstore.google.com/detail/miccnfohnpjfahhbghknejkbmpkkbapa</t>
  </si>
  <si>
    <t>JD Extractor</t>
  </si>
  <si>
    <t>https://chromewebstore.google.com/detail/mihnakoibnncegmcibpgallmgephjepk</t>
  </si>
  <si>
    <t>Torrent Search</t>
  </si>
  <si>
    <t>https://chromewebstore.google.com/detail/mjfkhdokgloajdhicnjngfldhfibkckp</t>
  </si>
  <si>
    <t>VoiceSissy (Speech-to-Text-to-Speech TTS STT)</t>
  </si>
  <si>
    <t>https://chromewebstore.google.com/detail/mjfpekkpgmdihmfemmiodkhiebgbjnhm</t>
  </si>
  <si>
    <t>Add to Sonos Queue</t>
  </si>
  <si>
    <t>https://chromewebstore.google.com/detail/mjlgdiclanhcloangjbhpmoagbhmjlgc</t>
  </si>
  <si>
    <t>Friends Tracker</t>
  </si>
  <si>
    <t>https://chromewebstore.google.com/detail/mjmkojcifkohagopplnehodbmlcacjlh</t>
  </si>
  <si>
    <t>GroupDocs Online Document Viewer Plugin</t>
  </si>
  <si>
    <t>https://chromewebstore.google.com/detail/mjonmjnmjeopaknkgopihjpmlbbkkchj</t>
  </si>
  <si>
    <t>Travelpayouts</t>
  </si>
  <si>
    <t>https://chromewebstore.google.com/detail/mkflfhejpbpoinpcenpmfpbfgkeldfod</t>
  </si>
  <si>
    <t>CoinMarketCap</t>
  </si>
  <si>
    <t>https://chromewebstore.google.com/detail/mkhdgadimehhojbgpphhkodolihgmmfe</t>
  </si>
  <si>
    <t>CandyJar</t>
  </si>
  <si>
    <t>https://chromewebstore.google.com/detail/mlelamfpbkmcjighmglfodehbknhmlod</t>
  </si>
  <si>
    <t>SuperTabs</t>
  </si>
  <si>
    <t>https://chromewebstore.google.com/detail/mlgnpmfabelpnbinakibjcaibnfdnpkn</t>
  </si>
  <si>
    <t>Where's My Book?</t>
  </si>
  <si>
    <t>https://chromewebstore.google.com/detail/mloainmlkoomaleindanmpgialfgbjjc</t>
  </si>
  <si>
    <t>Tidy Bookmarks Tree</t>
  </si>
  <si>
    <t>https://chromewebstore.google.com/detail/mmamcliopoldnjhobmflbocmblapjhhn</t>
  </si>
  <si>
    <t>MixrElixr</t>
  </si>
  <si>
    <t>https://chromewebstore.google.com/detail/mmfbdcekojokeeonagpnlpoklelkcjon</t>
  </si>
  <si>
    <t>RedOrbit HbbTV Emulator</t>
  </si>
  <si>
    <t>https://chromewebstore.google.com/detail/mmgfafehampkahlmoahbjcjcmgmkppab</t>
  </si>
  <si>
    <t>AppLauncher</t>
  </si>
  <si>
    <t>https://chromewebstore.google.com/detail/mnbfkkkpphlcbeaeemeblclibjnofamn</t>
  </si>
  <si>
    <t>Window Sticker Lookup</t>
  </si>
  <si>
    <t>https://chromewebstore.google.com/detail/mncdeeeclhogadpcgpjalpkjfobildhe</t>
  </si>
  <si>
    <t>Image Background Color Picker</t>
  </si>
  <si>
    <t>https://chromewebstore.google.com/detail/mncidhppmkifjpbcjbhkcbdlgdjgbpah</t>
  </si>
  <si>
    <t>Todo.txt for Chrome - simple task management</t>
  </si>
  <si>
    <t>https://chromewebstore.google.com/detail/mndijfcodpjlhgjcpcbhncjakaboedbl</t>
  </si>
  <si>
    <t>Pricely</t>
  </si>
  <si>
    <t>https://chromewebstore.google.com/detail/mnghobmdphconlpnmemodmmmcpoopecj</t>
  </si>
  <si>
    <t>افزونه بورس سهمتو | Sahmeto</t>
  </si>
  <si>
    <t>https://chromewebstore.google.com/detail/mnnkkdhkjbcnjljenmicbmlojmnpmaaf</t>
  </si>
  <si>
    <t>Sparkles</t>
  </si>
  <si>
    <t>https://chromewebstore.google.com/detail/mnonoobhfgdhidonjmabidmejggjcnil</t>
  </si>
  <si>
    <t>Ninja: Hide / Blur Windows &amp; Tabs</t>
  </si>
  <si>
    <t>https://chromewebstore.google.com/detail/moeffcjghgaaifjmiaheamkndbbaepmf</t>
  </si>
  <si>
    <t>Über simple bookmark count</t>
  </si>
  <si>
    <t>https://chromewebstore.google.com/detail/mogbbilahcoegijagmcmleheifpijffa</t>
  </si>
  <si>
    <t>DLNA device inspector</t>
  </si>
  <si>
    <t>https://chromewebstore.google.com/detail/moiimdfnkckkpfebeinkpoomplfdmgbh</t>
  </si>
  <si>
    <t>Readr for Reddit</t>
  </si>
  <si>
    <t>https://chromewebstore.google.com/detail/molhdaofohigaepljchpmfablknhabmo</t>
  </si>
  <si>
    <t>JSON to CSV</t>
  </si>
  <si>
    <t>https://chromewebstore.google.com/detail/molobeedbmpeindgkpkdokknjpoaaldg</t>
  </si>
  <si>
    <t>Funnel Search</t>
  </si>
  <si>
    <t>https://chromewebstore.google.com/detail/moncnfejkabmlhblomihhdoifkgpgkhh</t>
  </si>
  <si>
    <t>Instashare</t>
  </si>
  <si>
    <t>https://chromewebstore.google.com/detail/moogknkkdfgmplijlmmdhfcjccaoahcl</t>
  </si>
  <si>
    <t>詐騙網站及內容農場評價系統</t>
  </si>
  <si>
    <t>https://chromewebstore.google.com/detail/mpeppilpojkpjkplhihbcfapmlnlkckb</t>
  </si>
  <si>
    <t>Deep Freeze MDM</t>
  </si>
  <si>
    <t>https://chromewebstore.google.com/detail/mpfiekgcmecnlobbggjjlpnmdafenkmh</t>
  </si>
  <si>
    <t>Meet Party</t>
  </si>
  <si>
    <t>https://chromewebstore.google.com/detail/mponkehblfpkgfeomegpjmbadbkojdpb</t>
  </si>
  <si>
    <t>View Image</t>
  </si>
  <si>
    <t>https://chromewebstore.google.com/detail/naedodplkghehbefblmepndhpokdjobi</t>
  </si>
  <si>
    <t>北汽财务网银签名控件</t>
  </si>
  <si>
    <t>https://chromewebstore.google.com/detail/naigkjmkbhfljhflbnbfnmbdgdnlfael</t>
  </si>
  <si>
    <t>ROBLOX Upload Enhancer</t>
  </si>
  <si>
    <t>https://chromewebstore.google.com/detail/nakcejjjkpbhmgkpkjeichbmklcgpjki</t>
  </si>
  <si>
    <t>Simple Print</t>
  </si>
  <si>
    <t>https://chromewebstore.google.com/detail/nalmbmopkipfhijmcncelapgbkgoligf</t>
  </si>
  <si>
    <t>cTouch r5 (true)</t>
  </si>
  <si>
    <t>https://chromewebstore.google.com/detail/nandgdgkehbimcjgfnkcebjkidimenee</t>
  </si>
  <si>
    <t>Tab Ahead</t>
  </si>
  <si>
    <t>https://chromewebstore.google.com/detail/naoajjeoiblmpegfelhkapanmmaaghmi</t>
  </si>
  <si>
    <t>Open Last Tab</t>
  </si>
  <si>
    <t>https://chromewebstore.google.com/detail/naolnccddjabbhmjogiejjgocjnglmge</t>
  </si>
  <si>
    <t>Megogo</t>
  </si>
  <si>
    <t>https://chromewebstore.google.com/detail/nbbdaammplbmfejknfanpgeeldmijppa</t>
  </si>
  <si>
    <t>Alternative greek keyboard layouts</t>
  </si>
  <si>
    <t>https://chromewebstore.google.com/detail/nbclmofnhpkggnndkdeleaefmbkibmjg</t>
  </si>
  <si>
    <t>Full page screen capture</t>
  </si>
  <si>
    <t>https://chromewebstore.google.com/detail/nbdhmbajecdannlcdfiomapadcaelnba</t>
  </si>
  <si>
    <t>Vocabulary Builder</t>
  </si>
  <si>
    <t>https://chromewebstore.google.com/detail/nbegakpahlkccppnfdidkghekjdhbidg</t>
  </si>
  <si>
    <t>Foxish live RSS</t>
  </si>
  <si>
    <t>https://chromewebstore.google.com/detail/nbhdikhnaigcdlamenbgkmllgmfnngoi</t>
  </si>
  <si>
    <t>Reading Time</t>
  </si>
  <si>
    <t>https://chromewebstore.google.com/detail/nccohhimobidpghgpnejnbkpoichbbml</t>
  </si>
  <si>
    <t>[FNF] Friday Night Funkin' Songs</t>
  </si>
  <si>
    <t>https://chromewebstore.google.com/detail/ncmfghlpmmpchbldmmkjialnhobbjdfb</t>
  </si>
  <si>
    <t>GP - LinkedIn &amp; Facebook Groups Auto Poster</t>
  </si>
  <si>
    <t>https://chromewebstore.google.com/detail/ncmkhdipigpgfnponnnghhelehbfdggb</t>
  </si>
  <si>
    <t>https://chromewebstore.google.com/detail/ndbojakfkagkdhnfjdkannpehpfdnaan</t>
  </si>
  <si>
    <t>YOURLS</t>
  </si>
  <si>
    <t>https://chromewebstore.google.com/detail/nddaaiojgkoldnhnmkoldmkeocbooken</t>
  </si>
  <si>
    <t>YouTube Suggested Video SEO (Get More Views)</t>
  </si>
  <si>
    <t>https://chromewebstore.google.com/detail/ndhmfmpajneebbbodogjhdampikelfch</t>
  </si>
  <si>
    <t>Fix Chrome middle click behavior</t>
  </si>
  <si>
    <t>https://chromewebstore.google.com/detail/ndinbeikllkfjbmlfghokbkmcciflpek</t>
  </si>
  <si>
    <t>JS Digger</t>
  </si>
  <si>
    <t>https://chromewebstore.google.com/detail/ndindkkcbpmfoinihohmhdhphgpiofbb</t>
  </si>
  <si>
    <t>https://chromewebstore.google.com/detail/ndmbeogingkjkmmkoomnigifmpajmbkc</t>
  </si>
  <si>
    <t>Coupon Cat</t>
  </si>
  <si>
    <t>https://chromewebstore.google.com/detail/ndpmdcidjakfglhdplgnkncjhcfdoglm</t>
  </si>
  <si>
    <t>cnki 科研助手</t>
  </si>
  <si>
    <t>https://chromewebstore.google.com/detail/negciknliikcmfcgegchjoemdmllgack</t>
  </si>
  <si>
    <t>Okko Party</t>
  </si>
  <si>
    <t>https://chromewebstore.google.com/detail/nehgalagbofmdpncplefbhhmoifapgjn</t>
  </si>
  <si>
    <t>Shopify Post-purchase Developer Tools</t>
  </si>
  <si>
    <t>https://chromewebstore.google.com/detail/nenmcifhoegealiiblnpihbnjenleong</t>
  </si>
  <si>
    <t>Magnet linker</t>
  </si>
  <si>
    <t>https://chromewebstore.google.com/detail/neokhcngmjnlbnphpfmiidlljbpffecd</t>
  </si>
  <si>
    <t>UUID generator</t>
  </si>
  <si>
    <t>https://chromewebstore.google.com/detail/nflgkajcbjiooanofomjjaagkaednbel</t>
  </si>
  <si>
    <t>Odoo Debug Pro</t>
  </si>
  <si>
    <t>https://chromewebstore.google.com/detail/nfnladagngmiggfaojdbpjdpehdfgiac</t>
  </si>
  <si>
    <t>Scout Companion</t>
  </si>
  <si>
    <t>https://chromewebstore.google.com/detail/ngeilhcbcilomppnpbalfdnmofpmdohj</t>
  </si>
  <si>
    <t>Subtle Tab</t>
  </si>
  <si>
    <t>https://chromewebstore.google.com/detail/ngigalmiikbffkcabedaikboeodibhga</t>
  </si>
  <si>
    <t>https://chromewebstore.google.com/detail/ngiiaodmkjellommopgjfedfleidaagp</t>
  </si>
  <si>
    <t>SEO audit by iwebchk</t>
  </si>
  <si>
    <t>https://chromewebstore.google.com/detail/nglkdkpdncleifbbjhhlfpakclhahhkn</t>
  </si>
  <si>
    <t>Page Crawler</t>
  </si>
  <si>
    <t>https://chromewebstore.google.com/detail/nhfmebcjlggkbdmiefgnffgmpaaonndb</t>
  </si>
  <si>
    <t>BUGFIX Vue.js devtools</t>
  </si>
  <si>
    <t>https://chromewebstore.google.com/detail/niapgcaeadldbabakiifalfcidacihap</t>
  </si>
  <si>
    <t>New Browser</t>
  </si>
  <si>
    <t>https://chromewebstore.google.com/detail/nigokkecfbeblnmjhklmkcinncngkabb</t>
  </si>
  <si>
    <t>Tryit Editor</t>
  </si>
  <si>
    <t>https://chromewebstore.google.com/detail/ninnnbfbjmbckdmnbbnpjfbbdmjegopb</t>
  </si>
  <si>
    <t>艦これタイマー連携ツール</t>
  </si>
  <si>
    <t>https://chromewebstore.google.com/detail/nioemkhjlmohkgmkandecganpglmbhil</t>
  </si>
  <si>
    <t>Pomu</t>
  </si>
  <si>
    <t>https://chromewebstore.google.com/detail/njbfimohacanhjdokmpagpaaadkkmhkh</t>
  </si>
  <si>
    <t>Cute Animals Wallpaper</t>
  </si>
  <si>
    <t>https://chromewebstore.google.com/detail/njfipgfibcmkmgpgljmgjkcplnkjhaop</t>
  </si>
  <si>
    <t>Domain Whitelist</t>
  </si>
  <si>
    <t>https://chromewebstore.google.com/detail/njkbjdmigienhoeccpigopgjmlgmdine</t>
  </si>
  <si>
    <t>ECP</t>
  </si>
  <si>
    <t>https://chromewebstore.google.com/detail/njliioohopcgdkoajdijiiplofhbdnca</t>
  </si>
  <si>
    <t>Translator and Text to Speech (TTS)</t>
  </si>
  <si>
    <t>https://chromewebstore.google.com/detail/nkbpagohbgnpdpldlcmabekfidlkfcad</t>
  </si>
  <si>
    <t>AppSpy - Mobile Tracker</t>
  </si>
  <si>
    <t>https://chromewebstore.google.com/detail/nkfaodonjodminhlimbcefcpbmolhndc</t>
  </si>
  <si>
    <t>tota11y for Chrome</t>
  </si>
  <si>
    <t>https://chromewebstore.google.com/detail/nkghaekndgmonifcpfgjmpfjlhnmflhp</t>
  </si>
  <si>
    <t>Gmail Date Time Formatter</t>
  </si>
  <si>
    <t>https://chromewebstore.google.com/detail/nkmaeogddfijadboccpafnmhkjhidgeb</t>
  </si>
  <si>
    <t>tree.fm - listen to a random forest</t>
  </si>
  <si>
    <t>https://chromewebstore.google.com/detail/nkolhjkcfiifppjjkihkmebjkemcgllc</t>
  </si>
  <si>
    <t>FileStream.Me - official Chrome extension</t>
  </si>
  <si>
    <t>https://chromewebstore.google.com/detail/nkpnfhfaabjfnfabmecmfdedkeoldogp</t>
  </si>
  <si>
    <t>Byone</t>
  </si>
  <si>
    <t>https://chromewebstore.google.com/detail/nlgbhdfgdhgbiamfdfmbikcdghidoadd</t>
  </si>
  <si>
    <t>MonaCam</t>
  </si>
  <si>
    <t>https://chromewebstore.google.com/detail/nlikikggcdekbfenbebhnhdbefkenona</t>
  </si>
  <si>
    <t>Good Annotations, Screenshot Capture</t>
  </si>
  <si>
    <t>https://chromewebstore.google.com/detail/nlkpbfbbjlghoalcakopdnlohjhchfjf</t>
  </si>
  <si>
    <t>Better PTT (批踢踢)</t>
  </si>
  <si>
    <t>https://chromewebstore.google.com/detail/nllifdhfbpcdinlojnghcojempoacpac</t>
  </si>
  <si>
    <t>Netcat</t>
  </si>
  <si>
    <t>https://chromewebstore.google.com/detail/nllngonbmjjafbaalbkmopdbbeonoojo</t>
  </si>
  <si>
    <t>Strava Export Tracks</t>
  </si>
  <si>
    <t>https://chromewebstore.google.com/detail/nmbemomkalkilpcbddckndgpndajljal</t>
  </si>
  <si>
    <t>Influencer Engage</t>
  </si>
  <si>
    <t>https://chromewebstore.google.com/detail/nmemjibioknipghbmhpdgbblddmncanb</t>
  </si>
  <si>
    <t>x3d-viewer</t>
  </si>
  <si>
    <t>https://chromewebstore.google.com/detail/nneaojlgmfmngeckfemdbfpgedgfpgdg</t>
  </si>
  <si>
    <t>Fanatic</t>
  </si>
  <si>
    <t>https://chromewebstore.google.com/detail/nnfgpokjdjekoafapiikeklhjhbckjah</t>
  </si>
  <si>
    <t>Wikipedia Reading Lists</t>
  </si>
  <si>
    <t>https://chromewebstore.google.com/detail/nngeaaogaldpfiedmmpicdnoddglbkmi</t>
  </si>
  <si>
    <t>PubGuru Ad Inspector</t>
  </si>
  <si>
    <t>https://chromewebstore.google.com/detail/nnoilpdinmjmdfpkdkbbkajejflbkoma</t>
  </si>
  <si>
    <t>Zoom for Twitter®</t>
  </si>
  <si>
    <t>https://chromewebstore.google.com/detail/nnpfigodphdaapfmkbgmkljndjckkegk</t>
  </si>
  <si>
    <t>Page365</t>
  </si>
  <si>
    <t>https://chromewebstore.google.com/detail/nnplcphaiknebllemeffbdpoaalnnncf</t>
  </si>
  <si>
    <t>Rocket.Chat Screen Share</t>
  </si>
  <si>
    <t>https://chromewebstore.google.com/detail/nocfbnnmjnndkbipkabodnheejiegccf</t>
  </si>
  <si>
    <t>GoToChannel by Swap Meet Shops</t>
  </si>
  <si>
    <t>https://chromewebstore.google.com/detail/nogfmpkgdfgfealjjenelnmfdminfokd</t>
  </si>
  <si>
    <t>Music finder!</t>
  </si>
  <si>
    <t>https://chromewebstore.google.com/detail/nokkofkhgbnkfpoanjpkjpkgfpnpdpig</t>
  </si>
  <si>
    <t>Incognito Mode</t>
  </si>
  <si>
    <t>https://chromewebstore.google.com/detail/nomafcbgmkfdbodhjjiomjkkkmmnhbij</t>
  </si>
  <si>
    <t>Email Extractor</t>
  </si>
  <si>
    <t>https://chromewebstore.google.com/detail/npahnkjblgdfffkgogokpmeplpdoccib</t>
  </si>
  <si>
    <t>Get Token &amp; Cookie</t>
  </si>
  <si>
    <t>https://chromewebstore.google.com/detail/nphgibclfaabpdkkpcboafpaccplikfg</t>
  </si>
  <si>
    <t>Disney+ Hotstar's Subtitle Editor</t>
  </si>
  <si>
    <t>https://chromewebstore.google.com/detail/npmapkgiaadjbidljilohekhlgakilim</t>
  </si>
  <si>
    <t>https://chromewebstore.google.com/detail/npmhdofgibpjgaieimbglhgblglaijnf</t>
  </si>
  <si>
    <t>界图-图片批量下载</t>
  </si>
  <si>
    <t>https://chromewebstore.google.com/detail/oaafdjbfibmpcgefpapknfjcnfdkkkkp</t>
  </si>
  <si>
    <t>Youtube Replay (YTReplay Magic)</t>
  </si>
  <si>
    <t>https://chromewebstore.google.com/detail/oadnllmpodddplkpoobefkknhhecjjbb</t>
  </si>
  <si>
    <t>Enhanced Floating Video Player (PIP)</t>
  </si>
  <si>
    <t>https://chromewebstore.google.com/detail/oaihjcmhhokpahibakljjfkgbhghiffd</t>
  </si>
  <si>
    <t>https://chromewebstore.google.com/detail/oaknkllfdceggjpbonhiegoaifjdkfjd</t>
  </si>
  <si>
    <t>CrossBrowserTesting GO</t>
  </si>
  <si>
    <t>https://chromewebstore.google.com/detail/oapindodkkndonmflelpddkehnocnenh</t>
  </si>
  <si>
    <t>VocabBoost</t>
  </si>
  <si>
    <t>https://chromewebstore.google.com/detail/obgbcamdmcdcenchjmhggocjabmnnaab</t>
  </si>
  <si>
    <t>mitoYDNA File</t>
  </si>
  <si>
    <t>https://chromewebstore.google.com/detail/obnalpnjpcdcdnoaalkjgmnpcjjmbcoh</t>
  </si>
  <si>
    <t>MAC&amp;PARDUS EBA Canlı Ders</t>
  </si>
  <si>
    <t>https://chromewebstore.google.com/detail/obngbhmmpnkomhgjjnddgoniplchmfkl</t>
  </si>
  <si>
    <t>The Great Tab Suspender</t>
  </si>
  <si>
    <t>https://chromewebstore.google.com/detail/ocpgloabohpofjmkpjbjdojknkaooend</t>
  </si>
  <si>
    <t>LinkRedirector</t>
  </si>
  <si>
    <t>https://chromewebstore.google.com/detail/odchblbgkkchnldldakeikkjfbkllaah</t>
  </si>
  <si>
    <t>蜜图插件 - 花瓣的好帮手</t>
  </si>
  <si>
    <t>https://chromewebstore.google.com/detail/odfhejmgfacekaepogjidhhlcmjfeekj</t>
  </si>
  <si>
    <t>Pingler</t>
  </si>
  <si>
    <t>https://chromewebstore.google.com/detail/odgiehjnopebofbjkgdjenflakfaahnm</t>
  </si>
  <si>
    <t>Block Ads</t>
  </si>
  <si>
    <t>https://chromewebstore.google.com/detail/odheabhapgcokfmbelploedoeooilfgd</t>
  </si>
  <si>
    <t>JScript tricks</t>
  </si>
  <si>
    <t>https://chromewebstore.google.com/detail/odialddippdmebbfbflcneemfdglimod</t>
  </si>
  <si>
    <t>DeviantArt Filter</t>
  </si>
  <si>
    <t>https://chromewebstore.google.com/detail/odlmamilbohnpnoomjclomghphbajikp</t>
  </si>
  <si>
    <t>ChatGT</t>
  </si>
  <si>
    <t>https://chromewebstore.google.com/detail/odoailephbfiobdjfmdndooklmnenjop</t>
  </si>
  <si>
    <t>Grayscale Tool</t>
  </si>
  <si>
    <t>https://chromewebstore.google.com/detail/odolflphhameojgliipcnahnipmogigo</t>
  </si>
  <si>
    <t>Mooc Assistant</t>
  </si>
  <si>
    <t>https://chromewebstore.google.com/detail/oebggekgendmoeedkkdkdcdbmfbfeldc</t>
  </si>
  <si>
    <t>MikutchビデオPlus：再生速度&amp;ループ&amp;回転</t>
  </si>
  <si>
    <t>https://chromewebstore.google.com/detail/oedekhelnfkcjohedbbcfckcjbghmmml</t>
  </si>
  <si>
    <t>Night Reader</t>
  </si>
  <si>
    <t>https://chromewebstore.google.com/detail/oedepfdhcakemgfedefnaccnifpnljmb</t>
  </si>
  <si>
    <t>Tamil FM and Online Radios</t>
  </si>
  <si>
    <t>https://chromewebstore.google.com/detail/oegcdpedgdcmfgmnncfeadklapgfpmgn</t>
  </si>
  <si>
    <t>DNArboretum</t>
  </si>
  <si>
    <t>https://chromewebstore.google.com/detail/oekcehcnbnfmeimggmkfliochkojkaej</t>
  </si>
  <si>
    <t>Wikipedia Copy</t>
  </si>
  <si>
    <t>https://chromewebstore.google.com/detail/oepcbomikanldmhhldjcbknfdohmgeng</t>
  </si>
  <si>
    <t>Zoho Mail Tracker</t>
  </si>
  <si>
    <t>https://chromewebstore.google.com/detail/ofaolcedokpcmeacofhfnlhgebgjolkc</t>
  </si>
  <si>
    <t>Roblox Dark Mode [BETA]</t>
  </si>
  <si>
    <t>https://chromewebstore.google.com/detail/ofihldbgiamocahfajcndceojpeiomph</t>
  </si>
  <si>
    <t>北汽财务网银签名下载控件</t>
  </si>
  <si>
    <t>https://chromewebstore.google.com/detail/ofommngjmpaaaaogmaejhliofhogaacj</t>
  </si>
  <si>
    <t>Dark Theme for Yandex™</t>
  </si>
  <si>
    <t>https://chromewebstore.google.com/detail/ogbphfdkfdflhippnafcikpcdmfcbhhb</t>
  </si>
  <si>
    <t>Bob Extension</t>
  </si>
  <si>
    <t>https://chromewebstore.google.com/detail/ogcmjchbmdichlfelhmceldndgmgpcem</t>
  </si>
  <si>
    <t>Easy Share</t>
  </si>
  <si>
    <t>https://chromewebstore.google.com/detail/ogeflpmllfpecnnlkoifcolpcdpdojbd</t>
  </si>
  <si>
    <t>Кэшбэк для Алиэкспресс и иных - Zozi.ru</t>
  </si>
  <si>
    <t>https://chromewebstore.google.com/detail/oghimonmponpchmplmnohfnlkfkhegmk</t>
  </si>
  <si>
    <t>Lorem ipsum generator (using keyboard only)</t>
  </si>
  <si>
    <t>https://chromewebstore.google.com/detail/ogkidppcbldhebgplkdmepodkbfanndi</t>
  </si>
  <si>
    <t>GamersClub Enchancer</t>
  </si>
  <si>
    <t>https://chromewebstore.google.com/detail/ohbhdoglpgeaibbfgifbcknnhcmdnidg</t>
  </si>
  <si>
    <t>https://chromewebstore.google.com/detail/ohbillkckjklenebjdgdpnihdhlpjmgn</t>
  </si>
  <si>
    <t>Google Dark Theme</t>
  </si>
  <si>
    <t>https://chromewebstore.google.com/detail/ohhpliipfhicocldcakcgpbbcmkjkian</t>
  </si>
  <si>
    <t>JapariPedia</t>
  </si>
  <si>
    <t>https://chromewebstore.google.com/detail/ohkgbfcpbbljmmmidihgdfknhnpfkobd</t>
  </si>
  <si>
    <t>Ancestry Media Download</t>
  </si>
  <si>
    <t>https://chromewebstore.google.com/detail/ohkkponpfoijonbbedcehkhfejlobmkb</t>
  </si>
  <si>
    <t>Untamed File Access</t>
  </si>
  <si>
    <t>https://chromewebstore.google.com/detail/ohoccbfpfjdaaajmonbhinmmnjggbmeb</t>
  </si>
  <si>
    <t>ARIA Validator</t>
  </si>
  <si>
    <t>https://chromewebstore.google.com/detail/oigghlanfjgnkcndchmnlnmaojahnjoc</t>
  </si>
  <si>
    <t>城プロランチャー</t>
  </si>
  <si>
    <t>https://chromewebstore.google.com/detail/oikmmggdnfnnnbpnpbljdgocppkiehni</t>
  </si>
  <si>
    <t>Eigenfactorizer</t>
  </si>
  <si>
    <t>https://chromewebstore.google.com/detail/oiniobkjgabbodljkgncajmnedneihpk</t>
  </si>
  <si>
    <t>PDF Forcedownload Blocker</t>
  </si>
  <si>
    <t>https://chromewebstore.google.com/detail/ojbkmmcompidaghfnodmbeiankbbfckl</t>
  </si>
  <si>
    <t>AlertSite DejaClick</t>
  </si>
  <si>
    <t>https://chromewebstore.google.com/detail/ojfkmicbmffjjngfjffgiioghbkbcjdi</t>
  </si>
  <si>
    <t>퀵숙 Quick Sookmyung</t>
  </si>
  <si>
    <t>https://chromewebstore.google.com/detail/ojiacghdlkbcfphkggebiiblbhheiopc</t>
  </si>
  <si>
    <t>AZROTV FREE LIVE TV</t>
  </si>
  <si>
    <t>https://chromewebstore.google.com/detail/ojifahpjikbmmglmfhhicfebnpbpjoml</t>
  </si>
  <si>
    <t>SP REST Client</t>
  </si>
  <si>
    <t>https://chromewebstore.google.com/detail/ojnaikgchcnginnmkmkonmdglhjikokd</t>
  </si>
  <si>
    <t>My Webrequest</t>
  </si>
  <si>
    <t>https://chromewebstore.google.com/detail/ojodgdaaholkmelbddlhnfdgamohijhk</t>
  </si>
  <si>
    <t>Google Events [ANTP]</t>
  </si>
  <si>
    <t>https://chromewebstore.google.com/detail/ojolaifaiohcbjmpmiaflinfimnfeakl</t>
  </si>
  <si>
    <t>BTS Random Lyrics</t>
  </si>
  <si>
    <t>https://chromewebstore.google.com/detail/okfefjfpfpglahoabicpkddllnielhkj</t>
  </si>
  <si>
    <t>Open in Spotify desktop client</t>
  </si>
  <si>
    <t>https://chromewebstore.google.com/detail/okkdbmdhpgmajopdpmflkldkemcldnjd</t>
  </si>
  <si>
    <t>Backlog Power Ups</t>
  </si>
  <si>
    <t>https://chromewebstore.google.com/detail/oknjgkbkglfeeobjojelkbhfpjkgcndb</t>
  </si>
  <si>
    <t>Bloqueador Ley Propiedad Intelectual</t>
  </si>
  <si>
    <t>https://chromewebstore.google.com/detail/olfbaiingdbeoihdemklgmakblhcgpmn</t>
  </si>
  <si>
    <t>Esportal Enhancer</t>
  </si>
  <si>
    <t>https://chromewebstore.google.com/detail/olmfkdaefegfpkolccopfmohncemakcj</t>
  </si>
  <si>
    <t>Testing Library: which query</t>
  </si>
  <si>
    <t>https://chromewebstore.google.com/detail/olmmagdolfehlpjmbkmondggbebeimoh</t>
  </si>
  <si>
    <t>2x Speed</t>
  </si>
  <si>
    <t>https://chromewebstore.google.com/detail/olomblpgcmhcgpijaioadbecpidmmdmb</t>
  </si>
  <si>
    <t>iZhihu</t>
  </si>
  <si>
    <t>https://chromewebstore.google.com/detail/omcldpfdihfogiklcdlopeokkedbhjop</t>
  </si>
  <si>
    <t>Twitch DVR</t>
  </si>
  <si>
    <t>https://chromewebstore.google.com/detail/omhdclmalgidiodbfjcjagnbcfadpina</t>
  </si>
  <si>
    <t>Svadba/Affiliact - Мультиаккаунт чаты/письма</t>
  </si>
  <si>
    <t>https://chromewebstore.google.com/detail/omibfnkackoiiefnomeikllaoeidlmjo</t>
  </si>
  <si>
    <t>Screen Reader by UserWay</t>
  </si>
  <si>
    <t>https://chromewebstore.google.com/detail/ompobmbbbjcmoeepdplbindbbpmbncka</t>
  </si>
  <si>
    <t>Disqus Downvote Exposer</t>
  </si>
  <si>
    <t>https://chromewebstore.google.com/detail/onccocebmmmcfgipaappfpolojndnkce</t>
  </si>
  <si>
    <t>Catchpoint Script Recorder</t>
  </si>
  <si>
    <t>https://chromewebstore.google.com/detail/ondjkacanajgdlnhcnpiapajjpgilplo</t>
  </si>
  <si>
    <t>SMG music display</t>
  </si>
  <si>
    <t>https://chromewebstore.google.com/detail/onebnnoonaadbbdoanmpehnfmhdolmgh</t>
  </si>
  <si>
    <t>Searchonymous</t>
  </si>
  <si>
    <t>https://chromewebstore.google.com/detail/onhfdppooafpnnigbmnpnnjmbajggekc</t>
  </si>
  <si>
    <t>Apk Downloader by Appsapk</t>
  </si>
  <si>
    <t>https://chromewebstore.google.com/detail/onmbdmeleocjononnnehpnfplkkjopkd</t>
  </si>
  <si>
    <t>actiTIME Time Tracking &amp; Project Management</t>
  </si>
  <si>
    <t>https://chromewebstore.google.com/detail/oogddkbohgikljeadnkcepdmekigegck</t>
  </si>
  <si>
    <t>LiveKeyword by BiQ</t>
  </si>
  <si>
    <t>https://chromewebstore.google.com/detail/oomijgnfikpndibbbbaninbfomjddohj</t>
  </si>
  <si>
    <t>MindHero</t>
  </si>
  <si>
    <t>https://chromewebstore.google.com/detail/opjbphlikplllhehiaafnglngompagni</t>
  </si>
  <si>
    <t>Tilt Shift</t>
  </si>
  <si>
    <t>https://chromewebstore.google.com/detail/oppbddphanamfepjpnojckklcfmnkfnh</t>
  </si>
  <si>
    <t>Volume Manager PRO</t>
  </si>
  <si>
    <t>https://chromewebstore.google.com/detail/padeedaooopaklfgibnddkgbpbmbmkji</t>
  </si>
  <si>
    <t>AdSkipper</t>
  </si>
  <si>
    <t>https://chromewebstore.google.com/detail/paeoelngbckenlidinleldbemhkdiphi</t>
  </si>
  <si>
    <t>Share Tools</t>
  </si>
  <si>
    <t>https://chromewebstore.google.com/detail/pbbbcphofkjkmbadhjioamnnbphgeghd</t>
  </si>
  <si>
    <t>CSDN页面优化</t>
  </si>
  <si>
    <t>https://chromewebstore.google.com/detail/pbhajdlkdeofhoicgdkanbbkdnglajkd</t>
  </si>
  <si>
    <t>かんたんコピーくん</t>
  </si>
  <si>
    <t>https://chromewebstore.google.com/detail/pbhlblgkokahebkmklnefmnagdehcfao</t>
  </si>
  <si>
    <t>Polynesian Text</t>
  </si>
  <si>
    <t>https://chromewebstore.google.com/detail/pbkcmmgdieaaamaenbaakbgjfniblmbc</t>
  </si>
  <si>
    <t>InfinityCloud for Chromebooks (Enterprise)</t>
  </si>
  <si>
    <t>https://chromewebstore.google.com/detail/pblfidbagabbcdblldheghcopjicfinl</t>
  </si>
  <si>
    <t>RS Wiki Redirector</t>
  </si>
  <si>
    <t>https://chromewebstore.google.com/detail/pcbjeffbdbcicmgffkdbpllfenfbodfo</t>
  </si>
  <si>
    <t>eKW.downloader</t>
  </si>
  <si>
    <t>https://chromewebstore.google.com/detail/pcmkeieafomgjkeifdfehppgadjlohmn</t>
  </si>
  <si>
    <t>Google link fixer</t>
  </si>
  <si>
    <t>https://chromewebstore.google.com/detail/pcpdkhaeeohmogfgcheopfcigcfdaioj</t>
  </si>
  <si>
    <t>视频VIP解析</t>
  </si>
  <si>
    <t>https://chromewebstore.google.com/detail/pdeidgdadeplmmcpkochpaimdbmbiefg</t>
  </si>
  <si>
    <t>NewTube</t>
  </si>
  <si>
    <t>https://chromewebstore.google.com/detail/pdgboabcdlnoobjcfbdliaedoeehepnl</t>
  </si>
  <si>
    <t>BananoMiner Watch</t>
  </si>
  <si>
    <t>https://chromewebstore.google.com/detail/pdnkikfbjfhikkpopfoaihhfbhaplpfc</t>
  </si>
  <si>
    <t>Web Design Pirate</t>
  </si>
  <si>
    <t>https://chromewebstore.google.com/detail/pdplijceapgnjafgenmlijejmjgplbhm</t>
  </si>
  <si>
    <t>Tomighty</t>
  </si>
  <si>
    <t>https://chromewebstore.google.com/detail/peehjcejinjjiphdhbhibpphdhkifddk</t>
  </si>
  <si>
    <t>Hide Youtube Progress Bar</t>
  </si>
  <si>
    <t>https://chromewebstore.google.com/detail/peojoklnhinheognhigeliholccihoec</t>
  </si>
  <si>
    <t>LaTeX in Slack</t>
  </si>
  <si>
    <t>https://chromewebstore.google.com/detail/pfcfelfnpbnboelkjedecjipaibpnfja</t>
  </si>
  <si>
    <t>Greek TV</t>
  </si>
  <si>
    <t>https://chromewebstore.google.com/detail/pfmjfdhmoannljgibcekddbbldfjlgpa</t>
  </si>
  <si>
    <t>mermaid-diagrams</t>
  </si>
  <si>
    <t>https://chromewebstore.google.com/detail/phfcghedmopjadpojhmmaffjmfiakfil</t>
  </si>
  <si>
    <t>Finch Developer Tools</t>
  </si>
  <si>
    <t>https://chromewebstore.google.com/detail/phgdjnidddpccdkbedmfifceiljljgdo</t>
  </si>
  <si>
    <t>Timely</t>
  </si>
  <si>
    <t>https://chromewebstore.google.com/detail/phpkahchjodmhmckibejeafoflafljma</t>
  </si>
  <si>
    <t>Image Download</t>
  </si>
  <si>
    <t>https://chromewebstore.google.com/detail/pianibmfifkeamgfggpkkanjdcoppgch</t>
  </si>
  <si>
    <t>TenderBro — помощник в госзакупках</t>
  </si>
  <si>
    <t>https://chromewebstore.google.com/detail/pidmkcoaafbhbmgeimdaclggjeojihcg</t>
  </si>
  <si>
    <t>YT Repeat</t>
  </si>
  <si>
    <t>https://chromewebstore.google.com/detail/piicimoiaiblachamdicgngccadhlecl</t>
  </si>
  <si>
    <t>Indian rail seat availability by-Shantanu</t>
  </si>
  <si>
    <t>https://chromewebstore.google.com/detail/pijdbohikkconhjpmljjmhnalkoiinhm</t>
  </si>
  <si>
    <t>Awesome Host Manager</t>
  </si>
  <si>
    <t>https://chromewebstore.google.com/detail/pikaoeecieigblebdddckmlegonlogha</t>
  </si>
  <si>
    <t>Rooster for Chrome™</t>
  </si>
  <si>
    <t>https://chromewebstore.google.com/detail/pimolnhbniceppehbgmibnbgcnhpkhfh</t>
  </si>
  <si>
    <t>scam</t>
  </si>
  <si>
    <t>https://chromewebstore.google.com/detail/pjjmnjpdamiodphjhekmbdgnbegndmkc</t>
  </si>
  <si>
    <t>Cantonese Popup Dictionary</t>
  </si>
  <si>
    <t>https://chromewebstore.google.com/detail/pjnbhojkojmibobcpfgihhnohboldhip</t>
  </si>
  <si>
    <t>Button Counter</t>
  </si>
  <si>
    <t>https://chromewebstore.google.com/detail/pkjcdhfckpbgnoclefkjfmafpakdgcaj</t>
  </si>
  <si>
    <t>MANGO CONNECT</t>
  </si>
  <si>
    <t>https://chromewebstore.google.com/detail/pkpkkdedpomedldeocifngicfebjpmjl</t>
  </si>
  <si>
    <t>Unused CSS Tracker</t>
  </si>
  <si>
    <t>https://chromewebstore.google.com/detail/pldonadjilibgdhocameckefhpdiddbg</t>
  </si>
  <si>
    <t>MarmoUI</t>
  </si>
  <si>
    <t>https://chromewebstore.google.com/detail/plhonglcpnmkaafmedmbcelnbjlkmfid</t>
  </si>
  <si>
    <t>Open in Quip Desktop</t>
  </si>
  <si>
    <t>https://chromewebstore.google.com/detail/plngblkheekhhnglfpinaigbnhcjgnjm</t>
  </si>
  <si>
    <t>FuriKanji</t>
  </si>
  <si>
    <t>https://chromewebstore.google.com/detail/plpdljndcikodkdhcbcbfnbmeplcjdeh</t>
  </si>
  <si>
    <t>Salesforce WorkBench v2.0</t>
  </si>
  <si>
    <t>https://chromewebstore.google.com/detail/plpkbdfpfehnkbjgjgnpfnmohgcdiagd</t>
  </si>
  <si>
    <t>Точное время сейчас</t>
  </si>
  <si>
    <t>https://chromewebstore.google.com/detail/plpkbdnmkoemdpgjepafpcgidkikhmpm</t>
  </si>
  <si>
    <t>IDEMIA Smartcard Web Connector</t>
  </si>
  <si>
    <t>https://chromewebstore.google.com/detail/pmcjdgnohppjkhnadihaonfmdponlcbi</t>
  </si>
  <si>
    <t>BeeLine Reader PDF Viewer</t>
  </si>
  <si>
    <t>https://chromewebstore.google.com/detail/pmeknoingfjncbdhempgnkdgojickcko</t>
  </si>
  <si>
    <t>Do EOP-HaUI unit</t>
  </si>
  <si>
    <t>https://chromewebstore.google.com/detail/pmijjpoambopbcjoknnmkbkgoilpcgoi</t>
  </si>
  <si>
    <t>Material DevTools Theme</t>
  </si>
  <si>
    <t>https://chromewebstore.google.com/detail/pmlofkkoaahmkmmebdkkcljmflocijlo</t>
  </si>
  <si>
    <t>Ringostat Smart Phone</t>
  </si>
  <si>
    <t>https://chromewebstore.google.com/detail/pmpdmpjichjpigklkhholiejpnhcjhkf</t>
  </si>
  <si>
    <t>DigiNovo screen sharing for A1 shop</t>
  </si>
  <si>
    <t>https://chromewebstore.google.com/detail/pmpmejbonomjlbhphkkbeeeecpnknkpn</t>
  </si>
  <si>
    <t>Status Check</t>
  </si>
  <si>
    <t>https://chromewebstore.google.com/detail/pninmpjhjchbpkopdphbkngalhfipaln</t>
  </si>
  <si>
    <t>OPDeals - Find the best deals on OPSkins.com</t>
  </si>
  <si>
    <t>https://chromewebstore.google.com/detail/pnmifmjgoddkicidifnaenlagjcofomn</t>
  </si>
  <si>
    <t>Youtube™ Controller</t>
  </si>
  <si>
    <t>https://chromewebstore.google.com/detail/poalplpedjpddipkghmlhkmgbcnmecop</t>
  </si>
  <si>
    <t>蝴蝶飞</t>
  </si>
  <si>
    <t>https://chromewebstore.google.com/detail/pofanjellkmepliaagnpopjndkkdlolg</t>
  </si>
  <si>
    <t>Poll, Survey, Quiz &amp; Form by Opinion Stage</t>
  </si>
  <si>
    <t>https://chromewebstore.google.com/detail/pokkcnacdpgalbmpneemmbafmcghankm</t>
  </si>
  <si>
    <t>Code Copier</t>
  </si>
  <si>
    <t>https://chromewebstore.google.com/detail/polidkhcaghmmijeemenkiloblpdfphp</t>
  </si>
  <si>
    <t>Movist Pro extension</t>
  </si>
  <si>
    <t>https://chromewebstore.google.com/detail/poomhaoiklcooaelckmhijbmkclcgbad</t>
  </si>
  <si>
    <t>Bark Pusher</t>
  </si>
  <si>
    <t>https://chromewebstore.google.com/detail/poomlolhjphfnijbbhplbggnddahgdpp</t>
  </si>
  <si>
    <t>Whois Website Hosting Company Info &amp; IP Whois</t>
  </si>
  <si>
    <t>https://chromewebstore.google.com/detail/ppcbbjpbbmmjfiiadgklhocpdiildmca</t>
  </si>
  <si>
    <t>github email hunter</t>
  </si>
  <si>
    <t>https://chromewebstore.google.com/detail/ppcegaekdbgcgbapfdcjbhednhmgcjnk</t>
  </si>
  <si>
    <t>Persistent Video/Audio Volume</t>
  </si>
  <si>
    <t>https://chromewebstore.google.com/detail/ppoliijncpdcgddmfibmgnjhegceaadj</t>
  </si>
  <si>
    <t>EPUBReader For PC, Windows &amp; Mac</t>
  </si>
  <si>
    <t>https://chromewebstore.google.com/detail/fbhokgdamjkkacelimdbfbnfnmbeklpm</t>
  </si>
  <si>
    <t>Image to Audio, Spectrogram Player</t>
  </si>
  <si>
    <t>https://chromewebstore.google.com/detail/edgbjbffofakeeamgpgapedgcomfbmml</t>
  </si>
  <si>
    <t>Fun Box - Emoji, Stickers, Gifs</t>
  </si>
  <si>
    <t>https://chromewebstore.google.com/detail/fcgmgjnnohnmfaafkjpbinakabldfbag</t>
  </si>
  <si>
    <t>Universal Extractor Download [Window 10,7,8]</t>
  </si>
  <si>
    <t>https://chromewebstore.google.com/detail/pofafboibjkfombpgmfaeepeehfcfahm</t>
  </si>
  <si>
    <t>Subtitle Google Translate (Lynda,LinkedIn,..)</t>
  </si>
  <si>
    <t>https://chromewebstore.google.com/detail/gliplldjplmfocfpkbpmaikmeiildjel</t>
  </si>
  <si>
    <t>100FM Radios Digital - Music, That’s All</t>
  </si>
  <si>
    <t>https://chromewebstore.google.com/detail/ealihiicnhlmeapidiennmjgpoicjiad</t>
  </si>
  <si>
    <t>Interesting Photos for Flickr, 500px</t>
  </si>
  <si>
    <t>https://chromewebstore.google.com/detail/iegjdjcmfimekjidjffaddhgolgclmcf</t>
  </si>
  <si>
    <t>Фейсбук: hide ads, by stop-words, smm tools</t>
  </si>
  <si>
    <t>https://chromewebstore.google.com/detail/jbngidpijekbhekmimlbcopjfkogiomb</t>
  </si>
  <si>
    <t>Preview any link, anywhere - Link Preview</t>
  </si>
  <si>
    <t>https://chromewebstore.google.com/detail/idalccinfigpohjpehkcdcpgnannhhfl</t>
  </si>
  <si>
    <t>Download Image 1688, Taobao, Tmall by QThang</t>
  </si>
  <si>
    <t>https://chromewebstore.google.com/detail/gghihgpbkhfnjcnodemegkldekipnoec</t>
  </si>
  <si>
    <t>LatLong</t>
  </si>
  <si>
    <t>https://chromewebstore.google.com/detail/aaclhojogkcakmjnadccbhpkkolcpaeh</t>
  </si>
  <si>
    <t>Steam Community SteamRep Integration</t>
  </si>
  <si>
    <t>https://chromewebstore.google.com/detail/aaclmldkenecanphogeaacolljiphmnk</t>
  </si>
  <si>
    <t>One Punch Man Theme</t>
  </si>
  <si>
    <t>https://chromewebstore.google.com/detail/aacpeocdoemahgdlilehionapfhbcgig</t>
  </si>
  <si>
    <t>Twork</t>
  </si>
  <si>
    <t>https://chromewebstore.google.com/detail/aadhbdhoolgcjfdplbjpfmmobcjmhklf</t>
  </si>
  <si>
    <t>Sensilet</t>
  </si>
  <si>
    <t>https://chromewebstore.google.com/detail/aadkcfdlmiddiiibdnhfbpbmfcaoknkm</t>
  </si>
  <si>
    <t>Moka简藏</t>
  </si>
  <si>
    <t>https://chromewebstore.google.com/detail/aahbjjldiddbnpabbhkaklkmnokndedo</t>
  </si>
  <si>
    <t>Happy Wheels and More.</t>
  </si>
  <si>
    <t>https://chromewebstore.google.com/detail/aahkfjicefeopjkokkfncpfflcjkmpbi</t>
  </si>
  <si>
    <t>Gmail Mouse Gestures</t>
  </si>
  <si>
    <t>https://chromewebstore.google.com/detail/aaokajckoheafemlmjacklidohljgkgo</t>
  </si>
  <si>
    <t>AMP Accelerated Mobile Pages Desktop Viewer</t>
  </si>
  <si>
    <t>https://chromewebstore.google.com/detail/abbbnefchbpffkbnadnopdahjcmbheho</t>
  </si>
  <si>
    <t>Traffic Analyser</t>
  </si>
  <si>
    <t>https://chromewebstore.google.com/detail/abdegfaiochjkmedplbehndchojnkjca</t>
  </si>
  <si>
    <t>Console Injector</t>
  </si>
  <si>
    <t>https://chromewebstore.google.com/detail/abdfbnapkafgcheofcijaieahcbjnpkd</t>
  </si>
  <si>
    <t>Pandora Download Links</t>
  </si>
  <si>
    <t>https://chromewebstore.google.com/detail/abegacaoahilklpbgapkfcdhnljklcep</t>
  </si>
  <si>
    <t>EvoWars.io Game</t>
  </si>
  <si>
    <t>https://chromewebstore.google.com/detail/abhcicpgkieoddkaocomjdkdlhdnbfpb</t>
  </si>
  <si>
    <t>SZTAKI Dictionary Extension</t>
  </si>
  <si>
    <t>https://chromewebstore.google.com/detail/abhgkgfbihhkopkinomfideiddeleldo</t>
  </si>
  <si>
    <t>Pinme</t>
  </si>
  <si>
    <t>https://chromewebstore.google.com/detail/abjjaaahigingfdneedpgabgikejlcfl</t>
  </si>
  <si>
    <t>Fiori Doctor</t>
  </si>
  <si>
    <t>https://chromewebstore.google.com/detail/abmocanmemghgbcegmmdgpefgfjbkglf</t>
  </si>
  <si>
    <t>Outiiil</t>
  </si>
  <si>
    <t>https://chromewebstore.google.com/detail/abplipfppejgpbaipnpddgjdgmbdgiij</t>
  </si>
  <si>
    <t>Baidu Search</t>
  </si>
  <si>
    <t>https://chromewebstore.google.com/detail/acefekdhohafkelpdfdjjopdghejaahi</t>
  </si>
  <si>
    <t>Salesforce Lightning Web Component Extractor</t>
  </si>
  <si>
    <t>https://chromewebstore.google.com/detail/acfmhnkhdnojjohflchbldekihhapdje</t>
  </si>
  <si>
    <t>Lucid</t>
  </si>
  <si>
    <t>https://chromewebstore.google.com/detail/achogfadpkcepkepcpegehpiiioihmik</t>
  </si>
  <si>
    <t>Movavi Slideshow Maker 6.6.1</t>
  </si>
  <si>
    <t>https://chromewebstore.google.com/detail/aciclpjlpekbhcmgihchmcgknanmaoph</t>
  </si>
  <si>
    <t>Kaizen Platform Assistant</t>
  </si>
  <si>
    <t>https://chromewebstore.google.com/detail/acmnindkplffnpamldokjjkekipobndc</t>
  </si>
  <si>
    <t>NetAcad Assessment AutoSolver</t>
  </si>
  <si>
    <t>https://chromewebstore.google.com/detail/acngcofgnnbbkpmeedmoaihopjmepomd</t>
  </si>
  <si>
    <t>LPEF - Camera Simulator</t>
  </si>
  <si>
    <t>https://chromewebstore.google.com/detail/acngkdhajijgnolblpcgpepjgoedlpjg</t>
  </si>
  <si>
    <t>Nature Landscapes (New Tab Wallpapers)</t>
  </si>
  <si>
    <t>https://chromewebstore.google.com/detail/adaojllgfpmcfooaobpfoiiifddhjiap</t>
  </si>
  <si>
    <t>QR Code Creator</t>
  </si>
  <si>
    <t>https://chromewebstore.google.com/detail/addgaohhlahfdofpaplmeknphfoafeoc</t>
  </si>
  <si>
    <t>Netflix Autoplayer - With System Sleep Timer</t>
  </si>
  <si>
    <t>https://chromewebstore.google.com/detail/adegickccmlojbmbmemgjakpoammfmkg</t>
  </si>
  <si>
    <t>JSON Formatter 格式化</t>
  </si>
  <si>
    <t>https://chromewebstore.google.com/detail/adfggbiefhfidjcedejkdmcfhmbhhblm</t>
  </si>
  <si>
    <t>json to go</t>
  </si>
  <si>
    <t>https://chromewebstore.google.com/detail/adibamafcjbolhaaccnhdebpncglaohb</t>
  </si>
  <si>
    <t>Cute Food &amp; Drinks Cursor</t>
  </si>
  <si>
    <t>https://chromewebstore.google.com/detail/adjgpccopebgfbdnkdhjncpcpcgcoehp</t>
  </si>
  <si>
    <t>FanFiction Organizer</t>
  </si>
  <si>
    <t>https://chromewebstore.google.com/detail/adlnghnicfngjnofbljedmclmdoepcbe</t>
  </si>
  <si>
    <t>Plex to VLC</t>
  </si>
  <si>
    <t>https://chromewebstore.google.com/detail/admjkihehbkklbidlcpmjcaplbkngeed</t>
  </si>
  <si>
    <t>Finance41 Extension</t>
  </si>
  <si>
    <t>https://chromewebstore.google.com/detail/adojojhmddiheilndfjlhddemdlfjfle</t>
  </si>
  <si>
    <t>MobileCards - Open web pages in mobile view</t>
  </si>
  <si>
    <t>https://chromewebstore.google.com/detail/aeanpfpdmamkinnbemccekbecfcbooai</t>
  </si>
  <si>
    <t>Fake news detector</t>
  </si>
  <si>
    <t>https://chromewebstore.google.com/detail/aebaikmeedenaijgjcfmndfknoobahep</t>
  </si>
  <si>
    <t>Beautiful &amp; Customizable New Tab Page Openoox</t>
  </si>
  <si>
    <t>https://chromewebstore.google.com/detail/aefmgkhgcmdljpfijlohmbhkhflmbmfi</t>
  </si>
  <si>
    <t>Sortify</t>
  </si>
  <si>
    <t>https://chromewebstore.google.com/detail/aehmpfeibpcclkbjjkclhncmjncpebef</t>
  </si>
  <si>
    <t>CSS Feature Toggles</t>
  </si>
  <si>
    <t>https://chromewebstore.google.com/detail/aeinmfddnniiloadoappmdnffcbffnjg</t>
  </si>
  <si>
    <t>zvTabs(Close left side tabs)</t>
  </si>
  <si>
    <t>https://chromewebstore.google.com/detail/aelfgfndnhaiicaahkbpmgbbnflnbejb</t>
  </si>
  <si>
    <t>Brainer Research &amp; Bookmark</t>
  </si>
  <si>
    <t>https://chromewebstore.google.com/detail/aelkgkjgpaancocbobfjkmnkfhoinamf</t>
  </si>
  <si>
    <t>Simple On Page SEO</t>
  </si>
  <si>
    <t>https://chromewebstore.google.com/detail/aemgcoipfmfbdgfgicfbmpjnhlbpajch</t>
  </si>
  <si>
    <t>Ответы к UzTest.ru - UzTest+</t>
  </si>
  <si>
    <t>https://chromewebstore.google.com/detail/aeookmmgmjgnmfoaiemejdoailigdgag</t>
  </si>
  <si>
    <t>Key Jump keyboard navigation</t>
  </si>
  <si>
    <t>https://chromewebstore.google.com/detail/afdjhbmagopjlalgcjfclkgobaafamck</t>
  </si>
  <si>
    <t>PTT Web Enhanced</t>
  </si>
  <si>
    <t>https://chromewebstore.google.com/detail/afheehakbckodogpkoeakfndigoimokn</t>
  </si>
  <si>
    <t>Article Word Counter</t>
  </si>
  <si>
    <t>https://chromewebstore.google.com/detail/afijgiinefhejdlmngnbfjgiefdfkfko</t>
  </si>
  <si>
    <t>Diarios anónimos: Clarín, La Nación y Olé</t>
  </si>
  <si>
    <t>https://chromewebstore.google.com/detail/afkcafjohadnopckhbcopklmeknjcgkg</t>
  </si>
  <si>
    <t>Percent Change Calculator</t>
  </si>
  <si>
    <t>https://chromewebstore.google.com/detail/afknfpdgpnhpbdcdnknlmbcddhfemdeb</t>
  </si>
  <si>
    <t>Close All Tabs On Left</t>
  </si>
  <si>
    <t>https://chromewebstore.google.com/detail/afmdjfefjcfmedhgbegphdjhfckifaij</t>
  </si>
  <si>
    <t>Slack++</t>
  </si>
  <si>
    <t>https://chromewebstore.google.com/detail/afmljfkhgiljmbopodcjdnkgmdmnhbpk</t>
  </si>
  <si>
    <t>smallseotools for chrome</t>
  </si>
  <si>
    <t>https://chromewebstore.google.com/detail/afpbamklipekeannlpafjnakghkkmnjk</t>
  </si>
  <si>
    <t>Delicious Bookmark Bar Sync 1.1</t>
  </si>
  <si>
    <t>https://chromewebstore.google.com/detail/agabedjjbijfpccchcmpfpcdfnlpjkoj</t>
  </si>
  <si>
    <t>Website IP</t>
  </si>
  <si>
    <t>https://chromewebstore.google.com/detail/agbkjcoclkflcpkognkhjkllhimlpice</t>
  </si>
  <si>
    <t>https://chromewebstore.google.com/detail/agdmglieodoodfjgljideekcenoakdgb</t>
  </si>
  <si>
    <t>Vertical Twitch</t>
  </si>
  <si>
    <t>https://chromewebstore.google.com/detail/aggkaaocjganbkpebcifmphkiphajdel</t>
  </si>
  <si>
    <t>Reddit Video Linker</t>
  </si>
  <si>
    <t>https://chromewebstore.google.com/detail/aghbmllinmgnlpeciabalfllehijahnp</t>
  </si>
  <si>
    <t>WebScrapper for developers - Free - Remotal</t>
  </si>
  <si>
    <t>https://chromewebstore.google.com/detail/agkbkgialbnmaeamocceenjbhcjagigf</t>
  </si>
  <si>
    <t>Green Mahjong</t>
  </si>
  <si>
    <t>https://chromewebstore.google.com/detail/aglkdaiofcmfomnggcojbcpbihbaceai</t>
  </si>
  <si>
    <t>Codopen</t>
  </si>
  <si>
    <t>https://chromewebstore.google.com/detail/agnkphdgffianchpipdbkeaclfbobaak</t>
  </si>
  <si>
    <t>CFCA CryptoKit.QYWJ Extension</t>
  </si>
  <si>
    <t>https://chromewebstore.google.com/detail/agojedcnbaadafkaaekoimbepjfhgkne</t>
  </si>
  <si>
    <t>Content Blocker</t>
  </si>
  <si>
    <t>https://chromewebstore.google.com/detail/agompmhjohlaaijeadjcepbmhjgdmejd</t>
  </si>
  <si>
    <t>KONTESTS</t>
  </si>
  <si>
    <t>https://chromewebstore.google.com/detail/agpdemlkalmmeenclchlajdcmbcacoea</t>
  </si>
  <si>
    <t>WebP, BPG, JXR Image Decoder</t>
  </si>
  <si>
    <t>https://chromewebstore.google.com/detail/agpkeppkpbofjlgephfipdaplpbiojen</t>
  </si>
  <si>
    <t>Connection Forwarder</t>
  </si>
  <si>
    <t>https://chromewebstore.google.com/detail/ahaijnonphgkgnkbklchdhclailflinn</t>
  </si>
  <si>
    <t>LM Note Generator For ESPN Fantasy Football</t>
  </si>
  <si>
    <t>https://chromewebstore.google.com/detail/ahcblhpcealjpkmndgmkdnebbjakicno</t>
  </si>
  <si>
    <t>广告屏蔽+页面元素隐藏助手</t>
  </si>
  <si>
    <t>https://chromewebstore.google.com/detail/ahieappfkblneagblagpodhjmnhcbfdn</t>
  </si>
  <si>
    <t>AutoClaim - CodeCrack</t>
  </si>
  <si>
    <t>https://chromewebstore.google.com/detail/ahnoadnanolangjffklbfdkfbmplmmln</t>
  </si>
  <si>
    <t>Expedia</t>
  </si>
  <si>
    <t>https://chromewebstore.google.com/detail/aicdnelcnjhlfgpjhkkflbaagjdgkedp</t>
  </si>
  <si>
    <t>Buy Localized - Made in USA filter on Amazon</t>
  </si>
  <si>
    <t>https://chromewebstore.google.com/detail/aicfbaaflkellfmamfiaanaeanfobiah</t>
  </si>
  <si>
    <t>VK Wallpaper</t>
  </si>
  <si>
    <t>https://chromewebstore.google.com/detail/aigfnicpphodhakcfolnekkapjcehhho</t>
  </si>
  <si>
    <t>RaspberryCast</t>
  </si>
  <si>
    <t>https://chromewebstore.google.com/detail/aikmhmnmlebhcjjdbjilohbpfljioeak</t>
  </si>
  <si>
    <t>memeticon</t>
  </si>
  <si>
    <t>https://chromewebstore.google.com/detail/ailcjmkbchjpglniippdjaaamimdniko</t>
  </si>
  <si>
    <t>Smart Notes</t>
  </si>
  <si>
    <t>https://chromewebstore.google.com/detail/aimmakfgnnekphmbajghonpfkjljmfkn</t>
  </si>
  <si>
    <t>Remove Youtube Hotkeys</t>
  </si>
  <si>
    <t>https://chromewebstore.google.com/detail/ajabfhplebocnmdcejfleginmigkhjdj</t>
  </si>
  <si>
    <t>Vtiger for Gmail</t>
  </si>
  <si>
    <t>https://chromewebstore.google.com/detail/ajbdencgojbanpbmjaafdleiadnabndg</t>
  </si>
  <si>
    <t>Extension for D1NMH Native Messaging Host</t>
  </si>
  <si>
    <t>https://chromewebstore.google.com/detail/ajcbbckcdngehkhpffnmlhnnccecmaci</t>
  </si>
  <si>
    <t>晨羽影视vip视频解析</t>
  </si>
  <si>
    <t>https://chromewebstore.google.com/detail/ajdaphmmjhhageboagckhfiiiofaappa</t>
  </si>
  <si>
    <t>Reddit New Comments Highlighter</t>
  </si>
  <si>
    <t>https://chromewebstore.google.com/detail/ajdilinnnkbmpoegibgacadjlblmpjad</t>
  </si>
  <si>
    <t>IMDB-RARBG</t>
  </si>
  <si>
    <t>https://chromewebstore.google.com/detail/ajdoamemmbdoaopmkldocdhhedfppplm</t>
  </si>
  <si>
    <t>CloudSearch</t>
  </si>
  <si>
    <t>https://chromewebstore.google.com/detail/ajfcilnkfhhdofoplbnbicjbcoflpppa</t>
  </si>
  <si>
    <t>ReachUC Complete</t>
  </si>
  <si>
    <t>https://chromewebstore.google.com/detail/ajgfnlfggljmdkepjeaicepbokhemmhd</t>
  </si>
  <si>
    <t>屏幕调整助手</t>
  </si>
  <si>
    <t>https://chromewebstore.google.com/detail/ajgidahckhliegaonfgbialbcpcljach</t>
  </si>
  <si>
    <t>DashOne</t>
  </si>
  <si>
    <t>https://chromewebstore.google.com/detail/ajgjljngohdamnajdbnadcpcnnoaedga</t>
  </si>
  <si>
    <t>Kool Karaoke Tone Off</t>
  </si>
  <si>
    <t>https://chromewebstore.google.com/detail/ajgpdimiokijpbbalknkgnfnpjcbfabk</t>
  </si>
  <si>
    <t>Element Text Selector</t>
  </si>
  <si>
    <t>https://chromewebstore.google.com/detail/ajjdehfgjbdjiinaipdglfppekcnigjd</t>
  </si>
  <si>
    <t>FLST Chrome</t>
  </si>
  <si>
    <t>https://chromewebstore.google.com/detail/ajnianifcggmdojhnmjichjmnjpplcha</t>
  </si>
  <si>
    <t>Vookmark - Easy video bookmarking</t>
  </si>
  <si>
    <t>https://chromewebstore.google.com/detail/ajpfgljldffcnbjenpnkcbkkkcflkpbo</t>
  </si>
  <si>
    <t>Habboon Automatic Flash Acceptance</t>
  </si>
  <si>
    <t>https://chromewebstore.google.com/detail/akcafbaobcipanhmmfmkpneejopclhfg</t>
  </si>
  <si>
    <t>Retruster Phishing Protection</t>
  </si>
  <si>
    <t>https://chromewebstore.google.com/detail/akcpbmbdplmbhlpeglpbghnkcbhiapil</t>
  </si>
  <si>
    <t>Sawab &amp; Inspiration</t>
  </si>
  <si>
    <t>https://chromewebstore.google.com/detail/akcpioapcnkipdikjifafioeabjjahpb</t>
  </si>
  <si>
    <t>YT Thumbnail Downloader</t>
  </si>
  <si>
    <t>https://chromewebstore.google.com/detail/akfikgmhbajiaekdbgchbmhkceclncda</t>
  </si>
  <si>
    <t>Simple Site Blocker</t>
  </si>
  <si>
    <t>https://chromewebstore.google.com/detail/akhfampbeegijbknnencolmclbnaceab</t>
  </si>
  <si>
    <t>YouTube Live Chat Enhancement</t>
  </si>
  <si>
    <t>https://chromewebstore.google.com/detail/akikhgecfhfbdmiccfbgdmcjjbaiohbi</t>
  </si>
  <si>
    <t>Lo-Fi Radio</t>
  </si>
  <si>
    <t>https://chromewebstore.google.com/detail/akkbfbediahdidlgbanghdmbfbkdbioj</t>
  </si>
  <si>
    <t>Remarkerbe</t>
  </si>
  <si>
    <t>https://chromewebstore.google.com/detail/aklkmkchojnnjbmggchdeagdgcflfhnc</t>
  </si>
  <si>
    <t>Ad Review Toolbar BETA (by Google)</t>
  </si>
  <si>
    <t>https://chromewebstore.google.com/detail/akloeedfoicedcgaigjnglkfhpcbjlmn</t>
  </si>
  <si>
    <t>Re:format Gmail inline replies</t>
  </si>
  <si>
    <t>https://chromewebstore.google.com/detail/akndolpagcjaolannkpophkacklomagp</t>
  </si>
  <si>
    <t>Secure screen sharing</t>
  </si>
  <si>
    <t>https://chromewebstore.google.com/detail/akngncmebaenfdgfbmommpnonpidhaod</t>
  </si>
  <si>
    <t>Hulu Random Episode Button</t>
  </si>
  <si>
    <t>https://chromewebstore.google.com/detail/akoihfghmfploepdiblpfpifgjekbkmg</t>
  </si>
  <si>
    <t>DOM Treemap</t>
  </si>
  <si>
    <t>https://chromewebstore.google.com/detail/albnoggfgnooeefdjpncieecohhblonh</t>
  </si>
  <si>
    <t>ニコニコ最前面コメント</t>
  </si>
  <si>
    <t>https://chromewebstore.google.com/detail/alfkifbcobefljgjngkgffhnobplceom</t>
  </si>
  <si>
    <t>ADS Wallet</t>
  </si>
  <si>
    <t>https://chromewebstore.google.com/detail/algblmhagnobbnmakepomicmfljlbehg</t>
  </si>
  <si>
    <t>IndieGala Helper</t>
  </si>
  <si>
    <t>https://chromewebstore.google.com/detail/alhjnofcnnpeaphgeakdhkebafjcpeae</t>
  </si>
  <si>
    <t>eBaylistpro</t>
  </si>
  <si>
    <t>https://chromewebstore.google.com/detail/alhkphnfffojbofcljfkhemkdkalimnd</t>
  </si>
  <si>
    <t>Tジャンパー</t>
  </si>
  <si>
    <t>https://chromewebstore.google.com/detail/aljhjfocmlfpkleglnnbnjdapfbikddp</t>
  </si>
  <si>
    <t>TIM Screen Share</t>
  </si>
  <si>
    <t>https://chromewebstore.google.com/detail/alkdnpfnidjlhmcoikbolnbjjpalkhpb</t>
  </si>
  <si>
    <t>kaomojiBoard</t>
  </si>
  <si>
    <t>https://chromewebstore.google.com/detail/alkepecgcogdcjleihdddioilhadjlna</t>
  </si>
  <si>
    <t>Tab reopen key on incognito mode</t>
  </si>
  <si>
    <t>https://chromewebstore.google.com/detail/alkfhfgkepamooonkjdolamnbilhkmjg</t>
  </si>
  <si>
    <t>Mainichi Tango</t>
  </si>
  <si>
    <t>https://chromewebstore.google.com/detail/alkncbflgoakllhkhkjpdabnbebejidl</t>
  </si>
  <si>
    <t>FavIdenticon for Google Docs</t>
  </si>
  <si>
    <t>https://chromewebstore.google.com/detail/alkonpgilhahbbhihdjnamkmckfajmjo</t>
  </si>
  <si>
    <t>Hello YaHei</t>
  </si>
  <si>
    <t>https://chromewebstore.google.com/detail/allahbfbjenjbgjihmjnjcafiebdjgck</t>
  </si>
  <si>
    <t>Cookie-Cleaner</t>
  </si>
  <si>
    <t>https://chromewebstore.google.com/detail/alnoiokdjddbeifhpfifmlgmdpgapmaj</t>
  </si>
  <si>
    <t>Canvas Dark Mode</t>
  </si>
  <si>
    <t>https://chromewebstore.google.com/detail/alpkcgejnhlhbolgiedbcfaklbmnicgk</t>
  </si>
  <si>
    <t>Givenio</t>
  </si>
  <si>
    <t>https://chromewebstore.google.com/detail/amaegjccccajmhnbcbeagblpdccimoeh</t>
  </si>
  <si>
    <t>Hotkeys for vk.com</t>
  </si>
  <si>
    <t>https://chromewebstore.google.com/detail/amaobfendgcolppeioeageanmillkmkc</t>
  </si>
  <si>
    <t>https://chromewebstore.google.com/detail/amcdmclnhlmfbbljeaahhbckaieobhmf</t>
  </si>
  <si>
    <t>Add to photos</t>
  </si>
  <si>
    <t>https://chromewebstore.google.com/detail/amcoamjdplaalnjkcbildpnjpfjeiddb</t>
  </si>
  <si>
    <t>UROverview</t>
  </si>
  <si>
    <t>https://chromewebstore.google.com/detail/amdamgkgchnbaopmphhjapmjcdghdphi</t>
  </si>
  <si>
    <t>MouseZoom</t>
  </si>
  <si>
    <t>https://chromewebstore.google.com/detail/amdjnhbhdjpkbnjkmnpooebpfcgejahe</t>
  </si>
  <si>
    <t>Status Monitor for Google Wifi &amp; OnHub</t>
  </si>
  <si>
    <t>https://chromewebstore.google.com/detail/amemccpljobdbgofeleoapbbdomodhpp</t>
  </si>
  <si>
    <t>https://chromewebstore.google.com/detail/amhmjfflodkgpefconmdnmconkfhfjmd</t>
  </si>
  <si>
    <t>Repost-Toggle for Soundcloud</t>
  </si>
  <si>
    <t>https://chromewebstore.google.com/detail/amimeafgcnfidkeknebnfdblmmekifem</t>
  </si>
  <si>
    <t>싸이월드 백업v</t>
  </si>
  <si>
    <t>https://chromewebstore.google.com/detail/amkiimcdjebnagigfjakcbhfkflphpbc</t>
  </si>
  <si>
    <t>资源链接批量提取器</t>
  </si>
  <si>
    <t>https://chromewebstore.google.com/detail/amnikpekgoejcpelejppemiglnhknhoe</t>
  </si>
  <si>
    <t>Homestuck POV Cam</t>
  </si>
  <si>
    <t>https://chromewebstore.google.com/detail/amojmegbfaaookabgifgaiblfdlgapoj</t>
  </si>
  <si>
    <t>.تبدیل به حالت موبایلی (ZEKH.ir)</t>
  </si>
  <si>
    <t>https://chromewebstore.google.com/detail/ampcbcmhaphljheimlmgdodfhlmenmda</t>
  </si>
  <si>
    <t>Чистый VK</t>
  </si>
  <si>
    <t>https://chromewebstore.google.com/detail/anbgfmfcapconfkbmdplihbaedmfapak</t>
  </si>
  <si>
    <t>VK Menu</t>
  </si>
  <si>
    <t>https://chromewebstore.google.com/detail/anccajidinkdncpkhbbmgljhfjdgmhcb</t>
  </si>
  <si>
    <t>Bit Player Launcher</t>
  </si>
  <si>
    <t>https://chromewebstore.google.com/detail/andfnelfgfdifognepabogfledhdijhn</t>
  </si>
  <si>
    <t>FrameTube</t>
  </si>
  <si>
    <t>https://chromewebstore.google.com/detail/andkmlcecgmdmbjjjdhifnmjphndgmik</t>
  </si>
  <si>
    <t>Copy Cat</t>
  </si>
  <si>
    <t>https://chromewebstore.google.com/detail/andlmjmbnlaamloflnelcafcnkiplhkc</t>
  </si>
  <si>
    <t>CFCA CryptoKit.csgmall Extension</t>
  </si>
  <si>
    <t>https://chromewebstore.google.com/detail/anicnllbmigahjhkajnbjanfjdlofcof</t>
  </si>
  <si>
    <t>Kingsquare HTML Validator</t>
  </si>
  <si>
    <t>https://chromewebstore.google.com/detail/anjdemaoejlpgmnmkijdemoiebcddhkc</t>
  </si>
  <si>
    <t>Black New Tab Page</t>
  </si>
  <si>
    <t>https://chromewebstore.google.com/detail/anoeoicpaambkpaglbpghmjkhellkgld</t>
  </si>
  <si>
    <t>AZcaptcha automatic captcha solver</t>
  </si>
  <si>
    <t>https://chromewebstore.google.com/detail/aoaahllfacofmpgcecdinikdmpkbnhhf</t>
  </si>
  <si>
    <t>MouseHunt HornTracker for Chrome</t>
  </si>
  <si>
    <t>https://chromewebstore.google.com/detail/aoakbimfnggbhoplpfcpeifgbigmpepl</t>
  </si>
  <si>
    <t>Simply Tabs Saver</t>
  </si>
  <si>
    <t>https://chromewebstore.google.com/detail/aobclpbhnodnafnndcfgfecfeloganfm</t>
  </si>
  <si>
    <t>Loop</t>
  </si>
  <si>
    <t>https://chromewebstore.google.com/detail/aoccnobecmopgekhnaaoepdggjonjpka</t>
  </si>
  <si>
    <t>Task Time Counter</t>
  </si>
  <si>
    <t>https://chromewebstore.google.com/detail/aocpbgdpicmnhplofeepiklfcpjdenbe</t>
  </si>
  <si>
    <t>JSON Lint Pro</t>
  </si>
  <si>
    <t>https://chromewebstore.google.com/detail/aoecgfchadicbnhkhcjlijknmjkbkcng</t>
  </si>
  <si>
    <t>Tools for Amazon's Mechanical Turk</t>
  </si>
  <si>
    <t>https://chromewebstore.google.com/detail/aoffgjejcepnijgahpckhajchahfpojo</t>
  </si>
  <si>
    <t>bilibili图床</t>
  </si>
  <si>
    <t>https://chromewebstore.google.com/detail/aofnmlfiomopkmgdngoehlndjcinbhfb</t>
  </si>
  <si>
    <t>Modern</t>
  </si>
  <si>
    <t>https://chromewebstore.google.com/detail/aohkhnpidgppmajhhkldcdelanphdmhp</t>
  </si>
  <si>
    <t>Drik Panchang</t>
  </si>
  <si>
    <t>https://chromewebstore.google.com/detail/aohofenjhojnoploandaecgkfejilimm</t>
  </si>
  <si>
    <t>EdShot</t>
  </si>
  <si>
    <t>https://chromewebstore.google.com/detail/aoiefhmcmanhakljccjnpcplcbejmflo</t>
  </si>
  <si>
    <t>Faceit Customizer</t>
  </si>
  <si>
    <t>https://chromewebstore.google.com/detail/aomgehfnddilfkjooooihdnjeabknepl</t>
  </si>
  <si>
    <t>Merchlytics</t>
  </si>
  <si>
    <t>https://chromewebstore.google.com/detail/aomlalciknfklfplgkpfehlfnnokafaa</t>
  </si>
  <si>
    <t>眺览 TillGlance</t>
  </si>
  <si>
    <t>https://chromewebstore.google.com/detail/aomnlmcemihejgfkeplljkcelfpneakg</t>
  </si>
  <si>
    <t>Fanpage Karma</t>
  </si>
  <si>
    <t>https://chromewebstore.google.com/detail/aonddenfffjaplkipofnfeaikmkajhmj</t>
  </si>
  <si>
    <t>Enable all disabled buttons and inputs</t>
  </si>
  <si>
    <t>https://chromewebstore.google.com/detail/aonhflmdemlehgbnfmhpdmoeeolokelm</t>
  </si>
  <si>
    <t>Amazon Prime Search</t>
  </si>
  <si>
    <t>https://chromewebstore.google.com/detail/aoodnpmllpdgcfcgdnminmifngcppaln</t>
  </si>
  <si>
    <t>Mandarin + Cantonese Dictionary</t>
  </si>
  <si>
    <t>https://chromewebstore.google.com/detail/aoofnmlljjgifabglpelnbmipdfnfflk</t>
  </si>
  <si>
    <t>PaperSpan</t>
  </si>
  <si>
    <t>https://chromewebstore.google.com/detail/apbbkgiadnodlonfadecfkpjkfakklnf</t>
  </si>
  <si>
    <t>Soundbounce</t>
  </si>
  <si>
    <t>https://chromewebstore.google.com/detail/apbdfongpgacifbamjfogfncjjhkaeih</t>
  </si>
  <si>
    <t>Developer's Download Helper</t>
  </si>
  <si>
    <t>https://chromewebstore.google.com/detail/apchbjkblfhmkohghpnhidldebmpmjnn</t>
  </si>
  <si>
    <t>Link Scraper</t>
  </si>
  <si>
    <t>https://chromewebstore.google.com/detail/apdmmebfdjlefbomdafjgbfjipjocdof</t>
  </si>
  <si>
    <t>Easy Amaregna</t>
  </si>
  <si>
    <t>https://chromewebstore.google.com/detail/apfgghagliglfkgbfebfaedpdcnkhofd</t>
  </si>
  <si>
    <t>Shortlink</t>
  </si>
  <si>
    <t>https://chromewebstore.google.com/detail/apgeooocopnncglmnlngfpgggkmlcldf</t>
  </si>
  <si>
    <t>Stop Watching Youtube</t>
  </si>
  <si>
    <t>https://chromewebstore.google.com/detail/apijflpiliibpaeafcafebcedpolhnnf</t>
  </si>
  <si>
    <t>VinCue</t>
  </si>
  <si>
    <t>https://chromewebstore.google.com/detail/apmihaoaadgaodjcbipfjbbiaokopfli</t>
  </si>
  <si>
    <t>CWallet</t>
  </si>
  <si>
    <t>https://chromewebstore.google.com/detail/apnehcjmnengpnmccpaibjmhhoadaico</t>
  </si>
  <si>
    <t>Google Classroom Grades Filter</t>
  </si>
  <si>
    <t>https://chromewebstore.google.com/detail/appdlcdpfallkkdchdeipbhpenmkegmo</t>
  </si>
  <si>
    <t>Cafi Certificado A3</t>
  </si>
  <si>
    <t>https://chromewebstore.google.com/detail/apphiaafegobpghejnfcgehkffmllmkf</t>
  </si>
  <si>
    <t>KeePassX on rollApp</t>
  </si>
  <si>
    <t>https://chromewebstore.google.com/detail/appmfmkomidhmcnkdkjcnhdonjppnajo</t>
  </si>
  <si>
    <t>Salesforce Case Notifier</t>
  </si>
  <si>
    <t>https://chromewebstore.google.com/detail/baabbccjecolffbbbikjcmdnpfdnpimi</t>
  </si>
  <si>
    <t>HCPSS Canvas Assignment Extension</t>
  </si>
  <si>
    <t>https://chromewebstore.google.com/detail/baabmfbgjcnooapabhjehpakihoihmin</t>
  </si>
  <si>
    <t>Luminous: JavaScript events blocker</t>
  </si>
  <si>
    <t>https://chromewebstore.google.com/detail/baacpbikplogpeecclpnajnlghmcldkb</t>
  </si>
  <si>
    <t>WUTemp extension</t>
  </si>
  <si>
    <t>https://chromewebstore.google.com/detail/baahcllkjamainfhhdimbnipdlaeappd</t>
  </si>
  <si>
    <t>Pop-up Videos</t>
  </si>
  <si>
    <t>https://chromewebstore.google.com/detail/babkffilagdlhoeopgfnhfnomhicjodj</t>
  </si>
  <si>
    <t>MuStat - How much is your website worth ?</t>
  </si>
  <si>
    <t>https://chromewebstore.google.com/detail/badmdnllifhdfanpmjmcmijnbecncncl</t>
  </si>
  <si>
    <t>PoE Bulk Trade - Buy All</t>
  </si>
  <si>
    <t>https://chromewebstore.google.com/detail/bafffofgkhnjkbhlbbofconbfecknejm</t>
  </si>
  <si>
    <t>Rot13</t>
  </si>
  <si>
    <t>https://chromewebstore.google.com/detail/bahejodllcomogcpgnidcdaiidfmhomh</t>
  </si>
  <si>
    <t>複数検索ツール</t>
  </si>
  <si>
    <t>https://chromewebstore.google.com/detail/baijfcmfhpidbpgdhjoicghmodpklhel</t>
  </si>
  <si>
    <t>Remu</t>
  </si>
  <si>
    <t>https://chromewebstore.google.com/detail/bajifjohhghngljcfhkbpcggafpiajdo</t>
  </si>
  <si>
    <t>Show External IP</t>
  </si>
  <si>
    <t>https://chromewebstore.google.com/detail/bajpeikcdohkooafedafajhfkacihiod</t>
  </si>
  <si>
    <t>https://chromewebstore.google.com/detail/bbahpklmeonhcijijenbnjecpdokmaeg</t>
  </si>
  <si>
    <t>Slither Sessions</t>
  </si>
  <si>
    <t>https://chromewebstore.google.com/detail/bbakonnkdadhgdlcnkfefpepeiabaacp</t>
  </si>
  <si>
    <t>صححها</t>
  </si>
  <si>
    <t>https://chromewebstore.google.com/detail/bbgoecbaifekpocglagjffnlbdmnlkmn</t>
  </si>
  <si>
    <t>1Player for 网易云音乐</t>
  </si>
  <si>
    <t>https://chromewebstore.google.com/detail/bbleianliopbinjkpnmnhikiplblaifl</t>
  </si>
  <si>
    <t>OneWallet Kratos Mainnet</t>
  </si>
  <si>
    <t>https://chromewebstore.google.com/detail/bbmdccojdbpcpmoadenplnoncfcijgkn</t>
  </si>
  <si>
    <t>Measure</t>
  </si>
  <si>
    <t>https://chromewebstore.google.com/detail/bbompmbliibpeaaloikpoahdokhjdmeg</t>
  </si>
  <si>
    <t>https://chromewebstore.google.com/detail/bbonbhlfjgpahljegfaibcgpchflglnl</t>
  </si>
  <si>
    <t>YouTube Search Bar</t>
  </si>
  <si>
    <t>https://chromewebstore.google.com/detail/bcabhalplnnjfbmnhbcdbphgcehcapme</t>
  </si>
  <si>
    <t>Blurry - Blur unwanted content</t>
  </si>
  <si>
    <t>https://chromewebstore.google.com/detail/bcbgcioblphgimgphgmjnkjcioagnppe</t>
  </si>
  <si>
    <t>Hypershoot</t>
  </si>
  <si>
    <t>https://chromewebstore.google.com/detail/bcfgcokeemmbilmcfepjpfelbjfbnkpa</t>
  </si>
  <si>
    <t>有道词典生词本高亮</t>
  </si>
  <si>
    <t>https://chromewebstore.google.com/detail/bcgjilfclghcobokbhdfphmpjkbbjlli</t>
  </si>
  <si>
    <t>Awesome Button Bar</t>
  </si>
  <si>
    <t>https://chromewebstore.google.com/detail/bcmfandagknmpnambbppcpgclkccgigb</t>
  </si>
  <si>
    <t>Filter Affinity</t>
  </si>
  <si>
    <t>https://chromewebstore.google.com/detail/bcnniocfbnmaiakhpgpeicghfogdjfhe</t>
  </si>
  <si>
    <t>1-2-3 Kupovina s Idealno.rs</t>
  </si>
  <si>
    <t>https://chromewebstore.google.com/detail/bcomnokcdhnbgdfkmfeccgllodflglpm</t>
  </si>
  <si>
    <t>Hycon Lite Client</t>
  </si>
  <si>
    <t>https://chromewebstore.google.com/detail/bcopgchhojmggmffilplmbdicgaihlkp</t>
  </si>
  <si>
    <t>Beach Wallpapers</t>
  </si>
  <si>
    <t>https://chromewebstore.google.com/detail/bcpojjdknociedamabgdfhnlhnggkpao</t>
  </si>
  <si>
    <t>Accesstrade</t>
  </si>
  <si>
    <t>https://chromewebstore.google.com/detail/bdbcimadaoejfgjpfjbddaficolnbndi</t>
  </si>
  <si>
    <t>Link Drop</t>
  </si>
  <si>
    <t>https://chromewebstore.google.com/detail/bdfpcaniedneocakpdjdpilpeinifnni</t>
  </si>
  <si>
    <t>Restricted Mode: On</t>
  </si>
  <si>
    <t>https://chromewebstore.google.com/detail/bdhobnomngglhoajcbpihfkcgkehooco</t>
  </si>
  <si>
    <t>Netfix (Netflix Ratings)</t>
  </si>
  <si>
    <t>https://chromewebstore.google.com/detail/bdihekkpnckbmgafgoedabbebpafgfci</t>
  </si>
  <si>
    <t>AppFq</t>
  </si>
  <si>
    <t>https://chromewebstore.google.com/detail/bdjfffmkdkcodfjlghbhcdfolilafbfh</t>
  </si>
  <si>
    <t>Zistemo extension</t>
  </si>
  <si>
    <t>https://chromewebstore.google.com/detail/bdjlkpmifpfahoefpjkmaiggmpbelfdi</t>
  </si>
  <si>
    <t>RSA SecurID Code Generator</t>
  </si>
  <si>
    <t>https://chromewebstore.google.com/detail/bdkphnndaejdmmbohpejmlfejfdbepap</t>
  </si>
  <si>
    <t>Sherpa RPA Browser Automation 3.0.0</t>
  </si>
  <si>
    <t>https://chromewebstore.google.com/detail/bdnlfnchnkjeempadnmcgbbkbacffobl</t>
  </si>
  <si>
    <t>World View Wallpaper Launcher</t>
  </si>
  <si>
    <t>https://chromewebstore.google.com/detail/bdnobddpgjhaenonjkngfhcknndajiia</t>
  </si>
  <si>
    <t>Easy-Watch for YouTube</t>
  </si>
  <si>
    <t>https://chromewebstore.google.com/detail/bedffgjloddeglbafbmjannpnhfhpgll</t>
  </si>
  <si>
    <t>WhatColor</t>
  </si>
  <si>
    <t>https://chromewebstore.google.com/detail/begomjapoppkfcdcaindehabfglbfkcn</t>
  </si>
  <si>
    <t>Netflix™ Search</t>
  </si>
  <si>
    <t>https://chromewebstore.google.com/detail/behokagbldghpoanekmlepofbokepphm</t>
  </si>
  <si>
    <t>UOC Notifier</t>
  </si>
  <si>
    <t>https://chromewebstore.google.com/detail/beiebnelcljchfoehaogncobmpelndgh</t>
  </si>
  <si>
    <t>LaTeX in Discord</t>
  </si>
  <si>
    <t>https://chromewebstore.google.com/detail/bejfcabcmhackmcaaclgiocgfpmpnaml</t>
  </si>
  <si>
    <t>Chrome LCT</t>
  </si>
  <si>
    <t>https://chromewebstore.google.com/detail/beoijgamapnimhdbmhllmkdpggneedim</t>
  </si>
  <si>
    <t>Noot Noot</t>
  </si>
  <si>
    <t>https://chromewebstore.google.com/detail/bfaggngoidfpnenahcenhandihppjcae</t>
  </si>
  <si>
    <t>Color Picker Pro</t>
  </si>
  <si>
    <t>https://chromewebstore.google.com/detail/bfanioaedpipgmkmmikpgpcgloipdfmh</t>
  </si>
  <si>
    <t>Bookface Companion</t>
  </si>
  <si>
    <t>https://chromewebstore.google.com/detail/bffjoheaobiobcocbgpehhegifipbbdp</t>
  </si>
  <si>
    <t>Sound and video fixes for Facebook</t>
  </si>
  <si>
    <t>https://chromewebstore.google.com/detail/bffojpajjfmkcjpdenhfdlpjdbpflpbl</t>
  </si>
  <si>
    <t>圖片裁切搜尋</t>
  </si>
  <si>
    <t>https://chromewebstore.google.com/detail/bfjhgnhnodlinoleolebajgmiebmhohb</t>
  </si>
  <si>
    <t>Uncompress Archive Files</t>
  </si>
  <si>
    <t>https://chromewebstore.google.com/detail/bfkpkealncpcbfklpgnggcgjjdkbljop</t>
  </si>
  <si>
    <t>https://chromewebstore.google.com/detail/bfpdlicnalglgniemfjmbjbadekoilpl</t>
  </si>
  <si>
    <t>Open Random Bookmarks</t>
  </si>
  <si>
    <t>https://chromewebstore.google.com/detail/bgcefofhfeebbefhdnmdlfkibdfdbbfa</t>
  </si>
  <si>
    <t>YouTube Zoomer</t>
  </si>
  <si>
    <t>https://chromewebstore.google.com/detail/bgdkkdnidmmakdgebkgaeijbfkhieejn</t>
  </si>
  <si>
    <t>SAPUI5 control Bindings Viewer</t>
  </si>
  <si>
    <t>https://chromewebstore.google.com/detail/bghnliappkdncmnadpbbnpoekbpdjabo</t>
  </si>
  <si>
    <t>Asuka.IO Whois - Domain Name Lookup Tool</t>
  </si>
  <si>
    <t>https://chromewebstore.google.com/detail/bgifibpknpdddjoopggofdldijpjfoia</t>
  </si>
  <si>
    <t>https://chromewebstore.google.com/detail/bgjkdefgpgngdhagacbeajapgnoobjig</t>
  </si>
  <si>
    <t>有道词典Chrome划词插件</t>
  </si>
  <si>
    <t>https://chromewebstore.google.com/detail/bgllbpdmpeenjbeiigkhccehncomjfbk</t>
  </si>
  <si>
    <t>Conferences i/o Live Content Slides</t>
  </si>
  <si>
    <t>https://chromewebstore.google.com/detail/bgmpfihhcbfmldalkcbeoiahkgicdcel</t>
  </si>
  <si>
    <t>Chromite Butler</t>
  </si>
  <si>
    <t>https://chromewebstore.google.com/detail/bhcnanendmgjjeghamaccjnochlnhcgj</t>
  </si>
  <si>
    <t>Show password</t>
  </si>
  <si>
    <t>https://chromewebstore.google.com/detail/bhdnhgkhmoeacgcfkokmoidaedlblgho</t>
  </si>
  <si>
    <t>Bolsonaro replace</t>
  </si>
  <si>
    <t>https://chromewebstore.google.com/detail/bhemijfniajoielladlkopmjcelomkid</t>
  </si>
  <si>
    <t>Material Design Theme for Chrome Devtools</t>
  </si>
  <si>
    <t>https://chromewebstore.google.com/detail/bhhaihcbledolbbigofbpegdbomoimfa</t>
  </si>
  <si>
    <t>Compass SCSS Editor</t>
  </si>
  <si>
    <t>https://chromewebstore.google.com/detail/bhijaejjbpempadhnnjhemfbmipaifba</t>
  </si>
  <si>
    <t>GujaratiLexicon Lookup</t>
  </si>
  <si>
    <t>https://chromewebstore.google.com/detail/bhmafcbmjdeopomnencnfogfdpdpnnnj</t>
  </si>
  <si>
    <t>TSU GPA Simulator</t>
  </si>
  <si>
    <t>https://chromewebstore.google.com/detail/bhodmelpiljpkojmfmlgjnahjlgfjaib</t>
  </si>
  <si>
    <t>Mario Kart Countdown</t>
  </si>
  <si>
    <t>https://chromewebstore.google.com/detail/bibecgleddbhkpinbldiicgldejgjbkd</t>
  </si>
  <si>
    <t>Twitter Extended</t>
  </si>
  <si>
    <t>https://chromewebstore.google.com/detail/bidcnhmidglfaojcifcjnlgeifobcdif</t>
  </si>
  <si>
    <t>GPTrue or False</t>
  </si>
  <si>
    <t>https://chromewebstore.google.com/detail/bikcfchmnacmfhneafnpfekgfhckplfj</t>
  </si>
  <si>
    <t>Todo List</t>
  </si>
  <si>
    <t>https://chromewebstore.google.com/detail/bjacddpgnmbhmgomneminogiggfiaejb</t>
  </si>
  <si>
    <t>Oliv.AI - Your AI Sales Copilot</t>
  </si>
  <si>
    <t>https://chromewebstore.google.com/detail/bjdiocojjlclafjbeafkjoifogenbbbp</t>
  </si>
  <si>
    <t>What we do here is go back (iDubbbzTV)</t>
  </si>
  <si>
    <t>https://chromewebstore.google.com/detail/bjjfdalimfoajficabmpnohabiobkean</t>
  </si>
  <si>
    <t>Padloc</t>
  </si>
  <si>
    <t>https://chromewebstore.google.com/detail/bjpblhcipjjiobljnniifeoaapgdflnc</t>
  </si>
  <si>
    <t>痞客邦 PIXNET</t>
  </si>
  <si>
    <t>https://chromewebstore.google.com/detail/bkdhpjocjklicnnmlpbipdmpmgmedbji</t>
  </si>
  <si>
    <t>Plataforma de Assinaturas</t>
  </si>
  <si>
    <t>https://chromewebstore.google.com/detail/bkehljddojdpbclnbmcglljfccedfjca</t>
  </si>
  <si>
    <t>Social Champ</t>
  </si>
  <si>
    <t>https://chromewebstore.google.com/detail/bkljmpppcfepdfokbjlocdhipammabkm</t>
  </si>
  <si>
    <t>La Bulle Elix</t>
  </si>
  <si>
    <t>https://chromewebstore.google.com/detail/bkodbojjdhggkkkncjogkdojhkfbjimi</t>
  </si>
  <si>
    <t>Insert Blurb</t>
  </si>
  <si>
    <t>https://chromewebstore.google.com/detail/bkoknijjdnlaenldjopbkngkoegfmejf</t>
  </si>
  <si>
    <t>Fast Bookmark</t>
  </si>
  <si>
    <t>https://chromewebstore.google.com/detail/bkolccbclokgkhcciikgbkcmnagimjib</t>
  </si>
  <si>
    <t>Google Translate Right Click</t>
  </si>
  <si>
    <t>https://chromewebstore.google.com/detail/blbkkgcankcmdleleianggnfooalbjof</t>
  </si>
  <si>
    <t>Mobdro Instalar Gratis</t>
  </si>
  <si>
    <t>https://chromewebstore.google.com/detail/blciobghnlpcfoidlcigdpjmbnhpfehl</t>
  </si>
  <si>
    <t>Dreamwidth Tools</t>
  </si>
  <si>
    <t>https://chromewebstore.google.com/detail/bldhncjmecnkemlfebgpehigfdbihhnd</t>
  </si>
  <si>
    <t>FDVT: Social Network Data Valuation Tool</t>
  </si>
  <si>
    <t>https://chromewebstore.google.com/detail/blednbbpnnambjaefhlocghajeohlhmh</t>
  </si>
  <si>
    <t>Nitro Type stats on race page viewer</t>
  </si>
  <si>
    <t>https://chromewebstore.google.com/detail/blimgkgjfghpffcafichipghelgmkfdj</t>
  </si>
  <si>
    <t>CSS Gradient Inspector</t>
  </si>
  <si>
    <t>https://chromewebstore.google.com/detail/blklpjonlhpakchaahdnkcjkfmccmdik</t>
  </si>
  <si>
    <t>https://chromewebstore.google.com/detail/blkniannnkeafpapkaojddhemhhcpfmf</t>
  </si>
  <si>
    <t>UMich Lecture Downloader</t>
  </si>
  <si>
    <t>https://chromewebstore.google.com/detail/blmfdgjdmdpblbiecbagjebggdemmaof</t>
  </si>
  <si>
    <t>Toolbar Clock CE-7</t>
  </si>
  <si>
    <t>https://chromewebstore.google.com/detail/blmjmiddomienmbjkijkgdohhfhclpjc</t>
  </si>
  <si>
    <t>Jdict Dictionary</t>
  </si>
  <si>
    <t>https://chromewebstore.google.com/detail/blnjglbocieoecdjeoaokjinpjonijnb</t>
  </si>
  <si>
    <t>BackLink Mass Ping</t>
  </si>
  <si>
    <t>https://chromewebstore.google.com/detail/blnkcilmabgdimopbdmbiakkphbihdjh</t>
  </si>
  <si>
    <t>eq8</t>
  </si>
  <si>
    <t>https://chromewebstore.google.com/detail/bmbhmpfeabllbfcalamkbdknkaijpkja</t>
  </si>
  <si>
    <t>AO3 First Tag Search</t>
  </si>
  <si>
    <t>https://chromewebstore.google.com/detail/bmbpikjcekglfidkmhafdelaiimbgnpa</t>
  </si>
  <si>
    <t>閲覧履歴ポップアップ検索</t>
  </si>
  <si>
    <t>https://chromewebstore.google.com/detail/bmdfiifdjojbpkeapcaipadjdhhbecod</t>
  </si>
  <si>
    <t>Textify</t>
  </si>
  <si>
    <t>https://chromewebstore.google.com/detail/bmgeoickdkceegcemaohalboegigahbg</t>
  </si>
  <si>
    <t>Helper for Google Calendar™</t>
  </si>
  <si>
    <t>https://chromewebstore.google.com/detail/bmjejnfomomknbjkohfhekplmndpannk</t>
  </si>
  <si>
    <t>Meeting Translator</t>
  </si>
  <si>
    <t>https://chromewebstore.google.com/detail/bmjgnipcbkoifojbponacejbamiooono</t>
  </si>
  <si>
    <t>MercadoLibre Más Vendidos</t>
  </si>
  <si>
    <t>https://chromewebstore.google.com/detail/bmjpjimlmmbjpmglplkahkhpebomdoed</t>
  </si>
  <si>
    <t>Ant.com antmarks addon</t>
  </si>
  <si>
    <t>https://chromewebstore.google.com/detail/bmkmojbohkkecnnhkpidldhabjbcmnkk</t>
  </si>
  <si>
    <t>Website Whitelist</t>
  </si>
  <si>
    <t>https://chromewebstore.google.com/detail/bmlipnlhfpjgmafjlnnmdkldjmebahnm</t>
  </si>
  <si>
    <t>Cashgoback.pl</t>
  </si>
  <si>
    <t>https://chromewebstore.google.com/detail/bmlmlhlmimncfjambmppgjhdnaibfmml</t>
  </si>
  <si>
    <t>SRM Autofill Feedback</t>
  </si>
  <si>
    <t>https://chromewebstore.google.com/detail/bmmmgppoenmpmodaacdolmcjfniikple</t>
  </si>
  <si>
    <t>Narwallets</t>
  </si>
  <si>
    <t>https://chromewebstore.google.com/detail/bnbmlmjhaohpobnjfifeghjmamjfolnb</t>
  </si>
  <si>
    <t>https://chromewebstore.google.com/detail/bngmobiiapgiphgfeiegibbmaoflfdoa</t>
  </si>
  <si>
    <t>https://chromewebstore.google.com/detail/bnkfdgkccidbedkfoneaajldjgagjhib</t>
  </si>
  <si>
    <t>Freshmarketer-A/B Testing &amp; Heatmap Software</t>
  </si>
  <si>
    <t>https://chromewebstore.google.com/detail/bnkifneleaknlodbdncgnpbdffngdgjo</t>
  </si>
  <si>
    <t>TL;DR - Article Summarizer</t>
  </si>
  <si>
    <t>https://chromewebstore.google.com/detail/boaaioffjhehlmgopfimcfefcpeldena</t>
  </si>
  <si>
    <t>Rainbowify</t>
  </si>
  <si>
    <t>https://chromewebstore.google.com/detail/bocbdecmflhkogddhhceceobniggkcif</t>
  </si>
  <si>
    <t>Adisyo Sipariş Kontrol</t>
  </si>
  <si>
    <t>https://chromewebstore.google.com/detail/boccnfmdebiimijohfknedojjgdofadj</t>
  </si>
  <si>
    <t>TSOW - The Settlers Online Widget</t>
  </si>
  <si>
    <t>https://chromewebstore.google.com/detail/boehebkkkfgdhfnbcgbamfeacljgcfmc</t>
  </si>
  <si>
    <t>No Bitcoin miners</t>
  </si>
  <si>
    <t>https://chromewebstore.google.com/detail/boeoabmkdhmjbbdhhocnopfkikcpdffd</t>
  </si>
  <si>
    <t>painter for workflowy.com</t>
  </si>
  <si>
    <t>https://chromewebstore.google.com/detail/boeplfofdabogkgimajcpadbnfcmkmek</t>
  </si>
  <si>
    <t>Twitch KappaPaster9000</t>
  </si>
  <si>
    <t>https://chromewebstore.google.com/detail/bohkgjccccgdimejjnihcpgmaeiekhak</t>
  </si>
  <si>
    <t>Premium.to Linkload</t>
  </si>
  <si>
    <t>https://chromewebstore.google.com/detail/boiknfoahghlfkhbaecjkfkonbepiglg</t>
  </si>
  <si>
    <t>Cookie Cutter GDPR Auto-Deny (en)</t>
  </si>
  <si>
    <t>https://chromewebstore.google.com/detail/bokkecognodebgcjcgkihiimgegipmjg</t>
  </si>
  <si>
    <t>Skynet</t>
  </si>
  <si>
    <t>https://chromewebstore.google.com/detail/bombfdlgambijdlldkmfoeeefjchbckc</t>
  </si>
  <si>
    <t>Talk Time for Google Meet</t>
  </si>
  <si>
    <t>https://chromewebstore.google.com/detail/bonlpfoeaoeadalicohkefgpkjplmfbg</t>
  </si>
  <si>
    <t>Last.fm Manual Scrobbler</t>
  </si>
  <si>
    <t>https://chromewebstore.google.com/detail/bononpbmihomjbnfaaapbbhfkifjcekn</t>
  </si>
  <si>
    <t>Meteor MiniMongo Explorer</t>
  </si>
  <si>
    <t>https://chromewebstore.google.com/detail/bpbalpgdnkieljogofnfjmgcnjcaiheg</t>
  </si>
  <si>
    <t>Untrusted Types for DevTools</t>
  </si>
  <si>
    <t>https://chromewebstore.google.com/detail/bpeblffgmddnafmnmdjohcmkbeifdlnb</t>
  </si>
  <si>
    <t>Old Gmail Emoji</t>
  </si>
  <si>
    <t>https://chromewebstore.google.com/detail/bpfgocdamegnchkjefgknhjflempicie</t>
  </si>
  <si>
    <t>Deadname-B-Gon</t>
  </si>
  <si>
    <t>https://chromewebstore.google.com/detail/bpglollfkjfopjpnhffddkpcemoicela</t>
  </si>
  <si>
    <t>Sports Heads Football</t>
  </si>
  <si>
    <t>https://chromewebstore.google.com/detail/bpgpmbeomblaiefcpfffeknlmdniphfj</t>
  </si>
  <si>
    <t>https://chromewebstore.google.com/detail/bpnbncnlmblkmeleaiaccmdikkdkicim</t>
  </si>
  <si>
    <t>Faceit pick map assistant</t>
  </si>
  <si>
    <t>https://chromewebstore.google.com/detail/bpnfacghgpkdiglphjbiebnmocfalkdi</t>
  </si>
  <si>
    <t>PM for Trello</t>
  </si>
  <si>
    <t>https://chromewebstore.google.com/detail/bpoinaajmddigpifcllncafoienemiid</t>
  </si>
  <si>
    <t>Rediff.com - India's leading portal</t>
  </si>
  <si>
    <t>https://chromewebstore.google.com/detail/bpokokggppjbfooncickjejmekbpblfa</t>
  </si>
  <si>
    <t>HushFind</t>
  </si>
  <si>
    <t>https://chromewebstore.google.com/detail/caabcffmdomgiiakbkdggeojaknnnlij</t>
  </si>
  <si>
    <t>Type Upside Down</t>
  </si>
  <si>
    <t>https://chromewebstore.google.com/detail/cabcphhhdomgkaglnbcbpglbgnilmnbj</t>
  </si>
  <si>
    <t>SonicBit</t>
  </si>
  <si>
    <t>https://chromewebstore.google.com/detail/caeebcagcpmjhlmndepapcokebchemij</t>
  </si>
  <si>
    <t>Codenames Assistant</t>
  </si>
  <si>
    <t>https://chromewebstore.google.com/detail/caeoldohbmnkpkndeephoanbkhjccgbm</t>
  </si>
  <si>
    <t>MySQL Console</t>
  </si>
  <si>
    <t>https://chromewebstore.google.com/detail/cakepohgdbjbenkcpkkacmohgfjhnjoh</t>
  </si>
  <si>
    <t>Youtube popup blocker</t>
  </si>
  <si>
    <t>https://chromewebstore.google.com/detail/calcepdepicecadfaibokdeheekbihkc</t>
  </si>
  <si>
    <t>Helpjuice: AI-Powered Search And Content Generation.</t>
  </si>
  <si>
    <t>https://chromewebstore.google.com/detail/calljomlmakockpdlhfjenbphgnngkad</t>
  </si>
  <si>
    <t>SSHY-selainlaajennus</t>
  </si>
  <si>
    <t>https://chromewebstore.google.com/detail/caomdaijfcdopklkecajpkoaiamaegkb</t>
  </si>
  <si>
    <t>WebSocket Tester</t>
  </si>
  <si>
    <t>https://chromewebstore.google.com/detail/cbacdiognkmjbknpgomnfcopaekfhnbb</t>
  </si>
  <si>
    <t>github.expandinizr</t>
  </si>
  <si>
    <t>https://chromewebstore.google.com/detail/cbehdjjcilgnejbpnjhobkiiggkedfib</t>
  </si>
  <si>
    <t>TikTok Volume</t>
  </si>
  <si>
    <t>https://chromewebstore.google.com/detail/cbeidghihnefkfenmcahlofknpfblmmh</t>
  </si>
  <si>
    <t>Taobao Search Translator</t>
  </si>
  <si>
    <t>https://chromewebstore.google.com/detail/cbjgjgbnklbncggeioecjhbichhmocgl</t>
  </si>
  <si>
    <t>Toggl Button for Custom Websites</t>
  </si>
  <si>
    <t>https://chromewebstore.google.com/detail/cblhgnnnpnonkonnfcfkfhhkoldjpdno</t>
  </si>
  <si>
    <t>Công Cụ Đặt Hàng Của Nhập Hàng Quốc Tế</t>
  </si>
  <si>
    <t>https://chromewebstore.google.com/detail/cblonpcmkamcmodcdknmpicgdohmifla</t>
  </si>
  <si>
    <t>Axel Springer Blocker (ASB) - Redux Edtion</t>
  </si>
  <si>
    <t>https://chromewebstore.google.com/detail/cbnipbdpgcncaghphljjicfgmkonflee</t>
  </si>
  <si>
    <t>ripple</t>
  </si>
  <si>
    <t>https://chromewebstore.google.com/detail/ccaddeihobjfjhpidfolokbffjnacfae</t>
  </si>
  <si>
    <t>Trump Kittens</t>
  </si>
  <si>
    <t>https://chromewebstore.google.com/detail/ccghcnenefcpjjikaalmfkafenlhagpn</t>
  </si>
  <si>
    <t>FreeSMUG Updater for Chromium (Mac)</t>
  </si>
  <si>
    <t>https://chromewebstore.google.com/detail/ccgjmadhdidfloacagcnnodbkedkjedg</t>
  </si>
  <si>
    <t>HN Special - An addition to Hacker News</t>
  </si>
  <si>
    <t>https://chromewebstore.google.com/detail/cchaceegbflphbdpfocjalgjhjoahiia</t>
  </si>
  <si>
    <t>Nudity Filter</t>
  </si>
  <si>
    <t>https://chromewebstore.google.com/detail/ccjomchggbfngggjahebgahghoomiegm</t>
  </si>
  <si>
    <t>Salesforce Security</t>
  </si>
  <si>
    <t>https://chromewebstore.google.com/detail/ccmccoifgmogllppkahijhkingoeapph</t>
  </si>
  <si>
    <t>Auction Fan</t>
  </si>
  <si>
    <t>https://chromewebstore.google.com/detail/cdbaojfiddljjlncegompgmbioggpolc</t>
  </si>
  <si>
    <t>Transnote - Video Notes for YouTube</t>
  </si>
  <si>
    <t>https://chromewebstore.google.com/detail/cdggbakccncnbjlfobchjmkjgbonmoie</t>
  </si>
  <si>
    <t>유튜브 노래방 기계 - YouTube Karaoke Toolkit</t>
  </si>
  <si>
    <t>https://chromewebstore.google.com/detail/cdgmkacahjfleahcaioegeblcoedjbka</t>
  </si>
  <si>
    <t>RSS Feed Reader</t>
  </si>
  <si>
    <t>https://chromewebstore.google.com/detail/cdlhhcmmdobckneongkkmgigcimeibpf</t>
  </si>
  <si>
    <t>Web Go Board</t>
  </si>
  <si>
    <t>https://chromewebstore.google.com/detail/cdmhoehokaoghadonjfdbhieajggfbmd</t>
  </si>
  <si>
    <t>Link Preview Sidebar</t>
  </si>
  <si>
    <t>https://chromewebstore.google.com/detail/cdnefgebicfnnnjmbnlldhfjmcblfhob</t>
  </si>
  <si>
    <t>Tradutor Rapido/Facil</t>
  </si>
  <si>
    <t>https://chromewebstore.google.com/detail/cdnndnflhhocodafnnngdioocbknhjif</t>
  </si>
  <si>
    <t>Переглядач коментарів zno.osvita.ua</t>
  </si>
  <si>
    <t>https://chromewebstore.google.com/detail/cdogmjcmhomjlbmbdjhebeolefbocicb</t>
  </si>
  <si>
    <t>Task Timer</t>
  </si>
  <si>
    <t>https://chromewebstore.google.com/detail/cdooaodgjnfoieflegemcnbgdibopbmi</t>
  </si>
  <si>
    <t>CodeWeavers User-Agent Helper</t>
  </si>
  <si>
    <t>https://chromewebstore.google.com/detail/cdpcjlkngbjmobjppajnbknpegdbnpbc</t>
  </si>
  <si>
    <t>AIS Multimonitor Extension</t>
  </si>
  <si>
    <t>https://chromewebstore.google.com/detail/cejmehdlheodojdpdidolibjkfeinabk</t>
  </si>
  <si>
    <t>Magister Auto-Login</t>
  </si>
  <si>
    <t>https://chromewebstore.google.com/detail/cekhhgcjpkahghpgeafhmkkjhidodplk</t>
  </si>
  <si>
    <t>Formalizr</t>
  </si>
  <si>
    <t>https://chromewebstore.google.com/detail/ceoiohgolheciaefomofjboicekphfmp</t>
  </si>
  <si>
    <t>Block Service Workers</t>
  </si>
  <si>
    <t>https://chromewebstore.google.com/detail/ceokjgeibfjfcboemhdpkdalankbmnej</t>
  </si>
  <si>
    <t>Open Tabs</t>
  </si>
  <si>
    <t>https://chromewebstore.google.com/detail/cepfpldhbcfaklnnldhoaahgliijehap</t>
  </si>
  <si>
    <t>Copy Link With Title</t>
  </si>
  <si>
    <t>https://chromewebstore.google.com/detail/cfbjnjeaoamknmdojhgcblkebcphmcei</t>
  </si>
  <si>
    <t>WME-JunctionAngle</t>
  </si>
  <si>
    <t>https://chromewebstore.google.com/detail/cfcpfikgmfoghjfpfepmklballeagadf</t>
  </si>
  <si>
    <t>1click Edit page</t>
  </si>
  <si>
    <t>https://chromewebstore.google.com/detail/cfdgehfjclodekbbcehjichmgbfehjeb</t>
  </si>
  <si>
    <t>FIFA 18 FB</t>
  </si>
  <si>
    <t>https://chromewebstore.google.com/detail/cffhcidaacfnglcaaegjfbbcccgappfb</t>
  </si>
  <si>
    <t>Ocean &amp; Beach Wallpapers New Tab</t>
  </si>
  <si>
    <t>https://chromewebstore.google.com/detail/cfgnolbmpghipdmhgoghhjblhmkefaga</t>
  </si>
  <si>
    <t>Outline Redirect</t>
  </si>
  <si>
    <t>https://chromewebstore.google.com/detail/cfhcklieekfbknjiejkihfglegfnngbo</t>
  </si>
  <si>
    <t>ForcePIP</t>
  </si>
  <si>
    <t>https://chromewebstore.google.com/detail/cgadklekpacccapkencnkjkiofmeipab</t>
  </si>
  <si>
    <t>Duplicate bookmarks remover</t>
  </si>
  <si>
    <t>https://chromewebstore.google.com/detail/cgcojlemehdnomhjpjagopenjklgjagp</t>
  </si>
  <si>
    <t>Unalengua IPA Translator</t>
  </si>
  <si>
    <t>https://chromewebstore.google.com/detail/cgdbpnmhhkgaaahpmgmmibiifdegidbl</t>
  </si>
  <si>
    <t>Dr.eye 翻譯</t>
  </si>
  <si>
    <t>https://chromewebstore.google.com/detail/cgljpgplnkpahengbpekcffelefngjgm</t>
  </si>
  <si>
    <t>NewTab Adapter</t>
  </si>
  <si>
    <t>https://chromewebstore.google.com/detail/cglpcedifkgalfdklahhcchnjepcckfn</t>
  </si>
  <si>
    <t>https://chromewebstore.google.com/detail/cgmcmehbapbaejkcjejdjddnbdfigegj</t>
  </si>
  <si>
    <t>Gentech - Browser Tools</t>
  </si>
  <si>
    <t>https://chromewebstore.google.com/detail/cgpcmjlbbminbhmmhodnhihbabgnbaji</t>
  </si>
  <si>
    <t>FandangoSEO Extension</t>
  </si>
  <si>
    <t>https://chromewebstore.google.com/detail/chanllebmhpihdidogiopcgfnhcmlhek</t>
  </si>
  <si>
    <t>Animal Crossing Cursor</t>
  </si>
  <si>
    <t>https://chromewebstore.google.com/detail/chbajlemiidocmkiacnflbckhelnblen</t>
  </si>
  <si>
    <t>Comment bot for IG</t>
  </si>
  <si>
    <t>https://chromewebstore.google.com/detail/chhjopjdbnjjofggpippedakmgclpfad</t>
  </si>
  <si>
    <t>IMDb Hide Episode Spoilers</t>
  </si>
  <si>
    <t>https://chromewebstore.google.com/detail/chiakepmphnoipoamanblmjmnigmgbkh</t>
  </si>
  <si>
    <t>Dice Roller</t>
  </si>
  <si>
    <t>https://chromewebstore.google.com/detail/chidgbjejnkfcgjikakacojiigjliodi</t>
  </si>
  <si>
    <t>Advanced Google Search</t>
  </si>
  <si>
    <t>https://chromewebstore.google.com/detail/chkcpeigckjajkfbjhdochlkffjdgeee</t>
  </si>
  <si>
    <t>Transcription Helper</t>
  </si>
  <si>
    <t>https://chromewebstore.google.com/detail/chmkgbchecaliljnmpkdencihbopeodo</t>
  </si>
  <si>
    <t>Bitbns Extension</t>
  </si>
  <si>
    <t>https://chromewebstore.google.com/detail/chohglfmmlfhnkloampcdmnnhnhegbfg</t>
  </si>
  <si>
    <t>Skipper - Music Mode for YouTube™</t>
  </si>
  <si>
    <t>https://chromewebstore.google.com/detail/chojffponkoboggmjpnkflkbcelacijk</t>
  </si>
  <si>
    <t>Emojiboard: Emoji Keyboard</t>
  </si>
  <si>
    <t>https://chromewebstore.google.com/detail/cideffjalolgmnlclfnonbiakkefccji</t>
  </si>
  <si>
    <t>SEO on SERPs</t>
  </si>
  <si>
    <t>https://chromewebstore.google.com/detail/cidlfjpliekkfghlodnkfeikmalghfaj</t>
  </si>
  <si>
    <t>SocialBook Checker</t>
  </si>
  <si>
    <t>https://chromewebstore.google.com/detail/cifhcgiaeoomiciokidmpnlmoomdbego</t>
  </si>
  <si>
    <t>System Performance</t>
  </si>
  <si>
    <t>https://chromewebstore.google.com/detail/cifpncnhgpcfcoknhkcflpbinkfkhapp</t>
  </si>
  <si>
    <t>LeafWallet - Easy to use EOS wallet</t>
  </si>
  <si>
    <t>https://chromewebstore.google.com/detail/cihmoadaighcejopammfbmddcmdekcje</t>
  </si>
  <si>
    <t>Free Email And Social Extractor - Growth Hunt</t>
  </si>
  <si>
    <t>https://chromewebstore.google.com/detail/ciladpeminmmpbedkmchpkalflkpmfap</t>
  </si>
  <si>
    <t>Yet Another Jenkins Notifier</t>
  </si>
  <si>
    <t>https://chromewebstore.google.com/detail/cimdjdaglanfkpfpoemjkfkmjgkmahpg</t>
  </si>
  <si>
    <t>telify</t>
  </si>
  <si>
    <t>https://chromewebstore.google.com/detail/cioaocgapbjhdiodcabjlnihjfbopafb</t>
  </si>
  <si>
    <t>Gmail 'Expand all' keyboard shortcut</t>
  </si>
  <si>
    <t>https://chromewebstore.google.com/detail/ciocgdpejlhegbegfjlfhjgjgbfcjkgb</t>
  </si>
  <si>
    <t>Cambly Enhancement Suite</t>
  </si>
  <si>
    <t>https://chromewebstore.google.com/detail/cjafgfpjmkofakmllcbggmphkpcdippo</t>
  </si>
  <si>
    <t>ORC Text Snap</t>
  </si>
  <si>
    <t>https://chromewebstore.google.com/detail/cjcbfnbbhjipgbbncobdgdpphnlalife</t>
  </si>
  <si>
    <t>ニコニコ除ニコレポ</t>
  </si>
  <si>
    <t>https://chromewebstore.google.com/detail/cjfmeecodnibclajaofkinnebeklbkjm</t>
  </si>
  <si>
    <t>Query String Values</t>
  </si>
  <si>
    <t>https://chromewebstore.google.com/detail/cjhbheckcgogpgibfjfhkofioikhpgio</t>
  </si>
  <si>
    <t>Free Website Builder</t>
  </si>
  <si>
    <t>https://chromewebstore.google.com/detail/cjiamemkhpcpfoanakhladgbflecilkf</t>
  </si>
  <si>
    <t>Chat Icon Notifier for Google Chat™</t>
  </si>
  <si>
    <t>https://chromewebstore.google.com/detail/cjkdpabnfjehhfaeoplfodlcidhelpgk</t>
  </si>
  <si>
    <t>Fancy Letters Generator</t>
  </si>
  <si>
    <t>https://chromewebstore.google.com/detail/cjkeaibliifpgaeleggmflplddpmcepp</t>
  </si>
  <si>
    <t>Quick Calculator</t>
  </si>
  <si>
    <t>https://chromewebstore.google.com/detail/cjmikoagjnmekdhcciamhppnkhhedpep</t>
  </si>
  <si>
    <t>蹊径Color</t>
  </si>
  <si>
    <t>https://chromewebstore.google.com/detail/cjpfdcohegieleppnkadalkijenkhifl</t>
  </si>
  <si>
    <t>Youtube Orange</t>
  </si>
  <si>
    <t>https://chromewebstore.google.com/detail/ckbknocdbdiplncjmmbfkoemjppabpap</t>
  </si>
  <si>
    <t>Binge!</t>
  </si>
  <si>
    <t>https://chromewebstore.google.com/detail/ckcalpgemnoejggbleepgmemacmgoofn</t>
  </si>
  <si>
    <t>One Click Salesforce Login</t>
  </si>
  <si>
    <t>https://chromewebstore.google.com/detail/ckcjggdilfimmjnjmldgbbekigobcijn</t>
  </si>
  <si>
    <t>New Tab with chrome apps</t>
  </si>
  <si>
    <t>https://chromewebstore.google.com/detail/ckcjokafpkoiijnflcpogblchhoieafj</t>
  </si>
  <si>
    <t>17Track Search</t>
  </si>
  <si>
    <t>https://chromewebstore.google.com/detail/ckfgionbnoegdmpphlnpaeklopolmgmi</t>
  </si>
  <si>
    <t>Tarot Arcana of the Day</t>
  </si>
  <si>
    <t>https://chromewebstore.google.com/detail/ckfimoadoifefijdfpapgkmkjcgnjoma</t>
  </si>
  <si>
    <t>Readable Font</t>
  </si>
  <si>
    <t>https://chromewebstore.google.com/detail/ckgoimpkejadjkjfpemacjpeimdgmdpk</t>
  </si>
  <si>
    <t>Dark Mode</t>
  </si>
  <si>
    <t>https://chromewebstore.google.com/detail/ckicbofgekmggdeifjkbekkjbbdjhnib</t>
  </si>
  <si>
    <t>恢复最近关闭的标签（列表）</t>
  </si>
  <si>
    <t>https://chromewebstore.google.com/detail/ckinindecjfimcblkaoekkgegeejniac</t>
  </si>
  <si>
    <t>The Daily Show's President Florida Man Plugin</t>
  </si>
  <si>
    <t>https://chromewebstore.google.com/detail/cklaahipljbhommdkomdkmdnceohigek</t>
  </si>
  <si>
    <t>Clear Website Session</t>
  </si>
  <si>
    <t>https://chromewebstore.google.com/detail/cklopogiapaonibagnhmannenniecpfo</t>
  </si>
  <si>
    <t>Garmin Metric Share</t>
  </si>
  <si>
    <t>https://chromewebstore.google.com/detail/cknenmongfhplkobpjjchanpiaioklpl</t>
  </si>
  <si>
    <t>Google Translate to Sinhala Non-Unicode</t>
  </si>
  <si>
    <t>https://chromewebstore.google.com/detail/ckogelgphhciinnbhkebdclmcoidbekg</t>
  </si>
  <si>
    <t>Git-Browser</t>
  </si>
  <si>
    <t>https://chromewebstore.google.com/detail/cladogmhjppclibenkdbnjcogiaifnbd</t>
  </si>
  <si>
    <t>JSHookTool</t>
  </si>
  <si>
    <t>https://chromewebstore.google.com/detail/clfpeebohelnalneibgcfhmpcbcgolin</t>
  </si>
  <si>
    <t>EasyIQ IdP – Fredensborg Kommune</t>
  </si>
  <si>
    <t>https://chromewebstore.google.com/detail/clhhhibcbbeenmjbkcibdifphmmalpko</t>
  </si>
  <si>
    <t>Pop-out Youtube</t>
  </si>
  <si>
    <t>https://chromewebstore.google.com/detail/cljcjhfckminhmagbnkjpcbdjdpkgbei</t>
  </si>
  <si>
    <t>CFCA CryptoKit.JDH Extension</t>
  </si>
  <si>
    <t>https://chromewebstore.google.com/detail/cljpbcimcfgheiodmefngjjmdjjkbjbk</t>
  </si>
  <si>
    <t>Math Equations Editor / Latex Editor</t>
  </si>
  <si>
    <t>https://chromewebstore.google.com/detail/clkkcpmigfopjeplmhkcknffcmfdpnep</t>
  </si>
  <si>
    <t>Auto Refresho</t>
  </si>
  <si>
    <t>https://chromewebstore.google.com/detail/clkkhfkadebfabfjjdfofjjlkbndpggn</t>
  </si>
  <si>
    <t>The Piratebay Forwarder</t>
  </si>
  <si>
    <t>https://chromewebstore.google.com/detail/cloklogdjmmcmimeccogjmnebmjeolhn</t>
  </si>
  <si>
    <t>Tumblr Tag</t>
  </si>
  <si>
    <t>https://chromewebstore.google.com/detail/cmbakfeanhaniakabiiabhdjkhgbbdmp</t>
  </si>
  <si>
    <t>Chirr App</t>
  </si>
  <si>
    <t>https://chromewebstore.google.com/detail/cmbconaimdngicdnbpjnjocbpkdpmfkg</t>
  </si>
  <si>
    <t>Context Menu for Google Translate (To Arabic)</t>
  </si>
  <si>
    <t>https://chromewebstore.google.com/detail/cmfimhenkhlmlihjomccicfbmcgdgiao</t>
  </si>
  <si>
    <t>AdDetector</t>
  </si>
  <si>
    <t>https://chromewebstore.google.com/detail/cmjeonfdjdekpggjkoknhhkcifnaichh</t>
  </si>
  <si>
    <t>Free Rider Dark</t>
  </si>
  <si>
    <t>https://chromewebstore.google.com/detail/cmmohgmlmfpcffoegjimbdmhoimmgbbp</t>
  </si>
  <si>
    <t>Google Map 2 Ingress Intel Map</t>
  </si>
  <si>
    <t>https://chromewebstore.google.com/detail/cmoccnblfpgoffpdefdhiikpohfcnocf</t>
  </si>
  <si>
    <t>buylow</t>
  </si>
  <si>
    <t>https://chromewebstore.google.com/detail/cmpooojaejnffgdhnmikkphomdlokdfn</t>
  </si>
  <si>
    <t>HP Instant Support</t>
  </si>
  <si>
    <t>https://chromewebstore.google.com/detail/cnajakljidldedbomhbacclcmjkldmeb</t>
  </si>
  <si>
    <t>Sleepless in System</t>
  </si>
  <si>
    <t>https://chromewebstore.google.com/detail/cnenegfehjcmoginiijjgmchcfllmmbp</t>
  </si>
  <si>
    <t>Font Changer</t>
  </si>
  <si>
    <t>https://chromewebstore.google.com/detail/cngbpbdpdeldglofjjppipdleagpefog</t>
  </si>
  <si>
    <t>Myanmar Unicode Font Converter</t>
  </si>
  <si>
    <t>https://chromewebstore.google.com/detail/cnghdgaldccbpbfbmbcocmfohpchghmp</t>
  </si>
  <si>
    <t>Google Meet Default Account</t>
  </si>
  <si>
    <t>https://chromewebstore.google.com/detail/cniopfhdifdmfkdjdjhkdkdcikomdjhb</t>
  </si>
  <si>
    <t>py3redirect</t>
  </si>
  <si>
    <t>https://chromewebstore.google.com/detail/codfjigcljdnlklcaopdciclmmdandig</t>
  </si>
  <si>
    <t>CONNECTIX Desktop sharing</t>
  </si>
  <si>
    <t>https://chromewebstore.google.com/detail/codhkppmaiogifohnenadkhgfknebede</t>
  </si>
  <si>
    <t>Pixlr Editor (Unofficial)</t>
  </si>
  <si>
    <t>https://chromewebstore.google.com/detail/coeipiaghigmcomimioddandpdlkmodf</t>
  </si>
  <si>
    <t>Netflix Rate</t>
  </si>
  <si>
    <t>https://chromewebstore.google.com/detail/cofjbfnpecflopfknbpnhhpnegbflfph</t>
  </si>
  <si>
    <t>LibertyBear</t>
  </si>
  <si>
    <t>https://chromewebstore.google.com/detail/coinegbkpholhpicoglgamehmcogoagj</t>
  </si>
  <si>
    <t>Autoscroll</t>
  </si>
  <si>
    <t>https://chromewebstore.google.com/detail/cokfegjeoaflhjkloplfpjgnmlhbfkhp</t>
  </si>
  <si>
    <t>Portico</t>
  </si>
  <si>
    <t>https://chromewebstore.google.com/detail/cokhnhncmlppfllhhkkofddbjbekhfdg</t>
  </si>
  <si>
    <t>ShuffleFlix - Netflix Random Episode Button</t>
  </si>
  <si>
    <t>https://chromewebstore.google.com/detail/copfkimibpnfpdggfjencnehgfgmpphf</t>
  </si>
  <si>
    <t>Salty Finder</t>
  </si>
  <si>
    <t>https://chromewebstore.google.com/detail/copocnlfmefhjhcpnciembhppkkaoagi</t>
  </si>
  <si>
    <t>Sonarr Connect</t>
  </si>
  <si>
    <t>https://chromewebstore.google.com/detail/cpcjkmdojedpmkphagkgiclgnhinlgib</t>
  </si>
  <si>
    <t>TikTok Volume Buddy</t>
  </si>
  <si>
    <t>https://chromewebstore.google.com/detail/cpclgpmoofkhnkknhcpoajpeoliceijp</t>
  </si>
  <si>
    <t>Prod — Block Distractions. Reach your Goals</t>
  </si>
  <si>
    <t>https://chromewebstore.google.com/detail/cpelgckpifnonijeenjbaglajimalpcl</t>
  </si>
  <si>
    <t>Thesaurus.net Extension</t>
  </si>
  <si>
    <t>https://chromewebstore.google.com/detail/cphhoddmaaeajckodfdgnemocnhakjgm</t>
  </si>
  <si>
    <t>Travian Launch Tool (2018)</t>
  </si>
  <si>
    <t>https://chromewebstore.google.com/detail/cpigdkangjnkklibdlchieadcpjoejkj</t>
  </si>
  <si>
    <t>WMS Map Viewer on line</t>
  </si>
  <si>
    <t>https://chromewebstore.google.com/detail/cpiokkjcjgiabafjancfgfdogefnihpk</t>
  </si>
  <si>
    <t>Popuplike-window Translator</t>
  </si>
  <si>
    <t>https://chromewebstore.google.com/detail/cpjhngnhhedcghjdkaedfolldmpgnmeo</t>
  </si>
  <si>
    <t>Cloud Gaming Lister</t>
  </si>
  <si>
    <t>https://chromewebstore.google.com/detail/cpmaennmoijiboghaekpledlgbojhdml</t>
  </si>
  <si>
    <t>SnapGuide</t>
  </si>
  <si>
    <t>https://chromewebstore.google.com/detail/cpmeolfjcjhjgkimkdcgcddndmjndomh</t>
  </si>
  <si>
    <t>Formik Devtools</t>
  </si>
  <si>
    <t>https://chromewebstore.google.com/detail/dadeefbkfcpaeacnafgceahcpjlfmmjj</t>
  </si>
  <si>
    <t>LeetCode Buddy</t>
  </si>
  <si>
    <t>https://chromewebstore.google.com/detail/daeplkffffccbejlgacmhpebchpjbfjg</t>
  </si>
  <si>
    <t>Uppercase Converter</t>
  </si>
  <si>
    <t>https://chromewebstore.google.com/detail/dagidpehkckgpfofognpoofhkggmgdfk</t>
  </si>
  <si>
    <t>TikTok Analytics</t>
  </si>
  <si>
    <t>https://chromewebstore.google.com/detail/dagmcoabdpmhjgeblonjckiiclckagml</t>
  </si>
  <si>
    <t>Cupcake</t>
  </si>
  <si>
    <t>https://chromewebstore.google.com/detail/dajjbehmbnbppjkcnpdkaniapgdppdnc</t>
  </si>
  <si>
    <t>Power BI Real-Time Slideshow</t>
  </si>
  <si>
    <t>https://chromewebstore.google.com/detail/dajmfhbgodeengcbfmcacmhmcimpmhpe</t>
  </si>
  <si>
    <t>MBC mini</t>
  </si>
  <si>
    <t>https://chromewebstore.google.com/detail/dalehmcdidakgnpdpkaghldkpfdanmkg</t>
  </si>
  <si>
    <t>Center images</t>
  </si>
  <si>
    <t>https://chromewebstore.google.com/detail/damadkdlkdhpeeehnobhpeifjnmfkkjg</t>
  </si>
  <si>
    <t>勺子</t>
  </si>
  <si>
    <t>https://chromewebstore.google.com/detail/damdbfbghmpboiodfhgpbbllaogobebk</t>
  </si>
  <si>
    <t>KeyWords</t>
  </si>
  <si>
    <t>https://chromewebstore.google.com/detail/danngdojdnkpienljijhcpjpdmaonmhj</t>
  </si>
  <si>
    <t>Simple Night Mode</t>
  </si>
  <si>
    <t>https://chromewebstore.google.com/detail/daogheeomfnjjbabmnmgpbhmamegpbaj</t>
  </si>
  <si>
    <t>Simple RAM Info</t>
  </si>
  <si>
    <t>https://chromewebstore.google.com/detail/dbdlfjheiknjgnnhknninniobeeeknko</t>
  </si>
  <si>
    <t>HACG Helper</t>
  </si>
  <si>
    <t>https://chromewebstore.google.com/detail/dbeimogjdfidnefggcfckkdfbdfkjdgi</t>
  </si>
  <si>
    <t>電商印單小幫手</t>
  </si>
  <si>
    <t>https://chromewebstore.google.com/detail/dbgbpfefnifpdkieggikljahlmmbdial</t>
  </si>
  <si>
    <t>code runner</t>
  </si>
  <si>
    <t>https://chromewebstore.google.com/detail/dbhlmjpfacmmmplcebbhgbofbckhmpbj</t>
  </si>
  <si>
    <t>Image Uploader</t>
  </si>
  <si>
    <t>https://chromewebstore.google.com/detail/dbkahggfkedkmjdijpffegkbikbigpfk</t>
  </si>
  <si>
    <t>Free Online Games - Play-on-line.co.uk</t>
  </si>
  <si>
    <t>https://chromewebstore.google.com/detail/dbmcgjnggajepgimockjbbaognflkchd</t>
  </si>
  <si>
    <t>Export Qlik Sense QMC tables as CSV</t>
  </si>
  <si>
    <t>https://chromewebstore.google.com/detail/dbnjjihpapafmihpnionckfipbmalhko</t>
  </si>
  <si>
    <t>Daraz Toolkit</t>
  </si>
  <si>
    <t>https://chromewebstore.google.com/detail/dbphjkhbhnbcbgmokephnhfegbbeamcg</t>
  </si>
  <si>
    <t>Twitter Timer</t>
  </si>
  <si>
    <t>https://chromewebstore.google.com/detail/dbpliifabeopadfiaejlchjmdonpgdne</t>
  </si>
  <si>
    <t>KeepUp</t>
  </si>
  <si>
    <t>https://chromewebstore.google.com/detail/dcbfokdljpjjopdbceockgcdaljljbjn</t>
  </si>
  <si>
    <t>Recruiter Wand</t>
  </si>
  <si>
    <t>https://chromewebstore.google.com/detail/dcdgjlpdmbmempjdkbkgdelpaabiefjk</t>
  </si>
  <si>
    <t>Copy Element ID</t>
  </si>
  <si>
    <t>https://chromewebstore.google.com/detail/dcfemdjbmeighenpckbkmjbiamhbmafp</t>
  </si>
  <si>
    <t>WinTask x64</t>
  </si>
  <si>
    <t>https://chromewebstore.google.com/detail/dcgokppmeijgohpfplahjchiiaelhild</t>
  </si>
  <si>
    <t>Anime/Cartoon Direct Link Extension.</t>
  </si>
  <si>
    <t>https://chromewebstore.google.com/detail/dcipbhpdbjjkioehjlbnkgffcfhlckig</t>
  </si>
  <si>
    <t>German Umlauts (US alt)</t>
  </si>
  <si>
    <t>https://chromewebstore.google.com/detail/dcjgejipfcngnonhafmookfalhigjlga</t>
  </si>
  <si>
    <t>Automatic 4K/HD for Youtube</t>
  </si>
  <si>
    <t>https://chromewebstore.google.com/detail/dclmmkinjdaochjinbhanlipdpmkdhfb</t>
  </si>
  <si>
    <t>Net Usage Extension</t>
  </si>
  <si>
    <t>https://chromewebstore.google.com/detail/dcoehgalcmebfjgkbhbpllfhjcclkjan</t>
  </si>
  <si>
    <t>Reservio - Scheduling &amp; Online Booking</t>
  </si>
  <si>
    <t>https://chromewebstore.google.com/detail/dcplnjefdiofhkgfbinbafljcehmacaa</t>
  </si>
  <si>
    <t>Cool Addicting Math Games</t>
  </si>
  <si>
    <t>https://chromewebstore.google.com/detail/ddcbpgaonefnjcnikdkbbdfgcgnpbndd</t>
  </si>
  <si>
    <t>Instant Smart Quotes</t>
  </si>
  <si>
    <t>https://chromewebstore.google.com/detail/dddflkfjemblhfmjdlmmilapbkdaabcj</t>
  </si>
  <si>
    <t>MultiLinks Shortcut</t>
  </si>
  <si>
    <t>https://chromewebstore.google.com/detail/ddfoagnhebpbidjkganhgninciiecgon</t>
  </si>
  <si>
    <t>Smart Tab Saver</t>
  </si>
  <si>
    <t>https://chromewebstore.google.com/detail/ddgaamifhjnehgppihfdbbddfemfnmhn</t>
  </si>
  <si>
    <t>Tab Hibernation</t>
  </si>
  <si>
    <t>https://chromewebstore.google.com/detail/ddklinnhageaolpojclheieamdiphabe</t>
  </si>
  <si>
    <t>Idioms and Phrases</t>
  </si>
  <si>
    <t>https://chromewebstore.google.com/detail/ddmdooeeiphjmbcoaonbbkcadneggphh</t>
  </si>
  <si>
    <t>Wheebox RPaaS</t>
  </si>
  <si>
    <t>https://chromewebstore.google.com/detail/ddmgdlhnpkmkppobaalgnjbgogaabhlh</t>
  </si>
  <si>
    <t>StudEaz for Google Classroom</t>
  </si>
  <si>
    <t>https://chromewebstore.google.com/detail/ddmpckcmhpnpgfcgfgeklphbbigknjgf</t>
  </si>
  <si>
    <t>Test My Speed Pro</t>
  </si>
  <si>
    <t>https://chromewebstore.google.com/detail/ddnokpehgkphddjdmohgjdnnbbjdobia</t>
  </si>
  <si>
    <t>Backpack Assistant</t>
  </si>
  <si>
    <t>https://chromewebstore.google.com/detail/debfefmfahocmpjephpmplljfmjjadml</t>
  </si>
  <si>
    <t>refresh-it</t>
  </si>
  <si>
    <t>https://chromewebstore.google.com/detail/decaoenopoahbdpmpmkmmgfmgcaadpee</t>
  </si>
  <si>
    <t>Speed Up Browsing</t>
  </si>
  <si>
    <t>https://chromewebstore.google.com/detail/dedbgebcenangidjnfanjpohlepjpfak</t>
  </si>
  <si>
    <t>Opt Out - send GDPR and CCPA data requests</t>
  </si>
  <si>
    <t>https://chromewebstore.google.com/detail/dedldhojjkgbejnmmfpmbnbihmmpfbpd</t>
  </si>
  <si>
    <t>Copymessage</t>
  </si>
  <si>
    <t>https://chromewebstore.google.com/detail/defgpmhdcccigmoohcmoeokjplaklfne</t>
  </si>
  <si>
    <t>Learning Languages with Texts in your Content</t>
  </si>
  <si>
    <t>https://chromewebstore.google.com/detail/degdjdhdlmnkeccfcpepfobgpjaphbee</t>
  </si>
  <si>
    <t>Grey Scrollbar with buttons</t>
  </si>
  <si>
    <t>https://chromewebstore.google.com/detail/delbmlkicoecjgfkhlpojijdpfeagjcd</t>
  </si>
  <si>
    <t>Symfony2 Profiler shortcut</t>
  </si>
  <si>
    <t>https://chromewebstore.google.com/detail/denlhphadllhcolhlbbbjmhkgbknmmon</t>
  </si>
  <si>
    <t>Apple Shooter</t>
  </si>
  <si>
    <t>https://chromewebstore.google.com/detail/depjbcindpehnakoaonigpebgphbpang</t>
  </si>
  <si>
    <t>Youglish Video Search</t>
  </si>
  <si>
    <t>https://chromewebstore.google.com/detail/dfafggejpfoflelimhkpdfnodlccgfja</t>
  </si>
  <si>
    <t>Thoughtful Tab</t>
  </si>
  <si>
    <t>https://chromewebstore.google.com/detail/dfdpnfjofanhigifgpfjjheeohdofnjm</t>
  </si>
  <si>
    <t>Indian Newspapers</t>
  </si>
  <si>
    <t>https://chromewebstore.google.com/detail/dfheomfpopjjlmhdhlodbahiemdmhbma</t>
  </si>
  <si>
    <t>Tabbie : easy tab viewer</t>
  </si>
  <si>
    <t>https://chromewebstore.google.com/detail/dfklamfdbffkjofhkeeclclpcpejoaaf</t>
  </si>
  <si>
    <t>QR Code Generator</t>
  </si>
  <si>
    <t>https://chromewebstore.google.com/detail/dfncpmlchoghcaleajocnbgnffdkpeia</t>
  </si>
  <si>
    <t>Turtl</t>
  </si>
  <si>
    <t>https://chromewebstore.google.com/detail/dgcojenhfdjhieoglmiaheihjadlpcml</t>
  </si>
  <si>
    <t>Reddit Enhancements Lite (RELite)</t>
  </si>
  <si>
    <t>https://chromewebstore.google.com/detail/dgdholpcdmhcmpceilhebneggabenide</t>
  </si>
  <si>
    <t>Wayback Images</t>
  </si>
  <si>
    <t>https://chromewebstore.google.com/detail/dgemigkanhiejpcmhimojfmanolcpcgp</t>
  </si>
  <si>
    <t>Block Reddit</t>
  </si>
  <si>
    <t>https://chromewebstore.google.com/detail/dghpifbabagfbmekemjgccimackjiljp</t>
  </si>
  <si>
    <t>FossaGuard: Encrypt Gmail with S/MIME</t>
  </si>
  <si>
    <t>https://chromewebstore.google.com/detail/dgieialkiekjbocjiekgghpkggjppnfe</t>
  </si>
  <si>
    <t>Multi Sözlük</t>
  </si>
  <si>
    <t>https://chromewebstore.google.com/detail/dgjbiomnpnpdickhihabccnbhpipddch</t>
  </si>
  <si>
    <t>Awesome Bookmarks Button</t>
  </si>
  <si>
    <t>https://chromewebstore.google.com/detail/dgkaehmmlnblfmmpdebmhjieffcjjjph</t>
  </si>
  <si>
    <t>History Blacklist</t>
  </si>
  <si>
    <t>https://chromewebstore.google.com/detail/dglhdhjfhaikplcgklplalmejcahjheo</t>
  </si>
  <si>
    <t>Ancestry Match Downloader</t>
  </si>
  <si>
    <t>https://chromewebstore.google.com/detail/dhdiikochehiidnbdfmfnebddanneebf</t>
  </si>
  <si>
    <t>Shop Assistant</t>
  </si>
  <si>
    <t>https://chromewebstore.google.com/detail/dhejanhdgniddchmpmlbincglfhihipj</t>
  </si>
  <si>
    <t>StumbleUponAwesome</t>
  </si>
  <si>
    <t>https://chromewebstore.google.com/detail/dhfmgppomdaagdcbpccdfjpopgikcdge</t>
  </si>
  <si>
    <t>PocketInformant Web</t>
  </si>
  <si>
    <t>https://chromewebstore.google.com/detail/dhgccdmhjimfkkolkndajocgdfgphaik</t>
  </si>
  <si>
    <t>washing machine</t>
  </si>
  <si>
    <t>https://chromewebstore.google.com/detail/dhijppimaboapijfjocmmephlbbfpcil</t>
  </si>
  <si>
    <t>Keyword Modifier</t>
  </si>
  <si>
    <t>https://chromewebstore.google.com/detail/dhpaponoajbgfahgmcbchndpjbooapog</t>
  </si>
  <si>
    <t>UoL Coursera Grades</t>
  </si>
  <si>
    <t>https://chromewebstore.google.com/detail/dhpmaakdfkbiagigolpmjdiancfhhick</t>
  </si>
  <si>
    <t>Background Notification Sound</t>
  </si>
  <si>
    <t>https://chromewebstore.google.com/detail/diadblmpfmoecighhdmalpahghimodil</t>
  </si>
  <si>
    <t>Vocabulary.com Enhancer</t>
  </si>
  <si>
    <t>https://chromewebstore.google.com/detail/diddacjdgklfjgnlmknacnakjcgdiegn</t>
  </si>
  <si>
    <t>Petal Cite Web Importer</t>
  </si>
  <si>
    <t>https://chromewebstore.google.com/detail/dikbfpemggjmcidjecbjgbikghaaigei</t>
  </si>
  <si>
    <t>Video Playback Extension</t>
  </si>
  <si>
    <t>https://chromewebstore.google.com/detail/dilncfnkialpgbnpcjmghnepnankdibk</t>
  </si>
  <si>
    <t>Link Text Color</t>
  </si>
  <si>
    <t>https://chromewebstore.google.com/detail/djajcdbelhandnaichcbohaoefndhnde</t>
  </si>
  <si>
    <t>YouTube Window Player</t>
  </si>
  <si>
    <t>https://chromewebstore.google.com/detail/djcblfigljldnidihnfjmpcbfhflhfan</t>
  </si>
  <si>
    <t>CFCA CertEnrollment.CNCE Extension</t>
  </si>
  <si>
    <t>https://chromewebstore.google.com/detail/djedajhgcgkaeplnmplaajnnioicbaph</t>
  </si>
  <si>
    <t>Video Fullscreen</t>
  </si>
  <si>
    <t>https://chromewebstore.google.com/detail/djeeealmnenojbdmkocimooihdfjblli</t>
  </si>
  <si>
    <t>Rubrika</t>
  </si>
  <si>
    <t>https://chromewebstore.google.com/detail/djfkicajooephlfmebeckinidakdichn</t>
  </si>
  <si>
    <t>Applet2Object</t>
  </si>
  <si>
    <t>https://chromewebstore.google.com/detail/djgfnbkiakemcmleeihmdngpamaknnem</t>
  </si>
  <si>
    <t>synccit for reddit</t>
  </si>
  <si>
    <t>https://chromewebstore.google.com/detail/djgggkkgpoeknlpdllmhdagbfnhaigmd</t>
  </si>
  <si>
    <t>MuteTab B E T A</t>
  </si>
  <si>
    <t>https://chromewebstore.google.com/detail/djiagjcjenpnblipghgnefmcflecpbgf</t>
  </si>
  <si>
    <t>ExpandCart AliExpress Integration</t>
  </si>
  <si>
    <t>https://chromewebstore.google.com/detail/djkgogfdadkjljaplcgigkcoofhikcke</t>
  </si>
  <si>
    <t>Paper To Audio</t>
  </si>
  <si>
    <t>https://chromewebstore.google.com/detail/djncfliejhhejjgbhcopflpnlaeicnco</t>
  </si>
  <si>
    <t>SlabWatch - Show eBay Best Offer Prices</t>
  </si>
  <si>
    <t>https://chromewebstore.google.com/detail/djnkjimeimidbimfhoidjhfahoooinpb</t>
  </si>
  <si>
    <t>FreshPortlet — NetSuite Portlet Refresher</t>
  </si>
  <si>
    <t>https://chromewebstore.google.com/detail/djphbeeppdbbljolikpmhcjbodaakanh</t>
  </si>
  <si>
    <t>Superposition helper</t>
  </si>
  <si>
    <t>https://chromewebstore.google.com/detail/dkabagejkcmeakglamklmcloggfpbfgi</t>
  </si>
  <si>
    <t>it is i the frenchiest fry meme from tumblr</t>
  </si>
  <si>
    <t>https://chromewebstore.google.com/detail/dkcjgidbeidhfhhmkfkeochcimlldonb</t>
  </si>
  <si>
    <t>https://chromewebstore.google.com/detail/dkfmhaejojhbiclnpdgaadhfaocpgdko</t>
  </si>
  <si>
    <t>parg.co URL shortener</t>
  </si>
  <si>
    <t>https://chromewebstore.google.com/detail/dkgihhapedpklhoilhcfbjcpmfggjbkc</t>
  </si>
  <si>
    <t>Sitemap Parser</t>
  </si>
  <si>
    <t>https://chromewebstore.google.com/detail/dkifegcdocfkajdmngcklhppafbcddif</t>
  </si>
  <si>
    <t>Github Comment Tracker</t>
  </si>
  <si>
    <t>https://chromewebstore.google.com/detail/dkjmlcpmijiiejngafklkleghnaiabpa</t>
  </si>
  <si>
    <t>MZ Extension (powered by Luminus)</t>
  </si>
  <si>
    <t>https://chromewebstore.google.com/detail/dkmhhddfoojmodcjegnnnjamdbmpcnmb</t>
  </si>
  <si>
    <t>다음지도 드래그 검색</t>
  </si>
  <si>
    <t>https://chromewebstore.google.com/detail/dkpcolmjlollbpbimgmepckpaccecopn</t>
  </si>
  <si>
    <t>DPI Calculator</t>
  </si>
  <si>
    <t>https://chromewebstore.google.com/detail/dldofgjemhkpilajnlenfijjpkabilcg</t>
  </si>
  <si>
    <t>Convertiser Editor</t>
  </si>
  <si>
    <t>https://chromewebstore.google.com/detail/dlfcemjcmnnpogmjnnafohammmpibmbi</t>
  </si>
  <si>
    <t>Tab Roulette</t>
  </si>
  <si>
    <t>https://chromewebstore.google.com/detail/dlgdimppibbgkjbhnfbkgbfgiclmjlch</t>
  </si>
  <si>
    <t>Letterboxd Movie Assistant</t>
  </si>
  <si>
    <t>https://chromewebstore.google.com/detail/dlicmihnogpoemhcegbnhbmncbkoidjo</t>
  </si>
  <si>
    <t>Lasso Bookmark Manager</t>
  </si>
  <si>
    <t>https://chromewebstore.google.com/detail/dljbdgkjfpffemlhefcdiijoflfjaefg</t>
  </si>
  <si>
    <t>WebSMS</t>
  </si>
  <si>
    <t>https://chromewebstore.google.com/detail/dlkemlgapokpjaccplkmkompccipfebk</t>
  </si>
  <si>
    <t>Do a barrel roll !</t>
  </si>
  <si>
    <t>https://chromewebstore.google.com/detail/dllhciipngnohldkbodngekegcdagbkc</t>
  </si>
  <si>
    <t>Blogely content marketing software</t>
  </si>
  <si>
    <t>https://chromewebstore.google.com/detail/dlnfnioimbgnhpceafnlaibifahminfg</t>
  </si>
  <si>
    <t>Radio-en-Direct.com</t>
  </si>
  <si>
    <t>https://chromewebstore.google.com/detail/dloekpblllffjpoobikajdlphggaohhe</t>
  </si>
  <si>
    <t>VTOP 2.0 for VIT Bhopal</t>
  </si>
  <si>
    <t>https://chromewebstore.google.com/detail/dmdohjmncfnhndjkhdffbidhaamaidgn</t>
  </si>
  <si>
    <t>网易云音乐辅助</t>
  </si>
  <si>
    <t>https://chromewebstore.google.com/detail/dmidlfboljckpijkmbmolidjimmfelho</t>
  </si>
  <si>
    <t>Disable Scrolling</t>
  </si>
  <si>
    <t>https://chromewebstore.google.com/detail/dmjigjnpimhlighaibpchommlmnlkmlg</t>
  </si>
  <si>
    <t>OnlinePBX</t>
  </si>
  <si>
    <t>https://chromewebstore.google.com/detail/dmkgnplakajhockogacednagkhjebdjn</t>
  </si>
  <si>
    <t>Brawl Stars Cursor</t>
  </si>
  <si>
    <t>https://chromewebstore.google.com/detail/dmkppekepjiecneipdlmlmhjbgipelaf</t>
  </si>
  <si>
    <t>FATREL - NoFollow Link Highlighter</t>
  </si>
  <si>
    <t>https://chromewebstore.google.com/detail/dmlghogjfjkooapjegmljhnlmiemejib</t>
  </si>
  <si>
    <t>Ship.Cars Dispatch PDF Extension</t>
  </si>
  <si>
    <t>https://chromewebstore.google.com/detail/dmpjiaifmhmnbbphkchdpjejooggcdem</t>
  </si>
  <si>
    <t>Sorting Social</t>
  </si>
  <si>
    <t>https://chromewebstore.google.com/detail/dnccjkaeaicfdeaadjeddpkicfnpgeej</t>
  </si>
  <si>
    <t>PwdHash port</t>
  </si>
  <si>
    <t>https://chromewebstore.google.com/detail/dnfmcfhnhnpoehjoommondmlmhdoonca</t>
  </si>
  <si>
    <t>Bluhell Firewall</t>
  </si>
  <si>
    <t>https://chromewebstore.google.com/detail/dngkgadjlbflkjdimhifphmefijcelem</t>
  </si>
  <si>
    <t>TwitterImageDownloader</t>
  </si>
  <si>
    <t>https://chromewebstore.google.com/detail/dnhmnoiaabdhoelhlalgcfpolakhaemp</t>
  </si>
  <si>
    <t>Galaxy Patrol</t>
  </si>
  <si>
    <t>https://chromewebstore.google.com/detail/dninnbjpndbbfdhhhcbhiojiecbcgddd</t>
  </si>
  <si>
    <t>Reddit Deduplicator</t>
  </si>
  <si>
    <t>https://chromewebstore.google.com/detail/dnnbdjbnhfojinfmmiiehamhkheifbbg</t>
  </si>
  <si>
    <t>TAYL - Let me read that for you</t>
  </si>
  <si>
    <t>https://chromewebstore.google.com/detail/dnnlphagnbdccldakkjehjdideaobidd</t>
  </si>
  <si>
    <t>Merch Advanced Analytics</t>
  </si>
  <si>
    <t>https://chromewebstore.google.com/detail/dnoeippmocfhleigngbdncdiaiehjaff</t>
  </si>
  <si>
    <t>Export to Markdown</t>
  </si>
  <si>
    <t>https://chromewebstore.google.com/detail/dodkihcbgpjblncjahodbnlgkkflliim</t>
  </si>
  <si>
    <t>Custom Hotkeys</t>
  </si>
  <si>
    <t>https://chromewebstore.google.com/detail/dogblfnfkmjolfcbpgfkhpaahocjhkbk</t>
  </si>
  <si>
    <t>Undirect</t>
  </si>
  <si>
    <t>https://chromewebstore.google.com/detail/dohbiijnjeiejifbgfdhfknogknkglio</t>
  </si>
  <si>
    <t>BWNT - New Tab</t>
  </si>
  <si>
    <t>https://chromewebstore.google.com/detail/doiinciigjmmlnbehjjjkeoamihggkba</t>
  </si>
  <si>
    <t>Ayar Font Tool</t>
  </si>
  <si>
    <t>https://chromewebstore.google.com/detail/doiohphjkpgbokbfkbmhgdbpldndbmld</t>
  </si>
  <si>
    <t>CircleLoop</t>
  </si>
  <si>
    <t>https://chromewebstore.google.com/detail/doipekboknichhfnjfpcpdiidckbblme</t>
  </si>
  <si>
    <t>Pushline: PC/Mac Desktop Notifications</t>
  </si>
  <si>
    <t>https://chromewebstore.google.com/detail/dojblmhfhjilfpkfakgfenpeoajdomkj</t>
  </si>
  <si>
    <t>Bookmark Topper</t>
  </si>
  <si>
    <t>https://chromewebstore.google.com/detail/dojjmigcfgjcjakkdhmnkcjajbjcjnja</t>
  </si>
  <si>
    <t>Magnet Collector</t>
  </si>
  <si>
    <t>https://chromewebstore.google.com/detail/dopceadfnnahlcadkebgfacbcemhallh</t>
  </si>
  <si>
    <t>WebTrails by Avast Labs</t>
  </si>
  <si>
    <t>https://chromewebstore.google.com/detail/dpbbnpcoijgncncgkkfjibmhgaeflgaf</t>
  </si>
  <si>
    <t>Laravel Docs</t>
  </si>
  <si>
    <t>https://chromewebstore.google.com/detail/dpdkggcaadgahopbpebdlkcpkddjndee</t>
  </si>
  <si>
    <t>Links Disabler</t>
  </si>
  <si>
    <t>https://chromewebstore.google.com/detail/dpgcehldjbcfejamdkfaeoamlpjlhbig</t>
  </si>
  <si>
    <t>Bootzee Bootstrap and Less Editor</t>
  </si>
  <si>
    <t>https://chromewebstore.google.com/detail/dpgkehienimlajedknigeeiigiebpifa</t>
  </si>
  <si>
    <t>Fast Duplicate Tab Closer</t>
  </si>
  <si>
    <t>https://chromewebstore.google.com/detail/dpgkjbmiapibpdjnnoalnlkcmeepocak</t>
  </si>
  <si>
    <t>京推推京东小助手</t>
  </si>
  <si>
    <t>https://chromewebstore.google.com/detail/dpgoneajblildfpfabjldhhhdanlmenk</t>
  </si>
  <si>
    <t>Amazon.de Shopping Suche</t>
  </si>
  <si>
    <t>https://chromewebstore.google.com/detail/dphjjoijhepbpphpgcjpkmimbmpihlgg</t>
  </si>
  <si>
    <t>Chrome Virtual Camera</t>
  </si>
  <si>
    <t>https://chromewebstore.google.com/detail/dphplfdpilhebmikohheeiblilajfmin</t>
  </si>
  <si>
    <t>UnOfficial Fiverr Notifications</t>
  </si>
  <si>
    <t>https://chromewebstore.google.com/detail/dpiiceilamhnhfmifmopmgoncpndlppa</t>
  </si>
  <si>
    <t>SeikisoViewer</t>
  </si>
  <si>
    <t>https://chromewebstore.google.com/detail/dpjjodibolklnnnbflilekpbaddeolpe</t>
  </si>
  <si>
    <t>Красивая Новая Вкладка с Яндексом™</t>
  </si>
  <si>
    <t>https://chromewebstore.google.com/detail/dpngnogjeefnipdphklffjmcnohjdoln</t>
  </si>
  <si>
    <t>Typing Status Hider for Discord™</t>
  </si>
  <si>
    <t>https://chromewebstore.google.com/detail/dpodcjngfcnpjpmlfkiecmohpenljklc</t>
  </si>
  <si>
    <t>Faster Cooldowns</t>
  </si>
  <si>
    <t>https://chromewebstore.google.com/detail/dpoijgpgdkhmmpjijlgknkhiichmfabj</t>
  </si>
  <si>
    <t>Image Blocker EX+ 9000</t>
  </si>
  <si>
    <t>https://chromewebstore.google.com/detail/eaabjlbddgjhjfplckkiglekpmonabcm</t>
  </si>
  <si>
    <t>Analytics Tracker</t>
  </si>
  <si>
    <t>https://chromewebstore.google.com/detail/eadbjpepaobdbloeenghnbeejhbidcpa</t>
  </si>
  <si>
    <t>Буфер обмена текста</t>
  </si>
  <si>
    <t>https://chromewebstore.google.com/detail/eagjaoajkojpngcgahjbcnahlhacpdap</t>
  </si>
  <si>
    <t>Active Time</t>
  </si>
  <si>
    <t>https://chromewebstore.google.com/detail/eagkabickapieimgklfjghijlclhghhj</t>
  </si>
  <si>
    <t>WhiteList</t>
  </si>
  <si>
    <t>https://chromewebstore.google.com/detail/eajfidjagfdheejfooghbheaimkghofa</t>
  </si>
  <si>
    <t>613 Tube</t>
  </si>
  <si>
    <t>https://chromewebstore.google.com/detail/eaopblpjlkbgaadjbahmafepfegaigfb</t>
  </si>
  <si>
    <t>Hide Likes</t>
  </si>
  <si>
    <t>https://chromewebstore.google.com/detail/ebamaffgiechnomghfojkmlkaipoadni</t>
  </si>
  <si>
    <t>Monokai for Chrome</t>
  </si>
  <si>
    <t>https://chromewebstore.google.com/detail/ebanajomahnlhgbljngocmccmpelnaam</t>
  </si>
  <si>
    <t>OpenLink Data Explorer</t>
  </si>
  <si>
    <t>https://chromewebstore.google.com/detail/ebdjmjgokgjakdpigpmilfebpnfaibeb</t>
  </si>
  <si>
    <t>WiseFax</t>
  </si>
  <si>
    <t>https://chromewebstore.google.com/detail/ebdnoefbindlpognlepihpfaepalngda</t>
  </si>
  <si>
    <t>Protractor Recorder</t>
  </si>
  <si>
    <t>https://chromewebstore.google.com/detail/ebfpgeghginolinmdhlbecaahehoijlh</t>
  </si>
  <si>
    <t>Racing cars Background</t>
  </si>
  <si>
    <t>https://chromewebstore.google.com/detail/ebopmadmefafkchimikckagkfgmabbbf</t>
  </si>
  <si>
    <t>Gmail Quick Links</t>
  </si>
  <si>
    <t>https://chromewebstore.google.com/detail/ecbkcjeoffcjnppapdlncohmehhnfibd</t>
  </si>
  <si>
    <t>OnHub Authorization Helper</t>
  </si>
  <si>
    <t>https://chromewebstore.google.com/detail/ecgfhpjmkenogpckhiimbnkkmjgmdnkp</t>
  </si>
  <si>
    <t>Bold Text Generator ᐈ #201+ Fancy Text Font</t>
  </si>
  <si>
    <t>https://chromewebstore.google.com/detail/ecgmmflabkilcakdgbaipdammklpglak</t>
  </si>
  <si>
    <t>摸鱼上微信</t>
  </si>
  <si>
    <t>https://chromewebstore.google.com/detail/ecmnkaldejeaaffaehobmhapkhnicnke</t>
  </si>
  <si>
    <t>URL Shortener</t>
  </si>
  <si>
    <t>https://chromewebstore.google.com/detail/ecoljajakaeclkkcakoamigglloihgao</t>
  </si>
  <si>
    <t>Text emoticons</t>
  </si>
  <si>
    <t>https://chromewebstore.google.com/detail/edbdmlapnodebdekiekhmeokboihmong</t>
  </si>
  <si>
    <t>UwU</t>
  </si>
  <si>
    <t>https://chromewebstore.google.com/detail/edbngnhoeddnhnhppkojfememefahfgh</t>
  </si>
  <si>
    <t>Aria2c Integration</t>
  </si>
  <si>
    <t>https://chromewebstore.google.com/detail/edcakfpjaobkpdfpicldlccdffkhpbfk</t>
  </si>
  <si>
    <t>Youtube Categories</t>
  </si>
  <si>
    <t>https://chromewebstore.google.com/detail/eddhbfndofdkljemlhkldinjpbkhdpcm</t>
  </si>
  <si>
    <t>Table Data Export</t>
  </si>
  <si>
    <t>https://chromewebstore.google.com/detail/edekdaabfonaodpbggccaamfhggjggki</t>
  </si>
  <si>
    <t>Global Dark Style</t>
  </si>
  <si>
    <t>https://chromewebstore.google.com/detail/edlgnjpkhngmffcpmnebfkjcbenmbjoj</t>
  </si>
  <si>
    <t>URL MultiShortener</t>
  </si>
  <si>
    <t>https://chromewebstore.google.com/detail/edpadfdmemjdclnjfghaneencjeoncbn</t>
  </si>
  <si>
    <t>Background for Google™ Homepage and Google+</t>
  </si>
  <si>
    <t>https://chromewebstore.google.com/detail/eeajnjmemplcpcjadaihhfopcklaglpa</t>
  </si>
  <si>
    <t>maxiGramar corrector de català</t>
  </si>
  <si>
    <t>https://chromewebstore.google.com/detail/eegkpnmlimmhkpgjmacbkbbfojomaiem</t>
  </si>
  <si>
    <t>Table-of-contents-crx</t>
  </si>
  <si>
    <t>https://chromewebstore.google.com/detail/eeknhipceeelbgdbcmchicoaoalfdnhi</t>
  </si>
  <si>
    <t>C WhatsExtractor</t>
  </si>
  <si>
    <t>https://chromewebstore.google.com/detail/eelblfimbpgpdckjlpknbhclfhdhkmpb</t>
  </si>
  <si>
    <t>zRate Netflix: IMDB Ratings &amp; Show Info</t>
  </si>
  <si>
    <t>https://chromewebstore.google.com/detail/eelcmdidihggbganloigjkefaahhhanj</t>
  </si>
  <si>
    <t>recordable</t>
  </si>
  <si>
    <t>https://chromewebstore.google.com/detail/eemlmflceflimbfhcpmbpolemefajhdl</t>
  </si>
  <si>
    <t>VITTY</t>
  </si>
  <si>
    <t>https://chromewebstore.google.com/detail/eeohmkjefmpmddidkjadpifbfcplkifh</t>
  </si>
  <si>
    <t>Le Point</t>
  </si>
  <si>
    <t>https://chromewebstore.google.com/detail/eeokebplgkeahnimfjeahkngagphpjdj</t>
  </si>
  <si>
    <t>Avito AviSpy</t>
  </si>
  <si>
    <t>https://chromewebstore.google.com/detail/efailolfobgihgpfiocfladhcnclkhea</t>
  </si>
  <si>
    <t>Microsoft Teams Emojinator</t>
  </si>
  <si>
    <t>https://chromewebstore.google.com/detail/eflminelddfglcbimfpncahdiacnnegk</t>
  </si>
  <si>
    <t>45to75</t>
  </si>
  <si>
    <t>https://chromewebstore.google.com/detail/efmppndinjbljeellfdkpghgblenbcdd</t>
  </si>
  <si>
    <t>Nice Downloads!</t>
  </si>
  <si>
    <t>https://chromewebstore.google.com/detail/efnlmhjlcioaeboijgibmgepoahkegpm</t>
  </si>
  <si>
    <t>Appgenerator - kostenlos Apps erstellen</t>
  </si>
  <si>
    <t>https://chromewebstore.google.com/detail/efnmkpompmmellmbhajanpbomlklkcdd</t>
  </si>
  <si>
    <t>browse-by-netflixers</t>
  </si>
  <si>
    <t>https://chromewebstore.google.com/detail/efpojaaaadkmgcgafajaapmehnenjflp</t>
  </si>
  <si>
    <t>WA Number Checker</t>
  </si>
  <si>
    <t>https://chromewebstore.google.com/detail/egadjdfbcmohcmelgjhfkfkllljacbnp</t>
  </si>
  <si>
    <t>ALog - 在线日志分析工具</t>
  </si>
  <si>
    <t>https://chromewebstore.google.com/detail/egadmmhpngfnpmonaeekogmilahecfhp</t>
  </si>
  <si>
    <t>Path Converter</t>
  </si>
  <si>
    <t>https://chromewebstore.google.com/detail/egbgfaldpekjcbmfhbjmcafbfcdjgboe</t>
  </si>
  <si>
    <t>Latest BBC News</t>
  </si>
  <si>
    <t>https://chromewebstore.google.com/detail/egfecfbhbaljhcacmclhcddckfofckid</t>
  </si>
  <si>
    <t>ThinPrint Cloud Extension</t>
  </si>
  <si>
    <t>https://chromewebstore.google.com/detail/eghabmmdjmfhajonjhglaakpnhhfibde</t>
  </si>
  <si>
    <t>Cognizant Intelligent Test Scripter</t>
  </si>
  <si>
    <t>https://chromewebstore.google.com/detail/eghfogfdhadandcigjcccdfhlohcgljn</t>
  </si>
  <si>
    <t>Keeping – Tijdregistratie-app</t>
  </si>
  <si>
    <t>https://chromewebstore.google.com/detail/egjknjnaeififddehjalmnhjcgdepdac</t>
  </si>
  <si>
    <t>つい魚拓</t>
  </si>
  <si>
    <t>https://chromewebstore.google.com/detail/eglpmeihoibemdhnggkgolkepmofnmci</t>
  </si>
  <si>
    <t>Tab-Sidebar</t>
  </si>
  <si>
    <t>https://chromewebstore.google.com/detail/egmcoemabahnkbkfgdifiafkhebcfpfo</t>
  </si>
  <si>
    <t>Prime/TalkyTimes/Amour ChatOS chats</t>
  </si>
  <si>
    <t>https://chromewebstore.google.com/detail/egoipeajdgeadgkoejbohibgjmiabmpg</t>
  </si>
  <si>
    <t>Ember</t>
  </si>
  <si>
    <t>https://chromewebstore.google.com/detail/egpkelgmfbcppcjeefkbfemdfjljnhai</t>
  </si>
  <si>
    <t>A/B player</t>
  </si>
  <si>
    <t>https://chromewebstore.google.com/detail/ehajajfffkhkhlagpchojlakciinemfk</t>
  </si>
  <si>
    <t>Toggl - Productivity Pack</t>
  </si>
  <si>
    <t>https://chromewebstore.google.com/detail/ehdkmhgmlehnbibjhddpfelefhhniecm</t>
  </si>
  <si>
    <t>Meu Cupom Alerta</t>
  </si>
  <si>
    <t>https://chromewebstore.google.com/detail/eheapjobppkbengkdjfmjjamdohgnenp</t>
  </si>
  <si>
    <t>Gmail Checker Lite (multi-account)</t>
  </si>
  <si>
    <t>https://chromewebstore.google.com/detail/ehecgbjlfigjeeapplnmliblgpkjaeme</t>
  </si>
  <si>
    <t>Cryptocurrency Price Alert</t>
  </si>
  <si>
    <t>https://chromewebstore.google.com/detail/ehfhdfiepmimglpijcgmgclaejecmmmi</t>
  </si>
  <si>
    <t>Riot.im Screen Sharing</t>
  </si>
  <si>
    <t>https://chromewebstore.google.com/detail/ehgcnaneidbjcmblghjepmamomchgahd</t>
  </si>
  <si>
    <t>Cloud Save</t>
  </si>
  <si>
    <t>https://chromewebstore.google.com/detail/ehjiibljljecbmgpgdlkejiaadppplkp</t>
  </si>
  <si>
    <t>Remove FBclid and UTM</t>
  </si>
  <si>
    <t>https://chromewebstore.google.com/detail/ehkdoijaaigomfliimepliikhjkoipob</t>
  </si>
  <si>
    <t>Youtube Alarm Clock</t>
  </si>
  <si>
    <t>https://chromewebstore.google.com/detail/ehlpgfcbbkfhglelonfjbgkeaebomjeh</t>
  </si>
  <si>
    <t>CodeForces Calendar™</t>
  </si>
  <si>
    <t>https://chromewebstore.google.com/detail/ehmnahdmmiibcbebjafdgjlomhnommpo</t>
  </si>
  <si>
    <t>https://chromewebstore.google.com/detail/ehnhdcgdappdimjoekdckhclbbnnlaio</t>
  </si>
  <si>
    <t>Sound Cloud Replay Button</t>
  </si>
  <si>
    <t>https://chromewebstore.google.com/detail/eibjgaihfimmonjpalhfmkjbbhonhmfe</t>
  </si>
  <si>
    <t>Twitch Chat Overhaul</t>
  </si>
  <si>
    <t>https://chromewebstore.google.com/detail/eiehpdffmelfdfjpmicbacjancjlojho</t>
  </si>
  <si>
    <t>XMR.PT</t>
  </si>
  <si>
    <t>https://chromewebstore.google.com/detail/eigblbgjknlfbajkfhopmcojidlgcehm</t>
  </si>
  <si>
    <t>Upload image from clipboard or URL</t>
  </si>
  <si>
    <t>https://chromewebstore.google.com/detail/eiglgndkjiabiepkliiemoabepkkhacb</t>
  </si>
  <si>
    <t>Extension log</t>
  </si>
  <si>
    <t>https://chromewebstore.google.com/detail/eiljhbjamiikjjldhnepillceohglbjh</t>
  </si>
  <si>
    <t>https://chromewebstore.google.com/detail/eiopkgeeaokbolhdhfebipcneblkelcm</t>
  </si>
  <si>
    <t>Picas - Free Photo Editor</t>
  </si>
  <si>
    <t>https://chromewebstore.google.com/detail/eipggklihehagbhhgolojahajhapnnfa</t>
  </si>
  <si>
    <t>IPTC Photo Metadata inspector</t>
  </si>
  <si>
    <t>https://chromewebstore.google.com/detail/ejadeefikdifbfnhokdodfphhkimbelb</t>
  </si>
  <si>
    <t>TagProReplays</t>
  </si>
  <si>
    <t>https://chromewebstore.google.com/detail/ejbnakhldlocljfcglmeibhhdnmmcodh</t>
  </si>
  <si>
    <t>Raccoony WebExtension</t>
  </si>
  <si>
    <t>https://chromewebstore.google.com/detail/ejcbnfgeiphhnkmpjggnkkhnbefihelh</t>
  </si>
  <si>
    <t>ezDeFi</t>
  </si>
  <si>
    <t>https://chromewebstore.google.com/detail/ejeemacpidnaejkhpbmfkadhgjhnolaa</t>
  </si>
  <si>
    <t>Lightswitch Light for Philips Hue</t>
  </si>
  <si>
    <t>https://chromewebstore.google.com/detail/ejkhknemoeccfghmfnbpekpkndaffjjm</t>
  </si>
  <si>
    <t>Javascript Injector</t>
  </si>
  <si>
    <t>https://chromewebstore.google.com/detail/ejnccfcackblkelbafbolcpjfpcmbplg</t>
  </si>
  <si>
    <t>MyOWA:Mail</t>
  </si>
  <si>
    <t>https://chromewebstore.google.com/detail/ejpbmbkanbphaigjplbdbafkpiikdhhn</t>
  </si>
  <si>
    <t>True Captcha</t>
  </si>
  <si>
    <t>https://chromewebstore.google.com/detail/ekbpmgkfehkgcffncpghihhpblhijnbp</t>
  </si>
  <si>
    <t>minimal</t>
  </si>
  <si>
    <t>https://chromewebstore.google.com/detail/ekcdobhfchooihahjgcalnhmppadiomh</t>
  </si>
  <si>
    <t>https://chromewebstore.google.com/detail/ekdmipoabmcjmlonhcdoijilfdoomjbm</t>
  </si>
  <si>
    <t>Clickbait Killer</t>
  </si>
  <si>
    <t>https://chromewebstore.google.com/detail/ekeenfdgilfphjgpaimhingjekdnifhb</t>
  </si>
  <si>
    <t>UniPrint for Chromebooks (Enterprise)</t>
  </si>
  <si>
    <t>https://chromewebstore.google.com/detail/ekekffgghkadgjkopekbpkhccddmkioc</t>
  </si>
  <si>
    <t>Tab Glutton</t>
  </si>
  <si>
    <t>https://chromewebstore.google.com/detail/ekfmaibfpamaegficfifofnlhalkbdfm</t>
  </si>
  <si>
    <t>Scroll-O-Meter</t>
  </si>
  <si>
    <t>https://chromewebstore.google.com/detail/ekgifjamocffoikgnapdbabpaapoappn</t>
  </si>
  <si>
    <t>Gfycat Default HD</t>
  </si>
  <si>
    <t>https://chromewebstore.google.com/detail/ekiieomfkkfmficbgpkhfpcaiglihdif</t>
  </si>
  <si>
    <t>MREID Extractor For GMBs</t>
  </si>
  <si>
    <t>https://chromewebstore.google.com/detail/ekknkegilfcanmhkplgkfoefdkjmeceb</t>
  </si>
  <si>
    <t>Push Blocker</t>
  </si>
  <si>
    <t>https://chromewebstore.google.com/detail/ekljeoillbffchedponaceigjnbiffkm</t>
  </si>
  <si>
    <t>Focused Element</t>
  </si>
  <si>
    <t>https://chromewebstore.google.com/detail/elaccagjpdmjkcjogbdmcpcplfinifbh</t>
  </si>
  <si>
    <t>Rimor by Expedia</t>
  </si>
  <si>
    <t>https://chromewebstore.google.com/detail/elbfgdnahnccodkhinelmahoclapilkm</t>
  </si>
  <si>
    <t>sunglasses</t>
  </si>
  <si>
    <t>https://chromewebstore.google.com/detail/elcjekocfhomlfniihikpmbbgjdbgcoo</t>
  </si>
  <si>
    <t>Unlabelling</t>
  </si>
  <si>
    <t>https://chromewebstore.google.com/detail/eldfkpmlpefcdeafbenjhelmdiggejhg</t>
  </si>
  <si>
    <t>Easy AliExpress Review Downloader</t>
  </si>
  <si>
    <t>https://chromewebstore.google.com/detail/eldodjejjdniikjmjkboebfdocbhofdo</t>
  </si>
  <si>
    <t>Two Click Timer</t>
  </si>
  <si>
    <t>https://chromewebstore.google.com/detail/elepfidkonofgnfipndmfimgadcpncgo</t>
  </si>
  <si>
    <t>Responsive Inspector Reloaded</t>
  </si>
  <si>
    <t>https://chromewebstore.google.com/detail/elmkkpeccekaekegjhnekaolcjafnnep</t>
  </si>
  <si>
    <t>ONEX.AM</t>
  </si>
  <si>
    <t>https://chromewebstore.google.com/detail/elnfdnpcmioiblhbichaacoghdhofeei</t>
  </si>
  <si>
    <t>Annotate web pages/CONTEXT</t>
  </si>
  <si>
    <t>https://chromewebstore.google.com/detail/emajnoacacifjgmkkmheackniabamonm</t>
  </si>
  <si>
    <t>Annotate</t>
  </si>
  <si>
    <t>https://chromewebstore.google.com/detail/emakhcohiapmkipgkjelkkkfaphanjdn</t>
  </si>
  <si>
    <t>Codebattle</t>
  </si>
  <si>
    <t>https://chromewebstore.google.com/detail/embfhnfkfobkdohleknckodkmhgmpdli</t>
  </si>
  <si>
    <t>Delete History &amp; Clear Cookies</t>
  </si>
  <si>
    <t>https://chromewebstore.google.com/detail/emggakpfjmpnbhceddojakeaonegfecd</t>
  </si>
  <si>
    <t>Days Since (Days Count)</t>
  </si>
  <si>
    <t>https://chromewebstore.google.com/detail/emhhhnhbnjkilmhkiibfhjmefpipnmke</t>
  </si>
  <si>
    <t>Magiczne milisekundy FK - Plemiona.pl</t>
  </si>
  <si>
    <t>https://chromewebstore.google.com/detail/emkifbbnipjheakepkdnegemeknjmppm</t>
  </si>
  <si>
    <t>Json Viewer Editor</t>
  </si>
  <si>
    <t>https://chromewebstore.google.com/detail/emlglgogdlkgaepogbphgkdlpdlchdgg</t>
  </si>
  <si>
    <t>ESES中国至马来西亚集运代运专家 - 一键添加包裹功能 （淘宝阿里巴巴）</t>
  </si>
  <si>
    <t>https://chromewebstore.google.com/detail/emmenkmcjhjcgnjbngpaegoihmkmnhah</t>
  </si>
  <si>
    <t>steemconnect</t>
  </si>
  <si>
    <t>https://chromewebstore.google.com/detail/enaifbbcamagcjaaeeaomhofifdgpjcn</t>
  </si>
  <si>
    <t>CSS Spider</t>
  </si>
  <si>
    <t>https://chromewebstore.google.com/detail/eneakgbflmejjpkogbdmebjbfcdebjik</t>
  </si>
  <si>
    <t>Github Colabify</t>
  </si>
  <si>
    <t>https://chromewebstore.google.com/detail/enfgannencjofjonlojjahlblnjnfhon</t>
  </si>
  <si>
    <t>Appulate Weblink Toolbar</t>
  </si>
  <si>
    <t>https://chromewebstore.google.com/detail/enflemcandibjifcelngbchmjfagkkni</t>
  </si>
  <si>
    <t>VisualizeUs</t>
  </si>
  <si>
    <t>https://chromewebstore.google.com/detail/engcgfkpphndmbjmondiodpoeegkemgh</t>
  </si>
  <si>
    <t>Night Shift Pro</t>
  </si>
  <si>
    <t>https://chromewebstore.google.com/detail/enieolhifcncmplmpadiffjnnfnoelic</t>
  </si>
  <si>
    <t>Browser Video Tuner</t>
  </si>
  <si>
    <t>https://chromewebstore.google.com/detail/enlkmhjigjnkjhocdnakhnabohfpdbag</t>
  </si>
  <si>
    <t>Tab Preview Board</t>
  </si>
  <si>
    <t>https://chromewebstore.google.com/detail/ennkgpoidlcphlccokdocigfibidmccj</t>
  </si>
  <si>
    <t>Social Birthdays Export</t>
  </si>
  <si>
    <t>https://chromewebstore.google.com/detail/enpcedkgdcblopaldlgcajgebojbnhao</t>
  </si>
  <si>
    <t>Google Tag Manager Blocker</t>
  </si>
  <si>
    <t>https://chromewebstore.google.com/detail/enpcfefpndigimneblibaglgcgjkedfn</t>
  </si>
  <si>
    <t>Crunchyroll Intro Skipper</t>
  </si>
  <si>
    <t>https://chromewebstore.google.com/detail/enphflaephhmabkpchhgkhkfcblbhiip</t>
  </si>
  <si>
    <t>Battlelog Servers Blacklist</t>
  </si>
  <si>
    <t>https://chromewebstore.google.com/detail/eobkbhboppfebolebbcbbigmbfmflmcf</t>
  </si>
  <si>
    <t>Easy AliExpress Order Exporter</t>
  </si>
  <si>
    <t>https://chromewebstore.google.com/detail/eobkkmbgipjpjimcffmjpfdpnekaoiom</t>
  </si>
  <si>
    <t>SocialBook - YouTube Builder</t>
  </si>
  <si>
    <t>https://chromewebstore.google.com/detail/eoeaennjgmgjmmpaellcjmjalpokgdee</t>
  </si>
  <si>
    <t>HihiBox</t>
  </si>
  <si>
    <t>https://chromewebstore.google.com/detail/eoiappopphdcceickjphgaaidacdkidi</t>
  </si>
  <si>
    <t>Search and Highlight</t>
  </si>
  <si>
    <t>https://chromewebstore.google.com/detail/eonkdmekioejmbllcbkjepialcifflfo</t>
  </si>
  <si>
    <t>1click Pause History</t>
  </si>
  <si>
    <t>https://chromewebstore.google.com/detail/eooofainekcepemamfmcbcjkppcmoome</t>
  </si>
  <si>
    <t>Image gallery</t>
  </si>
  <si>
    <t>https://chromewebstore.google.com/detail/eopjpiaipnhmamienhcdapckoojoiacm</t>
  </si>
  <si>
    <t>qSEO - Meta SEO Site Tool</t>
  </si>
  <si>
    <t>https://chromewebstore.google.com/detail/epbaejhegljenbdpgnneifblnfcnbiam</t>
  </si>
  <si>
    <t>To Discord</t>
  </si>
  <si>
    <t>https://chromewebstore.google.com/detail/epcihifbffodmnbbnjgancnlodhbkhcl</t>
  </si>
  <si>
    <t>Team Casino Notes</t>
  </si>
  <si>
    <t>https://chromewebstore.google.com/detail/epcneeimefdgaaokhookbcmgeeffimdf</t>
  </si>
  <si>
    <t>Twitch Auto Points</t>
  </si>
  <si>
    <t>https://chromewebstore.google.com/detail/epdcapclkanflhcnialagecbkbpkbcbi</t>
  </si>
  <si>
    <t>Instant Mii Music</t>
  </si>
  <si>
    <t>https://chromewebstore.google.com/detail/epebmipapbkicjpjkokcmpncdjdpjidi</t>
  </si>
  <si>
    <t>Trello Bookmark</t>
  </si>
  <si>
    <t>https://chromewebstore.google.com/detail/ephoopolmejjnjkbbdcfgoohokhnekca</t>
  </si>
  <si>
    <t>HoloFuncEnhancer</t>
  </si>
  <si>
    <t>https://chromewebstore.google.com/detail/epokajiceibnoalmmjgpgljfmamlhflk</t>
  </si>
  <si>
    <t>Oath: Ad Platforms Dot Helper</t>
  </si>
  <si>
    <t>https://chromewebstore.google.com/detail/eppmoegdkngaleolkhdcdjoepijloikj</t>
  </si>
  <si>
    <t>Best of Shrek</t>
  </si>
  <si>
    <t>https://chromewebstore.google.com/detail/fabmnggpampjmglmkbojpebjbhmfflkb</t>
  </si>
  <si>
    <t>Div Highlighter</t>
  </si>
  <si>
    <t>https://chromewebstore.google.com/detail/facdmpkhcadnpcpeodngcnjjmgapfjia</t>
  </si>
  <si>
    <t>Image Collector</t>
  </si>
  <si>
    <t>https://chromewebstore.google.com/detail/facfdjdppldcgnfhdbknokkbnfhdiofl</t>
  </si>
  <si>
    <t>Fishy Buttons</t>
  </si>
  <si>
    <t>https://chromewebstore.google.com/detail/fadfgclijjcbcccnpgkbapnjbpbbicaa</t>
  </si>
  <si>
    <t>VTT Bridge</t>
  </si>
  <si>
    <t>https://chromewebstore.google.com/detail/fadncbccmelchegmlghbhpjchdmghmhh</t>
  </si>
  <si>
    <t>舒適閱讀</t>
  </si>
  <si>
    <t>https://chromewebstore.google.com/detail/fafngnnaicjaodmdeekbnboekddgiohe</t>
  </si>
  <si>
    <t>Morse Code Translator</t>
  </si>
  <si>
    <t>https://chromewebstore.google.com/detail/faiiddjaocoaiighbccojehokfaoeimk</t>
  </si>
  <si>
    <t>Crackbook Revival</t>
  </si>
  <si>
    <t>https://chromewebstore.google.com/detail/fakedinbmdjifniaepnfbplcheaecebc</t>
  </si>
  <si>
    <t>AliExpress Search by Image and Download</t>
  </si>
  <si>
    <t>https://chromewebstore.google.com/detail/faklajjdekhkmkjhdknbikcikhofompi</t>
  </si>
  <si>
    <t>GTmetrix Analyzer Plugin</t>
  </si>
  <si>
    <t>https://chromewebstore.google.com/detail/falpcgfkedoeakcmjfpfkddflaebodep</t>
  </si>
  <si>
    <t>Health and Fitness</t>
  </si>
  <si>
    <t>https://chromewebstore.google.com/detail/famfklfcpjmoicmdhakofiabnfhgllfd</t>
  </si>
  <si>
    <t>Power Cache</t>
  </si>
  <si>
    <t>https://chromewebstore.google.com/detail/famkodflhompmapangljedfdcfeligih</t>
  </si>
  <si>
    <t>ControlStadia</t>
  </si>
  <si>
    <t>https://chromewebstore.google.com/detail/faodiopjdcjfeflfmeadfkgodcbioejp</t>
  </si>
  <si>
    <t>Wordpress Themes</t>
  </si>
  <si>
    <t>https://chromewebstore.google.com/detail/faomlffijfdkplfihocejidnijnbajan</t>
  </si>
  <si>
    <t>Guokr功能扩展</t>
  </si>
  <si>
    <t>https://chromewebstore.google.com/detail/fapnehnahcpolcofaadoopejcmfidffc</t>
  </si>
  <si>
    <t>Css Playground and Dom Tree</t>
  </si>
  <si>
    <t>https://chromewebstore.google.com/detail/fbdbnlmganadmogpnpceofkilanfolni</t>
  </si>
  <si>
    <t>YouLoop</t>
  </si>
  <si>
    <t>https://chromewebstore.google.com/detail/fbeahjcnoclflfhkgphfadjldhfadncl</t>
  </si>
  <si>
    <t>Usability Recorder</t>
  </si>
  <si>
    <t>https://chromewebstore.google.com/detail/fbffaafomcgnbgcakjcjmjjnfmominbg</t>
  </si>
  <si>
    <t>Eye Blinker</t>
  </si>
  <si>
    <t>https://chromewebstore.google.com/detail/fbgchecgijgcacfckobealojikbohcdd</t>
  </si>
  <si>
    <t>Marionette Inspector</t>
  </si>
  <si>
    <t>https://chromewebstore.google.com/detail/fbgfjlockdhidoaempmjcddibjklhpka</t>
  </si>
  <si>
    <t>Delay</t>
  </si>
  <si>
    <t>https://chromewebstore.google.com/detail/fbhbfbladmbgakfkccbfjpbabagjcmid</t>
  </si>
  <si>
    <t>SARUS CHROME EXTENSION V4</t>
  </si>
  <si>
    <t>https://chromewebstore.google.com/detail/fbnakolimookpnpbjillcidcfbijcdci</t>
  </si>
  <si>
    <t>Web Application/Tool Sniffer</t>
  </si>
  <si>
    <t>https://chromewebstore.google.com/detail/fbnlibmhkkkpncdgfolnijebgnmbdbhi</t>
  </si>
  <si>
    <t>Easy Timer</t>
  </si>
  <si>
    <t>https://chromewebstore.google.com/detail/fcadcainkooaeglkiofojfbedioapomp</t>
  </si>
  <si>
    <t>SMSFactor : professional SMS sendings</t>
  </si>
  <si>
    <t>https://chromewebstore.google.com/detail/fcakpkglmoocmpbnohkjbiadlecodijh</t>
  </si>
  <si>
    <t>Breathe</t>
  </si>
  <si>
    <t>https://chromewebstore.google.com/detail/fcbhjoiikniliejghcnihedcjobnjnob</t>
  </si>
  <si>
    <t>Among Us HTML5 Edition</t>
  </si>
  <si>
    <t>https://chromewebstore.google.com/detail/fcgcgajibpoegghmlgkkhjolnfjjflbf</t>
  </si>
  <si>
    <t>ThanksToYou Tabs</t>
  </si>
  <si>
    <t>https://chromewebstore.google.com/detail/fcihkahjnapdpnenlljgphabbadckoil</t>
  </si>
  <si>
    <t>BNB Track Report</t>
  </si>
  <si>
    <t>https://chromewebstore.google.com/detail/fckoocndimgbeagiamkcnkbnfmkpdopp</t>
  </si>
  <si>
    <t>Lexios</t>
  </si>
  <si>
    <t>https://chromewebstore.google.com/detail/fcliomgofohffdcmapnabhpgcemjjhin</t>
  </si>
  <si>
    <t>Simplify it!</t>
  </si>
  <si>
    <t>https://chromewebstore.google.com/detail/fcmiopamalpkecdfjfkmmdlojjhdjfim</t>
  </si>
  <si>
    <t>Math solver</t>
  </si>
  <si>
    <t>https://chromewebstore.google.com/detail/fcmkdcldohbdlglienjjldifpahkkond</t>
  </si>
  <si>
    <t>Amazon-IL Free Shipping Marker</t>
  </si>
  <si>
    <t>https://chromewebstore.google.com/detail/fcomjgibcahinagaaoihliepblakkcdd</t>
  </si>
  <si>
    <t>QuickQuran</t>
  </si>
  <si>
    <t>https://chromewebstore.google.com/detail/fdbennihdlknligjbmnimidhimbnhkoj</t>
  </si>
  <si>
    <t>Errator</t>
  </si>
  <si>
    <t>https://chromewebstore.google.com/detail/fdgajmekgmeingahdbcogkbgnpodoihh</t>
  </si>
  <si>
    <t>My Video Downloader</t>
  </si>
  <si>
    <t>https://chromewebstore.google.com/detail/fdgapbbhfnchidhmpjahegjmpnfdldhn</t>
  </si>
  <si>
    <t>Image Hider</t>
  </si>
  <si>
    <t>https://chromewebstore.google.com/detail/fdjghmbmljbhojdgegmhhbkhgoacgdcb</t>
  </si>
  <si>
    <t>MonkeyECHO - GearBest Price Tracker</t>
  </si>
  <si>
    <t>https://chromewebstore.google.com/detail/fdmdnnfdofijijgcbhdbnlohaabnmdkb</t>
  </si>
  <si>
    <t>Check1st: ADA Website Compliance Checker</t>
  </si>
  <si>
    <t>https://chromewebstore.google.com/detail/fdmmgnabliecegmbnmmihidbnmdjmflh</t>
  </si>
  <si>
    <t>Captain America Wallpaper New Tab</t>
  </si>
  <si>
    <t>https://chromewebstore.google.com/detail/fdmmjeeidodfpcijanldnemdkagoplfh</t>
  </si>
  <si>
    <t>Stopots Cheats</t>
  </si>
  <si>
    <t>https://chromewebstore.google.com/detail/fdnhgkgdcnekilgcojklcaoleilpaghj</t>
  </si>
  <si>
    <t>Jitsi desktop streamer for Beautiful Rising</t>
  </si>
  <si>
    <t>https://chromewebstore.google.com/detail/feblndkkkcojdijcmdkghckpgjmcjnbd</t>
  </si>
  <si>
    <t>CENNZnet extension</t>
  </si>
  <si>
    <t>https://chromewebstore.google.com/detail/feckpephlmdcjnpoclagmaogngeffafk</t>
  </si>
  <si>
    <t>ng-detector</t>
  </si>
  <si>
    <t>https://chromewebstore.google.com/detail/fedicaemhcfcmelihceehhaodggfeffm</t>
  </si>
  <si>
    <t>QuickPy Python Interpreter</t>
  </si>
  <si>
    <t>https://chromewebstore.google.com/detail/fefdekpjmfkgenlofhigjalhkbbedmel</t>
  </si>
  <si>
    <t>AWS Role Editor</t>
  </si>
  <si>
    <t>https://chromewebstore.google.com/detail/fefjjiapooggkhiicnofcmlknjgpinop</t>
  </si>
  <si>
    <t>DoubleTedder</t>
  </si>
  <si>
    <t>https://chromewebstore.google.com/detail/fegapncdamjhcaofcobgedeppgdhpled</t>
  </si>
  <si>
    <t>Open in Helium</t>
  </si>
  <si>
    <t>https://chromewebstore.google.com/detail/fehnbjiphphbebcfgjmmffcfmnohcgbb</t>
  </si>
  <si>
    <t>WikiMapper</t>
  </si>
  <si>
    <t>https://chromewebstore.google.com/detail/feiheebgoilmbkaddngcoocjbogfchlb</t>
  </si>
  <si>
    <t>HexReader</t>
  </si>
  <si>
    <t>https://chromewebstore.google.com/detail/fejgbfmdlplhjkbpmnedfonifhajinck</t>
  </si>
  <si>
    <t>Карты городов России и мира</t>
  </si>
  <si>
    <t>https://chromewebstore.google.com/detail/fekjpjaehfnfhcbakbkkhbjfcpmaffff</t>
  </si>
  <si>
    <t>LoadFocus - JMeter Cloud Load Testing &amp; Website Performance</t>
  </si>
  <si>
    <t>https://chromewebstore.google.com/detail/femhimekihpocbkdfimhojklmhkniami</t>
  </si>
  <si>
    <t>TCP Socket debugger</t>
  </si>
  <si>
    <t>https://chromewebstore.google.com/detail/fenhpkaocajfmpchcojgniehkamhkafp</t>
  </si>
  <si>
    <t>Winston</t>
  </si>
  <si>
    <t>https://chromewebstore.google.com/detail/fepoafffphkpcnmmomcofalajmobmojj</t>
  </si>
  <si>
    <t>Mooltipass Extension</t>
  </si>
  <si>
    <t>https://chromewebstore.google.com/detail/ffemldjbbfhimggdkkckolidemlllklk</t>
  </si>
  <si>
    <t>Futupuri</t>
  </si>
  <si>
    <t>https://chromewebstore.google.com/detail/fffhehmjhahdjnenkogpejaknlgacanj</t>
  </si>
  <si>
    <t>Dobromat.sk</t>
  </si>
  <si>
    <t>https://chromewebstore.google.com/detail/ffndamophekokjpnlnmgpdglkmjkcdfc</t>
  </si>
  <si>
    <t>MDN Search</t>
  </si>
  <si>
    <t>https://chromewebstore.google.com/detail/ffpifaemeofjmncjdbegmbpcdaemkeoc</t>
  </si>
  <si>
    <t>Print to Boox</t>
  </si>
  <si>
    <t>https://chromewebstore.google.com/detail/ffpkcknolpnlaecifjnpembbfnbknahd</t>
  </si>
  <si>
    <t>LiteCite - Quotation and Auto Citation</t>
  </si>
  <si>
    <t>https://chromewebstore.google.com/detail/fgfmogmmpgfolmebmimlnjbmhecinngd</t>
  </si>
  <si>
    <t>Macys.com for Chrome</t>
  </si>
  <si>
    <t>https://chromewebstore.google.com/detail/fggehoeohlcblgnaocikggnblikbokdi</t>
  </si>
  <si>
    <t>Ziggo GO Fast Forward</t>
  </si>
  <si>
    <t>https://chromewebstore.google.com/detail/fghlihhodmdhjbflkmhmfaibhilclahc</t>
  </si>
  <si>
    <t>BrowseBetter New Tab: Productivity Redefined</t>
  </si>
  <si>
    <t>https://chromewebstore.google.com/detail/fgjkpniomfjjdnmnahjeglgobdlmglma</t>
  </si>
  <si>
    <t>Super-Cache</t>
  </si>
  <si>
    <t>https://chromewebstore.google.com/detail/fglobbnbihckpkodmeefhagijjcjnbeh</t>
  </si>
  <si>
    <t>Protect message</t>
  </si>
  <si>
    <t>https://chromewebstore.google.com/detail/fgnnjldhcpkgffephopliioangockjgk</t>
  </si>
  <si>
    <t>DroidScript JavaScript Editor</t>
  </si>
  <si>
    <t>https://chromewebstore.google.com/detail/fgnpiobcofdgpanjebklpihjmnhfdhic</t>
  </si>
  <si>
    <t>Port Checker Tool</t>
  </si>
  <si>
    <t>https://chromewebstore.google.com/detail/fhaaihkljlacmdclpphnfmjfcckhpjle</t>
  </si>
  <si>
    <t>CryptoTab</t>
  </si>
  <si>
    <t>https://chromewebstore.google.com/detail/fhbdfgoahpihjmcpjnhcdofenlhfaicd</t>
  </si>
  <si>
    <t>Enhance-O-Tron for Plex</t>
  </si>
  <si>
    <t>https://chromewebstore.google.com/detail/fhbelblobiabomlogejpabonapkencph</t>
  </si>
  <si>
    <t>xDEALER.pro</t>
  </si>
  <si>
    <t>https://chromewebstore.google.com/detail/fhenghaaikkdannghmaapfbngihadgnf</t>
  </si>
  <si>
    <t>VipeR FIFA FUT 23 Sniper/AutoBuyer/AutoTrader</t>
  </si>
  <si>
    <t>https://chromewebstore.google.com/detail/fhgdnbefmbjihhjjjlkonajmioaagmoh</t>
  </si>
  <si>
    <t>DeviantArt easy download</t>
  </si>
  <si>
    <t>https://chromewebstore.google.com/detail/fhljkabkmnoeecgibakgnkkdmheccecg</t>
  </si>
  <si>
    <t>Pomegranate: Website Blocker/Pomodoro® Timer</t>
  </si>
  <si>
    <t>https://chromewebstore.google.com/detail/fhnbdhpddlplookheppaagkaccfancck</t>
  </si>
  <si>
    <t>MultiBar</t>
  </si>
  <si>
    <t>https://chromewebstore.google.com/detail/fibmipocbhmmodnjfioojdfobejfdajg</t>
  </si>
  <si>
    <t>Meme Maker</t>
  </si>
  <si>
    <t>https://chromewebstore.google.com/detail/ficbamdhpkgoalecmiclffghlllemcki</t>
  </si>
  <si>
    <t>OG Flickr</t>
  </si>
  <si>
    <t>https://chromewebstore.google.com/detail/fichomnnmpafldcbpelajknhhmcafcca</t>
  </si>
  <si>
    <t>No more Lightshot ADS</t>
  </si>
  <si>
    <t>https://chromewebstore.google.com/detail/fiefoaeemgdpplhofbhkdehoidoajfld</t>
  </si>
  <si>
    <t>JIRA Work Log Report</t>
  </si>
  <si>
    <t>https://chromewebstore.google.com/detail/fiflmfdkmjodhcppbeabhjdmljkifigf</t>
  </si>
  <si>
    <t>Tab Number</t>
  </si>
  <si>
    <t>https://chromewebstore.google.com/detail/fijaenjgknobfdombbdchngpamggajpm</t>
  </si>
  <si>
    <t>DevTools Font Changer</t>
  </si>
  <si>
    <t>https://chromewebstore.google.com/detail/fikbcnlbgoafooldbkgikejejhaddajg</t>
  </si>
  <si>
    <t>Motivate</t>
  </si>
  <si>
    <t>https://chromewebstore.google.com/detail/fikbnglopgmdoobfkallgioahbeddajc</t>
  </si>
  <si>
    <t>CFCA CertEnrollment.SGE Extension</t>
  </si>
  <si>
    <t>https://chromewebstore.google.com/detail/fikolfjjlmpebakleinkgcnpomjoodhn</t>
  </si>
  <si>
    <t>Web Clipper</t>
  </si>
  <si>
    <t>https://chromewebstore.google.com/detail/finhmpmkpbacljcdemplngnnjdenihpp</t>
  </si>
  <si>
    <t>MalwareAI Browser Security</t>
  </si>
  <si>
    <t>https://chromewebstore.google.com/detail/fjbjbkoepflddmlieaicfhelkdmkbcdb</t>
  </si>
  <si>
    <t>Attack on Titan Cursors</t>
  </si>
  <si>
    <t>https://chromewebstore.google.com/detail/fjbnbhebgopdlgahhommoinamobocdmo</t>
  </si>
  <si>
    <t>Youtube popup video</t>
  </si>
  <si>
    <t>https://chromewebstore.google.com/detail/fjeioblmaijiakkflmjnbnhcdmnhlhde</t>
  </si>
  <si>
    <t>当下云摘</t>
  </si>
  <si>
    <t>https://chromewebstore.google.com/detail/fjfgeonblbdcofcokojamlcnomcdliap</t>
  </si>
  <si>
    <t>Nicolas Cage</t>
  </si>
  <si>
    <t>https://chromewebstore.google.com/detail/fjgbnnhgejbfgfbofeohlffjlpceejlm</t>
  </si>
  <si>
    <t>Coin Toss</t>
  </si>
  <si>
    <t>https://chromewebstore.google.com/detail/fjggbafppemkjilmleaibofamjedkkgb</t>
  </si>
  <si>
    <t>Video to Text</t>
  </si>
  <si>
    <t>https://chromewebstore.google.com/detail/fjjkbjfmekjgnedpdpgnpjakppmkpidn</t>
  </si>
  <si>
    <t>Luckydog Winner Generator Tool</t>
  </si>
  <si>
    <t>https://chromewebstore.google.com/detail/fjjmlofpfnccdaiplopjkgeifgbhiccl</t>
  </si>
  <si>
    <t>YouTube Danmaku</t>
  </si>
  <si>
    <t>https://chromewebstore.google.com/detail/fjkmgjdhaagkgbaejlglkiacpfchncke</t>
  </si>
  <si>
    <t>Fullscreen</t>
  </si>
  <si>
    <t>https://chromewebstore.google.com/detail/fkbigbddainndbfabdcmbhgionobgina</t>
  </si>
  <si>
    <t>QR Scanner</t>
  </si>
  <si>
    <t>https://chromewebstore.google.com/detail/fkcahpakljaenbeobgjlefompnldambb</t>
  </si>
  <si>
    <t>tabzen</t>
  </si>
  <si>
    <t>https://chromewebstore.google.com/detail/fkcljmgncjjkckdandfdodbgdefgbjep</t>
  </si>
  <si>
    <t>MagnetStream - Watch Full HD Movies Online</t>
  </si>
  <si>
    <t>https://chromewebstore.google.com/detail/fkdjhomfkhllofmhjhnecclikkdhkjpj</t>
  </si>
  <si>
    <t>e-Cert (Personal) Renewal Extension</t>
  </si>
  <si>
    <t>https://chromewebstore.google.com/detail/fkdnpnhfpckhhihenedafjmejflipbam</t>
  </si>
  <si>
    <t>https://chromewebstore.google.com/detail/fkdpgnngeoheiclbcljihebimblcbcjj</t>
  </si>
  <si>
    <t>Twitch Chat on Youtube</t>
  </si>
  <si>
    <t>https://chromewebstore.google.com/detail/fkedgglbeenhodhknmpibnbhgfbphggp</t>
  </si>
  <si>
    <t>PunyCode Domain Detection</t>
  </si>
  <si>
    <t>https://chromewebstore.google.com/detail/fkenopinnpinfcjneoanjoimhkmdcjne</t>
  </si>
  <si>
    <t>一键历史记录</t>
  </si>
  <si>
    <t>https://chromewebstore.google.com/detail/fkfpfifjldhigjfibnnnidopknecocbc</t>
  </si>
  <si>
    <t>VRCFriendCheck</t>
  </si>
  <si>
    <t>https://chromewebstore.google.com/detail/fkhfmlkfiaafmoaobaofhldnlgapekhl</t>
  </si>
  <si>
    <t>Spacebar pause on youtube</t>
  </si>
  <si>
    <t>https://chromewebstore.google.com/detail/fkhkpjiagcmkicnbmnnlfdjodhbblnkl</t>
  </si>
  <si>
    <t>Cartola for Chrome™</t>
  </si>
  <si>
    <t>https://chromewebstore.google.com/detail/fkmakjnhammpmefchjkboohfgebblhab</t>
  </si>
  <si>
    <t>Black theme for Amazon</t>
  </si>
  <si>
    <t>https://chromewebstore.google.com/detail/fkojelfjjlmjcdlgldmkfhkbbdgbkejn</t>
  </si>
  <si>
    <t>Ruby开发文档</t>
  </si>
  <si>
    <t>https://chromewebstore.google.com/detail/fldajflbololikdfkenehickgniedbdb</t>
  </si>
  <si>
    <t>Frequência Google Meet™</t>
  </si>
  <si>
    <t>https://chromewebstore.google.com/detail/fldnfkeijmngmgjgnagiidmonemlbmpl</t>
  </si>
  <si>
    <t>manaba Enhanced for Tsukuba</t>
  </si>
  <si>
    <t>https://chromewebstore.google.com/detail/fldngcbchlbfgbccilklplmhljilhfch</t>
  </si>
  <si>
    <t>Taborama - group your tabs</t>
  </si>
  <si>
    <t>https://chromewebstore.google.com/detail/flicfhphobgnnpfhieodmggibdhadhnh</t>
  </si>
  <si>
    <t>Kaleidoscope</t>
  </si>
  <si>
    <t>https://chromewebstore.google.com/detail/flnpcnpfgfcepjbngdeocjodncnljaig</t>
  </si>
  <si>
    <t>osu! Beatmap Auto Downloader</t>
  </si>
  <si>
    <t>https://chromewebstore.google.com/detail/flompapkhbacnpmgokmghphpohejaohn</t>
  </si>
  <si>
    <t>Favorite URL Opener</t>
  </si>
  <si>
    <t>https://chromewebstore.google.com/detail/fmaghpidamhgpflfpekegcleapoapjba</t>
  </si>
  <si>
    <t>HTTPS Finder</t>
  </si>
  <si>
    <t>https://chromewebstore.google.com/detail/fmbbgedgoimcifgdghmifpnpcfaioena</t>
  </si>
  <si>
    <t>Clippy the Paperclip Assistant</t>
  </si>
  <si>
    <t>https://chromewebstore.google.com/detail/fmbcdhjmhddnnpeomknikdbboejbhdcl</t>
  </si>
  <si>
    <t>Site Connector</t>
  </si>
  <si>
    <t>https://chromewebstore.google.com/detail/fncdipbcmcjafbnfkkfgocoghjjdmfej</t>
  </si>
  <si>
    <t>Bootstrap resize tool</t>
  </si>
  <si>
    <t>https://chromewebstore.google.com/detail/fnlkljfogjamjaemldpapdokokkifmib</t>
  </si>
  <si>
    <t>Visibility</t>
  </si>
  <si>
    <t>https://chromewebstore.google.com/detail/fnmdahffmlhakdfmdimpmdffegffldad</t>
  </si>
  <si>
    <t>Sticky Notes</t>
  </si>
  <si>
    <t>https://chromewebstore.google.com/detail/fnmndjbocidkodmnhanjingkafiihphh</t>
  </si>
  <si>
    <t>Web Technology Notifier</t>
  </si>
  <si>
    <t>https://chromewebstore.google.com/detail/fnpgnmindcbkjbpblcklealdhnogmlko</t>
  </si>
  <si>
    <t>UI Design</t>
  </si>
  <si>
    <t>https://chromewebstore.google.com/detail/foelobhaomlkojekpgenegcfedbgemej</t>
  </si>
  <si>
    <t>JapaneseEmoticons</t>
  </si>
  <si>
    <t>https://chromewebstore.google.com/detail/fomablkkbmbjodfinocpjfakdieacgji</t>
  </si>
  <si>
    <t>PrintAny</t>
  </si>
  <si>
    <t>https://chromewebstore.google.com/detail/fomndpnkhdffldikpeefdjeiebjdbgmn</t>
  </si>
  <si>
    <t>DM - Tab Revolver</t>
  </si>
  <si>
    <t>https://chromewebstore.google.com/detail/fpfccnfknmankeccdibflfjjpifpnfbe</t>
  </si>
  <si>
    <t>Need a Hand</t>
  </si>
  <si>
    <t>https://chromewebstore.google.com/detail/fpgiejkdidmmdhcaieeafclkikdaknhd</t>
  </si>
  <si>
    <t>Crypto Price Tracker</t>
  </si>
  <si>
    <t>https://chromewebstore.google.com/detail/fpkhlnacfhciopipcjpcjmkpldbogaeo</t>
  </si>
  <si>
    <t>JazzHR Candidate Importer</t>
  </si>
  <si>
    <t>https://chromewebstore.google.com/detail/fpmfnhlniafpabplcacficlgmnnckggm</t>
  </si>
  <si>
    <t>UpSolve tracker</t>
  </si>
  <si>
    <t>https://chromewebstore.google.com/detail/gadhgehadcnbmhjkpnjbhjhdbohdokpj</t>
  </si>
  <si>
    <t>https://chromewebstore.google.com/detail/gajcbmkmmcacnlpaffppednahicmomfn</t>
  </si>
  <si>
    <t>deprocrastination - block distractions</t>
  </si>
  <si>
    <t>https://chromewebstore.google.com/detail/gamblpaiplkihjneblbnoniddfockndi</t>
  </si>
  <si>
    <t>Movies sites AdBlock</t>
  </si>
  <si>
    <t>https://chromewebstore.google.com/detail/ganicbccpopbpidgkpeflfmmhjbkbonj</t>
  </si>
  <si>
    <t>SimpleLastTab</t>
  </si>
  <si>
    <t>https://chromewebstore.google.com/detail/ganniadnoflaogjededkdpicdfkloajf</t>
  </si>
  <si>
    <t>Nonio Blocker 2.1</t>
  </si>
  <si>
    <t>https://chromewebstore.google.com/detail/gbfhdedhodbapamdigljaeenfpnilibo</t>
  </si>
  <si>
    <t>Kassi Share - Send to Kodi</t>
  </si>
  <si>
    <t>https://chromewebstore.google.com/detail/gbghegmimhjemkhpimohkdopkeahldbh</t>
  </si>
  <si>
    <t>Web Page Canvas</t>
  </si>
  <si>
    <t>https://chromewebstore.google.com/detail/gbgigcmlilhenhgdndoejbenepgeaahc</t>
  </si>
  <si>
    <t>OG Spy</t>
  </si>
  <si>
    <t>https://chromewebstore.google.com/detail/gbladodjhonkijdnbbcfoingmljmolnp</t>
  </si>
  <si>
    <t>Contribute Cloud Cast</t>
  </si>
  <si>
    <t>https://chromewebstore.google.com/detail/gbmlmheknojbpmagkgfcjlalpmeiflko</t>
  </si>
  <si>
    <t>TV Online Guia</t>
  </si>
  <si>
    <t>https://chromewebstore.google.com/detail/gbomaenjpmaeabacnllkhgijpdhplphb</t>
  </si>
  <si>
    <t>Background Colors Cards for Trello</t>
  </si>
  <si>
    <t>https://chromewebstore.google.com/detail/gbpnfdnpkiogmaicmknplgedbcjndaaf</t>
  </si>
  <si>
    <t>Credit Card Generator</t>
  </si>
  <si>
    <t>https://chromewebstore.google.com/detail/gcdfpaeecjlihblmdbjbmaobeakbiaoo</t>
  </si>
  <si>
    <t>Always Video ᴴᴷ - Beta ( PiP Automation )</t>
  </si>
  <si>
    <t>https://chromewebstore.google.com/detail/gcfcmfbcpibcjmcinnimklngkpkkcing</t>
  </si>
  <si>
    <t>Refined Hacker News</t>
  </si>
  <si>
    <t>https://chromewebstore.google.com/detail/gcibdgjaladjjloeocimnijdgopejkfk</t>
  </si>
  <si>
    <t>QR code go</t>
  </si>
  <si>
    <t>https://chromewebstore.google.com/detail/gcjekannlcclfkkhphflfdiebjcjndjp</t>
  </si>
  <si>
    <t>小川</t>
  </si>
  <si>
    <t>https://chromewebstore.google.com/detail/gckdnedgcldldbdajllnmbmfhacalini</t>
  </si>
  <si>
    <t>Android iMessage Messages Theme</t>
  </si>
  <si>
    <t>https://chromewebstore.google.com/detail/gckjoaicbopdnkkkcmbhmamioeepjjkn</t>
  </si>
  <si>
    <t>Orso - Screen Recorder &amp; Annotation Tool</t>
  </si>
  <si>
    <t>https://chromewebstore.google.com/detail/gcpoippahbbfaeglpmpecmbfnjlbmfpj</t>
  </si>
  <si>
    <t>Visualize My History</t>
  </si>
  <si>
    <t>https://chromewebstore.google.com/detail/gdedhdlfdeaakpdfkikflkfnbiegaonb</t>
  </si>
  <si>
    <t>WIREFOX SEO TOOLKIT - SEO ANALYSIS TOOL</t>
  </si>
  <si>
    <t>https://chromewebstore.google.com/detail/gdicngljankkhfnhjffcdlnnfeooihbk</t>
  </si>
  <si>
    <t>Wiki Search for GitHub</t>
  </si>
  <si>
    <t>https://chromewebstore.google.com/detail/gdifdhnjmjaidbajhapmbcbnoocoeooc</t>
  </si>
  <si>
    <t>GetFreshOffers for eBay</t>
  </si>
  <si>
    <t>https://chromewebstore.google.com/detail/gdihpadobhahlfahpojgbbhiiicaipom</t>
  </si>
  <si>
    <t>Instant Eye Tracking Predictions</t>
  </si>
  <si>
    <t>https://chromewebstore.google.com/detail/gdlphncgdlaajddhdginocbkndmceaml</t>
  </si>
  <si>
    <t>WebTranslate</t>
  </si>
  <si>
    <t>https://chromewebstore.google.com/detail/gdmapdijiljmjingeihifkgchmfiaaic</t>
  </si>
  <si>
    <t>CursorTrace</t>
  </si>
  <si>
    <t>https://chromewebstore.google.com/detail/gdngbglapejijhppfmpaofmcgbcpofnj</t>
  </si>
  <si>
    <t>Colordrop: Interactive Drag &amp; Drop Coloring</t>
  </si>
  <si>
    <t>https://chromewebstore.google.com/detail/gdoiopdelonmejbbcfoiibojafcpihhm</t>
  </si>
  <si>
    <t>Webtrekk Tracker</t>
  </si>
  <si>
    <t>https://chromewebstore.google.com/detail/gdooemnipkaehoocmkfhicaidlaejjgc</t>
  </si>
  <si>
    <t>Hacker News</t>
  </si>
  <si>
    <t>https://chromewebstore.google.com/detail/geancnifhbkbjijfkcjjdnfemppmcjmk</t>
  </si>
  <si>
    <t>Обозреватель - Новости Украины и мира</t>
  </si>
  <si>
    <t>https://chromewebstore.google.com/detail/geeaennekbbdgfnjhnbgafdfjoefhmbb</t>
  </si>
  <si>
    <t>Twixera</t>
  </si>
  <si>
    <t>https://chromewebstore.google.com/detail/gefbnbbmfoakmbblphigemkiekfelahe</t>
  </si>
  <si>
    <t>Strava Enhanced Experience</t>
  </si>
  <si>
    <t>https://chromewebstore.google.com/detail/gefgndifclopmilijflfficigjpjpfik</t>
  </si>
  <si>
    <t>Pandora Made Better</t>
  </si>
  <si>
    <t>https://chromewebstore.google.com/detail/gehmihiiaeebmlflnmegjmocnnjghcch</t>
  </si>
  <si>
    <t>U4U Cashback</t>
  </si>
  <si>
    <t>https://chromewebstore.google.com/detail/gehpcmgffmioghpbkmgfpcaldchnaefk</t>
  </si>
  <si>
    <t>aday語音報讀</t>
  </si>
  <si>
    <t>https://chromewebstore.google.com/detail/genhbfcaempmppmoonblekidkagafkio</t>
  </si>
  <si>
    <t>SlideshowPlayer</t>
  </si>
  <si>
    <t>https://chromewebstore.google.com/detail/geopiocdphdpmkapnceogppdcfjklhbj</t>
  </si>
  <si>
    <t>Teeny Breaks</t>
  </si>
  <si>
    <t>https://chromewebstore.google.com/detail/gfcfendehdonmfflgpkkaijdfbafkdfa</t>
  </si>
  <si>
    <t>Calculadora de Tasas Judiciales</t>
  </si>
  <si>
    <t>https://chromewebstore.google.com/detail/gfedcgdbdlokekhnkgmgcdjoaoecocaj</t>
  </si>
  <si>
    <t>Web Code Injector</t>
  </si>
  <si>
    <t>https://chromewebstore.google.com/detail/gffmljieoedhigbaagdjoipecmbiifkf</t>
  </si>
  <si>
    <t>Spiral Clip: Turns videos into live quizzes</t>
  </si>
  <si>
    <t>https://chromewebstore.google.com/detail/gfibmgbpcionfgicoganojajjbglffpe</t>
  </si>
  <si>
    <t>Toolbar Controls for YouTube Music</t>
  </si>
  <si>
    <t>https://chromewebstore.google.com/detail/gfiebgdcafaljnemebjjlgkoblpankml</t>
  </si>
  <si>
    <t>快截精靈 Cloudbox Crop</t>
  </si>
  <si>
    <t>https://chromewebstore.google.com/detail/gfkhjmihhdlbceonegblhnkbioiddjmi</t>
  </si>
  <si>
    <t>Animal Crossing live background</t>
  </si>
  <si>
    <t>https://chromewebstore.google.com/detail/gfocmiihofighegjlbmdklopoboedema</t>
  </si>
  <si>
    <t>Nested Object JSON Parser</t>
  </si>
  <si>
    <t>https://chromewebstore.google.com/detail/gfpiiddjejppjlaegjhfommdfjdfkfop</t>
  </si>
  <si>
    <t>Kobo 電子書敗家幫手</t>
  </si>
  <si>
    <t>https://chromewebstore.google.com/detail/ggbmfiledfmoeinemnnappkjldilblfh</t>
  </si>
  <si>
    <t>My Current IP / IPv6 Address</t>
  </si>
  <si>
    <t>https://chromewebstore.google.com/detail/ggbojnjohnjgiloeoljkmnacjaeahhmc</t>
  </si>
  <si>
    <t>Prisc!</t>
  </si>
  <si>
    <t>https://chromewebstore.google.com/detail/gghkamaeinhfnhpempdbopannocnlbkg</t>
  </si>
  <si>
    <t>Explorer Svg</t>
  </si>
  <si>
    <t>https://chromewebstore.google.com/detail/ggkcbiemgdlcempheklmiljdelngeani</t>
  </si>
  <si>
    <t>Servibox Descarga CFDI SAT</t>
  </si>
  <si>
    <t>https://chromewebstore.google.com/detail/gglajafleceohegiiegjinmfnomagiaf</t>
  </si>
  <si>
    <t>Narod Downloader</t>
  </si>
  <si>
    <t>https://chromewebstore.google.com/detail/ghbefppmmpdhcpeebokjjnkmdflcgbcn</t>
  </si>
  <si>
    <t>Tab Freezer</t>
  </si>
  <si>
    <t>https://chromewebstore.google.com/detail/ghboalniiaeppganfgbbdejcmjcfcjgh</t>
  </si>
  <si>
    <t>Block Chrome Notifications</t>
  </si>
  <si>
    <t>https://chromewebstore.google.com/detail/ghikdcejfdebjjhpljbebapifdpphbkc</t>
  </si>
  <si>
    <t>HTML5 Video Tag Enhancer</t>
  </si>
  <si>
    <t>https://chromewebstore.google.com/detail/ghjcfdhamnkmmjiaponhaoikkhnighpc</t>
  </si>
  <si>
    <t>chrome_dino_cosplay</t>
  </si>
  <si>
    <t>https://chromewebstore.google.com/detail/ghmdcodhffmkgjclaimakmogaacfekch</t>
  </si>
  <si>
    <t>Dark Theme for Twitch™</t>
  </si>
  <si>
    <t>https://chromewebstore.google.com/detail/ghmkhegmedggpnghojodmkkflpokmlab</t>
  </si>
  <si>
    <t>FlickrPicMonkey</t>
  </si>
  <si>
    <t>https://chromewebstore.google.com/detail/ghndenjnakialbecpflcknnhipancekk</t>
  </si>
  <si>
    <t>RSS Reader Style</t>
  </si>
  <si>
    <t>https://chromewebstore.google.com/detail/gialkacknhjboidnkgappheioemdcona</t>
  </si>
  <si>
    <t>YES Movies extension</t>
  </si>
  <si>
    <t>https://chromewebstore.google.com/detail/gidcdbfijclcchilpkmeihnpjeepbjjm</t>
  </si>
  <si>
    <t>Form Tools</t>
  </si>
  <si>
    <t>https://chromewebstore.google.com/detail/gihginompkjijnipckobcjioandcmjgp</t>
  </si>
  <si>
    <t>Go to Downloads</t>
  </si>
  <si>
    <t>https://chromewebstore.google.com/detail/ginfoceafejgiojoiomkmcdgimgagdal</t>
  </si>
  <si>
    <t>Link-Preview</t>
  </si>
  <si>
    <t>https://chromewebstore.google.com/detail/giplmolhikmggbhmliaighboilflkfph</t>
  </si>
  <si>
    <t>Script Menu</t>
  </si>
  <si>
    <t>https://chromewebstore.google.com/detail/gjaimbbhbanehmbfnfikbpnimkcciofl</t>
  </si>
  <si>
    <t>Core Web Vitals Annotations</t>
  </si>
  <si>
    <t>https://chromewebstore.google.com/detail/gjegofcnbogmeijackegenkifhkgkigi</t>
  </si>
  <si>
    <t>Zalmos Web Proxy</t>
  </si>
  <si>
    <t>https://chromewebstore.google.com/detail/gjgadmpbpojbdcehgijdlboanljfmnel</t>
  </si>
  <si>
    <t>Mirror</t>
  </si>
  <si>
    <t>https://chromewebstore.google.com/detail/gjnjekopfnpjfbophjifjinbigkldcol</t>
  </si>
  <si>
    <t>QookieFix</t>
  </si>
  <si>
    <t>https://chromewebstore.google.com/detail/gkfjmfmjckaabogdpclnahenmcijplpe</t>
  </si>
  <si>
    <t>squares.io puzzle downloader</t>
  </si>
  <si>
    <t>https://chromewebstore.google.com/detail/gkfpnohhmkonpkkpdbebccbgnajfgpjp</t>
  </si>
  <si>
    <t>Save to OmniFocus</t>
  </si>
  <si>
    <t>https://chromewebstore.google.com/detail/gkjcjolgbgobjdmnocfmojklgpapdnff</t>
  </si>
  <si>
    <t>איתור מיקוד בישראל</t>
  </si>
  <si>
    <t>https://chromewebstore.google.com/detail/gkjdlidimdcgmohgflkklbhkphgfpkfk</t>
  </si>
  <si>
    <t>WS client</t>
  </si>
  <si>
    <t>https://chromewebstore.google.com/detail/gklkhffllgehhcfeaoanogjcgfdekeom</t>
  </si>
  <si>
    <t>zDebug</t>
  </si>
  <si>
    <t>https://chromewebstore.google.com/detail/gknbnafalimbhgkmichoadhmkaoingil</t>
  </si>
  <si>
    <t>CatBird Karaoke and Lazy Music Playlist</t>
  </si>
  <si>
    <t>https://chromewebstore.google.com/detail/gkopncgliliconghbmejgnbmmadgogbj</t>
  </si>
  <si>
    <t>Beepbox Extension</t>
  </si>
  <si>
    <t>https://chromewebstore.google.com/detail/glbkmopajpdlfhmbdchelmchokighpei</t>
  </si>
  <si>
    <t>A Bit Better RTM</t>
  </si>
  <si>
    <t>https://chromewebstore.google.com/detail/glcdefibajbglmeelclffdbakgjjjopc</t>
  </si>
  <si>
    <t>TapChief Screen Sharing</t>
  </si>
  <si>
    <t>https://chromewebstore.google.com/detail/gldakbghopefnhcagpbhdocnopmmnbfp</t>
  </si>
  <si>
    <t>FeedArt</t>
  </si>
  <si>
    <t>https://chromewebstore.google.com/detail/glgdckpipcpcjmbkcmnponlnphnkkikn</t>
  </si>
  <si>
    <t>POE网页市集简中汉化</t>
  </si>
  <si>
    <t>https://chromewebstore.google.com/detail/glglefmmcceobfdjabhgbcalfkicncgj</t>
  </si>
  <si>
    <t>RT DPI evade</t>
  </si>
  <si>
    <t>https://chromewebstore.google.com/detail/glljpjmfmlajokkjcpabaclmjecmlgoo</t>
  </si>
  <si>
    <t>Cloud Photo Viewer</t>
  </si>
  <si>
    <t>https://chromewebstore.google.com/detail/glmjeemfonfjmnggjfphkcnjpnenbjkp</t>
  </si>
  <si>
    <t>Audible Control</t>
  </si>
  <si>
    <t>https://chromewebstore.google.com/detail/glogljhklaiimlocpigpigckeipgekkm</t>
  </si>
  <si>
    <t>RichPresence for Discord</t>
  </si>
  <si>
    <t>https://chromewebstore.google.com/detail/glpejjlbjjegcemceejaipihnhjkaddf</t>
  </si>
  <si>
    <t>Cat Generator</t>
  </si>
  <si>
    <t>https://chromewebstore.google.com/detail/glpkdnkdpcloinlicdbnlemidgdmglhh</t>
  </si>
  <si>
    <t>CanvasTools</t>
  </si>
  <si>
    <t>https://chromewebstore.google.com/detail/gmdmngbeceipkojacdoljnllcnfpdgce</t>
  </si>
  <si>
    <t>TLSA Validator</t>
  </si>
  <si>
    <t>https://chromewebstore.google.com/detail/gmgeefghnadlmkpbjfamblomkoknhjga</t>
  </si>
  <si>
    <t>WT map</t>
  </si>
  <si>
    <t>https://chromewebstore.google.com/detail/gmhaddmfnmddbjgobfjfghpjlbgmeiop</t>
  </si>
  <si>
    <t>VideoFixer for f.lux</t>
  </si>
  <si>
    <t>https://chromewebstore.google.com/detail/gmkeppffdejhpppfnbgakglpoeaobhhh</t>
  </si>
  <si>
    <t>CSS-Block</t>
  </si>
  <si>
    <t>https://chromewebstore.google.com/detail/gmlafnjffcblkipjaelgjdgdpmgmjbfp</t>
  </si>
  <si>
    <t>Qualys BrowserCheck for Mac OSX</t>
  </si>
  <si>
    <t>https://chromewebstore.google.com/detail/gmmcieaimnaokicplhkelbbggnaipnce</t>
  </si>
  <si>
    <t>Huawei Router AX3 Pro</t>
  </si>
  <si>
    <t>https://chromewebstore.google.com/detail/gmodkkelloolkcebchmmjfdbhhdhnfpb</t>
  </si>
  <si>
    <t>Find on mapy.cz</t>
  </si>
  <si>
    <t>https://chromewebstore.google.com/detail/gmogjpphjifpompcibhiafmlkhdmbbkb</t>
  </si>
  <si>
    <t>Twitch 小工具</t>
  </si>
  <si>
    <t>https://chromewebstore.google.com/detail/gmojchmfkdpbmcboingdhcpaejpffhem</t>
  </si>
  <si>
    <t>Trendyol Images Downloader</t>
  </si>
  <si>
    <t>https://chromewebstore.google.com/detail/gnblbfpegnbgfflpomkmhdegcpcjkbnh</t>
  </si>
  <si>
    <t>Message Templates</t>
  </si>
  <si>
    <t>https://chromewebstore.google.com/detail/gnfkfajglnnkaaiaaeheiinmcmniecni</t>
  </si>
  <si>
    <t>VinCertURLMon</t>
  </si>
  <si>
    <t>https://chromewebstore.google.com/detail/gnhoncdnkjpdoikknikbmecicaihhiai</t>
  </si>
  <si>
    <t>Egress for Google Chrome™</t>
  </si>
  <si>
    <t>https://chromewebstore.google.com/detail/gnhpgfjkcocbojfegmijaaapefldpemb</t>
  </si>
  <si>
    <t>Anticipation for YouTube and Twitch</t>
  </si>
  <si>
    <t>https://chromewebstore.google.com/detail/gnijgfamanlebomemfebpndnnbbpcijl</t>
  </si>
  <si>
    <t>Buyhatke Auto Cart</t>
  </si>
  <si>
    <t>https://chromewebstore.google.com/detail/gnmacbkcpgnljoegkpmhoejgiipfdian</t>
  </si>
  <si>
    <t>xTrace</t>
  </si>
  <si>
    <t>https://chromewebstore.google.com/detail/gnoegjcomgnaofcdeckopfoajfbboplb</t>
  </si>
  <si>
    <t>Trello Card Colors</t>
  </si>
  <si>
    <t>https://chromewebstore.google.com/detail/gnofggopjcccippphnjmajelmklljmhl</t>
  </si>
  <si>
    <t>Chromium Iteration Viewer</t>
  </si>
  <si>
    <t>https://chromewebstore.google.com/detail/gnpbpbbdcikepgimaaflpdobempiegcp</t>
  </si>
  <si>
    <t>Wordsmith</t>
  </si>
  <si>
    <t>https://chromewebstore.google.com/detail/gnpnpeephndoppbobdbpigepfdklacbp</t>
  </si>
  <si>
    <t>Clip Better</t>
  </si>
  <si>
    <t>https://chromewebstore.google.com/detail/gobkmjhllbkjeakbgmiodimehipofpmb</t>
  </si>
  <si>
    <t>Clipmate media files saver</t>
  </si>
  <si>
    <t>https://chromewebstore.google.com/detail/gocgbnckcebedcielkcikcjbmgejaknb</t>
  </si>
  <si>
    <t>Un-Delete reddit Comments</t>
  </si>
  <si>
    <t>https://chromewebstore.google.com/detail/goelkfmlebeihlnanaindammeonplnhi</t>
  </si>
  <si>
    <t>Remove W3Schools</t>
  </si>
  <si>
    <t>https://chromewebstore.google.com/detail/gohnadkcefpdhblajddfnhapimpdjkje</t>
  </si>
  <si>
    <t>Proctorio-B-Gone</t>
  </si>
  <si>
    <t>https://chromewebstore.google.com/detail/gohnaeiejimgpgoaoehhocepoeafppeo</t>
  </si>
  <si>
    <t>NEF to JPG Converter</t>
  </si>
  <si>
    <t>https://chromewebstore.google.com/detail/goiemopobkpclgiidbbbfeiibggbnnin</t>
  </si>
  <si>
    <t>Toolbar Spacer</t>
  </si>
  <si>
    <t>https://chromewebstore.google.com/detail/golladjmjodbefcoombodcdhimkmgemd</t>
  </si>
  <si>
    <t>UniteXpress</t>
  </si>
  <si>
    <t>https://chromewebstore.google.com/detail/goofcmgbmabnnnkfmjcchocjdfpgjmlk</t>
  </si>
  <si>
    <t>TeX Math Here</t>
  </si>
  <si>
    <t>https://chromewebstore.google.com/detail/gopfokpflndblbooehdbffnnjmnegeph</t>
  </si>
  <si>
    <t>Text Symbols</t>
  </si>
  <si>
    <t>https://chromewebstore.google.com/detail/gopnboakogbabooghplgljcbmebphmon</t>
  </si>
  <si>
    <t>Email Lookup and Email Search by Webspotter</t>
  </si>
  <si>
    <t>https://chromewebstore.google.com/detail/gpbhhjnhdfmdjephhladopnjpelhmplc</t>
  </si>
  <si>
    <t>Overflow-detector</t>
  </si>
  <si>
    <t>https://chromewebstore.google.com/detail/gpdnihamialibcjfmdnfbjcljnfbgkbc</t>
  </si>
  <si>
    <t>excl</t>
  </si>
  <si>
    <t>https://chromewebstore.google.com/detail/gpdohcgeplmiakcbgdagnajcdjlogbnl</t>
  </si>
  <si>
    <t>سهام‌ برتر</t>
  </si>
  <si>
    <t>https://chromewebstore.google.com/detail/gpfdhanahponbcjklpigjocndbfdejnc</t>
  </si>
  <si>
    <t>Link Extractor</t>
  </si>
  <si>
    <t>https://chromewebstore.google.com/detail/gpfoeagcgabbdibhiofcmeimcbkafndo</t>
  </si>
  <si>
    <t>Яндекс без рекламы (Yandex without ads)</t>
  </si>
  <si>
    <t>https://chromewebstore.google.com/detail/gpidlbbcdlkdifeooghlabmmgamkamlm</t>
  </si>
  <si>
    <t>Dyslexia Toolbox</t>
  </si>
  <si>
    <t>https://chromewebstore.google.com/detail/gpjbfckicpmdjmhgcjoecomooejngkam</t>
  </si>
  <si>
    <t>TV Remote for Philips Smart TV</t>
  </si>
  <si>
    <t>https://chromewebstore.google.com/detail/gpjdnkhbioemglbhdaaikcnkdcnpgiph</t>
  </si>
  <si>
    <t>Dictionary and Flashcards</t>
  </si>
  <si>
    <t>https://chromewebstore.google.com/detail/gplfbclbkplhmjblennehlnjfnngncgc</t>
  </si>
  <si>
    <t>pdm功能扩展</t>
  </si>
  <si>
    <t>https://chromewebstore.google.com/detail/gpljbknhblkhonhioehklflggjhooopd</t>
  </si>
  <si>
    <t>Hash Generator</t>
  </si>
  <si>
    <t>https://chromewebstore.google.com/detail/gpoanfafbmmhifpmbefgllakooeokdgl</t>
  </si>
  <si>
    <t>GramTomato</t>
  </si>
  <si>
    <t>https://chromewebstore.google.com/detail/gpoflfbdghibihmhhhlkebbeppilmoih</t>
  </si>
  <si>
    <t>TV Show Tracker</t>
  </si>
  <si>
    <t>https://chromewebstore.google.com/detail/haahcjpkljcjfjldgcllmkpojfbgjfaf</t>
  </si>
  <si>
    <t>Scratcher's AtCoder</t>
  </si>
  <si>
    <t>https://chromewebstore.google.com/detail/hackndbjgkehhjinjjoldifbhnfddklh</t>
  </si>
  <si>
    <t>窥魔 - 永久免费亚马逊竞品库存查询</t>
  </si>
  <si>
    <t>https://chromewebstore.google.com/detail/hadbecmlcefimjheionmdhnmdjclpbnj</t>
  </si>
  <si>
    <t>Full-screen Auto Refresh for PBIRS</t>
  </si>
  <si>
    <t>https://chromewebstore.google.com/detail/haebljcbppijaghbfigaiegljbiicllh</t>
  </si>
  <si>
    <t>ChatWork Notifier</t>
  </si>
  <si>
    <t>https://chromewebstore.google.com/detail/haedjkfbplpnlmlohhjhnhplcnljbnel</t>
  </si>
  <si>
    <t>L'extension PAULOK</t>
  </si>
  <si>
    <t>https://chromewebstore.google.com/detail/haflmpndeggigeeccecfbkcdaobjabib</t>
  </si>
  <si>
    <t>TabFern tab manager and backup tool</t>
  </si>
  <si>
    <t>https://chromewebstore.google.com/detail/hbajjpcdbninabigakflkhiogmmjaakm</t>
  </si>
  <si>
    <t>Email Print Page Cleaner</t>
  </si>
  <si>
    <t>https://chromewebstore.google.com/detail/hbcdmmaobjagbplobejomeefggahclkf</t>
  </si>
  <si>
    <t>I Just Want the Recipe Janet</t>
  </si>
  <si>
    <t>https://chromewebstore.google.com/detail/hbdplfijcjnbgeifjbhdgdpaniodhcbf</t>
  </si>
  <si>
    <t>Voice Out TTS Client</t>
  </si>
  <si>
    <t>https://chromewebstore.google.com/detail/hbelphkdkebaclidgfhjaobpljdoagpd</t>
  </si>
  <si>
    <t>CapTube (Dual Captions for YouTube)</t>
  </si>
  <si>
    <t>https://chromewebstore.google.com/detail/hbhkmnepjaoiamapfdbhpkjendeeegbb</t>
  </si>
  <si>
    <t>Bybit extension</t>
  </si>
  <si>
    <t>https://chromewebstore.google.com/detail/hbhmnegpijmdbjpacncnjegdkieeffag</t>
  </si>
  <si>
    <t>YT Looper: Repeat Youtube videos in loop</t>
  </si>
  <si>
    <t>https://chromewebstore.google.com/detail/hbinnmjinjjgoknbmgeoomeamnbbokki</t>
  </si>
  <si>
    <t>Gato Base 64 Encoder / Decoder</t>
  </si>
  <si>
    <t>https://chromewebstore.google.com/detail/hbjipahjdnkchnhlmhlbakoooiilhkhh</t>
  </si>
  <si>
    <t>https://chromewebstore.google.com/detail/hbkboegfdkllhmokangamapokbnnhfbl</t>
  </si>
  <si>
    <t>e-mover</t>
  </si>
  <si>
    <t>https://chromewebstore.google.com/detail/hbnmdgcdginbiabpiliphgbepbopajla</t>
  </si>
  <si>
    <t>Gmail™ Favicon Customizer</t>
  </si>
  <si>
    <t>https://chromewebstore.google.com/detail/hbnnphjhkbdeagbpjcnihdgianfhdgoo</t>
  </si>
  <si>
    <t>Crossref Search</t>
  </si>
  <si>
    <t>https://chromewebstore.google.com/detail/hcdkopihmfgkkjdjgpfhehgmijgmebjl</t>
  </si>
  <si>
    <t>Nano Ad Block</t>
  </si>
  <si>
    <t>https://chromewebstore.google.com/detail/hcffgojagdaebjicjhbcjpmbolaaepme</t>
  </si>
  <si>
    <t>ShowSubjectGmail</t>
  </si>
  <si>
    <t>https://chromewebstore.google.com/detail/hcgpoobeoeoahbhfcdabdjciflibpdal</t>
  </si>
  <si>
    <t>Movie Torrent Download 最新电影下载</t>
  </si>
  <si>
    <t>https://chromewebstore.google.com/detail/hchbodopdlebbofpkiaebjhionnkhkgi</t>
  </si>
  <si>
    <t>Ifat Bakarat Pirsum</t>
  </si>
  <si>
    <t>https://chromewebstore.google.com/detail/hcicdlofgmjjiloeecipffiacpholmkb</t>
  </si>
  <si>
    <t>Watchdoc Universal Print for Chrome</t>
  </si>
  <si>
    <t>https://chromewebstore.google.com/detail/hclnhkcfkccpjnkgjmaghkchfgbppcaj</t>
  </si>
  <si>
    <t>Удаление рекламы odnoklassniki.ru</t>
  </si>
  <si>
    <t>https://chromewebstore.google.com/detail/hcnohopcajeibomnkkbaebokofafkgbf</t>
  </si>
  <si>
    <t>ネクストエンジンクリックポスト連携</t>
  </si>
  <si>
    <t>https://chromewebstore.google.com/detail/hcogkbekdbiipilncghmakoknoblnhif</t>
  </si>
  <si>
    <t>エガマワール</t>
  </si>
  <si>
    <t>https://chromewebstore.google.com/detail/hcpgdfjpehdkdebjepgcmgkhoabjdegf</t>
  </si>
  <si>
    <t>20/20/20 Reminders</t>
  </si>
  <si>
    <t>https://chromewebstore.google.com/detail/hdadofjbdnckpfbmddfkgpnpchcfbpki</t>
  </si>
  <si>
    <t>CodeSandbox</t>
  </si>
  <si>
    <t>https://chromewebstore.google.com/detail/hdidglkcgdolpoijdckmafdnddjoglia</t>
  </si>
  <si>
    <t>Thinkful</t>
  </si>
  <si>
    <t>https://chromewebstore.google.com/detail/hdifhbpniaokcjogffalpnbphplppdcb</t>
  </si>
  <si>
    <t>Memes</t>
  </si>
  <si>
    <t>https://chromewebstore.google.com/detail/hdlhboohbcbdmkcnjcldhcpgmoliflee</t>
  </si>
  <si>
    <t>textlint: Proofreader</t>
  </si>
  <si>
    <t>https://chromewebstore.google.com/detail/hdongmdneapmhfblomidbafplpanpdmm</t>
  </si>
  <si>
    <t>Notejoy Web Clipper</t>
  </si>
  <si>
    <t>https://chromewebstore.google.com/detail/hdpnapnmccppiagahpoclpjdoimjjkic</t>
  </si>
  <si>
    <t>Fraidycat</t>
  </si>
  <si>
    <t>https://chromewebstore.google.com/detail/hecfkgekabkkhiidlinmifelhdooeool</t>
  </si>
  <si>
    <t>新知魔方</t>
  </si>
  <si>
    <t>https://chromewebstore.google.com/detail/hedbhjnengmmoddkcajcfdlaaiclkfdl</t>
  </si>
  <si>
    <t>IDS Server</t>
  </si>
  <si>
    <t>https://chromewebstore.google.com/detail/heemmlhkhdppoankkjldbmnfnoanemlj</t>
  </si>
  <si>
    <t>See the Published Date of a website on Google</t>
  </si>
  <si>
    <t>https://chromewebstore.google.com/detail/hegebeakcbcknnoepfmhgmfhbgeahhjl</t>
  </si>
  <si>
    <t>Hermes WebSocket Client</t>
  </si>
  <si>
    <t>https://chromewebstore.google.com/detail/heiclpadccjamigpdpfpbdkcfnglcjgc</t>
  </si>
  <si>
    <t>Brick Hill+</t>
  </si>
  <si>
    <t>https://chromewebstore.google.com/detail/hendnmfbkcgmpafikljbfhpgphdilohj</t>
  </si>
  <si>
    <t>postMessage-catcher</t>
  </si>
  <si>
    <t>https://chromewebstore.google.com/detail/henlmhlhpgnkeecjjcbhhcfmecohnilo</t>
  </si>
  <si>
    <t>Belka WebRTC: Предотвратить утечку IP</t>
  </si>
  <si>
    <t>https://chromewebstore.google.com/detail/hfbiabiflljddpmkngbjkgoenmeijcnl</t>
  </si>
  <si>
    <t>Camera Remote Web Controller</t>
  </si>
  <si>
    <t>https://chromewebstore.google.com/detail/hffpgicobjkkimfijonhiccjfbcibdhg</t>
  </si>
  <si>
    <t>pageTrap - Convert URLs to PDFs or Images</t>
  </si>
  <si>
    <t>https://chromewebstore.google.com/detail/hfiemcjbbibdkggfinmbmfepbbmehomc</t>
  </si>
  <si>
    <t>San Proxy</t>
  </si>
  <si>
    <t>https://chromewebstore.google.com/detail/hfkbfaacabmkdnemhpffhhhpnecnmkjg</t>
  </si>
  <si>
    <t>YouTube Playlist Duration Calculator</t>
  </si>
  <si>
    <t>https://chromewebstore.google.com/detail/hfkcllpkaefjfaiiobanmfkabkncfike</t>
  </si>
  <si>
    <t>Auto-Notes taker for Online classes</t>
  </si>
  <si>
    <t>https://chromewebstore.google.com/detail/hflngkajjgpnnedmkbncjngebjohefoc</t>
  </si>
  <si>
    <t>Zing Mp3 Downloader</t>
  </si>
  <si>
    <t>https://chromewebstore.google.com/detail/hfnlihmimmlilelpcclhdhchamjlopgl</t>
  </si>
  <si>
    <t>EasyQuiz  SFU</t>
  </si>
  <si>
    <t>https://chromewebstore.google.com/detail/hfpkpdncnibdboledobffdkpfgccdbpn</t>
  </si>
  <si>
    <t>Invisible Google Slide Control Bar</t>
  </si>
  <si>
    <t>https://chromewebstore.google.com/detail/hgaahalodagndnfjpggmojcbdololagh</t>
  </si>
  <si>
    <t>Signature</t>
  </si>
  <si>
    <t>https://chromewebstore.google.com/detail/hgabbjfneihcmbbcnbnfdnfdcbpodnhp</t>
  </si>
  <si>
    <t>Keyword Extractor</t>
  </si>
  <si>
    <t>https://chromewebstore.google.com/detail/hgdanalmcipcgojcicjenedeaoedebla</t>
  </si>
  <si>
    <t>Hola Translator for Chrome</t>
  </si>
  <si>
    <t>https://chromewebstore.google.com/detail/hgdlbdfhokgghlojnkonhkcdlamolagk</t>
  </si>
  <si>
    <t>Responsive View</t>
  </si>
  <si>
    <t>https://chromewebstore.google.com/detail/hgeefdjnmmeindmchabjodoggbfkhaam</t>
  </si>
  <si>
    <t>stretch reminder</t>
  </si>
  <si>
    <t>https://chromewebstore.google.com/detail/hgfehgeccidmnomgijefcdmmkhobjbpp</t>
  </si>
  <si>
    <t>Accel VPN</t>
  </si>
  <si>
    <t>https://chromewebstore.google.com/detail/hghhhfmjdmdgfjnpkmfbelagbdcjamek</t>
  </si>
  <si>
    <t>https://chromewebstore.google.com/detail/hgipnfbocicekiedonjljfceicobdfgo</t>
  </si>
  <si>
    <t>The Daily Puppy</t>
  </si>
  <si>
    <t>https://chromewebstore.google.com/detail/hgjjflccppnaefhbhboinilggpmlcaff</t>
  </si>
  <si>
    <t>Voicenter Chrome Extension</t>
  </si>
  <si>
    <t>https://chromewebstore.google.com/detail/hgkidiolliocgcfaaoohdjoheoamnmdd</t>
  </si>
  <si>
    <t>Chrome Highlighter</t>
  </si>
  <si>
    <t>https://chromewebstore.google.com/detail/hglnfjenacgcagdcfniidbdakdhdbale</t>
  </si>
  <si>
    <t>Download with Free Download Manager</t>
  </si>
  <si>
    <t>https://chromewebstore.google.com/detail/hgmhpkajleaiioafngcamefgfekmlgfm</t>
  </si>
  <si>
    <t>Deskulous Chrome Extension</t>
  </si>
  <si>
    <t>https://chromewebstore.google.com/detail/hgnipgiknaeinnpcclfendkbppdhjkbd</t>
  </si>
  <si>
    <t>Проигрыватель FLAC для VK</t>
  </si>
  <si>
    <t>https://chromewebstore.google.com/detail/hgoefiiboehgnhnhdhlfckklmamnlfkc</t>
  </si>
  <si>
    <t>Radio Mode for YouTube™</t>
  </si>
  <si>
    <t>https://chromewebstore.google.com/detail/hhbjppdghagniamelnodbhnlbnpmipnm</t>
  </si>
  <si>
    <t>Bindr One-Click</t>
  </si>
  <si>
    <t>https://chromewebstore.google.com/detail/hhfiihfaaibbapieenkaiklejldlhhfd</t>
  </si>
  <si>
    <t>codedoodl.es</t>
  </si>
  <si>
    <t>https://chromewebstore.google.com/detail/hhfnbfhcojlgbojpphigjibpjkccfikh</t>
  </si>
  <si>
    <t>GitHub Launch</t>
  </si>
  <si>
    <t>https://chromewebstore.google.com/detail/hhjdhphdahdiegkachmnakmdbikakplo</t>
  </si>
  <si>
    <t>Study Mode: YouTube</t>
  </si>
  <si>
    <t>https://chromewebstore.google.com/detail/hhjnoabnlicjpahfibejifhankpfahnd</t>
  </si>
  <si>
    <t>https://chromewebstore.google.com/detail/hhklogggdjdonnoldcekmhkdifjapggo</t>
  </si>
  <si>
    <t>Quick Dictionary</t>
  </si>
  <si>
    <t>https://chromewebstore.google.com/detail/hhkpllkpdbjolfmnooionbkpjkeeigjg</t>
  </si>
  <si>
    <t>Comodo UAdBlocker</t>
  </si>
  <si>
    <t>https://chromewebstore.google.com/detail/hhnkmoijlinhobdagnchdhogdmedamce</t>
  </si>
  <si>
    <t>Simple Timer</t>
  </si>
  <si>
    <t>https://chromewebstore.google.com/detail/hhoihjklpidiicnmmlndmpkahnmfmfho</t>
  </si>
  <si>
    <t>Tanaguru webext</t>
  </si>
  <si>
    <t>https://chromewebstore.google.com/detail/hhopdkekcmkdfpdjbpajmmfbheglcaac</t>
  </si>
  <si>
    <t>Confetti Habit Tracker</t>
  </si>
  <si>
    <t>https://chromewebstore.google.com/detail/hicbenbldlkghoodigniooplopgjjpnh</t>
  </si>
  <si>
    <t>高亮关键词</t>
  </si>
  <si>
    <t>https://chromewebstore.google.com/detail/hiemiigjnmkjedjibioplldlbkhekbjk</t>
  </si>
  <si>
    <t>Mindful Internet Use</t>
  </si>
  <si>
    <t>https://chromewebstore.google.com/detail/hieolpjdilnibgamiafklnlcmagdngoo</t>
  </si>
  <si>
    <t>Tommy</t>
  </si>
  <si>
    <t>https://chromewebstore.google.com/detail/higclgihaoclpabfngjkpihkkdfbgihh</t>
  </si>
  <si>
    <t>copy 2 clipboard with ease</t>
  </si>
  <si>
    <t>https://chromewebstore.google.com/detail/hiiobhaaokpmdmkkcaokdlanlemmcoah</t>
  </si>
  <si>
    <t>Touch20</t>
  </si>
  <si>
    <t>https://chromewebstore.google.com/detail/himdgcgphpbdjgkdeiofihmgneenojlg</t>
  </si>
  <si>
    <t>Cute Kittens</t>
  </si>
  <si>
    <t>https://chromewebstore.google.com/detail/himjpafoalifigpnpmigmngiinghljhh</t>
  </si>
  <si>
    <t>Enhanced Image Viewer</t>
  </si>
  <si>
    <t>https://chromewebstore.google.com/detail/hinoflbjclgnnaccbpbenmjomjmiafmc</t>
  </si>
  <si>
    <t>DOM-Analyzer</t>
  </si>
  <si>
    <t>https://chromewebstore.google.com/detail/hjaomadfoogedimonbneolajleaneifj</t>
  </si>
  <si>
    <t>YouTube Anywhere Remote</t>
  </si>
  <si>
    <t>https://chromewebstore.google.com/detail/hjimacdiplfkaobglkdgkmhlamjjlnik</t>
  </si>
  <si>
    <t>o!pp</t>
  </si>
  <si>
    <t>https://chromewebstore.google.com/detail/hjlbhnjnmmfadkobjkmddmgopanllkna</t>
  </si>
  <si>
    <t>MALLTAIL SHIPTOB</t>
  </si>
  <si>
    <t>https://chromewebstore.google.com/detail/hjppbpdnpakbidnpdlekfhenadbnohcb</t>
  </si>
  <si>
    <t>M.I.T. Consulting Token signing</t>
  </si>
  <si>
    <t>https://chromewebstore.google.com/detail/hkckiflbaedpdigcjoeiacmfnlncpeoj</t>
  </si>
  <si>
    <t>Salesforce Debug Log viewer</t>
  </si>
  <si>
    <t>https://chromewebstore.google.com/detail/hkjclebibhoolmdkpahfndidllgbkalg</t>
  </si>
  <si>
    <t>vip播放</t>
  </si>
  <si>
    <t>https://chromewebstore.google.com/detail/hkjmkgflkdnkdbhgomjghknpfhinkonn</t>
  </si>
  <si>
    <t>https://chromewebstore.google.com/detail/hkkjcknodnahjdnemannhkhnfedifkoh</t>
  </si>
  <si>
    <t>arxive</t>
  </si>
  <si>
    <t>https://chromewebstore.google.com/detail/hkoblclipggkhhbllgefhnbjdcajmelh</t>
  </si>
  <si>
    <t>Salesforce Hotkeys (Beta)</t>
  </si>
  <si>
    <t>https://chromewebstore.google.com/detail/hkpmdgakkflkddmiffelfaokkgoamlil</t>
  </si>
  <si>
    <t>Bitbucket Server Extension</t>
  </si>
  <si>
    <t>https://chromewebstore.google.com/detail/hlagecmhpppmpfdifmigdglnhcpnohib</t>
  </si>
  <si>
    <t>My Personal Notepad</t>
  </si>
  <si>
    <t>https://chromewebstore.google.com/detail/hlblemoeejhimmggbhheapknebnlhhnb</t>
  </si>
  <si>
    <t>Auto Ad Mute</t>
  </si>
  <si>
    <t>https://chromewebstore.google.com/detail/hljoencdappihmlkilchbhcjoldimkbn</t>
  </si>
  <si>
    <t>ESSR - Student website security extension</t>
  </si>
  <si>
    <t>https://chromewebstore.google.com/detail/hllkmgbbakimjdblagoeejllkccghbmh</t>
  </si>
  <si>
    <t>Looper</t>
  </si>
  <si>
    <t>https://chromewebstore.google.com/detail/hlnfnoahfgnjnbkdckfnolacbmoknlmi</t>
  </si>
  <si>
    <t>Asterisk Click2Call</t>
  </si>
  <si>
    <t>https://chromewebstore.google.com/detail/hlnmjkbpmnbgeondjeceaomhafdacmlj</t>
  </si>
  <si>
    <t>Ultimedia Premium Videos</t>
  </si>
  <si>
    <t>https://chromewebstore.google.com/detail/hlodlcjfnnoingcnaaicdnjmddaejlnf</t>
  </si>
  <si>
    <t>Notion Slide Shows</t>
  </si>
  <si>
    <t>https://chromewebstore.google.com/detail/hmcfamnbfmaaogikhpkmgkanecnkpkpa</t>
  </si>
  <si>
    <t>Paper Memory</t>
  </si>
  <si>
    <t>https://chromewebstore.google.com/detail/hmebhknlgddhfbbdhgplnillngljgmdi</t>
  </si>
  <si>
    <t>deepl-select-jump</t>
  </si>
  <si>
    <t>https://chromewebstore.google.com/detail/hmejdnnbejbmmpfnpojbmhecjfkkheme</t>
  </si>
  <si>
    <t>Global WA Office</t>
  </si>
  <si>
    <t>https://chromewebstore.google.com/detail/hmfecahlfpofpenneelahhaobgafijhb</t>
  </si>
  <si>
    <t>YouStopper for YouTube™</t>
  </si>
  <si>
    <t>https://chromewebstore.google.com/detail/hmfocflebeolgkehnimcchankdjljepb</t>
  </si>
  <si>
    <t>Netflix Auto Skip</t>
  </si>
  <si>
    <t>https://chromewebstore.google.com/detail/hmhgfkoeogiaopknabgfochofnnijnnn</t>
  </si>
  <si>
    <t>Image Info on Hover</t>
  </si>
  <si>
    <t>https://chromewebstore.google.com/detail/hmhickbbhblacjileplnjeabeeolffkf</t>
  </si>
  <si>
    <t>IntoDNS Chrome</t>
  </si>
  <si>
    <t>https://chromewebstore.google.com/detail/hmipmjjongmaabhjnllmdfehpnimjpjj</t>
  </si>
  <si>
    <t>anihilator</t>
  </si>
  <si>
    <t>https://chromewebstore.google.com/detail/hmkadgiamebgpakhbliibifeaijfnlca</t>
  </si>
  <si>
    <t>Translator for the Breed Bootloader</t>
  </si>
  <si>
    <t>https://chromewebstore.google.com/detail/hmkkdkhgadgmaplnhahncddmmcdegjhi</t>
  </si>
  <si>
    <t>Nike - Notify Me</t>
  </si>
  <si>
    <t>https://chromewebstore.google.com/detail/hnajjdkmjekcoclmnmockmblibnmkbdb</t>
  </si>
  <si>
    <t>blockerDNS Ad &amp; Tracker Blocking</t>
  </si>
  <si>
    <t>https://chromewebstore.google.com/detail/hnbnabjejnidmgpndhgcgmbhadhnicha</t>
  </si>
  <si>
    <t>SmartyDNS - VPN and Smart DNS</t>
  </si>
  <si>
    <t>https://chromewebstore.google.com/detail/hncmdohencefmegacfphphmbplacfjaj</t>
  </si>
  <si>
    <t>Snow Extension</t>
  </si>
  <si>
    <t>https://chromewebstore.google.com/detail/hngdnbnepjjamanhmkgolabelaaladjk</t>
  </si>
  <si>
    <t>Input Cursor Focus</t>
  </si>
  <si>
    <t>https://chromewebstore.google.com/detail/hnhplmcglkomfmoapojflionoibodhla</t>
  </si>
  <si>
    <t>SiteSee | Web Design Inspiration</t>
  </si>
  <si>
    <t>https://chromewebstore.google.com/detail/hnpkjoifldafgenlhognhkfjbpglbmmp</t>
  </si>
  <si>
    <t>Giveaways Twitch</t>
  </si>
  <si>
    <t>https://chromewebstore.google.com/detail/hoaehblonfjfhjimblnicebllhkpanpi</t>
  </si>
  <si>
    <t>Babu Soft Gray Eye Protector</t>
  </si>
  <si>
    <t>https://chromewebstore.google.com/detail/hobpbmcamljoikiiajiopaognabcoceh</t>
  </si>
  <si>
    <t>github-vscode-icons</t>
  </si>
  <si>
    <t>https://chromewebstore.google.com/detail/hoccpcefjcgnabbmojbfoflggkecmpgd</t>
  </si>
  <si>
    <t>POE item English copy</t>
  </si>
  <si>
    <t>https://chromewebstore.google.com/detail/hogfjibfigegjgnilealmgcmaclnfook</t>
  </si>
  <si>
    <t>https://chromewebstore.google.com/detail/hohlhlgjmkmoifphmaloogebclmjnhgb</t>
  </si>
  <si>
    <t>Witchcraft: JS/CSS injector</t>
  </si>
  <si>
    <t>https://chromewebstore.google.com/detail/hokcepcfcicnhalinladgknhaljndhpc</t>
  </si>
  <si>
    <t>Assamese Keyboard</t>
  </si>
  <si>
    <t>https://chromewebstore.google.com/detail/holbbklonohcgehjencimoakedfmoonh</t>
  </si>
  <si>
    <t>Reticle</t>
  </si>
  <si>
    <t>https://chromewebstore.google.com/detail/holbpikmjepcdgpfclodjljclfnpojak</t>
  </si>
  <si>
    <t>Web Ruler</t>
  </si>
  <si>
    <t>https://chromewebstore.google.com/detail/holnmhdkmdnlefbmmcanbcicakfbiopi</t>
  </si>
  <si>
    <t>Unsubscribe Button</t>
  </si>
  <si>
    <t>https://chromewebstore.google.com/detail/hopdblcmcfipdidllgkjflmaopndofmp</t>
  </si>
  <si>
    <t>PowerBI Links</t>
  </si>
  <si>
    <t>https://chromewebstore.google.com/detail/hpbpclohalginomgpnnnalelfnjaeiac</t>
  </si>
  <si>
    <t>Markdown Preview</t>
  </si>
  <si>
    <t>https://chromewebstore.google.com/detail/hpdcheheebhjfkbdbialimlbhoopehil</t>
  </si>
  <si>
    <t>clappr</t>
  </si>
  <si>
    <t>https://chromewebstore.google.com/detail/hpeooigmanddmkodommkgpeoppkacccp</t>
  </si>
  <si>
    <t>Moyenne Directe</t>
  </si>
  <si>
    <t>https://chromewebstore.google.com/detail/hphbefeddlckdmlajndflekopnhgolgb</t>
  </si>
  <si>
    <t>Merch By Amazon Analytics</t>
  </si>
  <si>
    <t>https://chromewebstore.google.com/detail/hpjhbnhnnjbokhecalhbbllcombnbmdl</t>
  </si>
  <si>
    <t>AliExtractor Lite</t>
  </si>
  <si>
    <t>https://chromewebstore.google.com/detail/hpjkfdjeaikfhkponnlcfkcagidigdfm</t>
  </si>
  <si>
    <t>Video Tuner</t>
  </si>
  <si>
    <t>https://chromewebstore.google.com/detail/hplbaefjnkjpbnbkcbkjmdcedcbncppm</t>
  </si>
  <si>
    <t>Botão Justificar Pandemia - SIEPE</t>
  </si>
  <si>
    <t>https://chromewebstore.google.com/detail/hpmlhjbpfidpmpioffejokldcojmljjf</t>
  </si>
  <si>
    <t>CALLIDO Research Tool</t>
  </si>
  <si>
    <t>https://chromewebstore.google.com/detail/hpoppoplmjinccgllbdponidaffcflcc</t>
  </si>
  <si>
    <t>Adaperio</t>
  </si>
  <si>
    <t>https://chromewebstore.google.com/detail/hppojpmpiodfkpibhmjjmknaccnhjaaa</t>
  </si>
  <si>
    <t>Latex Math</t>
  </si>
  <si>
    <t>https://chromewebstore.google.com/detail/iadfnfppbfedncehcbccibaapaeipocd</t>
  </si>
  <si>
    <t>quick cite</t>
  </si>
  <si>
    <t>https://chromewebstore.google.com/detail/iagkfbcmjgeodpjjhafegmjnedpaandi</t>
  </si>
  <si>
    <t>Full screen card view for Trello</t>
  </si>
  <si>
    <t>https://chromewebstore.google.com/detail/iakcnnmjbdoemkjecojadhpinebnkipm</t>
  </si>
  <si>
    <t>GameTop Free Games</t>
  </si>
  <si>
    <t>https://chromewebstore.google.com/detail/iamjbjphhaopopflkbbkddfpbiihangc</t>
  </si>
  <si>
    <t>飞书 Markdown 导出工具</t>
  </si>
  <si>
    <t>https://chromewebstore.google.com/detail/iangopklojclohjcbiobemaknapklaeg</t>
  </si>
  <si>
    <t>aProxy</t>
  </si>
  <si>
    <t>https://chromewebstore.google.com/detail/ibalioppfbgkpnijdonlogccokhmplif</t>
  </si>
  <si>
    <t>MiddleButtonScroll</t>
  </si>
  <si>
    <t>https://chromewebstore.google.com/detail/ibehnpdcgpabccnlefccelhblhphbbpl</t>
  </si>
  <si>
    <t>NuTake</t>
  </si>
  <si>
    <t>https://chromewebstore.google.com/detail/ibhhbcaipjilldjkhhblhgdedjgoecap</t>
  </si>
  <si>
    <t>Robinhood NewsFeed</t>
  </si>
  <si>
    <t>https://chromewebstore.google.com/detail/ibljmcpffldiiccjmnbnpnehgkjddapk</t>
  </si>
  <si>
    <t>Wiktionary Search</t>
  </si>
  <si>
    <t>https://chromewebstore.google.com/detail/ibncmbgpniokogofpkjnlcpfpiodoppk</t>
  </si>
  <si>
    <t>Chrome Scrapbook</t>
  </si>
  <si>
    <t>https://chromewebstore.google.com/detail/ibnjlibjbocfijndlhlfdkjihmjlmibd</t>
  </si>
  <si>
    <t>Модуль E-Staff для Google Chrome (Устаревшая версия)</t>
  </si>
  <si>
    <t>https://chromewebstore.google.com/detail/icebdekglepmmohgnelpphfbonigmfgp</t>
  </si>
  <si>
    <t>Zen Mind: Meditate - Relax - Wallpapers</t>
  </si>
  <si>
    <t>https://chromewebstore.google.com/detail/iceiemadajkmhlnchhmdenbfgnjkjnlh</t>
  </si>
  <si>
    <t>video mirroring</t>
  </si>
  <si>
    <t>https://chromewebstore.google.com/detail/icfblmejfimdamccpnoihghdjdhkaedi</t>
  </si>
  <si>
    <t>Download Tab Shortcut</t>
  </si>
  <si>
    <t>https://chromewebstore.google.com/detail/icgllojphobcelnadkpnpakckhlmnoaa</t>
  </si>
  <si>
    <t>Netflix Lens is now CineLens</t>
  </si>
  <si>
    <t>https://chromewebstore.google.com/detail/icjlfhgfjjmpbfminikodoeipbinmjcm</t>
  </si>
  <si>
    <t>https://chromewebstore.google.com/detail/icncdnmkpbfelimpahkncfjdkdhgammm</t>
  </si>
  <si>
    <t>3D Model Viewer</t>
  </si>
  <si>
    <t>https://chromewebstore.google.com/detail/icnhjdhclnciidcbbafekjogmkdhhgib</t>
  </si>
  <si>
    <t>Easy Twitch Vods</t>
  </si>
  <si>
    <t>https://chromewebstore.google.com/detail/idbnpledljooaelhbodmpjaeimmbdcmo</t>
  </si>
  <si>
    <t>Pacman</t>
  </si>
  <si>
    <t>https://chromewebstore.google.com/detail/idckcaillgcgdmbfldkdajbiipgdcihe</t>
  </si>
  <si>
    <t>Switch Tabs</t>
  </si>
  <si>
    <t>https://chromewebstore.google.com/detail/idiomkjpboogdmkpndeepnkldhbpnnpb</t>
  </si>
  <si>
    <t>Thesaurus for Google Chrome™</t>
  </si>
  <si>
    <t>https://chromewebstore.google.com/detail/idkamlaejpamdckefmbhknakamfgkaih</t>
  </si>
  <si>
    <t>BlackPink Animated New Tab</t>
  </si>
  <si>
    <t>https://chromewebstore.google.com/detail/idnmlamplcoognldklompmmabhlldllo</t>
  </si>
  <si>
    <t>Zero Two Wallpapers New Tab</t>
  </si>
  <si>
    <t>https://chromewebstore.google.com/detail/idpkhlmnodphnlldoadnmflmoiflcbeo</t>
  </si>
  <si>
    <t>Google Hangout Editor</t>
  </si>
  <si>
    <t>https://chromewebstore.google.com/detail/ieadkjmeiojipognhgeomlcdlpgdpekn</t>
  </si>
  <si>
    <t>Multi-Screen Visualizer</t>
  </si>
  <si>
    <t>https://chromewebstore.google.com/detail/iegcbninklpnmdhbmdfbcpjlahemibba</t>
  </si>
  <si>
    <t>SEO Inspector</t>
  </si>
  <si>
    <t>https://chromewebstore.google.com/detail/iejckekdjogeeilmllnabmgkbbmedeal</t>
  </si>
  <si>
    <t>Lastique</t>
  </si>
  <si>
    <t>https://chromewebstore.google.com/detail/iepmcfkedcobclgjlblahmlekodmnmmk</t>
  </si>
  <si>
    <t>Wise Attend</t>
  </si>
  <si>
    <t>https://chromewebstore.google.com/detail/ifbdkkmplemchhmcafjphahhmdgleolp</t>
  </si>
  <si>
    <t>cardr: the next-gen debate evidence collector</t>
  </si>
  <si>
    <t>https://chromewebstore.google.com/detail/ifdnjffggmmjiammdpklgldliaaempce</t>
  </si>
  <si>
    <t>Larry Filter for Twitter</t>
  </si>
  <si>
    <t>https://chromewebstore.google.com/detail/ifgdeokhnfkbgdocafpokgdnnfbnbbok</t>
  </si>
  <si>
    <t>Quest Raspberry</t>
  </si>
  <si>
    <t>https://chromewebstore.google.com/detail/ifhnmgllkaeebiklhakndljclagikoak</t>
  </si>
  <si>
    <t>Simple Slideshow</t>
  </si>
  <si>
    <t>https://chromewebstore.google.com/detail/ifjnjbjmhoicgefokkkeclokbphfaeki</t>
  </si>
  <si>
    <t>Homestuck Companion</t>
  </si>
  <si>
    <t>https://chromewebstore.google.com/detail/iflmcpajnjgcmfcdlokppahkgkolmcfd</t>
  </si>
  <si>
    <t>YouTube Style - Themes for YouTube</t>
  </si>
  <si>
    <t>https://chromewebstore.google.com/detail/ifmcadkgfhfofgnmmhkegecdhallnhge</t>
  </si>
  <si>
    <t>Twitch Clip Downloader</t>
  </si>
  <si>
    <t>https://chromewebstore.google.com/detail/ifmejflahgcnbjoocdchmcfbgcpbpooa</t>
  </si>
  <si>
    <t>Canvas Video Enhancer</t>
  </si>
  <si>
    <t>https://chromewebstore.google.com/detail/ifmencfdmeefbminibdligiflakibpoh</t>
  </si>
  <si>
    <t>NetSuite Links</t>
  </si>
  <si>
    <t>https://chromewebstore.google.com/detail/igafblhljepfhmcccgklehhlbheclmob</t>
  </si>
  <si>
    <t>茶友会 - 淘宝查券助手</t>
  </si>
  <si>
    <t>https://chromewebstore.google.com/detail/igedhbjllcmgidlmhclmphmhlllkibkb</t>
  </si>
  <si>
    <t>Condividi Studio Sapes (ver. 1.0.9)</t>
  </si>
  <si>
    <t>https://chromewebstore.google.com/detail/igeggliaekimdimalkgichjgepnjbnap</t>
  </si>
  <si>
    <t>DeskAthlete</t>
  </si>
  <si>
    <t>https://chromewebstore.google.com/detail/igjaadcoconlababjpkhmjimepgnekdo</t>
  </si>
  <si>
    <t>Quick Notes</t>
  </si>
  <si>
    <t>https://chromewebstore.google.com/detail/igjmkejolekkpjnaeknjgaghhlhhekle</t>
  </si>
  <si>
    <t>JIRA Agile Instant</t>
  </si>
  <si>
    <t>https://chromewebstore.google.com/detail/igkhfelkcokndphgeoimbijbegmfpcep</t>
  </si>
  <si>
    <t>https://chromewebstore.google.com/detail/ignddgemjkghaogmfmokpfplbmoiecde</t>
  </si>
  <si>
    <t>Page Pad : Make quick notes</t>
  </si>
  <si>
    <t>https://chromewebstore.google.com/detail/igobdfagkcadgcfooegonbbeeggagakn</t>
  </si>
  <si>
    <t>Viaplay Subtitles</t>
  </si>
  <si>
    <t>https://chromewebstore.google.com/detail/igolleadgmkcpideghiegkgfnfbodjll</t>
  </si>
  <si>
    <t>Guitar Center</t>
  </si>
  <si>
    <t>https://chromewebstore.google.com/detail/igpnpekckpgidennnogoholpehjgcapk</t>
  </si>
  <si>
    <t>Check-In Chicken</t>
  </si>
  <si>
    <t>https://chromewebstore.google.com/detail/igpoimkggagpelmpjlojcnjddehkoamp</t>
  </si>
  <si>
    <t>Fullscreenrrr - full webpage screenshot</t>
  </si>
  <si>
    <t>https://chromewebstore.google.com/detail/ihaobgceoogckalioenpheioedgjaahk</t>
  </si>
  <si>
    <t>Profile DB</t>
  </si>
  <si>
    <t>https://chromewebstore.google.com/detail/ihaojehalhppjmffmpanipimfpkhacnk</t>
  </si>
  <si>
    <t>YGOWiki Redirector</t>
  </si>
  <si>
    <t>https://chromewebstore.google.com/detail/ihcahckdmfgebcihagehdfcdopmjmcjp</t>
  </si>
  <si>
    <t>SnapIt</t>
  </si>
  <si>
    <t>https://chromewebstore.google.com/detail/ihcoajeckiamdgjipkokhcggolflbinf</t>
  </si>
  <si>
    <t>板栗节点</t>
  </si>
  <si>
    <t>https://chromewebstore.google.com/detail/ihdmmfkidjhokdgchkddpnhmbjdlpbkp</t>
  </si>
  <si>
    <t>Dumpert Download Extensie</t>
  </si>
  <si>
    <t>https://chromewebstore.google.com/detail/ihebbaifpapaepmdmcphkepihalaibee</t>
  </si>
  <si>
    <t>BrowserFairy</t>
  </si>
  <si>
    <t>https://chromewebstore.google.com/detail/ihfblkkmkmcgejfkgmkiipplonimjnec</t>
  </si>
  <si>
    <t>PassCamp: Password Manager</t>
  </si>
  <si>
    <t>https://chromewebstore.google.com/detail/ihhllachgimmobopggdgbknfodhkkjbn</t>
  </si>
  <si>
    <t>123Greetings eCards</t>
  </si>
  <si>
    <t>https://chromewebstore.google.com/detail/iicjcloailigfcpaikaoklmekegcahhk</t>
  </si>
  <si>
    <t>RunMyCode Online</t>
  </si>
  <si>
    <t>https://chromewebstore.google.com/detail/iidcnkpdmnopbbkdmneglbelcefgfohf</t>
  </si>
  <si>
    <t>Google Scholar Tools</t>
  </si>
  <si>
    <t>https://chromewebstore.google.com/detail/iifbfdeeneklajclonmnjbmakdniikep</t>
  </si>
  <si>
    <t>Barry's Image Zoom</t>
  </si>
  <si>
    <t>https://chromewebstore.google.com/detail/iihenfcdndalmajfmebbiajgejocengf</t>
  </si>
  <si>
    <t>FUT Ultimate Sniper Trading Kit for Android</t>
  </si>
  <si>
    <t>https://chromewebstore.google.com/detail/iiibfipobpiinhifgobbilpmijinambj</t>
  </si>
  <si>
    <t>Youzign</t>
  </si>
  <si>
    <t>https://chromewebstore.google.com/detail/iiidlaodookaobikpdnlpacodackhbfk</t>
  </si>
  <si>
    <t>Scroll Buddy</t>
  </si>
  <si>
    <t>https://chromewebstore.google.com/detail/iijemcphocnlembodanflickfiafjnmk</t>
  </si>
  <si>
    <t>Boom - 视频办公协同工具</t>
  </si>
  <si>
    <t>https://chromewebstore.google.com/detail/iikaeeiidojdmhlmgkhndkpblahibgok</t>
  </si>
  <si>
    <t>IPvFooBar</t>
  </si>
  <si>
    <t>https://chromewebstore.google.com/detail/iimpkhokkfekbpmoamlmcndclohnehhk</t>
  </si>
  <si>
    <t>Placeholdifier</t>
  </si>
  <si>
    <t>https://chromewebstore.google.com/detail/iinkgkmmblamljaklibgclblomobdbha</t>
  </si>
  <si>
    <t>NSzx Music Player</t>
  </si>
  <si>
    <t>https://chromewebstore.google.com/detail/iinlmmcaihpbbpcgmfppbempfbiahmna</t>
  </si>
  <si>
    <t>RoamThemes</t>
  </si>
  <si>
    <t>https://chromewebstore.google.com/detail/iinnlcahmailoholehlbhbefddpbojpa</t>
  </si>
  <si>
    <t>Hartico Flash Enabler</t>
  </si>
  <si>
    <t>https://chromewebstore.google.com/detail/iiokblnaglmiafdbegeffodnjoobagml</t>
  </si>
  <si>
    <t>Custom Chrome Shortcut Manager</t>
  </si>
  <si>
    <t>https://chromewebstore.google.com/detail/ijihchgjhagfhdkhagnmlebpepjlecml</t>
  </si>
  <si>
    <t>Jarvis - Zerodha Trading helper</t>
  </si>
  <si>
    <t>https://chromewebstore.google.com/detail/ijobgiajjnljalbobenleknenhkcionc</t>
  </si>
  <si>
    <t>ApexCase Capitalizer</t>
  </si>
  <si>
    <t>https://chromewebstore.google.com/detail/ijoemkoipbejbfmedlellkdidiopecfg</t>
  </si>
  <si>
    <t>SFCC / Demandware BM Session Keep Alive</t>
  </si>
  <si>
    <t>https://chromewebstore.google.com/detail/ijpanngdfpjaogfmobflgnhfpagcidjl</t>
  </si>
  <si>
    <t>Eyes Alarm</t>
  </si>
  <si>
    <t>https://chromewebstore.google.com/detail/ikapkidffcmjhlkgdgcbakcahgfbabnb</t>
  </si>
  <si>
    <t>FullyFeedly</t>
  </si>
  <si>
    <t>https://chromewebstore.google.com/detail/ikdncbjpcpkheefmnbicggciklkeebmp</t>
  </si>
  <si>
    <t>Random Background Color</t>
  </si>
  <si>
    <t>https://chromewebstore.google.com/detail/ikglgnekadileanonnapmgkeklpgjifk</t>
  </si>
  <si>
    <t>Cookie clicker, clicker</t>
  </si>
  <si>
    <t>https://chromewebstore.google.com/detail/ikkmlinflfffinhglacakfnkapjfpkno</t>
  </si>
  <si>
    <t>Focusalarm</t>
  </si>
  <si>
    <t>https://chromewebstore.google.com/detail/ilcajdpmgfbeggnpffmohcopdgpcdndh</t>
  </si>
  <si>
    <t>Coronavirus Live Status | COVID-19 Simulator</t>
  </si>
  <si>
    <t>https://chromewebstore.google.com/detail/ilfokbeknllmcepedkagnjciemcjncpc</t>
  </si>
  <si>
    <t>打工度假自动填表插件-大X-纽澳多用版</t>
  </si>
  <si>
    <t>https://chromewebstore.google.com/detail/iliebjbhkdndcfhhpcdebgiecbgjilne</t>
  </si>
  <si>
    <t>Esportal AutoAccept</t>
  </si>
  <si>
    <t>https://chromewebstore.google.com/detail/iligknooplmpldohcehdaoeimhbkccga</t>
  </si>
  <si>
    <t>Bat! Images Hunter</t>
  </si>
  <si>
    <t>https://chromewebstore.google.com/detail/imaaiilmcbpokolbjlimgccaifclhama</t>
  </si>
  <si>
    <t>Kontest Reminder</t>
  </si>
  <si>
    <t>https://chromewebstore.google.com/detail/imdlnagpdjhelkapllclmdogjobpoihg</t>
  </si>
  <si>
    <t>Mapview for Kijiji™</t>
  </si>
  <si>
    <t>https://chromewebstore.google.com/detail/imebnbicmjechdnmmibhehpkkaaamijo</t>
  </si>
  <si>
    <t>Physics Sandbox</t>
  </si>
  <si>
    <t>https://chromewebstore.google.com/detail/imfahbojndienpabmejppmflepmnikfl</t>
  </si>
  <si>
    <t>Analytics Watcher</t>
  </si>
  <si>
    <t>https://chromewebstore.google.com/detail/impckkpjcejdmacpmkpegegnpagddajk</t>
  </si>
  <si>
    <t>KosmoTime extension</t>
  </si>
  <si>
    <t>https://chromewebstore.google.com/detail/ineblhlndelngcbhcmjjomgjggmhkkmi</t>
  </si>
  <si>
    <t>Gmail™ Notifier (Developer Edition)</t>
  </si>
  <si>
    <t>https://chromewebstore.google.com/detail/inglgcknnendooehdkhplbmhhbfkngmg</t>
  </si>
  <si>
    <t>My Tasks: Todo-List for Google Chrome</t>
  </si>
  <si>
    <t>https://chromewebstore.google.com/detail/inhhamgcakfdohnnppfnehdbjomiglbp</t>
  </si>
  <si>
    <t>Chrome Url Saver</t>
  </si>
  <si>
    <t>https://chromewebstore.google.com/detail/inhocmadkfmhncnfjpkjfnojfdiaghfg</t>
  </si>
  <si>
    <t>Idõjárás - Magyar nagyvárosok</t>
  </si>
  <si>
    <t>https://chromewebstore.google.com/detail/inicpkmkmcfgnembpecjakbgoioklcnk</t>
  </si>
  <si>
    <t>ORDERQC.COM - ĐẶT HÀNG TRÊN TAOBAO 1688 TMALL</t>
  </si>
  <si>
    <t>https://chromewebstore.google.com/detail/inkakhlnhbkdffpnlfpmbinhmodpjdin</t>
  </si>
  <si>
    <t>Google Meet Random Picker</t>
  </si>
  <si>
    <t>https://chromewebstore.google.com/detail/iodkgkdaapibojgkceoclhgjpahblkio</t>
  </si>
  <si>
    <t>Mobrem</t>
  </si>
  <si>
    <t>https://chromewebstore.google.com/detail/ioejcchhffpmcjkjmkkgpndhobjbdgml</t>
  </si>
  <si>
    <t>SearchGuard — Smart Search</t>
  </si>
  <si>
    <t>https://chromewebstore.google.com/detail/ioemepjpplneldnhflchbllkbjgfceho</t>
  </si>
  <si>
    <t>Ipynb Files Viewer</t>
  </si>
  <si>
    <t>https://chromewebstore.google.com/detail/iohfdefnnffaejpacklikjbjhnfcmbej</t>
  </si>
  <si>
    <t>Twitch clip/VOD sync</t>
  </si>
  <si>
    <t>https://chromewebstore.google.com/detail/iolfhmhipbbpacmhhffkjelgkadnffid</t>
  </si>
  <si>
    <t>4th Office Edit</t>
  </si>
  <si>
    <t>https://chromewebstore.google.com/detail/iolllppockafcienapcpdpbmbdolbpgn</t>
  </si>
  <si>
    <t>One Click To Full Screen Window</t>
  </si>
  <si>
    <t>https://chromewebstore.google.com/detail/iomchefffddaglnekonfihdnccacnjjb</t>
  </si>
  <si>
    <t>Convert To Popup</t>
  </si>
  <si>
    <t>https://chromewebstore.google.com/detail/ipbclffpmnocdigdcpmahfmdlibcggal</t>
  </si>
  <si>
    <t>QRCodePro</t>
  </si>
  <si>
    <t>https://chromewebstore.google.com/detail/ipblkdfaeagmojkgohnhiknbmepfokdd</t>
  </si>
  <si>
    <t>Narwallets V3</t>
  </si>
  <si>
    <t>https://chromewebstore.google.com/detail/ipbomjpcpbebobdnkoogngmknkohncjd</t>
  </si>
  <si>
    <t>Imgflip Quick Create</t>
  </si>
  <si>
    <t>https://chromewebstore.google.com/detail/ipdbhnffahpohpdkcelabahpmlheidff</t>
  </si>
  <si>
    <t>Paris Wallpaper</t>
  </si>
  <si>
    <t>https://chromewebstore.google.com/detail/ipeedobjpnifnedmipdjkhddenoghcgm</t>
  </si>
  <si>
    <t>Tab Extract</t>
  </si>
  <si>
    <t>https://chromewebstore.google.com/detail/iphchnegaodmijmkdlbhbanjhfphhikp</t>
  </si>
  <si>
    <t>刀剣専覧-刀剣乱舞専用ブラウザ</t>
  </si>
  <si>
    <t>https://chromewebstore.google.com/detail/iphpjhbabehcmdjobbjmbkgbbgipnppo</t>
  </si>
  <si>
    <t>GameofSpoils: Game of Thrones Spoiler Blocker</t>
  </si>
  <si>
    <t>https://chromewebstore.google.com/detail/ipjhpmdippbajafafidlinjjmfkdamci</t>
  </si>
  <si>
    <t>Organize Downloads by Date</t>
  </si>
  <si>
    <t>https://chromewebstore.google.com/detail/ipjljbilkibpncgnagphiamkkdilbbki</t>
  </si>
  <si>
    <t>Enhance Facebook™ Livestream</t>
  </si>
  <si>
    <t>https://chromewebstore.google.com/detail/ipjokmngflkhejjllgjoiikojlnlkoop</t>
  </si>
  <si>
    <t>StoryPoint for Asana</t>
  </si>
  <si>
    <t>https://chromewebstore.google.com/detail/ipkcinfcdhhcmibffhlklololceffgnc</t>
  </si>
  <si>
    <t>JSON Formatter for API</t>
  </si>
  <si>
    <t>https://chromewebstore.google.com/detail/ipofikknncgcohpploljmbmpkgamedmi</t>
  </si>
  <si>
    <t>Pou Games New Tab</t>
  </si>
  <si>
    <t>https://chromewebstore.google.com/detail/jaccdpaccdpnonbghbpigkjjjlollmak</t>
  </si>
  <si>
    <t>HTML5 Audio Description (via text to speech)</t>
  </si>
  <si>
    <t>https://chromewebstore.google.com/detail/jafenodgdcelmajjnbcchlfjomlkaifp</t>
  </si>
  <si>
    <t>Llamada Web</t>
  </si>
  <si>
    <t>https://chromewebstore.google.com/detail/jakahgbcggmbjgkfjghonlokknhkdfeg</t>
  </si>
  <si>
    <t>Breakpoint</t>
  </si>
  <si>
    <t>https://chromewebstore.google.com/detail/jakokfjpnhpnhilgnlnkaihmkhdfhhmh</t>
  </si>
  <si>
    <t>Twetch Wallet</t>
  </si>
  <si>
    <t>https://chromewebstore.google.com/detail/jaooiolkmfcmloonphpiiogkfckgciom</t>
  </si>
  <si>
    <t>FirstDraftNewsCheck</t>
  </si>
  <si>
    <t>https://chromewebstore.google.com/detail/japockpeaaanknlkhagilkgcledilbfk</t>
  </si>
  <si>
    <t>Language Switcher for Google™</t>
  </si>
  <si>
    <t>https://chromewebstore.google.com/detail/jbbappjmafnnhhalfbhdhiemchcgejcp</t>
  </si>
  <si>
    <t>Auto Hide Cursor</t>
  </si>
  <si>
    <t>https://chromewebstore.google.com/detail/jbbnnopgaidlnbefoiebogfaebmehbda</t>
  </si>
  <si>
    <t>https://chromewebstore.google.com/detail/jbbpfbflcaebghkmocpbmbgekomglnan</t>
  </si>
  <si>
    <t>New Tab with Apps</t>
  </si>
  <si>
    <t>https://chromewebstore.google.com/detail/jbfelchjnicpmdnfmcfpfajkdpibabkl</t>
  </si>
  <si>
    <t>Letterboxd Enhanced</t>
  </si>
  <si>
    <t>https://chromewebstore.google.com/detail/jbfocblhjmlekemmngloodkpeocfkabc</t>
  </si>
  <si>
    <t>Trello Board Printer</t>
  </si>
  <si>
    <t>https://chromewebstore.google.com/detail/jbgpfjbmmlcaicpeimjggdppephemamf</t>
  </si>
  <si>
    <t>Nova Guia Redirect</t>
  </si>
  <si>
    <t>https://chromewebstore.google.com/detail/jbkojnjgjfpgmnjcmdkgjjpbgchblkjn</t>
  </si>
  <si>
    <t>Gotanda</t>
  </si>
  <si>
    <t>https://chromewebstore.google.com/detail/jbmdcdfnnpenkgliplbglfpninigbiml</t>
  </si>
  <si>
    <t>Refresh all windows</t>
  </si>
  <si>
    <t>https://chromewebstore.google.com/detail/jbmkeloifnkohclofiomelojjgpdjjcp</t>
  </si>
  <si>
    <t>Enjoy Dash</t>
  </si>
  <si>
    <t>https://chromewebstore.google.com/detail/jbmlplamocjhjhodhcnampkkbopjabhl</t>
  </si>
  <si>
    <t>https://chromewebstore.google.com/detail/jbnlafikncgjjhdkmfhokcplgahebmjl</t>
  </si>
  <si>
    <t>JustDubs - Watch Anime Online in High Quality</t>
  </si>
  <si>
    <t>https://chromewebstore.google.com/detail/jbokjdopkpibagemeeelbkfhcldefkkp</t>
  </si>
  <si>
    <t>Economist Radio</t>
  </si>
  <si>
    <t>https://chromewebstore.google.com/detail/jbooignbehgkkjfeiojiijijdpjoinco</t>
  </si>
  <si>
    <t>FireX Proxy</t>
  </si>
  <si>
    <t>https://chromewebstore.google.com/detail/jccfbhillgcekaepchoahodacnlhcbnj</t>
  </si>
  <si>
    <t>WebConnect Screenshare Extension</t>
  </si>
  <si>
    <t>https://chromewebstore.google.com/detail/jccnghfeobcbfenibcgfkcadhdnchegp</t>
  </si>
  <si>
    <t>Parameters Editor</t>
  </si>
  <si>
    <t>https://chromewebstore.google.com/detail/jcfdalmioobeifbpcgjghhaifimaeaca</t>
  </si>
  <si>
    <t>Work Mode</t>
  </si>
  <si>
    <t>https://chromewebstore.google.com/detail/jchkcjcaaoajpabnafbijhamndjfklec</t>
  </si>
  <si>
    <t>Elastic COBOL</t>
  </si>
  <si>
    <t>https://chromewebstore.google.com/detail/jcjomfhhhgknfhodkcjpagdibgnbdgna</t>
  </si>
  <si>
    <t>Parrot Devtools</t>
  </si>
  <si>
    <t>https://chromewebstore.google.com/detail/jckchajdleibnohnphddbiglgpjpbffn</t>
  </si>
  <si>
    <t>Web Collector for MAXQDA 2018 and 12</t>
  </si>
  <si>
    <t>https://chromewebstore.google.com/detail/jclikkcolnhlpnlcecldfigfdeocdgpf</t>
  </si>
  <si>
    <t>PythonAnywhere</t>
  </si>
  <si>
    <t>https://chromewebstore.google.com/detail/jdbdoclhimkcngmlcphcfgaeklpmlkap</t>
  </si>
  <si>
    <t>无错字 - 中文智能校对</t>
  </si>
  <si>
    <t>https://chromewebstore.google.com/detail/jdblagejdbkmjfbnppiggfeiglefmpfk</t>
  </si>
  <si>
    <t>Google Keep Window Resizer</t>
  </si>
  <si>
    <t>https://chromewebstore.google.com/detail/jdhkkkapgdggbnglgficlikfkcbfebec</t>
  </si>
  <si>
    <t>YouTube Comment Language Filter</t>
  </si>
  <si>
    <t>https://chromewebstore.google.com/detail/jdiikkhlhlgndjllhoinidnkbgkjfepe</t>
  </si>
  <si>
    <t>Ask Historians Comment Helper</t>
  </si>
  <si>
    <t>https://chromewebstore.google.com/detail/jdkfbkogojpmdmpnkgjcgpngkkmhdfem</t>
  </si>
  <si>
    <t>Funimation Dark Mode</t>
  </si>
  <si>
    <t>https://chromewebstore.google.com/detail/jebjmpoblhckkhjpegbcgpbhdpalbpih</t>
  </si>
  <si>
    <t>Right Click Bookmark</t>
  </si>
  <si>
    <t>https://chromewebstore.google.com/detail/jeccccjfpjoheejopfjmhcbkdeiohfgg</t>
  </si>
  <si>
    <t>BTS Vkook Wallpapers - V &amp; Jungkook New Tab</t>
  </si>
  <si>
    <t>https://chromewebstore.google.com/detail/jecjgcceeafhbkoemdmeocbdphhacbfi</t>
  </si>
  <si>
    <t>NoteTaker</t>
  </si>
  <si>
    <t>https://chromewebstore.google.com/detail/jedmfdadjflnlakpidicccpibkdfpeap</t>
  </si>
  <si>
    <t>Discord Notebook</t>
  </si>
  <si>
    <t>https://chromewebstore.google.com/detail/jeeilfacglnffgflhgmciaegglekjlod</t>
  </si>
  <si>
    <t>Tra câu</t>
  </si>
  <si>
    <t>https://chromewebstore.google.com/detail/jefpknpgklhhhnagffflpaffceilmohg</t>
  </si>
  <si>
    <t>Image Compressor</t>
  </si>
  <si>
    <t>https://chromewebstore.google.com/detail/jellomkphijifcoeoefbniimkdehcjfl</t>
  </si>
  <si>
    <t>Myschoolapp GPA Calculator</t>
  </si>
  <si>
    <t>https://chromewebstore.google.com/detail/jfbodkjgjenlagkjepebmpnhekihgplo</t>
  </si>
  <si>
    <t>Phlinx</t>
  </si>
  <si>
    <t>https://chromewebstore.google.com/detail/jfempmidaeihapfgebideoelfjgnegab</t>
  </si>
  <si>
    <t>New Tab Metro</t>
  </si>
  <si>
    <t>https://chromewebstore.google.com/detail/jffahhmaajjplmpgfpeihhifecgcocmk</t>
  </si>
  <si>
    <t>ProtonMail (unofficial)</t>
  </si>
  <si>
    <t>https://chromewebstore.google.com/detail/jfiaocmgamojjagpllpljapgekgmkaje</t>
  </si>
  <si>
    <t>eBay.in Affiliate Link Generator</t>
  </si>
  <si>
    <t>https://chromewebstore.google.com/detail/jfjbbakkeggpkjklfdiacnchjjmocoac</t>
  </si>
  <si>
    <t>easy inspect</t>
  </si>
  <si>
    <t>https://chromewebstore.google.com/detail/jfjjlnififpkkkbbgdncaolfocgkdecm</t>
  </si>
  <si>
    <t>Better Ctrl-W</t>
  </si>
  <si>
    <t>https://chromewebstore.google.com/detail/jfknaapblnppeflfamkegnnonlfgokhp</t>
  </si>
  <si>
    <t>GameHunters.Club Share Bonus Links</t>
  </si>
  <si>
    <t>https://chromewebstore.google.com/detail/jflpleoegnheglmefkpcjbmbolhiffdi</t>
  </si>
  <si>
    <t>Accelerated Mobile Pages(AMP) Test</t>
  </si>
  <si>
    <t>https://chromewebstore.google.com/detail/jgnfpjioblcgjidmekaikhkpkapfifhd</t>
  </si>
  <si>
    <t>ColorDeck for Tweetdeck</t>
  </si>
  <si>
    <t>https://chromewebstore.google.com/detail/jgoilgghdiafcdpgaddhfnlnhjhiejjl</t>
  </si>
  <si>
    <t>Ancestry DNA Paths (beta)</t>
  </si>
  <si>
    <t>https://chromewebstore.google.com/detail/jgpfopdbickmplomaophdeafcoenhpep</t>
  </si>
  <si>
    <t>Delicious Reloaded</t>
  </si>
  <si>
    <t>https://chromewebstore.google.com/detail/jgplakhhiofpgplgbjgohnjfnkiafncd</t>
  </si>
  <si>
    <t>Instagram Downloader</t>
  </si>
  <si>
    <t>https://chromewebstore.google.com/detail/jhbapkbempcealhabaeicidlgbmhafmk</t>
  </si>
  <si>
    <t>Regram Later - Instagram Repost for Later</t>
  </si>
  <si>
    <t>https://chromewebstore.google.com/detail/jhblbpejbfgogmhhkaeeicanbgaaehid</t>
  </si>
  <si>
    <t>GBF Raiders 2: The Chrome Extenstion Identity</t>
  </si>
  <si>
    <t>https://chromewebstore.google.com/detail/jhdcbkpphfaclidacgbnnaphoilhgipm</t>
  </si>
  <si>
    <t>LionBlock</t>
  </si>
  <si>
    <t>https://chromewebstore.google.com/detail/jhdmlgkbngkbonnfkknnmeohkomcnagk</t>
  </si>
  <si>
    <t>Add to Shaarli</t>
  </si>
  <si>
    <t>https://chromewebstore.google.com/detail/jhfblapoehcfajokolimghdfmeeakbee</t>
  </si>
  <si>
    <t>SteemKeychain</t>
  </si>
  <si>
    <t>https://chromewebstore.google.com/detail/jhgnbkkipaallpehbohjmkbjofjdmeid</t>
  </si>
  <si>
    <t>Youtube Video Effects</t>
  </si>
  <si>
    <t>https://chromewebstore.google.com/detail/jhnjkibnbggodedbajpnkdehambhddjk</t>
  </si>
  <si>
    <t>Read Up - look up a book’s reading level</t>
  </si>
  <si>
    <t>https://chromewebstore.google.com/detail/jhoineohanallgjdgfeebmoejgjmlibk</t>
  </si>
  <si>
    <t>Salesla</t>
  </si>
  <si>
    <t>https://chromewebstore.google.com/detail/jhojofcfcoaehegceklibimbbjejdjfo</t>
  </si>
  <si>
    <t>Color Contrast Checker</t>
  </si>
  <si>
    <t>https://chromewebstore.google.com/detail/jibccbkkepidahndjomdfbmbnfappopf</t>
  </si>
  <si>
    <t>Amazon Invoice Downloader</t>
  </si>
  <si>
    <t>https://chromewebstore.google.com/detail/jibfakcjhhekoolfogeejilflpcnbnel</t>
  </si>
  <si>
    <t>Password Tote</t>
  </si>
  <si>
    <t>https://chromewebstore.google.com/detail/jicglelpanknddlcpkflelfbaciblgdk</t>
  </si>
  <si>
    <t>Web Data Monitor</t>
  </si>
  <si>
    <t>https://chromewebstore.google.com/detail/jicncdodkpdlndbppohjljcggoemckjp</t>
  </si>
  <si>
    <t>REKKITZ+</t>
  </si>
  <si>
    <t>https://chromewebstore.google.com/detail/jidjocdchokabfoljbhpdiejiddilnop</t>
  </si>
  <si>
    <t>JW What is New?</t>
  </si>
  <si>
    <t>https://chromewebstore.google.com/detail/jieipmflhhlbimogheoejpchlebnpfie</t>
  </si>
  <si>
    <t>Aesthetic Symbols</t>
  </si>
  <si>
    <t>https://chromewebstore.google.com/detail/jieoklljhhfecfdhgobapbbjlpkdlmli</t>
  </si>
  <si>
    <t>DRCast</t>
  </si>
  <si>
    <t>https://chromewebstore.google.com/detail/jifnokgbglfegkimjdociknefoaapfpe</t>
  </si>
  <si>
    <t>Picture in Picture Button</t>
  </si>
  <si>
    <t>https://chromewebstore.google.com/detail/jinpkmfakkbmiimemppkhgjeogbdbnid</t>
  </si>
  <si>
    <t>Simplifly</t>
  </si>
  <si>
    <t>https://chromewebstore.google.com/detail/jioeflccmbeaeelfklklmbdjcbdeccnh</t>
  </si>
  <si>
    <t>VKfoxx</t>
  </si>
  <si>
    <t>https://chromewebstore.google.com/detail/jiopicfpmajlonjbckpdejadefhgmakc</t>
  </si>
  <si>
    <t>GameHelper - Tentlan</t>
  </si>
  <si>
    <t>https://chromewebstore.google.com/detail/jjacckjcdoeapengmjdmkdehpbjgndhd</t>
  </si>
  <si>
    <t>Word Changer</t>
  </si>
  <si>
    <t>https://chromewebstore.google.com/detail/jjaeodeafkbbimejiboehejbdgpebjcd</t>
  </si>
  <si>
    <t>Cambridge Dictionary In Total</t>
  </si>
  <si>
    <t>https://chromewebstore.google.com/detail/jjahknhonoemjpjjccbmljjmjggidpoa</t>
  </si>
  <si>
    <t>Wordie!</t>
  </si>
  <si>
    <t>https://chromewebstore.google.com/detail/jjbabalpgmamghijhepnkdimbpomefbo</t>
  </si>
  <si>
    <t>OSIRIS: OSINT Reputation Intelligent Search</t>
  </si>
  <si>
    <t>https://chromewebstore.google.com/detail/jjdjccppehnjdennppcnlnaadcdlffdf</t>
  </si>
  <si>
    <t>Nakupuj bez Andreje</t>
  </si>
  <si>
    <t>https://chromewebstore.google.com/detail/jjealpfmifpaeoakfjbafddkhmkbnkmg</t>
  </si>
  <si>
    <t>Zebra Printer</t>
  </si>
  <si>
    <t>https://chromewebstore.google.com/detail/jjelffefampmaekfacjlhkacbnggbceg</t>
  </si>
  <si>
    <t>Table Tools</t>
  </si>
  <si>
    <t>https://chromewebstore.google.com/detail/jjepabgdfhnikhbpfkbaahaioeheigdc</t>
  </si>
  <si>
    <t>Citizen Ex</t>
  </si>
  <si>
    <t>https://chromewebstore.google.com/detail/jjfgpjihgigboplilbcehdbacklfgjlp</t>
  </si>
  <si>
    <t>McQueen Monitor</t>
  </si>
  <si>
    <t>https://chromewebstore.google.com/detail/jjjmjikebpnpehpgebjibjdkdkpmbcgn</t>
  </si>
  <si>
    <t>Sotel.vn</t>
  </si>
  <si>
    <t>https://chromewebstore.google.com/detail/jjmdjpaemngddcgfgpbcijjcannbigoh</t>
  </si>
  <si>
    <t>Quick View for Google Calendar</t>
  </si>
  <si>
    <t>https://chromewebstore.google.com/detail/jjmfhjhfkipdojpiohplpfoliolcemlp</t>
  </si>
  <si>
    <t>Youtube Ad Skipper</t>
  </si>
  <si>
    <t>https://chromewebstore.google.com/detail/jkboihlnedihckbjohaeiollighbpddo</t>
  </si>
  <si>
    <t>Utah Law Formatting</t>
  </si>
  <si>
    <t>https://chromewebstore.google.com/detail/jkccfahhcjiggkgakkinjdipljallmkf</t>
  </si>
  <si>
    <t>Video Favorites</t>
  </si>
  <si>
    <t>https://chromewebstore.google.com/detail/jkdhmahpbiogkhmkeiekiogogkbnkmln</t>
  </si>
  <si>
    <t>Cherry Blossom Petals</t>
  </si>
  <si>
    <t>https://chromewebstore.google.com/detail/jkfkkhnehbgnaenppohbjehflonfhefb</t>
  </si>
  <si>
    <t>Chrome Dashboard</t>
  </si>
  <si>
    <t>https://chromewebstore.google.com/detail/jkhcdncinkkdajmcgapnpnjegcgonmkb</t>
  </si>
  <si>
    <t>Real Madrid Monitor</t>
  </si>
  <si>
    <t>https://chromewebstore.google.com/detail/jkkkccnaigkmkjljjldddhhjjfjbdiga</t>
  </si>
  <si>
    <t>Local Time - Automatic Time Zone Converter</t>
  </si>
  <si>
    <t>https://chromewebstore.google.com/detail/jkmnfhflkgcekodgohnkcmecndbghigp</t>
  </si>
  <si>
    <t>Bandcast</t>
  </si>
  <si>
    <t>https://chromewebstore.google.com/detail/jlbdldmegomhlplbfkinpkfffdhcpdmm</t>
  </si>
  <si>
    <t>Automation</t>
  </si>
  <si>
    <t>https://chromewebstore.google.com/detail/jldomlpgobfdlloikpngnjbdidonfjhj</t>
  </si>
  <si>
    <t>Google Meets Attendance Names</t>
  </si>
  <si>
    <t>https://chromewebstore.google.com/detail/jleaiaokbancbkmpebmgfafnodjfhngd</t>
  </si>
  <si>
    <t>UMP Timer</t>
  </si>
  <si>
    <t>https://chromewebstore.google.com/detail/jlhijknhcoghgfkokndpffmfmoebficg</t>
  </si>
  <si>
    <t>simple-debug.css</t>
  </si>
  <si>
    <t>https://chromewebstore.google.com/detail/jlkgkebpphmaiemciejnmgccejccnpha</t>
  </si>
  <si>
    <t>Kill fbclid</t>
  </si>
  <si>
    <t>https://chromewebstore.google.com/detail/jlmdkcaiejonohbmkgickmkgbpceokmn</t>
  </si>
  <si>
    <t>راديو القرآن الكريم - Islamic Quran Radio</t>
  </si>
  <si>
    <t>https://chromewebstore.google.com/detail/jlphgahloknbjaldldejcjmmknhgpfpm</t>
  </si>
  <si>
    <t>성능점검 접속 Plug-in</t>
  </si>
  <si>
    <t>https://chromewebstore.google.com/detail/jlpncnjcpiellaedjhhclogeppnophbo</t>
  </si>
  <si>
    <t>QR Code Maker</t>
  </si>
  <si>
    <t>https://chromewebstore.google.com/detail/jmadehfbknkdlbhiajnmpodahfloajgk</t>
  </si>
  <si>
    <t>Caged</t>
  </si>
  <si>
    <t>https://chromewebstore.google.com/detail/jmakiemlndlphoffgdjmhlghbcnionmc</t>
  </si>
  <si>
    <t>Tabby - Window and Tab Manager</t>
  </si>
  <si>
    <t>https://chromewebstore.google.com/detail/jmfopcggkdciofgckgnhcoacjjipopjc</t>
  </si>
  <si>
    <t>html Fire</t>
  </si>
  <si>
    <t>https://chromewebstore.google.com/detail/jmibaelpbeoflbmehlelmhgfpongfnke</t>
  </si>
  <si>
    <t>Auto refresh actual webpage</t>
  </si>
  <si>
    <t>https://chromewebstore.google.com/detail/jmpaeglcabhpohgbfcehemlgophfjikk</t>
  </si>
  <si>
    <t>Open with Photoscape</t>
  </si>
  <si>
    <t>https://chromewebstore.google.com/detail/jncleaahefkafljcnbdcfafidhhgkcjc</t>
  </si>
  <si>
    <t>Oracle Eloqua Sales Tools</t>
  </si>
  <si>
    <t>https://chromewebstore.google.com/detail/jngjmljecflgeoiagcladdhcpalcdfpm</t>
  </si>
  <si>
    <t>PawBlock</t>
  </si>
  <si>
    <t>https://chromewebstore.google.com/detail/jngmmiaolbliepfphdnelgfcclpnkoja</t>
  </si>
  <si>
    <t>Inglourious Grammer</t>
  </si>
  <si>
    <t>https://chromewebstore.google.com/detail/jnnfgjmkpfdbkibfgemojefdmjalnaal</t>
  </si>
  <si>
    <t>Mute for Google Meet™</t>
  </si>
  <si>
    <t>https://chromewebstore.google.com/detail/joahjeghhofndcnokdadmgjnoleckonf</t>
  </si>
  <si>
    <t>https://chromewebstore.google.com/detail/jofcbndmnngbfjhflkaaaiobdjcpbpki</t>
  </si>
  <si>
    <t>React Stores Devtools Extension</t>
  </si>
  <si>
    <t>https://chromewebstore.google.com/detail/jofikieipejiceaccabdhlbedbfhogkm</t>
  </si>
  <si>
    <t>Search Trends</t>
  </si>
  <si>
    <t>https://chromewebstore.google.com/detail/jofipiopohkiomefophlddhgflnmjclo</t>
  </si>
  <si>
    <t>https://chromewebstore.google.com/detail/jogajkcgclkfedbhdcopmpmeeophkkji</t>
  </si>
  <si>
    <t>MTG Remote</t>
  </si>
  <si>
    <t>https://chromewebstore.google.com/detail/jompciojchdhmgenaegbgnlghlcmmpok</t>
  </si>
  <si>
    <t>Spectrum</t>
  </si>
  <si>
    <t>https://chromewebstore.google.com/detail/jopdhoinfcaefobmlekemdaikoaaojln</t>
  </si>
  <si>
    <t>Inject Code</t>
  </si>
  <si>
    <t>https://chromewebstore.google.com/detail/jpbbdgndcngomphbmplabjginoihkdph</t>
  </si>
  <si>
    <t>GAFE Force Copy - Curt Schleibaum &amp; ETH</t>
  </si>
  <si>
    <t>https://chromewebstore.google.com/detail/jpeknkphnajdkmmliodephcdklgjlhli</t>
  </si>
  <si>
    <t>かんたんCSVダウンロード</t>
  </si>
  <si>
    <t>https://chromewebstore.google.com/detail/jphkmoanbilmnmcjnigbmddfceodnlcf</t>
  </si>
  <si>
    <t>Easy Dice Roller</t>
  </si>
  <si>
    <t>https://chromewebstore.google.com/detail/jplkkkfinccdllaoobmiojlocpmpeipb</t>
  </si>
  <si>
    <t>IMDB Torrent Search</t>
  </si>
  <si>
    <t>https://chromewebstore.google.com/detail/kaacflffkmlaiebklgemhmlfbhificko</t>
  </si>
  <si>
    <t>Evince on rollApp</t>
  </si>
  <si>
    <t>https://chromewebstore.google.com/detail/kaccbbiokomdcofdediakkkfhkbddehl</t>
  </si>
  <si>
    <t>Photo To Cartoon Editor</t>
  </si>
  <si>
    <t>https://chromewebstore.google.com/detail/kaelcgjdiogcpjapcncdgoknbakjfooo</t>
  </si>
  <si>
    <t>❤️Fancy Font Generator 😎 🅵🅰🅽🅲🆈 🅵🅾🅽🆃</t>
  </si>
  <si>
    <t>https://chromewebstore.google.com/detail/kaipekgdjopphabpimakjkienfckcknp</t>
  </si>
  <si>
    <t>Mail Checker</t>
  </si>
  <si>
    <t>https://chromewebstore.google.com/detail/kaklalnjjcbnacalpghdfokeohelpbnf</t>
  </si>
  <si>
    <t>Fearch</t>
  </si>
  <si>
    <t>https://chromewebstore.google.com/detail/kalmlbhhgndofalfencmggfncedfajgj</t>
  </si>
  <si>
    <t>whereby.com/appear.in meeting room helper</t>
  </si>
  <si>
    <t>https://chromewebstore.google.com/detail/kamcahcpkdbdhphbnhblmcgemhbhbohm</t>
  </si>
  <si>
    <t>URL Query Editor</t>
  </si>
  <si>
    <t>https://chromewebstore.google.com/detail/kapcngknfepfobkbinmkdakbjobieoam</t>
  </si>
  <si>
    <t>Ma Moyenne MBN</t>
  </si>
  <si>
    <t>https://chromewebstore.google.com/detail/kbchmfoeolkghjeapilfdamdnieedlkp</t>
  </si>
  <si>
    <t>Insta-Wow!</t>
  </si>
  <si>
    <t>https://chromewebstore.google.com/detail/kbdcjepncmkhgflbmmikjahojomfcina</t>
  </si>
  <si>
    <t>JWT</t>
  </si>
  <si>
    <t>https://chromewebstore.google.com/detail/kbfhngekhdipgofmnofbeanadlaakmja</t>
  </si>
  <si>
    <t>Xbrl signing</t>
  </si>
  <si>
    <t>https://chromewebstore.google.com/detail/kbkfjhdphkidpjcgpkjbdjoipkcjccjf</t>
  </si>
  <si>
    <t>reCAPTCHA Autoclicker</t>
  </si>
  <si>
    <t>https://chromewebstore.google.com/detail/kblnaaogehadfaelemdemldbkpojknml</t>
  </si>
  <si>
    <t>Squanchify</t>
  </si>
  <si>
    <t>https://chromewebstore.google.com/detail/kbmlldlmbfcejlgflijfedcbncnpbbjj</t>
  </si>
  <si>
    <t>GTM Helper</t>
  </si>
  <si>
    <t>https://chromewebstore.google.com/detail/kbnbkogeeackdjiibllebnpdccbmepil</t>
  </si>
  <si>
    <t>Link Save</t>
  </si>
  <si>
    <t>https://chromewebstore.google.com/detail/kbobnagbmjmpcpioklajkgafggfdcafe</t>
  </si>
  <si>
    <t>Website Locker</t>
  </si>
  <si>
    <t>https://chromewebstore.google.com/detail/kbomichpahnfklembajcficjediaphpm</t>
  </si>
  <si>
    <t>Collamark</t>
  </si>
  <si>
    <t>https://chromewebstore.google.com/detail/kbpjikgngikhhpbjddnenemoonpbfikm</t>
  </si>
  <si>
    <t>Youtube Ads Killer</t>
  </si>
  <si>
    <t>https://chromewebstore.google.com/detail/kcacgelamniaacjfbmekoagkkmdjlfib</t>
  </si>
  <si>
    <t>VK Player</t>
  </si>
  <si>
    <t>https://chromewebstore.google.com/detail/kcameajjpbgnncnadcilkmfocpabkihh</t>
  </si>
  <si>
    <t>Fuuz Browser Extension</t>
  </si>
  <si>
    <t>https://chromewebstore.google.com/detail/kcamgdjiikgoglpfomjikmdonhfaplod</t>
  </si>
  <si>
    <t>QuickTube Youtube Video Summarizer</t>
  </si>
  <si>
    <t>https://chromewebstore.google.com/detail/kcdfmdmdogpfcmbdgafnphllmkloopkd</t>
  </si>
  <si>
    <t>SP REST JSON</t>
  </si>
  <si>
    <t>https://chromewebstore.google.com/detail/kcdolhjbipnfgefpjaopfbjbannphidh</t>
  </si>
  <si>
    <t>Block NSFW posts from Reddit at work</t>
  </si>
  <si>
    <t>https://chromewebstore.google.com/detail/kcgjbeioogggiicmjanbjnejedppncnn</t>
  </si>
  <si>
    <t>RaidViewer</t>
  </si>
  <si>
    <t>https://chromewebstore.google.com/detail/kchhfcpcokkcenicaepbnnilldheogni</t>
  </si>
  <si>
    <t>Tubidy</t>
  </si>
  <si>
    <t>https://chromewebstore.google.com/detail/kchpoagchdfclplfdofdapfggbcpplda</t>
  </si>
  <si>
    <t>SJW to Skeleton</t>
  </si>
  <si>
    <t>https://chromewebstore.google.com/detail/kckodmjikeoncekpplppkkcjolofmacc</t>
  </si>
  <si>
    <t>Chrome Dino T-Rex RPG</t>
  </si>
  <si>
    <t>https://chromewebstore.google.com/detail/kcmegnpfeomalodkclmmaihphoekfhgi</t>
  </si>
  <si>
    <t>Xbox 360 emulator for PC - New Tab Background</t>
  </si>
  <si>
    <t>https://chromewebstore.google.com/detail/kcmipkbnmndcdhmlhpdampbfkdbkdjib</t>
  </si>
  <si>
    <t>Strikethrough, Etc.</t>
  </si>
  <si>
    <t>https://chromewebstore.google.com/detail/kdailohlmkahclogmhefpbhfhdgodafa</t>
  </si>
  <si>
    <t>nCena</t>
  </si>
  <si>
    <t>https://chromewebstore.google.com/detail/kdbibdpnfpcddocjlollcjkblilhkkno</t>
  </si>
  <si>
    <t>block-taxes-img</t>
  </si>
  <si>
    <t>https://chromewebstore.google.com/detail/kdfndclcljglfldoackkhjncbkcpjchb</t>
  </si>
  <si>
    <t>EasyIQ IdP – Hørsholm Kommune</t>
  </si>
  <si>
    <t>https://chromewebstore.google.com/detail/kdhlaeknchfnilfnkhlbbjenjealmome</t>
  </si>
  <si>
    <t>Archetype Code Editor</t>
  </si>
  <si>
    <t>https://chromewebstore.google.com/detail/kdkdfjfadjdgonjjkkfjimiachohndeb</t>
  </si>
  <si>
    <t>Random Proxy Switcher</t>
  </si>
  <si>
    <t>https://chromewebstore.google.com/detail/kdmdbahkimnclcmnppaagnnnpdjfggbb</t>
  </si>
  <si>
    <t>Theia for Facebook</t>
  </si>
  <si>
    <t>https://chromewebstore.google.com/detail/kdmokpidjlppgcpeeojhpaknidhehkle</t>
  </si>
  <si>
    <t>LMS++</t>
  </si>
  <si>
    <t>https://chromewebstore.google.com/detail/kdnnjmhhabnalhbpppkocnplmmebmobh</t>
  </si>
  <si>
    <t>JIRA RTL</t>
  </si>
  <si>
    <t>https://chromewebstore.google.com/detail/kedfgkphpfhibddhgnehpaoibogdklfa</t>
  </si>
  <si>
    <t>33mail - Defend your Inbox</t>
  </si>
  <si>
    <t>https://chromewebstore.google.com/detail/keempgcbhfoekmolbpdkcoimnnejjaeh</t>
  </si>
  <si>
    <t>Image Remover</t>
  </si>
  <si>
    <t>https://chromewebstore.google.com/detail/keimggighiknpiiloncafdmhopgccbbk</t>
  </si>
  <si>
    <t>Paywall</t>
  </si>
  <si>
    <t>https://chromewebstore.google.com/detail/kemhkjedapfedmoaliehjgdllceafeng</t>
  </si>
  <si>
    <t>WARCreate</t>
  </si>
  <si>
    <t>https://chromewebstore.google.com/detail/kenncghfghgolcbmckhiljgaabnpcaaa</t>
  </si>
  <si>
    <t>Amazon Unsponsor</t>
  </si>
  <si>
    <t>https://chromewebstore.google.com/detail/kfaknphcidikmjhmmfmphghhlcoknflj</t>
  </si>
  <si>
    <t>Iris 3D Viewer</t>
  </si>
  <si>
    <t>https://chromewebstore.google.com/detail/kfaocdjigbgfjbmbbodglgoomooblail</t>
  </si>
  <si>
    <t>Chrome Mouse Gesture</t>
  </si>
  <si>
    <t>https://chromewebstore.google.com/detail/kfbkjmofblefhdbabmjfecidcglggoaa</t>
  </si>
  <si>
    <t>Apps Script Sortable List Files</t>
  </si>
  <si>
    <t>https://chromewebstore.google.com/detail/kfehlfaeeefnnbponboooacmenececcb</t>
  </si>
  <si>
    <t>Checkvist</t>
  </si>
  <si>
    <t>https://chromewebstore.google.com/detail/kffhfpfmcgbogjmmhcogadccojfcaofk</t>
  </si>
  <si>
    <t>AntiBrowserSpy TrackingBlocker - SE</t>
  </si>
  <si>
    <t>https://chromewebstore.google.com/detail/kfjldbhohfkdglbnlahhnalakilgjije</t>
  </si>
  <si>
    <t>Diginow Serial Terminal</t>
  </si>
  <si>
    <t>https://chromewebstore.google.com/detail/kfmecbejcnepbfdcdbbhfcjmdmmcmoah</t>
  </si>
  <si>
    <t>Disable links.</t>
  </si>
  <si>
    <t>https://chromewebstore.google.com/detail/kgghjfabpkpodeancnenkndklnomjpbf</t>
  </si>
  <si>
    <t>Better Youtube Subscriptions</t>
  </si>
  <si>
    <t>https://chromewebstore.google.com/detail/kgicdngjllamjgijagdkoalhkpplipnd</t>
  </si>
  <si>
    <t>Host name rewriter</t>
  </si>
  <si>
    <t>https://chromewebstore.google.com/detail/kgkjmljnaneinhnbbdhigejjffonhffb</t>
  </si>
  <si>
    <t>Roam Portal</t>
  </si>
  <si>
    <t>https://chromewebstore.google.com/detail/kgkmjbhbdakcdfkkgmmihcceekcdmefe</t>
  </si>
  <si>
    <t>Palettes for Tumblr</t>
  </si>
  <si>
    <t>https://chromewebstore.google.com/detail/kgllgjbdbkempofinoadnlleigmgppfm</t>
  </si>
  <si>
    <t>Newstrition</t>
  </si>
  <si>
    <t>https://chromewebstore.google.com/detail/kgmboamhkokidammpgdilgpnonibiipa</t>
  </si>
  <si>
    <t>Rewriter</t>
  </si>
  <si>
    <t>https://chromewebstore.google.com/detail/kgoaldgnannoebilojgnheicbkfbebjg</t>
  </si>
  <si>
    <t>Image Search</t>
  </si>
  <si>
    <t>https://chromewebstore.google.com/detail/khaaaofbfbkijpiepkfcamahnafeljem</t>
  </si>
  <si>
    <t>Tree Style History</t>
  </si>
  <si>
    <t>https://chromewebstore.google.com/detail/khcenbpnhbeplojhaolbpldmoppicold</t>
  </si>
  <si>
    <t>Spotify Web Now Playing</t>
  </si>
  <si>
    <t>https://chromewebstore.google.com/detail/khdkihdjbcgglfdjpbamhoahejlddkdj</t>
  </si>
  <si>
    <t>QR Code generator with logo – QRTiger</t>
  </si>
  <si>
    <t>https://chromewebstore.google.com/detail/khgmenamfnkjenlfaijkjhhdaehemhhf</t>
  </si>
  <si>
    <t>Focale - Study Pal</t>
  </si>
  <si>
    <t>https://chromewebstore.google.com/detail/khjidjdpidalladedmkjibjkklanhcnc</t>
  </si>
  <si>
    <t>Gif Frames</t>
  </si>
  <si>
    <t>https://chromewebstore.google.com/detail/khkbfocobajjjkojjgpmnhdgbmlnlnef</t>
  </si>
  <si>
    <t>Prettier Chrome Extension</t>
  </si>
  <si>
    <t>https://chromewebstore.google.com/detail/khnhpkjhoogpgnbhagabcnamppfohhjd</t>
  </si>
  <si>
    <t>table to csv</t>
  </si>
  <si>
    <t>https://chromewebstore.google.com/detail/khobgoemenoleeedfbilehnpoelmkbko</t>
  </si>
  <si>
    <t>utubehits.com</t>
  </si>
  <si>
    <t>https://chromewebstore.google.com/detail/khpcbjppaikkkfnpgbbkjgnbponddmbe</t>
  </si>
  <si>
    <t>HEX</t>
  </si>
  <si>
    <t>https://chromewebstore.google.com/detail/kiaflfdgfekdlghbhkimfmgdkmccoekm</t>
  </si>
  <si>
    <t>HBO Enhanced</t>
  </si>
  <si>
    <t>https://chromewebstore.google.com/detail/kibhmcdemphikjllndhmdjfailnllbjo</t>
  </si>
  <si>
    <t>LUZit - Click your text to the calendar</t>
  </si>
  <si>
    <t>https://chromewebstore.google.com/detail/kibiiafandkfafennedegfppdgdacedj</t>
  </si>
  <si>
    <t>Resurrectio</t>
  </si>
  <si>
    <t>https://chromewebstore.google.com/detail/kicncbplfjgjlliddogifpohdhkbjogm</t>
  </si>
  <si>
    <t>MD5 Generator</t>
  </si>
  <si>
    <t>https://chromewebstore.google.com/detail/kieamojhioogghoffgonpaggajnnbffd</t>
  </si>
  <si>
    <t>1337 enhancer</t>
  </si>
  <si>
    <t>https://chromewebstore.google.com/detail/kifnljdeoikhjhjbkkjhoaehfbaldbmb</t>
  </si>
  <si>
    <t>Smart Words</t>
  </si>
  <si>
    <t>https://chromewebstore.google.com/detail/kighofmokniilkbmlpapdlheiecbmccg</t>
  </si>
  <si>
    <t>https://chromewebstore.google.com/detail/kiiegggcednbhfjegeipfllkihlobdhn</t>
  </si>
  <si>
    <t>Quick Emoji</t>
  </si>
  <si>
    <t>https://chromewebstore.google.com/detail/kiiiimadnhijggeambdbmdckeigicmfd</t>
  </si>
  <si>
    <t>SFDC Magic Toolkit</t>
  </si>
  <si>
    <t>https://chromewebstore.google.com/detail/kilgdoafhhpkloidoajmlfienjndfbfo</t>
  </si>
  <si>
    <t>Better Image Viewer - Like Picasa</t>
  </si>
  <si>
    <t>https://chromewebstore.google.com/detail/kiogkahifhldimpknnnhdiemepmebnhe</t>
  </si>
  <si>
    <t>海贼王 主题 pick新标签页 1080P高清壁纸</t>
  </si>
  <si>
    <t>https://chromewebstore.google.com/detail/kiokldggbjmigpcljejjeaemehoeobob</t>
  </si>
  <si>
    <t>Online Tekken 3</t>
  </si>
  <si>
    <t>https://chromewebstore.google.com/detail/kjahobcipmkpakkhlmdhklemnmccmmll</t>
  </si>
  <si>
    <t>Twitch VOD Unspoiler</t>
  </si>
  <si>
    <t>https://chromewebstore.google.com/detail/kjeacdeffkhbcaoobelkgnnlfpaifaoc</t>
  </si>
  <si>
    <t>Purify</t>
  </si>
  <si>
    <t>https://chromewebstore.google.com/detail/kjiappjpfpaekdfeioanaphpihpojemc</t>
  </si>
  <si>
    <t>Link Hints</t>
  </si>
  <si>
    <t>https://chromewebstore.google.com/detail/kjjgifdfplpegljdfnpmbjmkngdilmkd</t>
  </si>
  <si>
    <t>RGBlind</t>
  </si>
  <si>
    <t>https://chromewebstore.google.com/detail/kjlmmjnmmlfamgddfglhaoklpjjplbhc</t>
  </si>
  <si>
    <t>Load URLs At Interval</t>
  </si>
  <si>
    <t>https://chromewebstore.google.com/detail/kjmjbefknmdpnikmlmcimdpnhlopbjac</t>
  </si>
  <si>
    <t>Memorai – AI memory assistant for Anki</t>
  </si>
  <si>
    <t>https://chromewebstore.google.com/detail/kjncpaiejgkgpgiiibmnjnkahokdgfap</t>
  </si>
  <si>
    <t>NPR one</t>
  </si>
  <si>
    <t>https://chromewebstore.google.com/detail/kjofnodheplpcpbognpfnbaopmjgbfdg</t>
  </si>
  <si>
    <t>Sessions for Google Chrome™</t>
  </si>
  <si>
    <t>https://chromewebstore.google.com/detail/kkaegklhgkhfdhanhalpjhfbpmlomlhc</t>
  </si>
  <si>
    <t>TabIt - Wolfram Alpha: Productivity in Access</t>
  </si>
  <si>
    <t>https://chromewebstore.google.com/detail/kkblboamlobgcnhgfbjpfmomcdceagjf</t>
  </si>
  <si>
    <t>Nextcloud (unofficial)</t>
  </si>
  <si>
    <t>https://chromewebstore.google.com/detail/kkbmcejbjlhkmljcafiaofajcbgkobcd</t>
  </si>
  <si>
    <t>Seç Çevir</t>
  </si>
  <si>
    <t>https://chromewebstore.google.com/detail/kkcgngoblmeffmdfpkgolbcmlimhlini</t>
  </si>
  <si>
    <t>Org Capture</t>
  </si>
  <si>
    <t>https://chromewebstore.google.com/detail/kkkjlfejijcjgjllecmnejhogpbcigdc</t>
  </si>
  <si>
    <t>Totoro Zero Inbox for Google Inbox</t>
  </si>
  <si>
    <t>https://chromewebstore.google.com/detail/kklllkcmelfeigbckbcmfpbdcnhifbec</t>
  </si>
  <si>
    <t>Animate!</t>
  </si>
  <si>
    <t>https://chromewebstore.google.com/detail/kkmbdnidlbkkhhdgchkagbdicfbfjahe</t>
  </si>
  <si>
    <t>SEO Meta Insights</t>
  </si>
  <si>
    <t>https://chromewebstore.google.com/detail/kknifeoedmemmngpjcdbpnmebnhgodcl</t>
  </si>
  <si>
    <t>Better Network Panel</t>
  </si>
  <si>
    <t>https://chromewebstore.google.com/detail/kknnkgpbclaljhfcknhbebhppmkmoaml</t>
  </si>
  <si>
    <t>World Clock Toolbar</t>
  </si>
  <si>
    <t>https://chromewebstore.google.com/detail/kkppmdakhdcgoidhmoegcnbmboljojom</t>
  </si>
  <si>
    <t>Server Switcher for Google Chrome™</t>
  </si>
  <si>
    <t>https://chromewebstore.google.com/detail/klbfleninpbmppkdafkdclidomgphcde</t>
  </si>
  <si>
    <t>QR Code Generator for Google Play™ on Web</t>
  </si>
  <si>
    <t>https://chromewebstore.google.com/detail/klhlhobihlonchbicbgkjdapbbolmmaj</t>
  </si>
  <si>
    <t>Literary Clock</t>
  </si>
  <si>
    <t>https://chromewebstore.google.com/detail/klimjjoolmemiionkhfgaligdiioehkg</t>
  </si>
  <si>
    <t>Paste Enforcer</t>
  </si>
  <si>
    <t>https://chromewebstore.google.com/detail/klioagabdlbmbhomedhkfkjggelmfclg</t>
  </si>
  <si>
    <t>Hyperlink</t>
  </si>
  <si>
    <t>https://chromewebstore.google.com/detail/kljnlapeephekihcbjnphhfjlipefbld</t>
  </si>
  <si>
    <t>Lumen5</t>
  </si>
  <si>
    <t>https://chromewebstore.google.com/detail/klkanhjnfcfokmmlgjfhkblhjgfaefal</t>
  </si>
  <si>
    <t>Throttle</t>
  </si>
  <si>
    <t>https://chromewebstore.google.com/detail/klmapenfmenbohghcdlilacfhckhcbnn</t>
  </si>
  <si>
    <t>Rightmove Improver</t>
  </si>
  <si>
    <t>https://chromewebstore.google.com/detail/klmjgkkbknbcllohenhldfgbbkjafmgc</t>
  </si>
  <si>
    <t>Buscar en Mercado Libre</t>
  </si>
  <si>
    <t>https://chromewebstore.google.com/detail/klmjhmebmifmdombbdecdeeannafjofd</t>
  </si>
  <si>
    <t>Wayback Machine Auto-Archiver</t>
  </si>
  <si>
    <t>https://chromewebstore.google.com/detail/klnimjpfkfcfdllnbmmhjjomcmciepkk</t>
  </si>
  <si>
    <t>Cloud disk player helper</t>
  </si>
  <si>
    <t>https://chromewebstore.google.com/detail/klomjfcgakppceibbbgkbdklmhiiidkl</t>
  </si>
  <si>
    <t>ImTranslator Text-to-Speech audio downloader</t>
  </si>
  <si>
    <t>https://chromewebstore.google.com/detail/kmblidjbanodooeajaadfhknhmliklpm</t>
  </si>
  <si>
    <t>Locket</t>
  </si>
  <si>
    <t>https://chromewebstore.google.com/detail/kmclnkpagjmledigbephoecmpihidbla</t>
  </si>
  <si>
    <t>Календарь Mail.Ru</t>
  </si>
  <si>
    <t>https://chromewebstore.google.com/detail/kmgakknaioncidlchblnmelihakjeald</t>
  </si>
  <si>
    <t>Scrollr</t>
  </si>
  <si>
    <t>https://chromewebstore.google.com/detail/kmjljfbdjnjbjhfadcnmldhnkklbldng</t>
  </si>
  <si>
    <t>Darken text</t>
  </si>
  <si>
    <t>https://chromewebstore.google.com/detail/kmonkhbnghcmlhgbmlpagpapfomioidg</t>
  </si>
  <si>
    <t>Fotoefectos, editor de fotos</t>
  </si>
  <si>
    <t>https://chromewebstore.google.com/detail/knambdkfjgjcfnnackejjepjnilcpeeh</t>
  </si>
  <si>
    <t>Loginas - Login as your Salesforce Users</t>
  </si>
  <si>
    <t>https://chromewebstore.google.com/detail/knbllidkibplcobilanhbpldlioffbak</t>
  </si>
  <si>
    <t>No Link Underline</t>
  </si>
  <si>
    <t>https://chromewebstore.google.com/detail/knfpmclhohfhanmiilcahnlcndejlldk</t>
  </si>
  <si>
    <t>Yuno</t>
  </si>
  <si>
    <t>https://chromewebstore.google.com/detail/kngfclmodcalgnlafnjgplnoamboaala</t>
  </si>
  <si>
    <t>Hangul</t>
  </si>
  <si>
    <t>https://chromewebstore.google.com/detail/knkkmemihnkkehhkkdonlnfgajbjpadc</t>
  </si>
  <si>
    <t>CommerceIQ Insights</t>
  </si>
  <si>
    <t>https://chromewebstore.google.com/detail/knmkalnmhkhjpojmnlfkmfbdagpcommg</t>
  </si>
  <si>
    <t>Launch for Google Meet</t>
  </si>
  <si>
    <t>https://chromewebstore.google.com/detail/knmnaaoafogkenfjbgmhkjpiabopnibg</t>
  </si>
  <si>
    <t>The Hindu</t>
  </si>
  <si>
    <t>https://chromewebstore.google.com/detail/knmpiompbjhokccdbgpbhpkafjkdlkbl</t>
  </si>
  <si>
    <t>Vandal</t>
  </si>
  <si>
    <t>https://chromewebstore.google.com/detail/knoccgahmcfhngbjhdbcodajdioedgdo</t>
  </si>
  <si>
    <t>简会桌面共享</t>
  </si>
  <si>
    <t>https://chromewebstore.google.com/detail/kobehciphdhcbmhcpklcphbaomcjhojo</t>
  </si>
  <si>
    <t>LinksTamed SEO Tool</t>
  </si>
  <si>
    <t>https://chromewebstore.google.com/detail/kofepkkfbdobmjpjighopoggdjiehfop</t>
  </si>
  <si>
    <t>דף הבית</t>
  </si>
  <si>
    <t>https://chromewebstore.google.com/detail/kofhipaohlfniimaglmhoimcjlgbokmh</t>
  </si>
  <si>
    <t>Combat Online</t>
  </si>
  <si>
    <t>https://chromewebstore.google.com/detail/kohbgdkncdbkjnnaobcndbghiaggepfa</t>
  </si>
  <si>
    <t>Omnibox NCR</t>
  </si>
  <si>
    <t>https://chromewebstore.google.com/detail/kohddgnpofoogkkjejnmcgleamcfbhhc</t>
  </si>
  <si>
    <t>WhiteSlash - White background flash fix</t>
  </si>
  <si>
    <t>https://chromewebstore.google.com/detail/koiiicglkbcomcplnggedapdhafigbje</t>
  </si>
  <si>
    <t>КиноПоиск Бесплатно</t>
  </si>
  <si>
    <t>https://chromewebstore.google.com/detail/kojjjjdojafbbpmhlmknbglempljhlke</t>
  </si>
  <si>
    <t>Classwork</t>
  </si>
  <si>
    <t>https://chromewebstore.google.com/detail/kojnadkkdladdokoildmmkncmakbkioh</t>
  </si>
  <si>
    <t>Easy URL Editor</t>
  </si>
  <si>
    <t>https://chromewebstore.google.com/detail/kojpdadnbbicdfgfadonheclfpcjpiah</t>
  </si>
  <si>
    <t>Popsters Addon for Tiktok analysis</t>
  </si>
  <si>
    <t>https://chromewebstore.google.com/detail/kokkcakjpobjcccjgkfjdhhnlieppmje</t>
  </si>
  <si>
    <t>Crispy Subtitles from Lay’s</t>
  </si>
  <si>
    <t>https://chromewebstore.google.com/detail/kokpckgbhcmeobdddflajfcpmmfhkekn</t>
  </si>
  <si>
    <t>iStockLargeComp</t>
  </si>
  <si>
    <t>https://chromewebstore.google.com/detail/komagngbpbibhkndkibpgjdfbgeeodlh</t>
  </si>
  <si>
    <t>ReadIt</t>
  </si>
  <si>
    <t>https://chromewebstore.google.com/detail/konhnfjdepjkihlnodbnphpplfjgofki</t>
  </si>
  <si>
    <t>Super Quick Note</t>
  </si>
  <si>
    <t>https://chromewebstore.google.com/detail/koompliecfdggdekbckngldibgmgehkn</t>
  </si>
  <si>
    <t>Salesforce code coverage monitor</t>
  </si>
  <si>
    <t>https://chromewebstore.google.com/detail/kopedjkmmeahidobhhkboollaabepmmb</t>
  </si>
  <si>
    <t>Video Looper for Youtube/Dailymotion/others</t>
  </si>
  <si>
    <t>https://chromewebstore.google.com/detail/kpcelfaheoikimakaonbfipkijodnmmd</t>
  </si>
  <si>
    <t>WebSecurity</t>
  </si>
  <si>
    <t>https://chromewebstore.google.com/detail/kpfmidcdnfpaamdaobjiiamaihdigaoj</t>
  </si>
  <si>
    <t>עלמהרידר</t>
  </si>
  <si>
    <t>https://chromewebstore.google.com/detail/kpgbjmdhihjamofekoagnilikhbekpoc</t>
  </si>
  <si>
    <t>Rewrtite Article</t>
  </si>
  <si>
    <t>https://chromewebstore.google.com/detail/kpheonghihdcmoolfckjjjnelppbfbhj</t>
  </si>
  <si>
    <t>AdBlocker for YouTube™</t>
  </si>
  <si>
    <t>https://chromewebstore.google.com/detail/kpjdlhnmjhjnbeigfilbaiklikbopbca</t>
  </si>
  <si>
    <t>Nukem</t>
  </si>
  <si>
    <t>https://chromewebstore.google.com/detail/kpogandfndblomniegfaeakkjchmiedi</t>
  </si>
  <si>
    <t>Youtube Colorful Themes</t>
  </si>
  <si>
    <t>https://chromewebstore.google.com/detail/kppjocagmdpaankmegehmdkcchkhcjil</t>
  </si>
  <si>
    <t>FlightScanner</t>
  </si>
  <si>
    <t>https://chromewebstore.google.com/detail/laafmimmfoigfibljpeaohdehdnlbddg</t>
  </si>
  <si>
    <t>Spreed.ME screen sharing</t>
  </si>
  <si>
    <t>https://chromewebstore.google.com/detail/labcnlicceloglidikcjbfglhnjibcbd</t>
  </si>
  <si>
    <t>Paste Email</t>
  </si>
  <si>
    <t>https://chromewebstore.google.com/detail/labnmfcoccnijgoofjgonodfklfcgiik</t>
  </si>
  <si>
    <t>Chiasenhac Download Plugin</t>
  </si>
  <si>
    <t>https://chromewebstore.google.com/detail/ladmledjhealdebhgmioccepgopekgii</t>
  </si>
  <si>
    <t>webfont|test</t>
  </si>
  <si>
    <t>https://chromewebstore.google.com/detail/ladodfifhhcaabnbbcfnaejkjincffke</t>
  </si>
  <si>
    <t>Dark Theme for Planner Web App</t>
  </si>
  <si>
    <t>https://chromewebstore.google.com/detail/lafejnfjocpobabckpeeikppdmmfckld</t>
  </si>
  <si>
    <t>Datadog-to-Terraform Converter</t>
  </si>
  <si>
    <t>https://chromewebstore.google.com/detail/lafmglpipgongjmbbjngmboifpaodemk</t>
  </si>
  <si>
    <t>ترجمة الإنجليزية إلى العربية</t>
  </si>
  <si>
    <t>https://chromewebstore.google.com/detail/laljmhioiddblffiklfmfaohahagloej</t>
  </si>
  <si>
    <t>OmniChat by Freshchat</t>
  </si>
  <si>
    <t>https://chromewebstore.google.com/detail/lalmcicfakajjbjcafbfgldckpgodclf</t>
  </si>
  <si>
    <t>SVGOMG</t>
  </si>
  <si>
    <t>https://chromewebstore.google.com/detail/lalnbaaeaipofapafgocoakbhlpbnocl</t>
  </si>
  <si>
    <t>Gratitutab</t>
  </si>
  <si>
    <t>https://chromewebstore.google.com/detail/lanmkhlbcjehkkgpbplhijiggoilhnpl</t>
  </si>
  <si>
    <t>/r/xtrill Tools</t>
  </si>
  <si>
    <t>https://chromewebstore.google.com/detail/lapkjkaafhlddmpbjpeenaafgmndaaap</t>
  </si>
  <si>
    <t>Suberflix</t>
  </si>
  <si>
    <t>https://chromewebstore.google.com/detail/lbbbhedjbckmeifebijaidgiccifohfd</t>
  </si>
  <si>
    <t>DrawR</t>
  </si>
  <si>
    <t>https://chromewebstore.google.com/detail/lbbkdcdfpgdbgfceieeicbpfhpcemppn</t>
  </si>
  <si>
    <t>Slitherio Score Recording</t>
  </si>
  <si>
    <t>https://chromewebstore.google.com/detail/lbdbhhafhkdkmhicidaofeojoahjjgio</t>
  </si>
  <si>
    <t>User Agent Switcher</t>
  </si>
  <si>
    <t>https://chromewebstore.google.com/detail/lbdmdckajccnmklminnmlcabkilmhfel</t>
  </si>
  <si>
    <t>tachyons-x-ray</t>
  </si>
  <si>
    <t>https://chromewebstore.google.com/detail/lbepbkiknibiobnbanhggglkmpkbdiim</t>
  </si>
  <si>
    <t>Quick &amp; Dirty Proxy Flipper</t>
  </si>
  <si>
    <t>https://chromewebstore.google.com/detail/lbhdjpmomigdcfkidmimojhnoacaffcg</t>
  </si>
  <si>
    <t>Jira HotLinker</t>
  </si>
  <si>
    <t>https://chromewebstore.google.com/detail/lbifpcpomdegljfpfhgfcjdabbeallhk</t>
  </si>
  <si>
    <t>Мишээл Солонгос-Монгол Толь - Misheel Study</t>
  </si>
  <si>
    <t>https://chromewebstore.google.com/detail/lbjpcnebnhkjdiniplihldngdbdmgici</t>
  </si>
  <si>
    <t>Page Auto Refresher</t>
  </si>
  <si>
    <t>https://chromewebstore.google.com/detail/lbnaaiagjdnialejpejfbiofmdceakjd</t>
  </si>
  <si>
    <t>Awesome EML Viewer</t>
  </si>
  <si>
    <t>https://chromewebstore.google.com/detail/lcceflmmgfbjffkiihpmnjjkgklonbmj</t>
  </si>
  <si>
    <t>Secured Downloads</t>
  </si>
  <si>
    <t>https://chromewebstore.google.com/detail/lcekjafcocnndfjnomgjjaajpkbcigfa</t>
  </si>
  <si>
    <t>English &lt;-&gt; Thai Dictionary</t>
  </si>
  <si>
    <t>https://chromewebstore.google.com/detail/lcgmpehgdiaghhhhkaljhamggnbdgdig</t>
  </si>
  <si>
    <t>Find Replace</t>
  </si>
  <si>
    <t>https://chromewebstore.google.com/detail/lchlicjgphiemnihicjkgfjddjmlgcdl</t>
  </si>
  <si>
    <t>Twine Enhancer</t>
  </si>
  <si>
    <t>https://chromewebstore.google.com/detail/lchnjmjklognlfocknklbbmpdbfidahj</t>
  </si>
  <si>
    <t>AmazonasPLAY</t>
  </si>
  <si>
    <t>https://chromewebstore.google.com/detail/lclghadialdhbgaglccgbaipohilhbph</t>
  </si>
  <si>
    <t>Bornali -English to Bengali Dictionary</t>
  </si>
  <si>
    <t>https://chromewebstore.google.com/detail/lcljfjceikhjcnkfneencpmcpkcknabm</t>
  </si>
  <si>
    <t>Spletni val</t>
  </si>
  <si>
    <t>https://chromewebstore.google.com/detail/ldaliobcgcbdpfhmdpcbighahcmpaebm</t>
  </si>
  <si>
    <t>Adblocker For YT</t>
  </si>
  <si>
    <t>https://chromewebstore.google.com/detail/ldbflapfegfcoipoeophhjbgfcllmjip</t>
  </si>
  <si>
    <t>Simple Notes</t>
  </si>
  <si>
    <t>https://chromewebstore.google.com/detail/ldfahoabcdgljodjddijjiknleolbcmh</t>
  </si>
  <si>
    <t>Fee Calculator</t>
  </si>
  <si>
    <t>https://chromewebstore.google.com/detail/ldfiakhikkhfamppgkcdhihdpfcelold</t>
  </si>
  <si>
    <t>Click&amp;Note - Notes Vault</t>
  </si>
  <si>
    <t>https://chromewebstore.google.com/detail/ldhhhikjpbplhjfblngcbpdlhkgehifl</t>
  </si>
  <si>
    <t>italki classroom screen sharing</t>
  </si>
  <si>
    <t>https://chromewebstore.google.com/detail/ldicakfacemocnhjhpaoandheikdpcap</t>
  </si>
  <si>
    <t>Day Translations Free Translation Tool</t>
  </si>
  <si>
    <t>https://chromewebstore.google.com/detail/ldoiggfbcanafkogpeclahfbdfdgedfe</t>
  </si>
  <si>
    <t>Watermark.ws: Batch Watermark Photos &amp; Videos</t>
  </si>
  <si>
    <t>https://chromewebstore.google.com/detail/ledpaehpcpagpfagafnmdjededjcdccl</t>
  </si>
  <si>
    <t>PortChecker</t>
  </si>
  <si>
    <t>https://chromewebstore.google.com/detail/leebgfjiljadmconbpkhlfambnlcchai</t>
  </si>
  <si>
    <t>2ConnectMe Screen Sharing</t>
  </si>
  <si>
    <t>https://chromewebstore.google.com/detail/leehlkhnniaiaaophmaadjkagedefbag</t>
  </si>
  <si>
    <t>Kill-Sticky</t>
  </si>
  <si>
    <t>https://chromewebstore.google.com/detail/lekjlgffkaencjnlcmbgibodhechofdb</t>
  </si>
  <si>
    <t>RSS Alert</t>
  </si>
  <si>
    <t>https://chromewebstore.google.com/detail/lemgijjifkaldmklohlmjaplmfobgich</t>
  </si>
  <si>
    <t>MoneyControl It</t>
  </si>
  <si>
    <t>https://chromewebstore.google.com/detail/lemhigfdmamodohbdpedpbbjjblijabg</t>
  </si>
  <si>
    <t>Top Shot Helper</t>
  </si>
  <si>
    <t>https://chromewebstore.google.com/detail/leojoakcmcfpoaojibhkepbglljbjjjp</t>
  </si>
  <si>
    <t>superQuery - BigQuery AI optimization engine</t>
  </si>
  <si>
    <t>https://chromewebstore.google.com/detail/lfckfngaeoheoppemkocjjebloiamfdc</t>
  </si>
  <si>
    <t>subWatch 3</t>
  </si>
  <si>
    <t>https://chromewebstore.google.com/detail/lfekjajdgncmkajdpiadkkhhpblngnlc</t>
  </si>
  <si>
    <t>Button Counter G</t>
  </si>
  <si>
    <t>https://chromewebstore.google.com/detail/lfgnadfkaiepombekpbccllpbkiealal</t>
  </si>
  <si>
    <t>eAngel Proofreading for Emails</t>
  </si>
  <si>
    <t>https://chromewebstore.google.com/detail/lfhnennfegaileldmoghidoondeealai</t>
  </si>
  <si>
    <t>EndTime2 for Toodledo</t>
  </si>
  <si>
    <t>https://chromewebstore.google.com/detail/lfkaepdpjgnonpodbgalgkbcbmahegap</t>
  </si>
  <si>
    <t>Google Music Lyrics</t>
  </si>
  <si>
    <t>https://chromewebstore.google.com/detail/lgajamomkbjmlfajpfhahdocjkcpienh</t>
  </si>
  <si>
    <t>Скрипт Дизайнер виджет</t>
  </si>
  <si>
    <t>https://chromewebstore.google.com/detail/lgbokmfkipeecaegndnhbdpdkmiobnfj</t>
  </si>
  <si>
    <t>Readio Speed Reader</t>
  </si>
  <si>
    <t>https://chromewebstore.google.com/detail/lgccchgfobnafomjndanbkhjgkgocdob</t>
  </si>
  <si>
    <t>Find Hot Product and Keyword</t>
  </si>
  <si>
    <t>https://chromewebstore.google.com/detail/lgdgnbneilgfnleamjohjimadmjgjfdg</t>
  </si>
  <si>
    <t>Jumpscare Tab</t>
  </si>
  <si>
    <t>https://chromewebstore.google.com/detail/lgffjphcglhjodndldapdedaemkkkcbo</t>
  </si>
  <si>
    <t>Meetflip</t>
  </si>
  <si>
    <t>https://chromewebstore.google.com/detail/lgfnpmbjnooaonfkdendjpkgcmgfjcgc</t>
  </si>
  <si>
    <t>VK helper</t>
  </si>
  <si>
    <t>https://chromewebstore.google.com/detail/lgiheljjcjhcndglbbgonfcichelpejp</t>
  </si>
  <si>
    <t>Breakpoint media-queries</t>
  </si>
  <si>
    <t>https://chromewebstore.google.com/detail/lgldclhgkdgddiopgbjkiememjlhjlng</t>
  </si>
  <si>
    <t>Google Drive Background Color Changer</t>
  </si>
  <si>
    <t>https://chromewebstore.google.com/detail/lglnebacjkielbdldlkppfdcmfpbgofo</t>
  </si>
  <si>
    <t>Headline Highlighter</t>
  </si>
  <si>
    <t>https://chromewebstore.google.com/detail/lgmojgokdalobakogpaililfoboigkal</t>
  </si>
  <si>
    <t>HackerNew</t>
  </si>
  <si>
    <t>https://chromewebstore.google.com/detail/lgoghlndihpmbbgmbpjohilcphbfhddd</t>
  </si>
  <si>
    <t>Ao3 Series Downloader</t>
  </si>
  <si>
    <t>https://chromewebstore.google.com/detail/lhdccommkdbadfgjhlccfmcpdhmepjik</t>
  </si>
  <si>
    <t>Huruf</t>
  </si>
  <si>
    <t>https://chromewebstore.google.com/detail/lhdifindchogekmjooeiolmjdlheilae</t>
  </si>
  <si>
    <t>Tempo VPN - Free and unlimited vpn proxy</t>
  </si>
  <si>
    <t>https://chromewebstore.google.com/detail/lhgkahejgiidfalcmnpbgfmpkepmpdlf</t>
  </si>
  <si>
    <t>GitHub Highlight Selected</t>
  </si>
  <si>
    <t>https://chromewebstore.google.com/detail/lhiklbgjcblimmjjflobpncgihagcmbj</t>
  </si>
  <si>
    <t>Link Saver</t>
  </si>
  <si>
    <t>https://chromewebstore.google.com/detail/lhlomndaijcefbhdohcdmnobkliikklh</t>
  </si>
  <si>
    <t>Clock</t>
  </si>
  <si>
    <t>https://chromewebstore.google.com/detail/lhnilmmbjipfingcjmghmdnenpcnaece</t>
  </si>
  <si>
    <t>Muldic</t>
  </si>
  <si>
    <t>https://chromewebstore.google.com/detail/lhpjnkehoohajalccbikeheodknofokd</t>
  </si>
  <si>
    <t>Freshdesk Contact Center - Click to Call</t>
  </si>
  <si>
    <t>https://chromewebstore.google.com/detail/lhpooekbhchbjkodlebdmapmmjpoophn</t>
  </si>
  <si>
    <t>Practice Mindfulness</t>
  </si>
  <si>
    <t>https://chromewebstore.google.com/detail/licmmkfmcfjcclhdhkehlceggfjfanen</t>
  </si>
  <si>
    <t>ニコ生自動次枠移動</t>
  </si>
  <si>
    <t>https://chromewebstore.google.com/detail/lijmhhnjbcpfldhmdacjdmhhgfinmfib</t>
  </si>
  <si>
    <t>Link Xtractor</t>
  </si>
  <si>
    <t>https://chromewebstore.google.com/detail/linpadcckihaambejadlidhkmnjipfnd</t>
  </si>
  <si>
    <t>Multitran search</t>
  </si>
  <si>
    <t>https://chromewebstore.google.com/detail/liodijdhpofhickfkapkdifofgkeppad</t>
  </si>
  <si>
    <t>한댓: 유튜브 한글 댓글만 보기</t>
  </si>
  <si>
    <t>https://chromewebstore.google.com/detail/ljbjgmahddhnccggldafiaemkgacmmld</t>
  </si>
  <si>
    <t>IP Address Tool</t>
  </si>
  <si>
    <t>https://chromewebstore.google.com/detail/ljgkplokbilfifgcadbobkfecincmbmk</t>
  </si>
  <si>
    <t>Thich Nhat Hanh Calligraphy</t>
  </si>
  <si>
    <t>https://chromewebstore.google.com/detail/ljicmmknmiapobjgphhogonlfeegmlcl</t>
  </si>
  <si>
    <t>HybridTV Dev Environment</t>
  </si>
  <si>
    <t>https://chromewebstore.google.com/detail/ljmkgjilkcmdokbgofbmjnkobejhhapc</t>
  </si>
  <si>
    <t>Pretty Pull Requests (Github)</t>
  </si>
  <si>
    <t>https://chromewebstore.google.com/detail/ljnjpkadhhcdniohpfilddnhahoigdec</t>
  </si>
  <si>
    <t>https://chromewebstore.google.com/detail/ljodbneopalmjfonmeojldpmnikphhdo</t>
  </si>
  <si>
    <t>Ultracarweb Signer</t>
  </si>
  <si>
    <t>https://chromewebstore.google.com/detail/lkfdimhcljajjmnamlgccibalmhcmilm</t>
  </si>
  <si>
    <t>SendToFreebox</t>
  </si>
  <si>
    <t>https://chromewebstore.google.com/detail/lkhdogaoijoelmmhacccdhbpfpnhghhm</t>
  </si>
  <si>
    <t>Close Tab in Context Menu</t>
  </si>
  <si>
    <t>https://chromewebstore.google.com/detail/lkjkhomjgdhefemghlimjkjdaibnnocg</t>
  </si>
  <si>
    <t>Distract Me Not</t>
  </si>
  <si>
    <t>https://chromewebstore.google.com/detail/lkmfokajfoplgdkdifijpffkjeejainc</t>
  </si>
  <si>
    <t>하루 보이스</t>
  </si>
  <si>
    <t>https://chromewebstore.google.com/detail/lkmjoinoblkjegaifoampignjiagmnca</t>
  </si>
  <si>
    <t>AniSched</t>
  </si>
  <si>
    <t>https://chromewebstore.google.com/detail/lkpfenhnbjcjekjihacpcoekgdclobdn</t>
  </si>
  <si>
    <t>Net iD for Chrome OS</t>
  </si>
  <si>
    <t>https://chromewebstore.google.com/detail/llebpckeffoilhileclionlofjgnhbdp</t>
  </si>
  <si>
    <t>Salesforce select all function for FLS setup</t>
  </si>
  <si>
    <t>https://chromewebstore.google.com/detail/llehaacbdplmcjlkggcobgehlbochdeb</t>
  </si>
  <si>
    <t>Button: Settings</t>
  </si>
  <si>
    <t>https://chromewebstore.google.com/detail/llhljceoapbodnkbmpeahmbphilblllh</t>
  </si>
  <si>
    <t>Velocity</t>
  </si>
  <si>
    <t>https://chromewebstore.google.com/detail/lljnnlncjhfpjjgmoickipmefdkfpnpf</t>
  </si>
  <si>
    <t>screenreader standalone</t>
  </si>
  <si>
    <t>https://chromewebstore.google.com/detail/llkakibmhkbdigjjjbgipijjdnlefpai</t>
  </si>
  <si>
    <t>Code Plunker (Live HTML CSS Editor)</t>
  </si>
  <si>
    <t>https://chromewebstore.google.com/detail/llofhnpelgfcleglkkgfmpfohmlmkofe</t>
  </si>
  <si>
    <t>age.tv，Agefans动漫追番扩展</t>
  </si>
  <si>
    <t>https://chromewebstore.google.com/detail/llpmceedcmcimdoejmfiifnlbjfnhlck</t>
  </si>
  <si>
    <t>Formalyse: Debug your web form</t>
  </si>
  <si>
    <t>https://chromewebstore.google.com/detail/lmglffpnjekeloehgkamfdkhjonohblj</t>
  </si>
  <si>
    <t>Easy Notes</t>
  </si>
  <si>
    <t>https://chromewebstore.google.com/detail/lnafpiakeojhhfeelcipophjckaceccn</t>
  </si>
  <si>
    <t>DevTools Theme: New Moon</t>
  </si>
  <si>
    <t>https://chromewebstore.google.com/detail/lndddploiofhfpdcoclegenegblkhlfk</t>
  </si>
  <si>
    <t>Scrollizy - Facebook Optimizer</t>
  </si>
  <si>
    <t>https://chromewebstore.google.com/detail/lnmpfngofkohjhmgpnjmcmkgkgjajdii</t>
  </si>
  <si>
    <t>Quick Ant</t>
  </si>
  <si>
    <t>https://chromewebstore.google.com/detail/loaljdkanlgipgdlmgijfodcaggiikjo</t>
  </si>
  <si>
    <t>YouTube Skip Ads</t>
  </si>
  <si>
    <t>https://chromewebstore.google.com/detail/loaocbojmkjpcjabkcghbcdggjemhkpe</t>
  </si>
  <si>
    <t>Video Speed Controls</t>
  </si>
  <si>
    <t>https://chromewebstore.google.com/detail/loeegjlniabmjhoalobfbpjmkabgapbb</t>
  </si>
  <si>
    <t>SelfScroll</t>
  </si>
  <si>
    <t>https://chromewebstore.google.com/detail/lofkbkbhpmeihoaogggfbhmjdekjihlf</t>
  </si>
  <si>
    <t>Juegos 3D | AppbBack.pw</t>
  </si>
  <si>
    <t>https://chromewebstore.google.com/detail/lpabkopddkdmiffngjlmniicmedigbec</t>
  </si>
  <si>
    <t>Nobody Gives A Shit. (Filthy Frank)</t>
  </si>
  <si>
    <t>https://chromewebstore.google.com/detail/lpcmnnmdomoebdjefdhjbkjnbgjfbgfd</t>
  </si>
  <si>
    <t>Popup To Tab</t>
  </si>
  <si>
    <t>https://chromewebstore.google.com/detail/lpicnjjpdgpciojopdmdchgbflhheiol</t>
  </si>
  <si>
    <t>Messenger Sneaky Mode - Hide what needs to be</t>
  </si>
  <si>
    <t>https://chromewebstore.google.com/detail/lpiiagpmclichfogjjjholploniicfgi</t>
  </si>
  <si>
    <t>Open PinnedTab Link</t>
  </si>
  <si>
    <t>https://chromewebstore.google.com/detail/lpjfkobpnfgddkikflgejdgclhpmagha</t>
  </si>
  <si>
    <t>Comic grabber 2</t>
  </si>
  <si>
    <t>https://chromewebstore.google.com/detail/lpkjpgooekekpccbcgcckgofnkbfpjlo</t>
  </si>
  <si>
    <t>HTML5 Media Rate Controller</t>
  </si>
  <si>
    <t>https://chromewebstore.google.com/detail/lpmnmgdfmeebgdgpnjmekojjhnjbighh</t>
  </si>
  <si>
    <t>Copy Tab Info</t>
  </si>
  <si>
    <t>https://chromewebstore.google.com/detail/lppcgkhgnfalmlnhkjgdfmkhhgdilfdd</t>
  </si>
  <si>
    <t>Refreshy</t>
  </si>
  <si>
    <t>https://chromewebstore.google.com/detail/lppedmgppdjcmcomnecmhclomnleknnh</t>
  </si>
  <si>
    <t>Myyshop - Dropshipping Product Importer</t>
  </si>
  <si>
    <t>https://chromewebstore.google.com/detail/maakalpbnpehpkjfhihilhfjhllekkeh</t>
  </si>
  <si>
    <t>Fast QR Code Generator</t>
  </si>
  <si>
    <t>https://chromewebstore.google.com/detail/mabegaogknpjdomagkfdbhkodcmehlac</t>
  </si>
  <si>
    <t>Mansion Poem</t>
  </si>
  <si>
    <t>https://chromewebstore.google.com/detail/macbajceaocbnbkkhglhppkihhhffddb</t>
  </si>
  <si>
    <t>Daily Dilbert Comics</t>
  </si>
  <si>
    <t>https://chromewebstore.google.com/detail/mafppflamlapefplgjmcneiopocjlfmp</t>
  </si>
  <si>
    <t>BuxInside Extension</t>
  </si>
  <si>
    <t>https://chromewebstore.google.com/detail/maibekeljflfnaknpgkahjkjhgoefmgg</t>
  </si>
  <si>
    <t>Infogalactic Transporter</t>
  </si>
  <si>
    <t>https://chromewebstore.google.com/detail/majmoinlepbjapaaljlhlfhlmbblaeip</t>
  </si>
  <si>
    <t>Quotebacks - quote the web</t>
  </si>
  <si>
    <t>https://chromewebstore.google.com/detail/makakhdegdcmmbbhepafcghpdkbemach</t>
  </si>
  <si>
    <t>Torch for Chrome (Early Access)</t>
  </si>
  <si>
    <t>https://chromewebstore.google.com/detail/manpojdmhgfekbmjkialfcdgajnacbhd</t>
  </si>
  <si>
    <t>VKTop | Темы для ВКонтакте</t>
  </si>
  <si>
    <t>https://chromewebstore.google.com/detail/maobjpeecihknhbfnggoipopipfegmik</t>
  </si>
  <si>
    <t>Get Gift</t>
  </si>
  <si>
    <t>https://chromewebstore.google.com/detail/mapokfhmebdhgjjoedphffgphmhjbhdl</t>
  </si>
  <si>
    <t>LocalService Web Plug-in 2 RVi</t>
  </si>
  <si>
    <t>https://chromewebstore.google.com/detail/mbaoeplepikmnbdckjflkaphjlccccnj</t>
  </si>
  <si>
    <t>Markdown Preview Plus Dz特别版</t>
  </si>
  <si>
    <t>https://chromewebstore.google.com/detail/mbbfdipmmlbkfdkeklpioafmdcodhfli</t>
  </si>
  <si>
    <t>Typography Inspector</t>
  </si>
  <si>
    <t>https://chromewebstore.google.com/detail/mbbnlbimlnfachlfnjnolpehiimhbjjm</t>
  </si>
  <si>
    <t>UA Expert Mode+</t>
  </si>
  <si>
    <t>https://chromewebstore.google.com/detail/mbbojbjgfaekcegpbbfifclofmpdpkad</t>
  </si>
  <si>
    <t>CodeMode for Webflow</t>
  </si>
  <si>
    <t>https://chromewebstore.google.com/detail/mbgenamkihplkffggckaplhnancbojbk</t>
  </si>
  <si>
    <t>Only move</t>
  </si>
  <si>
    <t>https://chromewebstore.google.com/detail/mbgjmmmhonnpfcflohnpogdfafelogkj</t>
  </si>
  <si>
    <t>Pomodoro Work + Stretch</t>
  </si>
  <si>
    <t>https://chromewebstore.google.com/detail/mbimichnnpdkniapbjenpkdenmmaokcd</t>
  </si>
  <si>
    <t>드래그 글자수 세기</t>
  </si>
  <si>
    <t>https://chromewebstore.google.com/detail/mbkbehfkfnieoodajnnfcmfbmocbhmki</t>
  </si>
  <si>
    <t>Google Classroom LinkHub</t>
  </si>
  <si>
    <t>https://chromewebstore.google.com/detail/mbkeinklkdfiodfhojbpikpikmbidmgb</t>
  </si>
  <si>
    <t>TV for Youtube</t>
  </si>
  <si>
    <t>https://chromewebstore.google.com/detail/mbkenkpbobncoehadfogibjlhnaopcpb</t>
  </si>
  <si>
    <t>Ultimate Rickroller</t>
  </si>
  <si>
    <t>https://chromewebstore.google.com/detail/mbldmpdimcodkhimlehfhhfecnngmipp</t>
  </si>
  <si>
    <t>Sendible</t>
  </si>
  <si>
    <t>https://chromewebstore.google.com/detail/mbljfmmoibffcpcjimimcpobkonkgdbp</t>
  </si>
  <si>
    <t>Beyond Enhancement Suite</t>
  </si>
  <si>
    <t>https://chromewebstore.google.com/detail/mbmhdciokdfmafnlcechbnopmbfgbegl</t>
  </si>
  <si>
    <t>Docamatic - Add Sticky Notes to the Web</t>
  </si>
  <si>
    <t>https://chromewebstore.google.com/detail/mbpkbeacgamdiajpgbblpcgpkidaobob</t>
  </si>
  <si>
    <t>GraphIQL Feen</t>
  </si>
  <si>
    <t>https://chromewebstore.google.com/detail/mcbfdonlkfpbfdpimkjilhdneikhfklp</t>
  </si>
  <si>
    <t>Socialpeeks Influencer Analyzer</t>
  </si>
  <si>
    <t>https://chromewebstore.google.com/detail/mccgeoiagpeckpkenegmjjoaeeppdjld</t>
  </si>
  <si>
    <t>Emisoras de Mexico</t>
  </si>
  <si>
    <t>https://chromewebstore.google.com/detail/mcdnomobjmikcgndcgpagnbkhgnaclmb</t>
  </si>
  <si>
    <t>MXtoolbox lookup tool</t>
  </si>
  <si>
    <t>https://chromewebstore.google.com/detail/mcecmabeaehiihgjcchlnobiahaadmdg</t>
  </si>
  <si>
    <t>AtCoder Color</t>
  </si>
  <si>
    <t>https://chromewebstore.google.com/detail/mcefknoiablejellmicpmokcaelpdaec</t>
  </si>
  <si>
    <t>Steam Context Menu</t>
  </si>
  <si>
    <t>https://chromewebstore.google.com/detail/mcglhmpnpongdigcmccjallgoinlklnj</t>
  </si>
  <si>
    <t>https://chromewebstore.google.com/detail/mcidendbndlekegaphipeeoaemckemhm</t>
  </si>
  <si>
    <t>Power Yuque</t>
  </si>
  <si>
    <t>https://chromewebstore.google.com/detail/mclkhhjiaalhoegfjddlbcjooapkphpn</t>
  </si>
  <si>
    <t>Кэшбек сервис - SecretDiscounter.com</t>
  </si>
  <si>
    <t>https://chromewebstore.google.com/detail/mcolhhemfacpoaghjidhliecpianpnjn</t>
  </si>
  <si>
    <t>LeetPlug</t>
  </si>
  <si>
    <t>https://chromewebstore.google.com/detail/mcpaohflldejneeahigainahjenkgmef</t>
  </si>
  <si>
    <t>Gelişmiş Sahibinden.com Özellikleri</t>
  </si>
  <si>
    <t>https://chromewebstore.google.com/detail/mcpcaclpgijhadcflgcipmfmohmpbinp</t>
  </si>
  <si>
    <t>谷歌汇率转换小工具</t>
  </si>
  <si>
    <t>https://chromewebstore.google.com/detail/mcphipnepdffmgaklcgcogpfbiffmooe</t>
  </si>
  <si>
    <t>Lightroom Preset Generator</t>
  </si>
  <si>
    <t>https://chromewebstore.google.com/detail/mdafemlphdjnhbdglfnankciemdngach</t>
  </si>
  <si>
    <t>Education Bhaskar</t>
  </si>
  <si>
    <t>https://chromewebstore.google.com/detail/mdbdmamjjcfammbjlnkkhmmbljfjhgee</t>
  </si>
  <si>
    <t>RKN Alert</t>
  </si>
  <si>
    <t>https://chromewebstore.google.com/detail/mdbffnnpjhnfmnenfkffjohdgjfeiodn</t>
  </si>
  <si>
    <t>Craft for Google Chrome™</t>
  </si>
  <si>
    <t>https://chromewebstore.google.com/detail/mdbippokgmfmdhhjchjpakgiamkcaofd</t>
  </si>
  <si>
    <t>Palettes from Coolors</t>
  </si>
  <si>
    <t>https://chromewebstore.google.com/detail/mdfgfkplamgcjdoelfkobgdoopbflloc</t>
  </si>
  <si>
    <t>Fjordkraft Netthandelvarsler</t>
  </si>
  <si>
    <t>https://chromewebstore.google.com/detail/mdmaafdifiaafdfoefdbleojealnbkfc</t>
  </si>
  <si>
    <t>Sigaa UNB - Volta Horário</t>
  </si>
  <si>
    <t>https://chromewebstore.google.com/detail/mehmaliahkgafbndneaaajceobkgkebo</t>
  </si>
  <si>
    <t>RAW to JPG Converter</t>
  </si>
  <si>
    <t>https://chromewebstore.google.com/detail/mejiokiilelmecdbhebjicllikigfgde</t>
  </si>
  <si>
    <t>Toolbar Digital Clock (12-hour version)</t>
  </si>
  <si>
    <t>https://chromewebstore.google.com/detail/melhpmkjaiifbaeocekhicgfofhcbiea</t>
  </si>
  <si>
    <t>Odoo Manager Database</t>
  </si>
  <si>
    <t>https://chromewebstore.google.com/detail/mfcpcmfdckoedbnlebbocchokkapdoce</t>
  </si>
  <si>
    <t>Tabby Face</t>
  </si>
  <si>
    <t>https://chromewebstore.google.com/detail/mfdldalpkidgnbelciicnadolplfjglc</t>
  </si>
  <si>
    <t>Link Fixer</t>
  </si>
  <si>
    <t>https://chromewebstore.google.com/detail/mfgoieafikaldiglpkfgifoeigjcifmk</t>
  </si>
  <si>
    <t>Ultra Password Generator</t>
  </si>
  <si>
    <t>https://chromewebstore.google.com/detail/mfigcepdniddlllniijbmmekgfdcddel</t>
  </si>
  <si>
    <t>QuickGoDownloads</t>
  </si>
  <si>
    <t>https://chromewebstore.google.com/detail/mfkpfijgjhpmpfmnicccpglcekdjgenh</t>
  </si>
  <si>
    <t>Current Time in US Time Zones</t>
  </si>
  <si>
    <t>https://chromewebstore.google.com/detail/mflmgpdkgbihgojplljecakngbcokfme</t>
  </si>
  <si>
    <t>Linguee-Translator</t>
  </si>
  <si>
    <t>https://chromewebstore.google.com/detail/mfmgafeloljkhohdgfahfegkkhjakkpl</t>
  </si>
  <si>
    <t>Escra Downloader</t>
  </si>
  <si>
    <t>https://chromewebstore.google.com/detail/mfpkcemkhiohpefelbnldmgcnkejjkfi</t>
  </si>
  <si>
    <t>ReaderQ Edu En</t>
  </si>
  <si>
    <t>https://chromewebstore.google.com/detail/mfppjcknhlobfhlikhlilfpojadjbmnj</t>
  </si>
  <si>
    <t>101.RU | Radio Online</t>
  </si>
  <si>
    <t>https://chromewebstore.google.com/detail/mgcgamijlgoeedbigpjlffkbomkjkdnc</t>
  </si>
  <si>
    <t>NoAdPlayer</t>
  </si>
  <si>
    <t>https://chromewebstore.google.com/detail/mgehijmpijagbigfgckjidhkpbckmegc</t>
  </si>
  <si>
    <t>NONIOBlocker | remove o popup do NONIO</t>
  </si>
  <si>
    <t>https://chromewebstore.google.com/detail/mgjhmbdcblaeiplecddckgalpiceoiaj</t>
  </si>
  <si>
    <t>Black Bars Begone</t>
  </si>
  <si>
    <t>https://chromewebstore.google.com/detail/mgmcokpgponhgkbnhfbdiddookjadenf</t>
  </si>
  <si>
    <t>WaniKanify 2.0</t>
  </si>
  <si>
    <t>https://chromewebstore.google.com/detail/mgnblnbdmneollbncamkogcpgpjgekpf</t>
  </si>
  <si>
    <t>Pronote Autoconnect</t>
  </si>
  <si>
    <t>https://chromewebstore.google.com/detail/mgolfcfjhnhjonkafcenenhipplamfdo</t>
  </si>
  <si>
    <t>CopyChat Five9 Connector</t>
  </si>
  <si>
    <t>https://chromewebstore.google.com/detail/mhbdadbnkbnpmfcmpkfdkjhlahgibbfi</t>
  </si>
  <si>
    <t>English-Chinese dictionary (select-&gt;control)</t>
  </si>
  <si>
    <t>https://chromewebstore.google.com/detail/mhfedeapmfofjbbmgiangfhnadgloemk</t>
  </si>
  <si>
    <t>Presentations2Go - Screen Cast Recorder</t>
  </si>
  <si>
    <t>https://chromewebstore.google.com/detail/mhfnbdpkbjjidncjoapecfbedblplacn</t>
  </si>
  <si>
    <t>Pass the Plebs</t>
  </si>
  <si>
    <t>https://chromewebstore.google.com/detail/mhglgbabaleaegjhdcmfffkaaklpmjog</t>
  </si>
  <si>
    <t>Improvements for Google Tasks™</t>
  </si>
  <si>
    <t>https://chromewebstore.google.com/detail/mhikceoaalnjmimabofghliacpmljocb</t>
  </si>
  <si>
    <t>Testpad</t>
  </si>
  <si>
    <t>https://chromewebstore.google.com/detail/mhipgnhbifdhmkabcfkamcomlnkcfbbp</t>
  </si>
  <si>
    <t>Custom Background Facebook Theme</t>
  </si>
  <si>
    <t>https://chromewebstore.google.com/detail/mhjpdgjkmckidkfehlmlnpoilmhmjdbb</t>
  </si>
  <si>
    <t>YAC ⇋ YouTube Auto Confirm</t>
  </si>
  <si>
    <t>https://chromewebstore.google.com/detail/mhlljjolmpcabhalkmdmjkmnnhegkblo</t>
  </si>
  <si>
    <t>Lickshot</t>
  </si>
  <si>
    <t>https://chromewebstore.google.com/detail/mhnghnbgphnoifbgfimejdmjcdibppio</t>
  </si>
  <si>
    <t>Make Screenshot for Chrome™</t>
  </si>
  <si>
    <t>https://chromewebstore.google.com/detail/mhnppmochppgeilojkicdoghhgfnaaig</t>
  </si>
  <si>
    <t>Illumify</t>
  </si>
  <si>
    <t>https://chromewebstore.google.com/detail/mhocdmcpgbfbodcdmgfppdicjaechnna</t>
  </si>
  <si>
    <t>Random Netflix</t>
  </si>
  <si>
    <t>https://chromewebstore.google.com/detail/mhpapeindnojoecpmkpbmdhgclalkkck</t>
  </si>
  <si>
    <t>BizStore Công cụ ký điện tử</t>
  </si>
  <si>
    <t>https://chromewebstore.google.com/detail/miadadakooofkfpdajkmicldifahmlck</t>
  </si>
  <si>
    <t>Make Up Games</t>
  </si>
  <si>
    <t>https://chromewebstore.google.com/detail/micgklgohpdofbfhnjgbkngheaimenci</t>
  </si>
  <si>
    <t>VkAdvHide - убирает рекламу вконтакте</t>
  </si>
  <si>
    <t>https://chromewebstore.google.com/detail/midlhemfifegochppdagaidbknfpljfa</t>
  </si>
  <si>
    <t>Netflix Awesome Extensions</t>
  </si>
  <si>
    <t>https://chromewebstore.google.com/detail/midmkncnhpphmdjlnfcoinhcekapmkic</t>
  </si>
  <si>
    <t>Trello App</t>
  </si>
  <si>
    <t>https://chromewebstore.google.com/detail/miebhgackamojjpabecgnijnjdkdcnab</t>
  </si>
  <si>
    <t>Calculator for Chrome</t>
  </si>
  <si>
    <t>https://chromewebstore.google.com/detail/migaaphlbncgmebbnllebpfobmemcoao</t>
  </si>
  <si>
    <t>Virtual Desktops</t>
  </si>
  <si>
    <t>https://chromewebstore.google.com/detail/migbdolpkobiafpigleooabjcbpkcdpd</t>
  </si>
  <si>
    <t>SwagLyrics for Spotify</t>
  </si>
  <si>
    <t>https://chromewebstore.google.com/detail/miopldoofdhmipepmnclnoangcdffmlk</t>
  </si>
  <si>
    <t>Fednat Flash Enabler</t>
  </si>
  <si>
    <t>https://chromewebstore.google.com/detail/mipdcbiknojmmjlimgiclopcmlkiiebd</t>
  </si>
  <si>
    <t>HTML5 Audio Description (via screenreader)</t>
  </si>
  <si>
    <t>https://chromewebstore.google.com/detail/mipjggdmdaagfmpnomakdcgchdcgfbdg</t>
  </si>
  <si>
    <t>碎影截图 - 在线视频截图</t>
  </si>
  <si>
    <t>https://chromewebstore.google.com/detail/mipjmapcmcampplhheoaaedaibdojgdj</t>
  </si>
  <si>
    <t>View background image</t>
  </si>
  <si>
    <t>https://chromewebstore.google.com/detail/mjbfbknmcdpofdfkeencgjaolgcddglh</t>
  </si>
  <si>
    <t>ABBAdata CSS Selector Finder</t>
  </si>
  <si>
    <t>https://chromewebstore.google.com/detail/mjbofijjejpdldklldknobfegdjmmlbc</t>
  </si>
  <si>
    <t>GSuite Custom Toolbar</t>
  </si>
  <si>
    <t>https://chromewebstore.google.com/detail/mjcajbgmgplmelmnafihhbfhiecioaic</t>
  </si>
  <si>
    <t>Shot Crop - Screen Capture &amp; Editor</t>
  </si>
  <si>
    <t>https://chromewebstore.google.com/detail/mjcdmlibiooblijamnolhajjigcmhglp</t>
  </si>
  <si>
    <t>IDA</t>
  </si>
  <si>
    <t>https://chromewebstore.google.com/detail/mjfjiglcnojlicbkomcoohndhpceflbp</t>
  </si>
  <si>
    <t>その本、メルカリで!</t>
  </si>
  <si>
    <t>https://chromewebstore.google.com/detail/mjfkgjokgmfejicpkmnklhfnfpkppaaa</t>
  </si>
  <si>
    <t>FoG - Oddschecker o/r calculator</t>
  </si>
  <si>
    <t>https://chromewebstore.google.com/detail/mjglinopkdofebaamonijiemkndjaopd</t>
  </si>
  <si>
    <t>Postfity.com</t>
  </si>
  <si>
    <t>https://chromewebstore.google.com/detail/mjhdfipdhjicefeklelaoeboghggaigc</t>
  </si>
  <si>
    <t>AdGuard: Free Ad Blocker For Chrome</t>
  </si>
  <si>
    <t>https://chromewebstore.google.com/detail/mjkioojopjemgkhdncehnfbanlikfeej</t>
  </si>
  <si>
    <t>Worship Leader</t>
  </si>
  <si>
    <t>https://chromewebstore.google.com/detail/mjklaaodihaohclhbebonimanionolac</t>
  </si>
  <si>
    <t>Notion Quick Notes</t>
  </si>
  <si>
    <t>https://chromewebstore.google.com/detail/mjmgfnhinkdnieleomgojemahjekgmkn</t>
  </si>
  <si>
    <t>Org Search for Salesforce</t>
  </si>
  <si>
    <t>https://chromewebstore.google.com/detail/mjopklofkenogbkhgmfgklaekaljdhhb</t>
  </si>
  <si>
    <t>Slack Cleaner, Post Drive to Slack</t>
  </si>
  <si>
    <t>https://chromewebstore.google.com/detail/mjpenmgnpoppgkpdoomfkanahfljlhjc</t>
  </si>
  <si>
    <t>Instant Tracking Monitor for Google Analytics</t>
  </si>
  <si>
    <t>https://chromewebstore.google.com/detail/mjppjlnifgocniaodibloehjeggcmkid</t>
  </si>
  <si>
    <t>RtL Fixer</t>
  </si>
  <si>
    <t>https://chromewebstore.google.com/detail/mkeclhaiiffmeeokkomoameekkpiiecf</t>
  </si>
  <si>
    <t>AngularJS Console</t>
  </si>
  <si>
    <t>https://chromewebstore.google.com/detail/mkehgjplmdhnbochbdmdlghjpdhlamnd</t>
  </si>
  <si>
    <t>BioSeek Reader</t>
  </si>
  <si>
    <t>https://chromewebstore.google.com/detail/mkfaibcieogbhcneiohnhggglkdmncmo</t>
  </si>
  <si>
    <t>Flutter Search Extension</t>
  </si>
  <si>
    <t>https://chromewebstore.google.com/detail/mkhgdehlebdhbdmjgclbkcamaicfgjne</t>
  </si>
  <si>
    <t>Netflix List Exporter</t>
  </si>
  <si>
    <t>https://chromewebstore.google.com/detail/mkhmjimpmgfjejbemjbimepeifijlagc</t>
  </si>
  <si>
    <t>Parallax Background Builder (Desktop Edition)</t>
  </si>
  <si>
    <t>https://chromewebstore.google.com/detail/mklkemobgbjfgpnhfbdbainmenjanpbe</t>
  </si>
  <si>
    <t>ToDo List</t>
  </si>
  <si>
    <t>https://chromewebstore.google.com/detail/mkobobmncbbieloopnpflkicoaoihcle</t>
  </si>
  <si>
    <t>Easy disposable email address</t>
  </si>
  <si>
    <t>https://chromewebstore.google.com/detail/mkpfodpjhekjdhkchalfflggeoamfajh</t>
  </si>
  <si>
    <t>Linguee Audio Download</t>
  </si>
  <si>
    <t>https://chromewebstore.google.com/detail/mldkoedmkpceicjeobmilbdeebdeljgc</t>
  </si>
  <si>
    <t>OpenBook It!</t>
  </si>
  <si>
    <t>https://chromewebstore.google.com/detail/mlgeajkpagegaanjcffndokbmifddcdn</t>
  </si>
  <si>
    <t>OmniStudio Project Explorer</t>
  </si>
  <si>
    <t>https://chromewebstore.google.com/detail/mlinmlldlfpiioajgllnnnkhhhiakdmi</t>
  </si>
  <si>
    <t>AIO APK Downloader</t>
  </si>
  <si>
    <t>https://chromewebstore.google.com/detail/mlipaappcpbepmoeighdkkcfmjeijhdl</t>
  </si>
  <si>
    <t>Flush DNS &amp; close sockets</t>
  </si>
  <si>
    <t>https://chromewebstore.google.com/detail/mlmlfmdmhdplgecgmiihhfjodokajeel</t>
  </si>
  <si>
    <t>aelf-explorer-extension</t>
  </si>
  <si>
    <t>https://chromewebstore.google.com/detail/mlmlhipeonlflbcclinpbmcjdnpnmkpf</t>
  </si>
  <si>
    <t>Make Link of All tabs</t>
  </si>
  <si>
    <t>https://chromewebstore.google.com/detail/mlmmahhmlolgeigpchjnolpdjhcihmod</t>
  </si>
  <si>
    <t>Easy English - учим слова и фразы</t>
  </si>
  <si>
    <t>https://chromewebstore.google.com/detail/mlnmjnpboajjjlmmaojnghbanpmceebh</t>
  </si>
  <si>
    <t>Kaomoji Me Up</t>
  </si>
  <si>
    <t>https://chromewebstore.google.com/detail/mlodcjhgnkhibanidjdgcjekbmifgjle</t>
  </si>
  <si>
    <t>Starwars HD themes</t>
  </si>
  <si>
    <t>https://chromewebstore.google.com/detail/mlpdnndckcidofffnhlhnemchamjbkbi</t>
  </si>
  <si>
    <t>Bookmarks by date</t>
  </si>
  <si>
    <t>https://chromewebstore.google.com/detail/mmdmdndlbdblbjdphkpfbcpfmfjlcfjk</t>
  </si>
  <si>
    <t>Sims 4 MM addon</t>
  </si>
  <si>
    <t>https://chromewebstore.google.com/detail/mmfllkanpneonkgdnpbgeojbolpjchjb</t>
  </si>
  <si>
    <t>Bandwidth Hero - Live Image Compression</t>
  </si>
  <si>
    <t>https://chromewebstore.google.com/detail/mmhippoadkhcflebgghophicgldbahdb</t>
  </si>
  <si>
    <t>Unseenly</t>
  </si>
  <si>
    <t>https://chromewebstore.google.com/detail/mmjginkjeljiaiafplppfkfdindcjkfi</t>
  </si>
  <si>
    <t>Chronicle for YouTube</t>
  </si>
  <si>
    <t>https://chromewebstore.google.com/detail/mmjiklhkmelmcndgghbkfknilhidphdb</t>
  </si>
  <si>
    <t>Disable Ynet auto refresh</t>
  </si>
  <si>
    <t>https://chromewebstore.google.com/detail/mmlhdonlemejhcakmibfddphfigagfnn</t>
  </si>
  <si>
    <t>hipda helper</t>
  </si>
  <si>
    <t>https://chromewebstore.google.com/detail/mmlkhkccadgochofbhcjnpgcfokbickl</t>
  </si>
  <si>
    <t>Bookmarked tabs to the front</t>
  </si>
  <si>
    <t>https://chromewebstore.google.com/detail/mmllilpdpplbmjdjhlkagmimpgdflphb</t>
  </si>
  <si>
    <t>Guillotined Chemist's Handbook</t>
  </si>
  <si>
    <t>https://chromewebstore.google.com/detail/mmoofdchnhgamecafaceoidojbdoikof</t>
  </si>
  <si>
    <t>Monaco Markdown Editor For GitHub</t>
  </si>
  <si>
    <t>https://chromewebstore.google.com/detail/mmpbdjdnmhgkpligeniippcgfmkgkpnf</t>
  </si>
  <si>
    <t>Pragma Header</t>
  </si>
  <si>
    <t>https://chromewebstore.google.com/detail/mmpgmlkppbckeoeeehdbhjnnmocdmkpp</t>
  </si>
  <si>
    <t>Share to Teams</t>
  </si>
  <si>
    <t>https://chromewebstore.google.com/detail/mncdedgmeogkaeicgbgpbnnejjebphof</t>
  </si>
  <si>
    <t>Google Old Results</t>
  </si>
  <si>
    <t>https://chromewebstore.google.com/detail/mncmlbggmdcmddddanjcgabpajadljhm</t>
  </si>
  <si>
    <t>Pixels to me - 500px - Instagram - Flickr</t>
  </si>
  <si>
    <t>https://chromewebstore.google.com/detail/mncmonbagpafmiodljjellhckpgdebjc</t>
  </si>
  <si>
    <t>Easy Crop - Crop the web</t>
  </si>
  <si>
    <t>https://chromewebstore.google.com/detail/mncocmgajjjpnfkobgdelegiogknodfn</t>
  </si>
  <si>
    <t>SSL Grade</t>
  </si>
  <si>
    <t>https://chromewebstore.google.com/detail/mnebjincbemnakfbiefcipmbjijgaimp</t>
  </si>
  <si>
    <t>Desk Yogi Reminder</t>
  </si>
  <si>
    <t>https://chromewebstore.google.com/detail/mnehfgekclfdgfbmcmnpoebllplcgede</t>
  </si>
  <si>
    <t>Sun Tabs</t>
  </si>
  <si>
    <t>https://chromewebstore.google.com/detail/mnfpcejjhjokaijgbjpfmhcbjmkbeaab</t>
  </si>
  <si>
    <t>FPTraffic</t>
  </si>
  <si>
    <t>https://chromewebstore.google.com/detail/mnhapiceipfpmbbibcijkfecpehjjodm</t>
  </si>
  <si>
    <t>速卖通长尾关键词采集</t>
  </si>
  <si>
    <t>https://chromewebstore.google.com/detail/mnhhapcdfkbdcgondmfoegkmblnlpham</t>
  </si>
  <si>
    <t>Erica Synths Pico Drum Programmer</t>
  </si>
  <si>
    <t>https://chromewebstore.google.com/detail/mnjnpamhicgfdemmnppjgiphagochaki</t>
  </si>
  <si>
    <t>Otkritkiok.ru</t>
  </si>
  <si>
    <t>https://chromewebstore.google.com/detail/mnlklkicnffnilllmamogcaimdhaooom</t>
  </si>
  <si>
    <t>Salesforce Searchbox</t>
  </si>
  <si>
    <t>https://chromewebstore.google.com/detail/moaokcjghnjifeeahifofckbmhofjdbi</t>
  </si>
  <si>
    <t>Rubrik API Code Capture</t>
  </si>
  <si>
    <t>https://chromewebstore.google.com/detail/mobibinbefmieblpnhabghboblgamkbj</t>
  </si>
  <si>
    <t>Neopets mail enhancer</t>
  </si>
  <si>
    <t>https://chromewebstore.google.com/detail/modhnfpkgooaagmmfncaondnlajjjmlf</t>
  </si>
  <si>
    <t>CaptainA.co Helper Extension for AMAZON</t>
  </si>
  <si>
    <t>https://chromewebstore.google.com/detail/mofejmdiddbfhcianbflmfeggoimkimi</t>
  </si>
  <si>
    <t>Acer VR Utility for WebVR (experimental)</t>
  </si>
  <si>
    <t>https://chromewebstore.google.com/detail/mohfakfjfcmgflmfgijikdpbllnjjdfn</t>
  </si>
  <si>
    <t>Estatics Extension</t>
  </si>
  <si>
    <t>https://chromewebstore.google.com/detail/momgcmdnlbopbcmglainncpclaopfkje</t>
  </si>
  <si>
    <t>https://chromewebstore.google.com/detail/momjcmgfmcmfchcihnhkonijglcdlpib</t>
  </si>
  <si>
    <t>The Ending of Evangelion</t>
  </si>
  <si>
    <t>https://chromewebstore.google.com/detail/monppnaecmnpofilbadbbmgcdpabcgbo</t>
  </si>
  <si>
    <t>Etsy Heart Exchanger</t>
  </si>
  <si>
    <t>https://chromewebstore.google.com/detail/mpahgjigomjgbajfljiaaiemdcikhhfm</t>
  </si>
  <si>
    <t>Anki-leo - LinguaLeo dictionary export</t>
  </si>
  <si>
    <t>https://chromewebstore.google.com/detail/mpaohidlipnfnkbogpmanchjfjpdgcml</t>
  </si>
  <si>
    <t>SendPulse Gmail Extension</t>
  </si>
  <si>
    <t>https://chromewebstore.google.com/detail/mpcnoobdnjnpajojombadpfjjcajbgcn</t>
  </si>
  <si>
    <t>Stocks House</t>
  </si>
  <si>
    <t>https://chromewebstore.google.com/detail/mpdkicmbmbljbgncgphonhgjebnapfop</t>
  </si>
  <si>
    <t>Who Is Hosting? by HostAdvice.com</t>
  </si>
  <si>
    <t>https://chromewebstore.google.com/detail/mpeehkpppbkclkglilbjgmjppobdbcdo</t>
  </si>
  <si>
    <t>Diablo III Server Status</t>
  </si>
  <si>
    <t>https://chromewebstore.google.com/detail/mpiocogpenlopnoeibcegpepnoggijck</t>
  </si>
  <si>
    <t>YouTube TV Volume control</t>
  </si>
  <si>
    <t>https://chromewebstore.google.com/detail/mpkdmnddeijnncnnbmoilipjadjhnidd</t>
  </si>
  <si>
    <t>GetFreshOffers - Save money everyday!</t>
  </si>
  <si>
    <t>https://chromewebstore.google.com/detail/mpokflehdipnmpolojghihncoafbadbk</t>
  </si>
  <si>
    <t>Web Highlight</t>
  </si>
  <si>
    <t>https://chromewebstore.google.com/detail/nacjdocenajmlomcagpkmhpikhcdligg</t>
  </si>
  <si>
    <t>Songrium Extension: 音楽視聴支援用ニコ動・YouTube拡張ツール</t>
  </si>
  <si>
    <t>https://chromewebstore.google.com/detail/nafdnbcpapcfogchnakjflabidjkpenp</t>
  </si>
  <si>
    <t>Code Compiler Editor</t>
  </si>
  <si>
    <t>https://chromewebstore.google.com/detail/nagdmbckkknilkfndjaadheldefdkfdb</t>
  </si>
  <si>
    <t>Chrome Bookmark Search</t>
  </si>
  <si>
    <t>https://chromewebstore.google.com/detail/naggokfijmbenljcdlajbaccepmihagc</t>
  </si>
  <si>
    <t>Mirinae for Chrome</t>
  </si>
  <si>
    <t>https://chromewebstore.google.com/detail/nagkhplkbmnpanjfjpoepjmikmegcihp</t>
  </si>
  <si>
    <t>百度一下，你就知道</t>
  </si>
  <si>
    <t>https://chromewebstore.google.com/detail/naldpfikfgfkciolocmfdjbcdjdhfghi</t>
  </si>
  <si>
    <t>iconfont-helper</t>
  </si>
  <si>
    <t>https://chromewebstore.google.com/detail/naogknojdhkjjkbcjndmpkoleijgabdj</t>
  </si>
  <si>
    <t>Saka</t>
  </si>
  <si>
    <t>https://chromewebstore.google.com/detail/nbdfpcokndmapcollfpjdpjlabnibjdi</t>
  </si>
  <si>
    <t>AI-Proctor-Moodle</t>
  </si>
  <si>
    <t>https://chromewebstore.google.com/detail/nbhdcdolapnpbccipdpagdlgbhgpkjpd</t>
  </si>
  <si>
    <t>CoinDetector Crypto price and volume scanner</t>
  </si>
  <si>
    <t>https://chromewebstore.google.com/detail/nbojhgkmkpakgfljijgnfofliafnbbfk</t>
  </si>
  <si>
    <t>GameEnable - Designed for Stadia™ &amp; xCloud™</t>
  </si>
  <si>
    <t>https://chromewebstore.google.com/detail/nbokdicbgbjogapngakgpbfgalomlnik</t>
  </si>
  <si>
    <t>ColorHexa</t>
  </si>
  <si>
    <t>https://chromewebstore.google.com/detail/ncehhheihcpdimfjbdlaogjebmlpgdan</t>
  </si>
  <si>
    <t>co-trans-ext 翻译工具</t>
  </si>
  <si>
    <t>https://chromewebstore.google.com/detail/ncfklglegjceemdfaiblepihhlkoafge</t>
  </si>
  <si>
    <t>DRIP</t>
  </si>
  <si>
    <t>https://chromewebstore.google.com/detail/ncgkmddibppebiomiicdfehogjkdegdk</t>
  </si>
  <si>
    <t>Wikispy Ad Finder Spy Tool</t>
  </si>
  <si>
    <t>https://chromewebstore.google.com/detail/nckbbjfepomllinhkmnnmhklpfiomahc</t>
  </si>
  <si>
    <t>World of Tanks Wallpapers | New Tab Theme</t>
  </si>
  <si>
    <t>https://chromewebstore.google.com/detail/nclocjlblghhcfkfgkjamjcghamkmomc</t>
  </si>
  <si>
    <t>Diablo 3 profile +</t>
  </si>
  <si>
    <t>https://chromewebstore.google.com/detail/ncoghbpbhlmmoajjnhienleaanmaagaj</t>
  </si>
  <si>
    <t>tinyurl</t>
  </si>
  <si>
    <t>https://chromewebstore.google.com/detail/ncopefcmfgoggbajoelmainelilpcamf</t>
  </si>
  <si>
    <t>Roblox Trade Bot Defender</t>
  </si>
  <si>
    <t>https://chromewebstore.google.com/detail/ndamkiaclbnglafnkemaomabalakdmmm</t>
  </si>
  <si>
    <t>Add Watermark to Photos in Google Chrome™</t>
  </si>
  <si>
    <t>https://chromewebstore.google.com/detail/ndbjoeefbingjamocfemomacijgakilg</t>
  </si>
  <si>
    <t>EachWord Translator - expand your vocabulary</t>
  </si>
  <si>
    <t>https://chromewebstore.google.com/detail/ndbpgappknhobbikhmjenceoklpaalam</t>
  </si>
  <si>
    <t>RankNFT.io - NFT ranks and rarity score</t>
  </si>
  <si>
    <t>https://chromewebstore.google.com/detail/ndgbicpfghmemekeffmkomimpppafagk</t>
  </si>
  <si>
    <t>Cyberian Paste Pro</t>
  </si>
  <si>
    <t>https://chromewebstore.google.com/detail/ndlmhflffabhofkhngpnhgbfaodijmpb</t>
  </si>
  <si>
    <t>WaspLine Reader</t>
  </si>
  <si>
    <t>https://chromewebstore.google.com/detail/ndlnnojbbcbdpkccfmcgbopalpbmhbhm</t>
  </si>
  <si>
    <t>Advanced search on selected text</t>
  </si>
  <si>
    <t>https://chromewebstore.google.com/detail/ndmmdeeodnhgibnmgnnddpokcciejlnj</t>
  </si>
  <si>
    <t>MesssengerPlus Old Version Archive</t>
  </si>
  <si>
    <t>https://chromewebstore.google.com/detail/neaollicfdeidikoaehophbicpkohjof</t>
  </si>
  <si>
    <t>Google Voice Paginated Texts</t>
  </si>
  <si>
    <t>https://chromewebstore.google.com/detail/necmgnhmkphmjpddncmklalagjebbbea</t>
  </si>
  <si>
    <t>Pagezii SEO + AdWords</t>
  </si>
  <si>
    <t>https://chromewebstore.google.com/detail/necnfapmnepbnlclfpdmjfjlglolfiab</t>
  </si>
  <si>
    <t>QuickText</t>
  </si>
  <si>
    <t>https://chromewebstore.google.com/detail/neflkikppleikkghgjheajjpdjaihlch</t>
  </si>
  <si>
    <t>Dual Webpage Viewer</t>
  </si>
  <si>
    <t>https://chromewebstore.google.com/detail/nejkphnelblbbhjcohphnabhdpehlogl</t>
  </si>
  <si>
    <t>URL Alias</t>
  </si>
  <si>
    <t>https://chromewebstore.google.com/detail/nelckmdlallhkgniidbfafekeldjnakb</t>
  </si>
  <si>
    <t>Razer Keyboard Audio Visualizer</t>
  </si>
  <si>
    <t>https://chromewebstore.google.com/detail/nemmogdonmhbihhbljpeodejdnnbcjji</t>
  </si>
  <si>
    <t>Workspace Launcher</t>
  </si>
  <si>
    <t>https://chromewebstore.google.com/detail/nenchifcjkmfahicbjgpinmklenpfiih</t>
  </si>
  <si>
    <t>Spinify</t>
  </si>
  <si>
    <t>https://chromewebstore.google.com/detail/neoliedjbjgleonmlpddjkgoedbdhdbe</t>
  </si>
  <si>
    <t>Deliverr Browser Extension</t>
  </si>
  <si>
    <t>https://chromewebstore.google.com/detail/neplhlhcpnlgjfhncjbekljcpcpmmnld</t>
  </si>
  <si>
    <t>SendToQnap</t>
  </si>
  <si>
    <t>https://chromewebstore.google.com/detail/nfempnnehcbjgepmchnbciegaefgbdfb</t>
  </si>
  <si>
    <t>Mail.ru Checker</t>
  </si>
  <si>
    <t>https://chromewebstore.google.com/detail/nffopkpgkajdjjdbgkeailemblmflpko</t>
  </si>
  <si>
    <t>Right Click to Dial - SIP Dialer</t>
  </si>
  <si>
    <t>https://chromewebstore.google.com/detail/nfhpoheacedogfbhmkpnljlkodfgmale</t>
  </si>
  <si>
    <t>doubanIMDb</t>
  </si>
  <si>
    <t>https://chromewebstore.google.com/detail/nfibbjnhkbjlgjaojglmmibdjicidini</t>
  </si>
  <si>
    <t>快读</t>
  </si>
  <si>
    <t>https://chromewebstore.google.com/detail/nfidmhafkijgbeohmgglakglgokeciil</t>
  </si>
  <si>
    <t>OSINT=*</t>
  </si>
  <si>
    <t>https://chromewebstore.google.com/detail/nfijbakmigddoodbhooklbcanfkmgcfk</t>
  </si>
  <si>
    <t>Awesome Window &amp; Tab Manager</t>
  </si>
  <si>
    <t>https://chromewebstore.google.com/detail/nfjaddknccljfohoaekkibpcceeenkah</t>
  </si>
  <si>
    <t>Hide Feed</t>
  </si>
  <si>
    <t>https://chromewebstore.google.com/detail/nfnpeneopnjggmcfdkhpjefammeonpjk</t>
  </si>
  <si>
    <t>Better Bookmarks | Streamline Your Favorites</t>
  </si>
  <si>
    <t>https://chromewebstore.google.com/detail/nfobeapoafofgmfaggcajmnfdjemfpno</t>
  </si>
  <si>
    <t>TypeGenie for Zendesk</t>
  </si>
  <si>
    <t>https://chromewebstore.google.com/detail/nfobgnbegdmblmlicigodlmaicopjmjb</t>
  </si>
  <si>
    <t>IG+VSCO fullsize</t>
  </si>
  <si>
    <t>https://chromewebstore.google.com/detail/ngdfnokoifnihnknoibnbhfhnkmlfocb</t>
  </si>
  <si>
    <t>Admin tools</t>
  </si>
  <si>
    <t>https://chromewebstore.google.com/detail/ngednhgpggnkpgeajmaijmmlghmbfiep</t>
  </si>
  <si>
    <t>HelloWoofy.com Chrome Extension</t>
  </si>
  <si>
    <t>https://chromewebstore.google.com/detail/ngkckoececbjandmkgdcedfkgdbaomfl</t>
  </si>
  <si>
    <t>1Click Resize Window</t>
  </si>
  <si>
    <t>https://chromewebstore.google.com/detail/ngkfilameneoanpmgjjjmlgaokpimipp</t>
  </si>
  <si>
    <t>Canvas Grade Viewer</t>
  </si>
  <si>
    <t>https://chromewebstore.google.com/detail/ngmeehoammklkokkbgakeadianldjbaj</t>
  </si>
  <si>
    <t>Bookmarks Extension for Google</t>
  </si>
  <si>
    <t>https://chromewebstore.google.com/detail/ngncegjbgnfpifehgmcjgniphmcjjipc</t>
  </si>
  <si>
    <t>Merch Informer Book Hunter</t>
  </si>
  <si>
    <t>https://chromewebstore.google.com/detail/nhaniflhedjjeomiajkheofdaeeabfgg</t>
  </si>
  <si>
    <t>Темная тема для Яндекса</t>
  </si>
  <si>
    <t>https://chromewebstore.google.com/detail/nhbanailidablloenahajmfjidocdefn</t>
  </si>
  <si>
    <t>Screen Grabber</t>
  </si>
  <si>
    <t>https://chromewebstore.google.com/detail/nhcgejenbogeimhladggplmkbimcfemb</t>
  </si>
  <si>
    <t>Clicky Monitor</t>
  </si>
  <si>
    <t>https://chromewebstore.google.com/detail/nhdlcoplfdhmdbeleincmcnmgdajohig</t>
  </si>
  <si>
    <t>Turkish Deasciifier</t>
  </si>
  <si>
    <t>https://chromewebstore.google.com/detail/nhfdmlgglfmcdheoabgklabmgjklgofk</t>
  </si>
  <si>
    <t>Faster Browsing</t>
  </si>
  <si>
    <t>https://chromewebstore.google.com/detail/nhjpidcaofjfenienakefihbddijonoh</t>
  </si>
  <si>
    <t>Yup</t>
  </si>
  <si>
    <t>https://chromewebstore.google.com/detail/nhmeoaahigiljjdkoagafdccikgojjoi</t>
  </si>
  <si>
    <t>Show Anchors</t>
  </si>
  <si>
    <t>https://chromewebstore.google.com/detail/nhppnhnadikeniijclnghjfblnojgige</t>
  </si>
  <si>
    <t>UFCGPro</t>
  </si>
  <si>
    <t>https://chromewebstore.google.com/detail/niacojggmhhjndikhcdmmijjoepkgjeb</t>
  </si>
  <si>
    <t>Break the wall</t>
  </si>
  <si>
    <t>https://chromewebstore.google.com/detail/nibfdabgnekfamcpaghohhhgbbjoflha</t>
  </si>
  <si>
    <t>Five9 Adapter for Velocify</t>
  </si>
  <si>
    <t>https://chromewebstore.google.com/detail/niefphjedpfldilfomglllhcpmghoekp</t>
  </si>
  <si>
    <t>Speak</t>
  </si>
  <si>
    <t>https://chromewebstore.google.com/detail/nihmfkglncnpheihhidaanekobbdhbck</t>
  </si>
  <si>
    <t>NoteOn</t>
  </si>
  <si>
    <t>https://chromewebstore.google.com/detail/niibkjnjbkgbolkbedmldohdpnijjooe</t>
  </si>
  <si>
    <t>DevTools Theme: Gruvbox Dark</t>
  </si>
  <si>
    <t>https://chromewebstore.google.com/detail/njcgdakjdifgccdgnoiphpnihcfopcmj</t>
  </si>
  <si>
    <t>AIMS-Helper</t>
  </si>
  <si>
    <t>https://chromewebstore.google.com/detail/njgpoifkefbbhjohcadcngdomfifcflj</t>
  </si>
  <si>
    <t>CF stalker</t>
  </si>
  <si>
    <t>https://chromewebstore.google.com/detail/njjefmgmfomkdfkoiimnjbhckbjldihb</t>
  </si>
  <si>
    <t>Video Picture-in-Picture</t>
  </si>
  <si>
    <t>https://chromewebstore.google.com/detail/njjicmmkcgeigdgihdhkjoahiieinmci</t>
  </si>
  <si>
    <t>Amazon Price and Review check</t>
  </si>
  <si>
    <t>https://chromewebstore.google.com/detail/njmimamhjdjmhaanknoammfblbghkkga</t>
  </si>
  <si>
    <t>Dashboard Refresher &amp; Tabs Revolver/Carousel</t>
  </si>
  <si>
    <t>https://chromewebstore.google.com/detail/njojjgfflfhiiajlkdfgofamppiincao</t>
  </si>
  <si>
    <t>Tab Switcher with Wheel</t>
  </si>
  <si>
    <t>https://chromewebstore.google.com/detail/njpglomobjcmfhnojgielibggimlmcho</t>
  </si>
  <si>
    <t>PHP Offline Manual</t>
  </si>
  <si>
    <t>https://chromewebstore.google.com/detail/nkgnlidnlbejbjcnjjbeikmofafmhfkd</t>
  </si>
  <si>
    <t>Open in specific window</t>
  </si>
  <si>
    <t>https://chromewebstore.google.com/detail/nkgphogbgnehgdfkpiknbdnjaamlbgmo</t>
  </si>
  <si>
    <t>yuque-helper</t>
  </si>
  <si>
    <t>https://chromewebstore.google.com/detail/nkhfaopgdfgoedlecdnecpiindnkkpai</t>
  </si>
  <si>
    <t>Picture in Picture Everywhere</t>
  </si>
  <si>
    <t>https://chromewebstore.google.com/detail/nkhogfcnhgccnigkfnkmdpmcoehofabn</t>
  </si>
  <si>
    <t>FlipRobotServiceTools</t>
  </si>
  <si>
    <t>https://chromewebstore.google.com/detail/nkkifkipcmcammmabpkpiolikffodefe</t>
  </si>
  <si>
    <t>Putlocker official - Putlocker - Putlockers</t>
  </si>
  <si>
    <t>https://chromewebstore.google.com/detail/nkngcebpegephfoiilhkhbphokbpmmah</t>
  </si>
  <si>
    <t>Redirect Google Redirects</t>
  </si>
  <si>
    <t>https://chromewebstore.google.com/detail/nlacgjiklmjjejlgoclnjhndjaiempdo</t>
  </si>
  <si>
    <t>Addon Everywhere</t>
  </si>
  <si>
    <t>https://chromewebstore.google.com/detail/nlagochcieefibigciiakkjaopfpnbcp</t>
  </si>
  <si>
    <t>WebSocket Frame Inspector</t>
  </si>
  <si>
    <t>https://chromewebstore.google.com/detail/nlajeopfbepekemjhkjcbbnencojpaae</t>
  </si>
  <si>
    <t>Readmoo分享書：逛網路書店的好幫手。</t>
  </si>
  <si>
    <t>https://chromewebstore.google.com/detail/nlbhcphfldljgepbiggpcbdpbhpkfhmi</t>
  </si>
  <si>
    <t>Your Python Editor (Beta)</t>
  </si>
  <si>
    <t>https://chromewebstore.google.com/detail/nlbikhljcdblhipffkjekingckoolbpm</t>
  </si>
  <si>
    <t>YouGlish Lookup</t>
  </si>
  <si>
    <t>https://chromewebstore.google.com/detail/nldfafdiaihciaclfkiljachinoblbko</t>
  </si>
  <si>
    <t>ExpressCurate</t>
  </si>
  <si>
    <t>https://chromewebstore.google.com/detail/nldipdepdfjilejlpeeknodkpiajhfkf</t>
  </si>
  <si>
    <t>Bible.com - Consulta Rápida</t>
  </si>
  <si>
    <t>https://chromewebstore.google.com/detail/nlgcgpapdnbojffhkdgekpgceeemohaf</t>
  </si>
  <si>
    <t>SCRIN.IO</t>
  </si>
  <si>
    <t>https://chromewebstore.google.com/detail/nlgohonalakgfgbecdndfjelkmliacfj</t>
  </si>
  <si>
    <t>VeRo Checker Private</t>
  </si>
  <si>
    <t>https://chromewebstore.google.com/detail/nlhklaenccbcnapnpaghliheibnkhdbc</t>
  </si>
  <si>
    <t>model-kartei.de Notifier</t>
  </si>
  <si>
    <t>https://chromewebstore.google.com/detail/nlimpnemedlfboocjaimpdkckkmdniga</t>
  </si>
  <si>
    <t>QQ邮箱邮件提醒</t>
  </si>
  <si>
    <t>https://chromewebstore.google.com/detail/nljbmjehmemfpnlcohjlijdhdanoilog</t>
  </si>
  <si>
    <t>Netflix Light Mode</t>
  </si>
  <si>
    <t>https://chromewebstore.google.com/detail/nlkblacjcdilfdjmmlfemoalcbjjopgf</t>
  </si>
  <si>
    <t>Cisco Phone Controller</t>
  </si>
  <si>
    <t>https://chromewebstore.google.com/detail/nmbgmlcgfijmpcpphmdndjjchiokjlfb</t>
  </si>
  <si>
    <t>12ft</t>
  </si>
  <si>
    <t>https://chromewebstore.google.com/detail/nmccamaemgaapokidgbgackjeedocejl</t>
  </si>
  <si>
    <t>V7 Gmail Zoom</t>
  </si>
  <si>
    <t>https://chromewebstore.google.com/detail/nmddnckmbnlpdaehblenpajpfeajaejm</t>
  </si>
  <si>
    <t>GeeksforGeeks Dark Mode</t>
  </si>
  <si>
    <t>https://chromewebstore.google.com/detail/nmdpdgickahiikobclgoolmfgiibegke</t>
  </si>
  <si>
    <t>Vtuber Live Subtitle</t>
  </si>
  <si>
    <t>https://chromewebstore.google.com/detail/nmfpagncfehjlnmlcmlbikodahcphfdd</t>
  </si>
  <si>
    <t>RootsFinder ToDos</t>
  </si>
  <si>
    <t>https://chromewebstore.google.com/detail/nmhlklogcifmkofeafamhdnminbhejho</t>
  </si>
  <si>
    <t>Extension para compartir pantalla</t>
  </si>
  <si>
    <t>https://chromewebstore.google.com/detail/nmjopndfflhddopijkeogfceejkcgdpn</t>
  </si>
  <si>
    <t>TextForma</t>
  </si>
  <si>
    <t>https://chromewebstore.google.com/detail/nmoicgikomkhfcfimpldahmfabckjiie</t>
  </si>
  <si>
    <t>AddressTools extension</t>
  </si>
  <si>
    <t>https://chromewebstore.google.com/detail/nnahaihpnbhhaklinmkkkpdbeapjdaeg</t>
  </si>
  <si>
    <t>Pronunciation</t>
  </si>
  <si>
    <t>https://chromewebstore.google.com/detail/nnbidmodmbkejgpldfcoefhpioggghba</t>
  </si>
  <si>
    <t>1Know - 翻轉你的學習</t>
  </si>
  <si>
    <t>https://chromewebstore.google.com/detail/nnegbcminlcngpbmooapnpacabaoggfo</t>
  </si>
  <si>
    <t>Баланс интернета Uplink.kz</t>
  </si>
  <si>
    <t>https://chromewebstore.google.com/detail/nnjbfpapohkckhfpfkdfejgdhlimjffp</t>
  </si>
  <si>
    <t>Whitelist All IPs for Salesforce</t>
  </si>
  <si>
    <t>https://chromewebstore.google.com/detail/nnlnikmkkbpgioojghgojoejgcheilic</t>
  </si>
  <si>
    <t>Page Font Bolder</t>
  </si>
  <si>
    <t>https://chromewebstore.google.com/detail/nnokmbbdobieckndjabadnfkkcliakja</t>
  </si>
  <si>
    <t>חיפושית</t>
  </si>
  <si>
    <t>https://chromewebstore.google.com/detail/nobfcfkjkjjmojegpibijgpkobgiibbm</t>
  </si>
  <si>
    <t>ArsonWarehouse</t>
  </si>
  <si>
    <t>https://chromewebstore.google.com/detail/nobpnmomjlcbohjkogaeobildecocmbh</t>
  </si>
  <si>
    <t>GiaoNhan247 Hỗ trợ mua sắm toàn cầu</t>
  </si>
  <si>
    <t>https://chromewebstore.google.com/detail/nocplalmfpldcjddjgabnkpmplmkoaln</t>
  </si>
  <si>
    <t>ИНФОУРОК</t>
  </si>
  <si>
    <t>https://chromewebstore.google.com/detail/nodbelcjcbpmaoainddnnabbljbffmec</t>
  </si>
  <si>
    <t>CBZ Maker</t>
  </si>
  <si>
    <t>https://chromewebstore.google.com/detail/noeghnoecamljdddkjjcnijndkghpjpk</t>
  </si>
  <si>
    <t>Readnotify.com Web Plugin</t>
  </si>
  <si>
    <t>https://chromewebstore.google.com/detail/nofmhkiliplhcecdhmfndhjbppbmoegk</t>
  </si>
  <si>
    <t>Шаблоны сообщений ВКонтакте</t>
  </si>
  <si>
    <t>https://chromewebstore.google.com/detail/nojbafgmebkfnkcedljjfdgmjfloocoe</t>
  </si>
  <si>
    <t>Slideshow</t>
  </si>
  <si>
    <t>https://chromewebstore.google.com/detail/npbgaonpknkafgkfkjhkobhnaffmiafl</t>
  </si>
  <si>
    <t>Jetpuzzle</t>
  </si>
  <si>
    <t>https://chromewebstore.google.com/detail/npfembjlphenkaefgeokfciglehfffmj</t>
  </si>
  <si>
    <t>Gladiatus nBot</t>
  </si>
  <si>
    <t>https://chromewebstore.google.com/detail/npfihoncaeggchfpldnmodmdajngpjib</t>
  </si>
  <si>
    <t>Venom Wallpaper - New Tab Theme</t>
  </si>
  <si>
    <t>https://chromewebstore.google.com/detail/npkedbfekaljhfnfgpefnpcincdjnbpg</t>
  </si>
  <si>
    <t>1click Pick Color</t>
  </si>
  <si>
    <t>https://chromewebstore.google.com/detail/npljhcbaaldjombimmaodgeakklblcie</t>
  </si>
  <si>
    <t>Zhongwen: Dictionnaire chinois-français</t>
  </si>
  <si>
    <t>https://chromewebstore.google.com/detail/nplpnljodajnjkpbgiflkmmcbpfiljac</t>
  </si>
  <si>
    <t>SelectionSK</t>
  </si>
  <si>
    <t>https://chromewebstore.google.com/detail/npohodmlkdednnlbhfegpnhohpgckocf</t>
  </si>
  <si>
    <t>QR URL</t>
  </si>
  <si>
    <t>https://chromewebstore.google.com/detail/nppbdeifhmhjlahlcplebmeklianffba</t>
  </si>
  <si>
    <t>Internet Explorer Countdown Timer</t>
  </si>
  <si>
    <t>https://chromewebstore.google.com/detail/npphpmbmpboghpojhghihkheedgjckkb</t>
  </si>
  <si>
    <t>Определение CMS - iTrack</t>
  </si>
  <si>
    <t>https://chromewebstore.google.com/detail/oaahganejodjmecpcmbjhjoclllabgog</t>
  </si>
  <si>
    <t>Popsters Addon for Twitter analysis</t>
  </si>
  <si>
    <t>https://chromewebstore.google.com/detail/oabejkcoehheailplgpfogpjlgnkfkdb</t>
  </si>
  <si>
    <t>MS Teams Beautifier</t>
  </si>
  <si>
    <t>https://chromewebstore.google.com/detail/oacgaangchinnhemdcakdmiekopnfckl</t>
  </si>
  <si>
    <t>SEI Bot</t>
  </si>
  <si>
    <t>https://chromewebstore.google.com/detail/oadkmgihpeakaanccpjmaekjldceempn</t>
  </si>
  <si>
    <t>Чекко</t>
  </si>
  <si>
    <t>https://chromewebstore.google.com/detail/oagaeikjnjbjcgelefgmomonfhpidclg</t>
  </si>
  <si>
    <t>集诚信网购助手</t>
  </si>
  <si>
    <t>https://chromewebstore.google.com/detail/oagalgodeelgmgamlnladeeicpfccgag</t>
  </si>
  <si>
    <t>Javascript &amp; Css auto injection</t>
  </si>
  <si>
    <t>https://chromewebstore.google.com/detail/oakjdafonfdgbgbcofjpaecngfimohno</t>
  </si>
  <si>
    <t>e-typing plus</t>
  </si>
  <si>
    <t>https://chromewebstore.google.com/detail/oamfkdadogckhpdbhiibkobglkpiligo</t>
  </si>
  <si>
    <t>自动回复隐藏帖</t>
  </si>
  <si>
    <t>https://chromewebstore.google.com/detail/oamijhcbhoplikcmmfdhgokglmbngcmj</t>
  </si>
  <si>
    <t>Rate My Vandy Professors</t>
  </si>
  <si>
    <t>https://chromewebstore.google.com/detail/oaoneifognaiapnemgpeifibjijidpne</t>
  </si>
  <si>
    <t>Sweatyboi</t>
  </si>
  <si>
    <t>https://chromewebstore.google.com/detail/obdijnickljedfcojahfkknhcaepmjbb</t>
  </si>
  <si>
    <t>Fast.Com - Display Network Speed in Bytes.</t>
  </si>
  <si>
    <t>https://chromewebstore.google.com/detail/obgghgheidhjlkgolpabbncemnmpkpac</t>
  </si>
  <si>
    <t>comSlider</t>
  </si>
  <si>
    <t>https://chromewebstore.google.com/detail/objbdnkdonjhgedbpffkahnoflllbjph</t>
  </si>
  <si>
    <t>RandomGen</t>
  </si>
  <si>
    <t>https://chromewebstore.google.com/detail/obkfljadgdcionngoklljlmkddgljigk</t>
  </si>
  <si>
    <t>Automatic Affiliate Link &amp; Cashback Generator</t>
  </si>
  <si>
    <t>https://chromewebstore.google.com/detail/obmioinepipfahfhaaebfjomonleiapd</t>
  </si>
  <si>
    <t>设计师的百宝箱</t>
  </si>
  <si>
    <t>https://chromewebstore.google.com/detail/obmkondomdmdibeoehobeofdnogneecp</t>
  </si>
  <si>
    <t>Simple Click Counter</t>
  </si>
  <si>
    <t>https://chromewebstore.google.com/detail/obmlbfmagbgddcnmhnegnljdmhfnfgmc</t>
  </si>
  <si>
    <t>Disney Wallpapers New Tab</t>
  </si>
  <si>
    <t>https://chromewebstore.google.com/detail/ocaooaloaklnkihcmombdnobkipjgile</t>
  </si>
  <si>
    <t>Victoria's Secret Celebrity Pics</t>
  </si>
  <si>
    <t>https://chromewebstore.google.com/detail/occeejcdjnhnbaejiohmbbdbgnbpemcc</t>
  </si>
  <si>
    <t>PicMonkey &gt; WordPress</t>
  </si>
  <si>
    <t>https://chromewebstore.google.com/detail/ocejgpkgjakmmkijnjlkdfpnijmjlacf</t>
  </si>
  <si>
    <t>Pantograph</t>
  </si>
  <si>
    <t>https://chromewebstore.google.com/detail/ocfgfhicacgipgpiapepehhpidbhijkl</t>
  </si>
  <si>
    <t>Sportsy - Sport Live Streams</t>
  </si>
  <si>
    <t>https://chromewebstore.google.com/detail/ocgahpobhhfjgaggafmidogklgiefenj</t>
  </si>
  <si>
    <t>Sequence Wallet</t>
  </si>
  <si>
    <t>https://chromewebstore.google.com/detail/ocmccklecaalljlflmclidjeclpcpdim</t>
  </si>
  <si>
    <t>智媒助理</t>
  </si>
  <si>
    <t>https://chromewebstore.google.com/detail/ocnilbhlpfhpkgehpeiehkefdjjldefa</t>
  </si>
  <si>
    <t>EasyIQ IdP – Solrød Kommune</t>
  </si>
  <si>
    <t>https://chromewebstore.google.com/detail/ococeakjienklcnckpijkjlejjjbmobk</t>
  </si>
  <si>
    <t>Speak Ai - Import &amp; Analyze Text</t>
  </si>
  <si>
    <t>https://chromewebstore.google.com/detail/ocojnbhkbjgnlknabhicoodhmlapfodp</t>
  </si>
  <si>
    <t>Rivals Board Enhancements</t>
  </si>
  <si>
    <t>https://chromewebstore.google.com/detail/ocolfhpogcchjfldbmjmigpneldphngf</t>
  </si>
  <si>
    <t>Browser EQ</t>
  </si>
  <si>
    <t>https://chromewebstore.google.com/detail/odamhgdipmfelnoclggflemkjkigdnhe</t>
  </si>
  <si>
    <t>Open in YouTube for YouTube Music</t>
  </si>
  <si>
    <t>https://chromewebstore.google.com/detail/odekbjpmanmghgfppjdkbnechlkacojc</t>
  </si>
  <si>
    <t>Tribal Wars Resource Buyer</t>
  </si>
  <si>
    <t>https://chromewebstore.google.com/detail/odeoccmcnfdmnnedeghgedflgahnfmfe</t>
  </si>
  <si>
    <t>Highlight All Occurrences</t>
  </si>
  <si>
    <t>https://chromewebstore.google.com/detail/odhbnpahcahiihjfkmdnnallndmmibpk</t>
  </si>
  <si>
    <t>云盘助手</t>
  </si>
  <si>
    <t>https://chromewebstore.google.com/detail/odhebbkbobbaecpggflnmmljepblbfpo</t>
  </si>
  <si>
    <t>Удаление рекламы Вконтакте и Одноклассники</t>
  </si>
  <si>
    <t>https://chromewebstore.google.com/detail/odigpomejapcceiciliddbcldmcmpmik</t>
  </si>
  <si>
    <t>Hand-me-down for Google Meet</t>
  </si>
  <si>
    <t>https://chromewebstore.google.com/detail/odkejcmkmjeiaiejcghdkdnhbbokolbl</t>
  </si>
  <si>
    <t>Justify</t>
  </si>
  <si>
    <t>https://chromewebstore.google.com/detail/odkfbmljaomnibofnefflonfehhbhnoo</t>
  </si>
  <si>
    <t>Leet Repeet</t>
  </si>
  <si>
    <t>https://chromewebstore.google.com/detail/odpadfgphijikfmdaefmhpjdebahnmde</t>
  </si>
  <si>
    <t>Insights validator</t>
  </si>
  <si>
    <t>https://chromewebstore.google.com/detail/oedcdjekldlejeadaanbbmneokhcnicb</t>
  </si>
  <si>
    <t>Content Cop (Idubbbztv Meme)</t>
  </si>
  <si>
    <t>https://chromewebstore.google.com/detail/oedfdgfeknhnkpnajphbbkjfmjhgjapg</t>
  </si>
  <si>
    <t>庖丁解语: 查词句/收集/背单词/造句</t>
  </si>
  <si>
    <t>https://chromewebstore.google.com/detail/oegblnjiajbfeegijlnblepdodmnddbk</t>
  </si>
  <si>
    <t>Shades</t>
  </si>
  <si>
    <t>https://chromewebstore.google.com/detail/oekcldnibfbbhgkmadgjlabcdjefclkm</t>
  </si>
  <si>
    <t>Custom Background Roblox</t>
  </si>
  <si>
    <t>https://chromewebstore.google.com/detail/oekdeefnfjmoojcdkmlbplpdnikfmdlc</t>
  </si>
  <si>
    <t>Chrome Sound Effects</t>
  </si>
  <si>
    <t>https://chromewebstore.google.com/detail/oekengelpdnkfopdkkphkmaacfanbnla</t>
  </si>
  <si>
    <t>SEO Header Highlighter</t>
  </si>
  <si>
    <t>https://chromewebstore.google.com/detail/oelmadmiblchepiglmkdooododgpeafa</t>
  </si>
  <si>
    <t>Bitmoji</t>
  </si>
  <si>
    <t>https://chromewebstore.google.com/detail/oemjndhbhfopdmlmjlakgdegemekkibg</t>
  </si>
  <si>
    <t>Auto Screenshot Translator Extension</t>
  </si>
  <si>
    <t>https://chromewebstore.google.com/detail/oeolbkmoecehmgmgfghkldlbngokdjhb</t>
  </si>
  <si>
    <t>UpGuard Cyber Security Ratings</t>
  </si>
  <si>
    <t>https://chromewebstore.google.com/detail/oeomioifmeadkjdifcijpkfifjifhhhn</t>
  </si>
  <si>
    <t>Youtube Resizer</t>
  </si>
  <si>
    <t>https://chromewebstore.google.com/detail/oeommpagcgphojijlogagaejiiahfnmm</t>
  </si>
  <si>
    <t>Delta for YouTube</t>
  </si>
  <si>
    <t>https://chromewebstore.google.com/detail/ofbfdabicijcdjoeemcgabeeapciibbf</t>
  </si>
  <si>
    <t>Service Worker Detector</t>
  </si>
  <si>
    <t>https://chromewebstore.google.com/detail/ofdigdofloanabjcaijfidkogmejlmjc</t>
  </si>
  <si>
    <t>WA - Group Contacts Enhancement</t>
  </si>
  <si>
    <t>https://chromewebstore.google.com/detail/ofglmkdhbegjalppjcpdcbnomkemkojm</t>
  </si>
  <si>
    <t>Email Stationery, Letterhead</t>
  </si>
  <si>
    <t>https://chromewebstore.google.com/detail/ofgmfinplabimkfhjnoibldbadjbnanb</t>
  </si>
  <si>
    <t>Sticky Notes Tab</t>
  </si>
  <si>
    <t>https://chromewebstore.google.com/detail/ofhklbffoehlkndkhdhjlfkiobbcoogd</t>
  </si>
  <si>
    <t>English-Thai Dictionary แปลอังกฤษ-ไทย</t>
  </si>
  <si>
    <t>https://chromewebstore.google.com/detail/ofinfhfbojcjhgnocfcgoefgnledhddn</t>
  </si>
  <si>
    <t>字体检测</t>
  </si>
  <si>
    <t>https://chromewebstore.google.com/detail/ofjeanmickkjincopmpbfkciiookidha</t>
  </si>
  <si>
    <t>unsub.ME</t>
  </si>
  <si>
    <t>https://chromewebstore.google.com/detail/ofkabjnhbcfdpojmpfghkofmfedjhbna</t>
  </si>
  <si>
    <t>Website Dimmer</t>
  </si>
  <si>
    <t>https://chromewebstore.google.com/detail/oflokebamamodefnbnaaemefecjhekcg</t>
  </si>
  <si>
    <t>Risk Calculator</t>
  </si>
  <si>
    <t>https://chromewebstore.google.com/detail/ogbhalchfdnpkmmgdpcfepkhnnpbomoi</t>
  </si>
  <si>
    <t>StopItKids parental control</t>
  </si>
  <si>
    <t>https://chromewebstore.google.com/detail/ogbomkfadhhndgccgfknejchfhkcolko</t>
  </si>
  <si>
    <t>bargainez coupons</t>
  </si>
  <si>
    <t>https://chromewebstore.google.com/detail/ogcmacogjicbppmlfkaglcloolcgcema</t>
  </si>
  <si>
    <t>Ultimate Sudoku</t>
  </si>
  <si>
    <t>https://chromewebstore.google.com/detail/ogebapoedodganeklcnhgabiehndcanl</t>
  </si>
  <si>
    <t>Night Video Tuner</t>
  </si>
  <si>
    <t>https://chromewebstore.google.com/detail/ogffaloegjglncjfehdfplabnoondfjo</t>
  </si>
  <si>
    <t>HashFair reborn</t>
  </si>
  <si>
    <t>https://chromewebstore.google.com/detail/ogiegfgghlangemlggeoogaadkebmibh</t>
  </si>
  <si>
    <t>Show - Highlighter for Google Slides</t>
  </si>
  <si>
    <t>https://chromewebstore.google.com/detail/ogjfcicbofbobbljgbmkbgehfmkmanpa</t>
  </si>
  <si>
    <t>Simple Tab Carousel</t>
  </si>
  <si>
    <t>https://chromewebstore.google.com/detail/ogkhchpclioobkplbmkjekalofgddagc</t>
  </si>
  <si>
    <t>Swift Snap (Window Resizer)</t>
  </si>
  <si>
    <t>https://chromewebstore.google.com/detail/ogncjloladfooiimjbdgdkokmlmjpkjd</t>
  </si>
  <si>
    <t>Flix - Watch Netflix with your buddies!</t>
  </si>
  <si>
    <t>https://chromewebstore.google.com/detail/ogobbjinnajkoepejmkhafcfpjbkmahb</t>
  </si>
  <si>
    <t>performance-HTML</t>
  </si>
  <si>
    <t>https://chromewebstore.google.com/detail/ogpakokhpomfmndbddggogokkmcjebpl</t>
  </si>
  <si>
    <t>1-Click Extension Manager</t>
  </si>
  <si>
    <t>https://chromewebstore.google.com/detail/ohajmcdpjokbdoihfhkpbmlmknejmoec</t>
  </si>
  <si>
    <t>Goodbye minecraftuser.jp</t>
  </si>
  <si>
    <t>https://chromewebstore.google.com/detail/ohbgjelbnnilhimcihoipnkelmdfdhbe</t>
  </si>
  <si>
    <t>U-NEXTで検索</t>
  </si>
  <si>
    <t>https://chromewebstore.google.com/detail/ohdcmmbkadhimldgmdmddaedglgcalcd</t>
  </si>
  <si>
    <t>Prime Video ads skip</t>
  </si>
  <si>
    <t>https://chromewebstore.google.com/detail/ohdilaonheipiclpcgepeioondfciiip</t>
  </si>
  <si>
    <t>Asana Extension</t>
  </si>
  <si>
    <t>https://chromewebstore.google.com/detail/oheaeephldhdnlglpkgigmlcjcieojfd</t>
  </si>
  <si>
    <t>Smooth Cursorify</t>
  </si>
  <si>
    <t>https://chromewebstore.google.com/detail/ohhjfajndpfpbimipmehmdkblnbelaec</t>
  </si>
  <si>
    <t>CamlJS Console</t>
  </si>
  <si>
    <t>https://chromewebstore.google.com/detail/ohjcpmdjfihchfhkmimcbklhjdphoeac</t>
  </si>
  <si>
    <t>CFCA CryptoKit.ESUNBank Extension</t>
  </si>
  <si>
    <t>https://chromewebstore.google.com/detail/ohkoalpmmojgjaejpifmkglbcklcegdp</t>
  </si>
  <si>
    <t>AWS Favicon Update</t>
  </si>
  <si>
    <t>https://chromewebstore.google.com/detail/ohloajnmmkniehhbmjakbejnomonmijc</t>
  </si>
  <si>
    <t>https://chromewebstore.google.com/detail/ohogkbgckjfhmgmfbdabalmggjmjdjmk</t>
  </si>
  <si>
    <t>iqhr-extension</t>
  </si>
  <si>
    <t>https://chromewebstore.google.com/detail/ohpbdgpfjldcmolpikooagnibhjijlgn</t>
  </si>
  <si>
    <t>iinterests - Interests Extractor</t>
  </si>
  <si>
    <t>https://chromewebstore.google.com/detail/oiafnkijemphjhikmdjfdpgcekhkibcl</t>
  </si>
  <si>
    <t>VectorDrawable Previewer</t>
  </si>
  <si>
    <t>https://chromewebstore.google.com/detail/oidfgbojkfckgmkljhacgnckncpanbhm</t>
  </si>
  <si>
    <t>Gmail Contacts Card Updater</t>
  </si>
  <si>
    <t>https://chromewebstore.google.com/detail/oiehlacniklopgoomeehknondlaifnll</t>
  </si>
  <si>
    <t>Forex Corporate MT4 ChromeTrader</t>
  </si>
  <si>
    <t>https://chromewebstore.google.com/detail/oijflcldgehkfiemnfcidmfjmfjmlbmk</t>
  </si>
  <si>
    <t>Open With IrfanView</t>
  </si>
  <si>
    <t>https://chromewebstore.google.com/detail/oimgeamnldoknegijnamobdaohbegjce</t>
  </si>
  <si>
    <t>Topics by SEOmonitor</t>
  </si>
  <si>
    <t>https://chromewebstore.google.com/detail/oimoiefndijdcjpphcgldokllodoaihe</t>
  </si>
  <si>
    <t>SIGAA Rural</t>
  </si>
  <si>
    <t>https://chromewebstore.google.com/detail/oincadmpbogdfgckicmpclkdmcfagajg</t>
  </si>
  <si>
    <t>Power Dat Google Map Search Routing</t>
  </si>
  <si>
    <t>https://chromewebstore.google.com/detail/oincafggaepgofadjimemcfmdfpjoepl</t>
  </si>
  <si>
    <t>EZ-Link B&amp;H Photo Affiliate Tools</t>
  </si>
  <si>
    <t>https://chromewebstore.google.com/detail/oiocapjnhpbjbijfppfjdnmnojifcdkh</t>
  </si>
  <si>
    <t>Chinese-English Dictionary</t>
  </si>
  <si>
    <t>https://chromewebstore.google.com/detail/oioeapdgbhbkkmmmeiichfjloebjggki</t>
  </si>
  <si>
    <t>ScaleWallet</t>
  </si>
  <si>
    <t>https://chromewebstore.google.com/detail/oiohdnannmknmdlddkdejbmplhbdcbee</t>
  </si>
  <si>
    <t>百度云直链</t>
  </si>
  <si>
    <t>https://chromewebstore.google.com/detail/ojaihdhlcohdjjagclcklnnnanhjkbin</t>
  </si>
  <si>
    <t>Drag Design</t>
  </si>
  <si>
    <t>https://chromewebstore.google.com/detail/ojakcmmkjeffinjapolfoahfagdgelfk</t>
  </si>
  <si>
    <t>TradingView Alerts</t>
  </si>
  <si>
    <t>https://chromewebstore.google.com/detail/ojbnlipjeadjbehiplciekcdpfikkbib</t>
  </si>
  <si>
    <t>Punchtime for Trello</t>
  </si>
  <si>
    <t>https://chromewebstore.google.com/detail/ojccjdibbkolgodijhgfgmcdgchlojao</t>
  </si>
  <si>
    <t>IPVT Screen Capturing</t>
  </si>
  <si>
    <t>https://chromewebstore.google.com/detail/ojjcnpikbhgaagkebdioeflencmpkgea</t>
  </si>
  <si>
    <t>BlackBoard Helper</t>
  </si>
  <si>
    <t>https://chromewebstore.google.com/detail/ojlhobincmkfmfgaflbpfgmmlfkmamkg</t>
  </si>
  <si>
    <t>ImageToText</t>
  </si>
  <si>
    <t>https://chromewebstore.google.com/detail/ojmelblegakdgcjacaclnlgdmifgppdb</t>
  </si>
  <si>
    <t>Hyperlink Text Selector</t>
  </si>
  <si>
    <t>https://chromewebstore.google.com/detail/ojnfanikhkhoklphdcehbolcpeipbaec</t>
  </si>
  <si>
    <t>Save Inspect</t>
  </si>
  <si>
    <t>https://chromewebstore.google.com/detail/okdjjdfncmbfeoklehpmadgcdbnlnabd</t>
  </si>
  <si>
    <t>Copy Image URL</t>
  </si>
  <si>
    <t>https://chromewebstore.google.com/detail/okellkdngnddldceghgglinloadinfgg</t>
  </si>
  <si>
    <t>Niche Hunter</t>
  </si>
  <si>
    <t>https://chromewebstore.google.com/detail/okfigfhgkhpbddamkakbngmkgecffncj</t>
  </si>
  <si>
    <t>Forget about this site</t>
  </si>
  <si>
    <t>https://chromewebstore.google.com/detail/okiohagmnigihpbleoloddfldckiknea</t>
  </si>
  <si>
    <t>HostAdmin</t>
  </si>
  <si>
    <t>https://chromewebstore.google.com/detail/oklkidkfohahankieehkeenbillligdn</t>
  </si>
  <si>
    <t>Turn off Youtube Comments toggle</t>
  </si>
  <si>
    <t>https://chromewebstore.google.com/detail/oknkcmcepaahofjeifofaomnlbenbpdc</t>
  </si>
  <si>
    <t>dmm-cookie-neatrabbit</t>
  </si>
  <si>
    <t>https://chromewebstore.google.com/detail/oknmifdkopdphfngophcpoddjalaahok</t>
  </si>
  <si>
    <t>Right-Click Tureng</t>
  </si>
  <si>
    <t>https://chromewebstore.google.com/detail/olbmmdlchmicolppponihdhclpnhkpdd</t>
  </si>
  <si>
    <t>30k</t>
  </si>
  <si>
    <t>https://chromewebstore.google.com/detail/olbpglaibapheinfojhgiaenneioilpn</t>
  </si>
  <si>
    <t>Headline and Subject Line Generator</t>
  </si>
  <si>
    <t>https://chromewebstore.google.com/detail/olekhdbiikodlegdppgkkcdgggikepne</t>
  </si>
  <si>
    <t>Retina Check Extension</t>
  </si>
  <si>
    <t>https://chromewebstore.google.com/detail/olgcoeajbmggbinanooheaialmihaaof</t>
  </si>
  <si>
    <t>MailCheck</t>
  </si>
  <si>
    <t>https://chromewebstore.google.com/detail/olghnkfiljkinfbnichocbepnimdfclf</t>
  </si>
  <si>
    <t>Emotee</t>
  </si>
  <si>
    <t>https://chromewebstore.google.com/detail/ollfjiihaphmpjemfhmkngaajbdblbkb</t>
  </si>
  <si>
    <t>Docx to HTML Converter</t>
  </si>
  <si>
    <t>https://chromewebstore.google.com/detail/olmldjaicdbnkabfiieclmigepfakdoj</t>
  </si>
  <si>
    <t>知乎历史助手</t>
  </si>
  <si>
    <t>https://chromewebstore.google.com/detail/omahbhljmcdlanacglbejbmnadecbkgm</t>
  </si>
  <si>
    <t>NewTabTodo</t>
  </si>
  <si>
    <t>https://chromewebstore.google.com/detail/omajchkpfbgdnponeednigfehanaholi</t>
  </si>
  <si>
    <t>My IP Address - Country/Browser/Blacklist ™</t>
  </si>
  <si>
    <t>https://chromewebstore.google.com/detail/ombkgoboclhmipmpjpnmajmlgenjjfdm</t>
  </si>
  <si>
    <t>FACEIT+</t>
  </si>
  <si>
    <t>https://chromewebstore.google.com/detail/omdhnadkcnembinnkaejpmkpiccnfhno</t>
  </si>
  <si>
    <t>CourseGem</t>
  </si>
  <si>
    <t>https://chromewebstore.google.com/detail/omfnpkdhcmgcajclojcfhciacciogdcd</t>
  </si>
  <si>
    <t>TabNotes</t>
  </si>
  <si>
    <t>https://chromewebstore.google.com/detail/omgomlnnfccahaaicaphjjgkjplfkjai</t>
  </si>
  <si>
    <t>Find That Email : Email Address Generator</t>
  </si>
  <si>
    <t>https://chromewebstore.google.com/detail/omhddidaimomdeombghbcbkkbimabmmm</t>
  </si>
  <si>
    <t>ChromeGateMJD</t>
  </si>
  <si>
    <t>https://chromewebstore.google.com/detail/omhmgbciiabipommgcimlfbfpjgngipi</t>
  </si>
  <si>
    <t>The Octa Domain Checker</t>
  </si>
  <si>
    <t>https://chromewebstore.google.com/detail/omjmoplhjiaimmadindicfbnhoejbpka</t>
  </si>
  <si>
    <t>Memotes</t>
  </si>
  <si>
    <t>https://chromewebstore.google.com/detail/omkhcojfbdmammghnnhhnbfcedllekbf</t>
  </si>
  <si>
    <t>SPO View It</t>
  </si>
  <si>
    <t>https://chromewebstore.google.com/detail/omljlibfjloccmdmmlpcnlijjneabhjm</t>
  </si>
  <si>
    <t>single player ping pong</t>
  </si>
  <si>
    <t>https://chromewebstore.google.com/detail/ommioalakfmjgimbjpbojbdhcgdipngh</t>
  </si>
  <si>
    <t>Planner Helper</t>
  </si>
  <si>
    <t>https://chromewebstore.google.com/detail/omoljdnncdeeglgmagijlamhjlagobep</t>
  </si>
  <si>
    <t>Quick Domain WHOIS</t>
  </si>
  <si>
    <t>https://chromewebstore.google.com/detail/onibbobfihamlkmmgblfkdnigklgelhm</t>
  </si>
  <si>
    <t>Scissors</t>
  </si>
  <si>
    <t>https://chromewebstore.google.com/detail/onjfmpknmlenmogehbpckfhlaocoidif</t>
  </si>
  <si>
    <t>LAN Portscanner</t>
  </si>
  <si>
    <t>https://chromewebstore.google.com/detail/onkkglkjdlnhhdmblopeaokcllhnceej</t>
  </si>
  <si>
    <t>Jadisco.pl</t>
  </si>
  <si>
    <t>https://chromewebstore.google.com/detail/onoloilfmbomfgdalcbbpnlnhibneofa</t>
  </si>
  <si>
    <t>Translator Instantaneous Above</t>
  </si>
  <si>
    <t>https://chromewebstore.google.com/detail/onoobljibieiajgglidjhmgnoakahnln</t>
  </si>
  <si>
    <t>Озвучка Михаил для OfflinePVZ Wildberries</t>
  </si>
  <si>
    <t>https://chromewebstore.google.com/detail/oobnbmnbdiollepahbognnihpaomcdpb</t>
  </si>
  <si>
    <t>艦これタイマー for Google Chrome™</t>
  </si>
  <si>
    <t>https://chromewebstore.google.com/detail/oochjcgkemdchmglnmmheapegkpgmjhd</t>
  </si>
  <si>
    <t>Overlay Clock</t>
  </si>
  <si>
    <t>https://chromewebstore.google.com/detail/oocmeehjidegkkilebmenjdogocfefbd</t>
  </si>
  <si>
    <t>Merch Mastermind Toolkit</t>
  </si>
  <si>
    <t>https://chromewebstore.google.com/detail/ooemdibhakkbnhjhfmanckjnafiklfjo</t>
  </si>
  <si>
    <t>UI5 Development Tools</t>
  </si>
  <si>
    <t>https://chromewebstore.google.com/detail/ooghhkigehdihajppgalgkodhelbjjlm</t>
  </si>
  <si>
    <t>Girl's Day Daily</t>
  </si>
  <si>
    <t>https://chromewebstore.google.com/detail/opaiclmkfkclikempbamopnepnajnjda</t>
  </si>
  <si>
    <t>Age Counter</t>
  </si>
  <si>
    <t>https://chromewebstore.google.com/detail/opednjnkpnkdndkmaciahffknkefpnle</t>
  </si>
  <si>
    <t>Copy Real Url</t>
  </si>
  <si>
    <t>https://chromewebstore.google.com/detail/opelelcojgjgddbfhlolihhdmjodmjdf</t>
  </si>
  <si>
    <t>CFCA CryptoKit.cmcleasing Extension</t>
  </si>
  <si>
    <t>https://chromewebstore.google.com/detail/opkhfpnahihfkkhicenffonnfnhkheip</t>
  </si>
  <si>
    <t>Tab Keeper</t>
  </si>
  <si>
    <t>https://chromewebstore.google.com/detail/opphlpkpklmjbglpifmecilchaknobgn</t>
  </si>
  <si>
    <t>Relay DevTools</t>
  </si>
  <si>
    <t>https://chromewebstore.google.com/detail/oppikflppfjfdpjimpdadhelffjpciba</t>
  </si>
  <si>
    <t>Messenger Unread</t>
  </si>
  <si>
    <t>https://chromewebstore.google.com/detail/pacafepjegmgiiidkgofifmfcjfdkpea</t>
  </si>
  <si>
    <t>Drop Ship Supplier Scraper &amp; Lister</t>
  </si>
  <si>
    <t>https://chromewebstore.google.com/detail/pahlaamajbiopofflbolddpkfjfdjnlj</t>
  </si>
  <si>
    <t>123 Password</t>
  </si>
  <si>
    <t>https://chromewebstore.google.com/detail/pahmlghhaoabdlhnkmmjbkcmdamjccjj</t>
  </si>
  <si>
    <t>Watchtower Online Library Search - Unofficial</t>
  </si>
  <si>
    <t>https://chromewebstore.google.com/detail/paibejibkjomgdecgblgfkoobjjoakom</t>
  </si>
  <si>
    <t>Popup Notes</t>
  </si>
  <si>
    <t>https://chromewebstore.google.com/detail/pakngoacmndjaomplokegbepmohpfofb</t>
  </si>
  <si>
    <t>MindSky</t>
  </si>
  <si>
    <t>https://chromewebstore.google.com/detail/papngdkchffiibikcambipaainahiaag</t>
  </si>
  <si>
    <t>Цены Конкурентов</t>
  </si>
  <si>
    <t>https://chromewebstore.google.com/detail/pbamggcaifokmlmfikeajinpppkicfne</t>
  </si>
  <si>
    <t>Fix Contrast</t>
  </si>
  <si>
    <t>https://chromewebstore.google.com/detail/pbbcgecjmpkglppfjjggkkbhdnlemhkg</t>
  </si>
  <si>
    <t>New Tab Countdown</t>
  </si>
  <si>
    <t>https://chromewebstore.google.com/detail/pbeiaielhjhfdpnonbbincehnanaehon</t>
  </si>
  <si>
    <t>Wallpapers Cyberpunk 2077</t>
  </si>
  <si>
    <t>https://chromewebstore.google.com/detail/pbfglldccjgbialkaabgogdjgpkjikgl</t>
  </si>
  <si>
    <t>NCREN Force Creative Commons + SS</t>
  </si>
  <si>
    <t>https://chromewebstore.google.com/detail/pbhfkcipafbmbcdgpcijmdhbogikmhie</t>
  </si>
  <si>
    <t>LOADING.express</t>
  </si>
  <si>
    <t>https://chromewebstore.google.com/detail/pbjkhpopkeemapfmncbmpleaecapdbfg</t>
  </si>
  <si>
    <t>Font Smoothing</t>
  </si>
  <si>
    <t>https://chromewebstore.google.com/detail/pblodagimcngmkbdjcaphmjbjlnhicnj</t>
  </si>
  <si>
    <t>Bad Grammer</t>
  </si>
  <si>
    <t>https://chromewebstore.google.com/detail/pbmcfhlhkcilffifjkgegfjiegmmjgpo</t>
  </si>
  <si>
    <t>给Google™ 搜索页设置个背景图片</t>
  </si>
  <si>
    <t>https://chromewebstore.google.com/detail/pbmjkffahpajakjapejldcehlngihmhp</t>
  </si>
  <si>
    <t>No Miner</t>
  </si>
  <si>
    <t>https://chromewebstore.google.com/detail/pbnhojipeihlneembpdpaniddioobbib</t>
  </si>
  <si>
    <t>Alderiate Live</t>
  </si>
  <si>
    <t>https://chromewebstore.google.com/detail/pccplfjdogpbnndhjjbbajhjmaihkcip</t>
  </si>
  <si>
    <t>Craigslist Client</t>
  </si>
  <si>
    <t>https://chromewebstore.google.com/detail/pcejknpebeeppjgnmojbbdieidhcbbej</t>
  </si>
  <si>
    <t>Make Photo Gallery</t>
  </si>
  <si>
    <t>https://chromewebstore.google.com/detail/pcejpbljkjnljdjckjclmeoekieilokj</t>
  </si>
  <si>
    <t>Cacoo Finder</t>
  </si>
  <si>
    <t>https://chromewebstore.google.com/detail/pcfedgjdgkacloiabdlghochjfmnalck</t>
  </si>
  <si>
    <t>なぞり翻訳(中→日) for DeepL翻訳</t>
  </si>
  <si>
    <t>https://chromewebstore.google.com/detail/pcjkjppejpfepcigccchnemjpmmimijm</t>
  </si>
  <si>
    <t>EvalExpert</t>
  </si>
  <si>
    <t>https://chromewebstore.google.com/detail/pcoghfbplcjhdlljbjihcfdgnglondoc</t>
  </si>
  <si>
    <t>Color Name Season Identifier</t>
  </si>
  <si>
    <t>https://chromewebstore.google.com/detail/pddbkjjdhnmhmdeoaodeggedmebdhcgp</t>
  </si>
  <si>
    <t>Count me up lite - Word and character counter</t>
  </si>
  <si>
    <t>https://chromewebstore.google.com/detail/pdefblacohipeefbmebhalgjickekjnp</t>
  </si>
  <si>
    <t>Better Medium Stats</t>
  </si>
  <si>
    <t>https://chromewebstore.google.com/detail/pdehepohihkkmeclfnlnipieffkomajc</t>
  </si>
  <si>
    <t>TabsFolder</t>
  </si>
  <si>
    <t>https://chromewebstore.google.com/detail/pdfepgdcmifhbmldcofnkmnbabamjdnm</t>
  </si>
  <si>
    <t>Filter Drop-Down Menu</t>
  </si>
  <si>
    <t>https://chromewebstore.google.com/detail/pdfkhgdhohjkogfppjjfbbkdenabhglp</t>
  </si>
  <si>
    <t>Crawler</t>
  </si>
  <si>
    <t>https://chromewebstore.google.com/detail/pdhedahnmicgeobhejclpbogemgkfpdo</t>
  </si>
  <si>
    <t>Crunchyroll Enhanced</t>
  </si>
  <si>
    <t>https://chromewebstore.google.com/detail/pdmgnoogmgjalmocjinpaedbiffbjoim</t>
  </si>
  <si>
    <t>FABUI (FurAffinity Uploader &amp; Notifier)</t>
  </si>
  <si>
    <t>https://chromewebstore.google.com/detail/pdnepfgkpdeanbbjokeimphnkhimiobi</t>
  </si>
  <si>
    <t>Tâi-gí Helper</t>
  </si>
  <si>
    <t>https://chromewebstore.google.com/detail/pdpbfanllabhbledlnemlnmchfeheljp</t>
  </si>
  <si>
    <t>Inspect API calls</t>
  </si>
  <si>
    <t>https://chromewebstore.google.com/detail/peblgjafllfpndniijaemianngmokbcf</t>
  </si>
  <si>
    <t>nVampeta</t>
  </si>
  <si>
    <t>https://chromewebstore.google.com/detail/pebnbbhfnlmonnpbnbkmjfffmngddnbg</t>
  </si>
  <si>
    <t>Sitecore Analytics Testing Tools</t>
  </si>
  <si>
    <t>https://chromewebstore.google.com/detail/pecalkbdlhhhcoenmcjnmhgnncnkdgak</t>
  </si>
  <si>
    <t>Eagle Eye - Watch videos in a floating window</t>
  </si>
  <si>
    <t>https://chromewebstore.google.com/detail/pecdkhjikgejgnlpccgmghcnalkggjaj</t>
  </si>
  <si>
    <t>Clipboard++</t>
  </si>
  <si>
    <t>https://chromewebstore.google.com/detail/pecipdapigjbjmnkfahjlgnfcajpajhh</t>
  </si>
  <si>
    <t>ShareMeNot</t>
  </si>
  <si>
    <t>https://chromewebstore.google.com/detail/peeecebkcdlibcfllbpmmkhggflcppem</t>
  </si>
  <si>
    <t>Marvel Chibi Cursor</t>
  </si>
  <si>
    <t>https://chromewebstore.google.com/detail/peiccgabhfbgoenlbkahabimlgppnpef</t>
  </si>
  <si>
    <t>Last Tab Keepalive</t>
  </si>
  <si>
    <t>https://chromewebstore.google.com/detail/pekhngokoehglkdkciedpimjddpbkcod</t>
  </si>
  <si>
    <t>Pickero</t>
  </si>
  <si>
    <t>https://chromewebstore.google.com/detail/pembnoempgcaclgebonodhljchdmbjhf</t>
  </si>
  <si>
    <t>Centrify for Chromebook</t>
  </si>
  <si>
    <t>https://chromewebstore.google.com/detail/pemfglellcddffnkdbfjkkpnanhlhipl</t>
  </si>
  <si>
    <t>Chrome Incognito Killer</t>
  </si>
  <si>
    <t>https://chromewebstore.google.com/detail/pemnnphikkocdjjchdakacbhbfidoocb</t>
  </si>
  <si>
    <t>MathJax 3 Plugin for Github</t>
  </si>
  <si>
    <t>https://chromewebstore.google.com/detail/peoghobgdhejhcmgoppjpjcidngdfkod</t>
  </si>
  <si>
    <t>Broken Link Checker</t>
  </si>
  <si>
    <t>https://chromewebstore.google.com/detail/peoobhfbcfgilemdgnbkbjldedfgpffk</t>
  </si>
  <si>
    <t>Google Featured Photos Slideshow</t>
  </si>
  <si>
    <t>https://chromewebstore.google.com/detail/pepbogfgohpfngkncedakaegddjneapm</t>
  </si>
  <si>
    <t>Doit.im</t>
  </si>
  <si>
    <t>https://chromewebstore.google.com/detail/pfahpnenjpaanicmlpkdfliemipjhjic</t>
  </si>
  <si>
    <t>Amazon Filter</t>
  </si>
  <si>
    <t>https://chromewebstore.google.com/detail/pfbdkdnlimiidmpnmknkfhbgpbiodohi</t>
  </si>
  <si>
    <t>Tabfund</t>
  </si>
  <si>
    <t>https://chromewebstore.google.com/detail/pfbllafiigecogfbbbjiflafkbhgjceo</t>
  </si>
  <si>
    <t>SSDP Provider</t>
  </si>
  <si>
    <t>https://chromewebstore.google.com/detail/pfdiljjcookjofjbjnbnkgfnfmnoljmk</t>
  </si>
  <si>
    <t>FreeBusy Copilot</t>
  </si>
  <si>
    <t>https://chromewebstore.google.com/detail/pfehnkdhcjjppkmdbpgofopjpchlknmo</t>
  </si>
  <si>
    <t>KAIST AutoOTP</t>
  </si>
  <si>
    <t>https://chromewebstore.google.com/detail/pffidaimjkjobklpjdkgahhjbnmajpan</t>
  </si>
  <si>
    <t>Socicake Inviter</t>
  </si>
  <si>
    <t>https://chromewebstore.google.com/detail/pfhndgndaihlfcloapnhkchefgojdild</t>
  </si>
  <si>
    <t>Cute Animals Cursor</t>
  </si>
  <si>
    <t>https://chromewebstore.google.com/detail/pfmnahfcceibpccjkgnohmijjajadjgp</t>
  </si>
  <si>
    <t>CFCA CryptoKit.sckrdcredit Extension</t>
  </si>
  <si>
    <t>https://chromewebstore.google.com/detail/pfnkggfkmkodnccnfphcogpolpmlanke</t>
  </si>
  <si>
    <t>Readability Score</t>
  </si>
  <si>
    <t>https://chromewebstore.google.com/detail/pfnlengicohogdjcldalmpmdnaecndhf</t>
  </si>
  <si>
    <t>WebCam Block - Save your privacy</t>
  </si>
  <si>
    <t>https://chromewebstore.google.com/detail/pfpfeggklgmlblklkegjbbjobanfpnbe</t>
  </si>
  <si>
    <t>Jade Editor</t>
  </si>
  <si>
    <t>https://chromewebstore.google.com/detail/pgcoonmbehcdmlddodjejedplihglojl</t>
  </si>
  <si>
    <t>Linky Extension</t>
  </si>
  <si>
    <t>https://chromewebstore.google.com/detail/pghdabpagojegpfplckdbnlalpgidikc</t>
  </si>
  <si>
    <t>FantasyLink</t>
  </si>
  <si>
    <t>https://chromewebstore.google.com/detail/pghfoglbgdeknkjcmilhkidfdkgenfdi</t>
  </si>
  <si>
    <t>Nightcorer</t>
  </si>
  <si>
    <t>https://chromewebstore.google.com/detail/pghhaihcmffdmndjcagdgogjockdnaao</t>
  </si>
  <si>
    <t>Pepega Catch!</t>
  </si>
  <si>
    <t>https://chromewebstore.google.com/detail/pgjlemoacllebidgpchfhdgeifkmbigi</t>
  </si>
  <si>
    <t>IP4 Calculator</t>
  </si>
  <si>
    <t>https://chromewebstore.google.com/detail/pglhkpcfkalkpckfbdpngbaigmklcfmc</t>
  </si>
  <si>
    <t>Bitbucket Diff Tree</t>
  </si>
  <si>
    <t>https://chromewebstore.google.com/detail/pgpjdkejablgneeocagbncanfihkebpf</t>
  </si>
  <si>
    <t>OGame Timer</t>
  </si>
  <si>
    <t>https://chromewebstore.google.com/detail/phcgdpgoofnibfjcekphmdbjhkdfnkad</t>
  </si>
  <si>
    <t>Winvision Dynamics 365 CRM Tools</t>
  </si>
  <si>
    <t>https://chromewebstore.google.com/detail/phcppmldknbkicjnjchgjbdbjjodoebi</t>
  </si>
  <si>
    <t>bl.ocks.org</t>
  </si>
  <si>
    <t>https://chromewebstore.google.com/detail/phjkbonaifennbfpmieeipknnkhaoiaf</t>
  </si>
  <si>
    <t>Button: Bookmarks</t>
  </si>
  <si>
    <t>https://chromewebstore.google.com/detail/pibgjfhdkflakjlhghpgecpdojokglnn</t>
  </si>
  <si>
    <t>Mail.BG Mail Notifier/Checker</t>
  </si>
  <si>
    <t>https://chromewebstore.google.com/detail/piebfhjfnpgckpegengbagbhnokbflnc</t>
  </si>
  <si>
    <t>GWT Super Dev Button</t>
  </si>
  <si>
    <t>https://chromewebstore.google.com/detail/piekceemifgeaigkimahdckfcikpmleh</t>
  </si>
  <si>
    <t>GPU Drops</t>
  </si>
  <si>
    <t>https://chromewebstore.google.com/detail/piglojnbanllileneaadnnbomcijnbdp</t>
  </si>
  <si>
    <t>StackEye</t>
  </si>
  <si>
    <t>https://chromewebstore.google.com/detail/pihfndpmcafdecheofkjfkadecoogigm</t>
  </si>
  <si>
    <t>Playscores</t>
  </si>
  <si>
    <t>https://chromewebstore.google.com/detail/piihknpohlelblmabpalpmpogodcaljg</t>
  </si>
  <si>
    <t>GitLab - Tree view for code</t>
  </si>
  <si>
    <t>https://chromewebstore.google.com/detail/pijacafkghdlolapcjpmiodgbnpinicn</t>
  </si>
  <si>
    <t>Penalty Shooters 2</t>
  </si>
  <si>
    <t>https://chromewebstore.google.com/detail/pijckmbelgildikgpkckhlooiooeanpl</t>
  </si>
  <si>
    <t>DrupalPod helper extension</t>
  </si>
  <si>
    <t>https://chromewebstore.google.com/detail/pjfjhkcfkhbemnbpkakjhmboacefmjjl</t>
  </si>
  <si>
    <t>Viralgranskarens varningslista</t>
  </si>
  <si>
    <t>https://chromewebstore.google.com/detail/pjmmkidfflgolkfgcgpjhpdiimenoodn</t>
  </si>
  <si>
    <t>WISHUPON - A Shopping Wishlist Clipper</t>
  </si>
  <si>
    <t>https://chromewebstore.google.com/detail/pjogcfefhpolfclgebhfpambjlndbpek</t>
  </si>
  <si>
    <t>Regex101</t>
  </si>
  <si>
    <t>https://chromewebstore.google.com/detail/pjoipnocgklcnjhohaaeffemifmbnkho</t>
  </si>
  <si>
    <t>Downworthy</t>
  </si>
  <si>
    <t>https://chromewebstore.google.com/detail/pkaoiecplgdldkfihclpndbakokopjde</t>
  </si>
  <si>
    <t>Fairy Tail vs One Piece</t>
  </si>
  <si>
    <t>https://chromewebstore.google.com/detail/pkbafmmljafiakicginonlmhmobfeeeh</t>
  </si>
  <si>
    <t>Image Flip</t>
  </si>
  <si>
    <t>https://chromewebstore.google.com/detail/pkbhkhbgdaamliaimlpdlhokkecoibka</t>
  </si>
  <si>
    <t>PHP Error Alert</t>
  </si>
  <si>
    <t>https://chromewebstore.google.com/detail/pkckpaaolokjkclbambhmcokaahignkc</t>
  </si>
  <si>
    <t>豆瓣电影传送门</t>
  </si>
  <si>
    <t>https://chromewebstore.google.com/detail/pkidecliagangmpphpelecaoogfbnihi</t>
  </si>
  <si>
    <t>Telegram Translator</t>
  </si>
  <si>
    <t>https://chromewebstore.google.com/detail/pkjgpdkpjnbjmnjdkbpdfdhlgbadhhol</t>
  </si>
  <si>
    <t>Human Typing By Vikyp</t>
  </si>
  <si>
    <t>https://chromewebstore.google.com/detail/pkklnaklcgpbepjfpdapabdmbhpjkgjp</t>
  </si>
  <si>
    <t>Kutt</t>
  </si>
  <si>
    <t>https://chromewebstore.google.com/detail/pklakpjfiegjacoppcodencchehlfnpd</t>
  </si>
  <si>
    <t>My Map Free</t>
  </si>
  <si>
    <t>https://chromewebstore.google.com/detail/pklnbjkiadglpemlgdaheegaehhlehlp</t>
  </si>
  <si>
    <t>Méthode Quick Open Bar</t>
  </si>
  <si>
    <t>https://chromewebstore.google.com/detail/pkoehcnndieoekjpcdebhnpafbfmngce</t>
  </si>
  <si>
    <t>Kosmi Helper</t>
  </si>
  <si>
    <t>https://chromewebstore.google.com/detail/pkomofdgjghnedcjkppnmccboacbodbp</t>
  </si>
  <si>
    <t>Bulk URL Opener</t>
  </si>
  <si>
    <t>https://chromewebstore.google.com/detail/plebhjfgbokgojhikeoibipikgkclihp</t>
  </si>
  <si>
    <t>Black List Site 2</t>
  </si>
  <si>
    <t>https://chromewebstore.google.com/detail/pleijhempjpmjogomoabhibenbjekhlj</t>
  </si>
  <si>
    <t>WaniKani Companion</t>
  </si>
  <si>
    <t>https://chromewebstore.google.com/detail/plfjbbakjphlkdpcdpodaedhicoaloph</t>
  </si>
  <si>
    <t>Improved History</t>
  </si>
  <si>
    <t>https://chromewebstore.google.com/detail/plgkaedealnnbkngbdgiilehecfbaklm</t>
  </si>
  <si>
    <t>Signal Inspector</t>
  </si>
  <si>
    <t>https://chromewebstore.google.com/detail/plhigdejmcnjiljpefhbcmllngmmjggp</t>
  </si>
  <si>
    <t>Offline WebPage Editor</t>
  </si>
  <si>
    <t>https://chromewebstore.google.com/detail/plldjngagpbkienpplkifjkcoimkeadj</t>
  </si>
  <si>
    <t>Linkedroid - The LinkedIn™ Helper</t>
  </si>
  <si>
    <t>https://chromewebstore.google.com/detail/plpahoandlbofpfpikiklmobalngapjl</t>
  </si>
  <si>
    <t>TrueConf Content Sharing Extension</t>
  </si>
  <si>
    <t>https://chromewebstore.google.com/detail/plphehondjjchhnmgaaabelaobbkjofc</t>
  </si>
  <si>
    <t>Extensioner</t>
  </si>
  <si>
    <t>https://chromewebstore.google.com/detail/pmbfkcgplcmlmoccjbcgmopkbefndhpd</t>
  </si>
  <si>
    <t>Greek Hoaxes Detector</t>
  </si>
  <si>
    <t>https://chromewebstore.google.com/detail/pmbnnghficmddkpcgmohhbecmmaoenal</t>
  </si>
  <si>
    <t>AtCoder ACer</t>
  </si>
  <si>
    <t>https://chromewebstore.google.com/detail/pmdfjdiiiacncpgmjmeicdoidkaadjde</t>
  </si>
  <si>
    <t>Calculator+</t>
  </si>
  <si>
    <t>https://chromewebstore.google.com/detail/pmjjijdigbmcgnmkmgkcboemdggjgpog</t>
  </si>
  <si>
    <t>trayEnabler</t>
  </si>
  <si>
    <t>https://chromewebstore.google.com/detail/pmngpbahkehcgeppngnbnfbmmdclkddj</t>
  </si>
  <si>
    <t>IDrive</t>
  </si>
  <si>
    <t>https://chromewebstore.google.com/detail/pnamgombpjfancnbmlnlbeianoodojhi</t>
  </si>
  <si>
    <t>VN Auto Clicker</t>
  </si>
  <si>
    <t>https://chromewebstore.google.com/detail/pnbmplojlceadfbbaoihkhmefocedchm</t>
  </si>
  <si>
    <t>Last.fm Scrobbler YouTube Canary</t>
  </si>
  <si>
    <t>https://chromewebstore.google.com/detail/pncfaijgefbolbapchmpkfkjpgjelclh</t>
  </si>
  <si>
    <t>https://chromewebstore.google.com/detail/pndegigbkdknlmlhgmikdlgnlibhpell</t>
  </si>
  <si>
    <t>Cyclonis Password Manager</t>
  </si>
  <si>
    <t>https://chromewebstore.google.com/detail/pnfpeedickdijmfpfcdgcofpoemmdpgi</t>
  </si>
  <si>
    <t>Canvas Capture</t>
  </si>
  <si>
    <t>https://chromewebstore.google.com/detail/pnhaaddlgbpchligciolcdjgndcpelee</t>
  </si>
  <si>
    <t>Open GitHub in VS Code</t>
  </si>
  <si>
    <t>https://chromewebstore.google.com/detail/pnhnmmcigmleaooedjnodnioapklfngc</t>
  </si>
  <si>
    <t>Latest Hockey Headlines</t>
  </si>
  <si>
    <t>https://chromewebstore.google.com/detail/pnidkiailngiifhiamapafedcpepgdge</t>
  </si>
  <si>
    <t>Better Bookmark</t>
  </si>
  <si>
    <t>https://chromewebstore.google.com/detail/pniopfmciclllcpockpkgceikipiibol</t>
  </si>
  <si>
    <t>Catholic Cross</t>
  </si>
  <si>
    <t>https://chromewebstore.google.com/detail/pnlmgagkccpjblmmooeigomkjgmncjbp</t>
  </si>
  <si>
    <t>AnyConnect Check</t>
  </si>
  <si>
    <t>https://chromewebstore.google.com/detail/pnlmgdnhaomgoadfilnfjhkfegeeamfh</t>
  </si>
  <si>
    <t>Browser resize</t>
  </si>
  <si>
    <t>https://chromewebstore.google.com/detail/pnmdcoaajafdppfpioijldebfbpogopn</t>
  </si>
  <si>
    <t>Claro Cloud OCR</t>
  </si>
  <si>
    <t>https://chromewebstore.google.com/detail/pnmlfkjgmkpeganjbhhefogaijonppik</t>
  </si>
  <si>
    <t>TTR</t>
  </si>
  <si>
    <t>https://chromewebstore.google.com/detail/pnpbbadbcckmfcbdhkbkegfgpdmoieji</t>
  </si>
  <si>
    <t>AUTh Cert Signing</t>
  </si>
  <si>
    <t>https://chromewebstore.google.com/detail/pnpbpndnbcleanlcijhancijmhdolecj</t>
  </si>
  <si>
    <t>أوقات و مواقيت الصلاة</t>
  </si>
  <si>
    <t>https://chromewebstore.google.com/detail/podcggegodopijnhcbocfmjhbmjegjai</t>
  </si>
  <si>
    <t>Web Page Highlighter</t>
  </si>
  <si>
    <t>https://chromewebstore.google.com/detail/poemphopblfbpoaoglhbljbjfodofmpa</t>
  </si>
  <si>
    <t>Find People Search</t>
  </si>
  <si>
    <t>https://chromewebstore.google.com/detail/pogakilfalpppaalpjolakkbhdpgpnpn</t>
  </si>
  <si>
    <t>Deals and Discouns Finder - Price Comparison</t>
  </si>
  <si>
    <t>https://chromewebstore.google.com/detail/pokdemmjbolebfenngalladelkofhiba</t>
  </si>
  <si>
    <t>Google Meet AutoExit</t>
  </si>
  <si>
    <t>https://chromewebstore.google.com/detail/pokmephakeikepjkmloeopmjjmiioeno</t>
  </si>
  <si>
    <t>Hydrawallet</t>
  </si>
  <si>
    <t>https://chromewebstore.google.com/detail/polcbnennmbhbdoafiicjgccofalcncl</t>
  </si>
  <si>
    <t>Simple Tab Saver</t>
  </si>
  <si>
    <t>https://chromewebstore.google.com/detail/poliinbejkeohgkakcjhnidgbalekdnj</t>
  </si>
  <si>
    <t>Amazon Discount Hunter</t>
  </si>
  <si>
    <t>https://chromewebstore.google.com/detail/popfmfdcmbgimojlgdgeikdffbecaija</t>
  </si>
  <si>
    <t>FPL Genius</t>
  </si>
  <si>
    <t>https://chromewebstore.google.com/detail/ppckicpaoihcmamekmnhdaiaklmccobm</t>
  </si>
  <si>
    <t>AddOns.LA</t>
  </si>
  <si>
    <t>https://chromewebstore.google.com/detail/ppeafcmpnlhfpajdcjoddeopdbnadjaf</t>
  </si>
  <si>
    <t>Singlish to Unicode Converter</t>
  </si>
  <si>
    <t>https://chromewebstore.google.com/detail/ppgkljncihhlaaekeamabgmceippfhfo</t>
  </si>
  <si>
    <t>DicompassW</t>
  </si>
  <si>
    <t>https://chromewebstore.google.com/detail/pphlnhlbnejfljgkgifbkfdndjlddakh</t>
  </si>
  <si>
    <t>In The Loop for School Loop™ (beta)</t>
  </si>
  <si>
    <t>https://chromewebstore.google.com/detail/ppigcngidmooiiafkelbilbojiijffag</t>
  </si>
  <si>
    <t>Localhost Automate</t>
  </si>
  <si>
    <t>https://chromewebstore.google.com/detail/pplnfonehjimoddpmnhldhkgojhkjcfh</t>
  </si>
  <si>
    <t>Library Sidekick</t>
  </si>
  <si>
    <t>https://chromewebstore.google.com/detail/ppnfkghlfjlpipickophihdanpjllflo</t>
  </si>
  <si>
    <t>HotKey Music Controller: YouTube, Spotify</t>
  </si>
  <si>
    <t>https://chromewebstore.google.com/detail/pohakmokiogdbhiocmacgalcmnfdbbne</t>
  </si>
  <si>
    <t>Chat Overlay for Youtube, Twitch &amp; more</t>
  </si>
  <si>
    <t>https://chromewebstore.google.com/detail/bahhfoidnfogingiolidoidmlkogjlhp</t>
  </si>
  <si>
    <t>BuyDekhke:- The Best Deals, Coupons &amp; More</t>
  </si>
  <si>
    <t>https://chromewebstore.google.com/detail/fhemegfjjpfaopgfojmahgbmjjnkldpl</t>
  </si>
  <si>
    <t>boom! – Declutter pages, improve readability</t>
  </si>
  <si>
    <t>https://chromewebstore.google.com/detail/kcmahlhoenfpefmeoihnddopdcdidcjk</t>
  </si>
  <si>
    <t>Easy Account Switcher for Google, Facebook.</t>
  </si>
  <si>
    <t>https://chromewebstore.google.com/detail/mnannclpojfocmcjfhoicjbkjllajfhg</t>
  </si>
  <si>
    <t>PIE (English Learner's Edition)</t>
  </si>
  <si>
    <t>https://chromewebstore.google.com/detail/jafbohhbdpejlcfpkbbpkegglokegjid</t>
  </si>
  <si>
    <t>Tabula (New Tab To-do List)</t>
  </si>
  <si>
    <t>https://chromewebstore.google.com/detail/pnadejonabhdibgdmgfcomljhddlpfcc</t>
  </si>
  <si>
    <t>Whois® DNS lookup</t>
  </si>
  <si>
    <t>https://chromewebstore.google.com/detail/fmmpphipbblipmbgcfkenkbfhfchllkf</t>
  </si>
  <si>
    <t>Blackboard Learn Exam Printing</t>
  </si>
  <si>
    <t>https://chromewebstore.google.com/detail/aelhoojncpjocgdcgjfhfgmdklbidflh</t>
  </si>
  <si>
    <t>CFCA CertEnrollment.NBCB Extension</t>
  </si>
  <si>
    <t>https://chromewebstore.google.com/detail/aigpmdbobjhlndfippahifgfflpbihol</t>
  </si>
  <si>
    <t>Giant Bomb QoL</t>
  </si>
  <si>
    <t>https://chromewebstore.google.com/detail/ciipbadfpnjpnnjchpeaiilodeeeekam</t>
  </si>
  <si>
    <t>Sitespeed Report</t>
  </si>
  <si>
    <t>https://chromewebstore.google.com/detail/dncilgghjaocdjgbimbkjpeapednecmj</t>
  </si>
  <si>
    <t>WebDataStats — CMS Сhecker</t>
  </si>
  <si>
    <t>https://chromewebstore.google.com/detail/dohmaicfbdhjjhhidjhpcgikpalomncn</t>
  </si>
  <si>
    <t>Kitten Block</t>
  </si>
  <si>
    <t>https://chromewebstore.google.com/detail/dicomhebenajaeajoaehlhebjjehjahd</t>
  </si>
  <si>
    <t>T21 HLS Scrubber</t>
  </si>
  <si>
    <t>https://chromewebstore.google.com/detail/diknocfjppiediempbpcoadnamlddioj</t>
  </si>
  <si>
    <t>Morphine</t>
  </si>
  <si>
    <t>https://chromewebstore.google.com/detail/fbnpehpbojenlldmfcopeajkichnnjpo</t>
  </si>
  <si>
    <t>Webpage Default Encoding Changer</t>
  </si>
  <si>
    <t>https://chromewebstore.google.com/detail/nfboihiomjblefgplaehpfcejbnbdpog</t>
  </si>
  <si>
    <t>Askmebuy Easy Buy and Sent</t>
  </si>
  <si>
    <t>https://chromewebstore.google.com/detail/dnipdbbmkikdcgobljoppikjmbggcafo</t>
  </si>
  <si>
    <t>Yet Another YouTube Comment Filter</t>
  </si>
  <si>
    <t>https://chromewebstore.google.com/detail/kdmngkpgnecnahcpkdcmbcekonkcbdpc</t>
  </si>
  <si>
    <t>WideWizard</t>
  </si>
  <si>
    <t>https://chromewebstore.google.com/detail/lmheceammobbcnppcegjheepmljfakbg</t>
  </si>
  <si>
    <t>Flat Colors Guide</t>
  </si>
  <si>
    <t>https://chromewebstore.google.com/detail/nienncdeogcamkahjjmaaipnojjokbok</t>
  </si>
  <si>
    <t>Slava Russian Dictionary</t>
  </si>
  <si>
    <t>https://chromewebstore.google.com/detail/bcbcmhmpbggnljoapclfcagammaapghi</t>
  </si>
  <si>
    <t>AlarmDJ - Online Alarm Clock</t>
  </si>
  <si>
    <t>https://chromewebstore.google.com/detail/cechfneaapliekdhfifoclboelgfaloc</t>
  </si>
  <si>
    <t>Messenger - Theme Selector</t>
  </si>
  <si>
    <t>https://chromewebstore.google.com/detail/cghmigojnbaajmeigfphpaiepjjhcbpe</t>
  </si>
  <si>
    <t>YouTube PopOut</t>
  </si>
  <si>
    <t>https://chromewebstore.google.com/detail/ebkmdjfacnopogghbimpabhbfelkkhah</t>
  </si>
  <si>
    <t>Language Transliteration</t>
  </si>
  <si>
    <t>https://chromewebstore.google.com/detail/obepaikkjiicocdodlbpaacnnjjflnoc</t>
  </si>
  <si>
    <t>Notion Automations</t>
  </si>
  <si>
    <t>https://chromewebstore.google.com/detail/jeclnapdhfheooplcjplkhpldoklcdoo</t>
  </si>
  <si>
    <t>Selenium Capture + Excel Generator</t>
  </si>
  <si>
    <t>https://chromewebstore.google.com/detail/kpeffbajohlpbjihlcccpffcjkjkckjj</t>
  </si>
  <si>
    <t>Checksub - Custom Subtitles</t>
  </si>
  <si>
    <t>https://chromewebstore.google.com/detail/lbijplknackhkkopnihoedjjbipoknik</t>
  </si>
  <si>
    <t>Page Speed Analysis</t>
  </si>
  <si>
    <t>https://chromewebstore.google.com/detail/mgepijdabbcpfccklhimoklflnpfpbcn</t>
  </si>
  <si>
    <t>Smart Saver</t>
  </si>
  <si>
    <t>https://chromewebstore.google.com/detail/docfmdhcfhhnlkgldanjmceneghpgpdk</t>
  </si>
  <si>
    <t>Sign Search</t>
  </si>
  <si>
    <t>https://chromewebstore.google.com/detail/gniinlnnpjdbeleojkghgdccpapkapma</t>
  </si>
  <si>
    <t>https://chromewebstore.google.com/detail/lbpbmplnjoonfgknodgmhgclgcdnbbja</t>
  </si>
  <si>
    <t>AIRHORN</t>
  </si>
  <si>
    <t>https://chromewebstore.google.com/detail/lgdilciaoommilaaclidgmipedclhnph</t>
  </si>
  <si>
    <t>https://chromewebstore.google.com/detail/bpdmidochfpcblafhhkblgkehaoafahi</t>
  </si>
  <si>
    <t>Notesheet for Browsers</t>
  </si>
  <si>
    <t>https://chromewebstore.google.com/detail/feonehaohleclbngaobgacjblcpbiaon</t>
  </si>
  <si>
    <t>Little-Dictionary 小字典</t>
  </si>
  <si>
    <t>https://chromewebstore.google.com/detail/nekdehphhapfjmpjghpcifeoaamppcnj</t>
  </si>
  <si>
    <t>Lightweight Notepad</t>
  </si>
  <si>
    <t>https://chromewebstore.google.com/detail/pkhiahnopknkooefhefdbalaaboepmbm</t>
  </si>
  <si>
    <t>Cookies Blocker</t>
  </si>
  <si>
    <t>https://chromewebstore.google.com/detail/dafambnlnkbfdkieoeaccchlmahiolof</t>
  </si>
  <si>
    <t>Clever Mute</t>
  </si>
  <si>
    <t>https://chromewebstore.google.com/detail/eadinjjkfelcokdlmoechclnmmmjnpdh</t>
  </si>
  <si>
    <t>Aspose GitHub DocViewer</t>
  </si>
  <si>
    <t>https://chromewebstore.google.com/detail/hccnpbnoghefpelicokfcnngmaodbjii</t>
  </si>
  <si>
    <t>USMLE Spot Checker</t>
  </si>
  <si>
    <t>https://chromewebstore.google.com/detail/ilhlpcpkfdncbghoijdicibppgoppecc</t>
  </si>
  <si>
    <t>强悍搜索</t>
  </si>
  <si>
    <t>https://chromewebstore.google.com/detail/dnnaekppbdlfpccahbhnnfghfjlgfjdd</t>
  </si>
  <si>
    <t>Tap BPM</t>
  </si>
  <si>
    <t>https://chromewebstore.google.com/detail/gfagkcalolmjecefbofbdaemfcefipnc</t>
  </si>
  <si>
    <t>Xpress Sign-On Extension(NH-XSO 7.1.2)</t>
  </si>
  <si>
    <t>https://chromewebstore.google.com/detail/ameeofcdajhecafdkmmobeolonenpdmk</t>
  </si>
  <si>
    <t>ConvertToPdf</t>
  </si>
  <si>
    <t>https://chromewebstore.google.com/detail/cphpiaeghkgaodcpcepgboloofaajjib</t>
  </si>
  <si>
    <t>Color-Converter</t>
  </si>
  <si>
    <t>https://chromewebstore.google.com/detail/ekjjmfmbokeceeeblblppmgkcenhncii</t>
  </si>
  <si>
    <t>Monolith</t>
  </si>
  <si>
    <t>https://chromewebstore.google.com/detail/koalogomkahjlabefiglodpnhhkokekg</t>
  </si>
  <si>
    <t>linkchat Screen Sharing &amp; Calendar Add-on</t>
  </si>
  <si>
    <t>https://chromewebstore.google.com/detail/plhfkbchbffookkidijgflacgbclpljo</t>
  </si>
  <si>
    <t>Bing Image New Tab</t>
  </si>
  <si>
    <t>https://chromewebstore.google.com/detail/hahpccmdkmgmaoebhfnkpcnndnklfbpj</t>
  </si>
  <si>
    <t>AxeSO Extension</t>
  </si>
  <si>
    <t>https://chromewebstore.google.com/detail/odlhnmnfcdnfglohcegliaiphgnppebl</t>
  </si>
  <si>
    <t>Rutracker Visual наглядный вид раздач</t>
  </si>
  <si>
    <t>https://chromewebstore.google.com/detail/kmfdldnkkbgphenmaobhcihldeagjfjh</t>
  </si>
  <si>
    <t>HTTP Graph Collector</t>
  </si>
  <si>
    <t>https://chromewebstore.google.com/detail/lkkdeokncfjlinldgikoabgknklnnkoe</t>
  </si>
  <si>
    <t>video-screenshot</t>
  </si>
  <si>
    <t>https://chromewebstore.google.com/detail/okbncahhjihmnjpiadepoioodfnfanjk</t>
  </si>
  <si>
    <t>HTML Prank</t>
  </si>
  <si>
    <t>https://chromewebstore.google.com/detail/bocemdfoolahglpjdaimkmcmdpedlgdl</t>
  </si>
  <si>
    <t>Singing Carrots</t>
  </si>
  <si>
    <t>https://chromewebstore.google.com/detail/dggjcalaookhdobepmgnofebafbonhph</t>
  </si>
  <si>
    <t>Complus Integration</t>
  </si>
  <si>
    <t>https://chromewebstore.google.com/detail/fkfoonlihboclonnbkaclbifebdmedfc</t>
  </si>
  <si>
    <t>Flatter Files</t>
  </si>
  <si>
    <t>https://chromewebstore.google.com/detail/nilliopfnijnmfhbeamlobibgmcmjljk</t>
  </si>
  <si>
    <t>https://chromewebstore.google.com/detail/opmcmbcmkbobnbloaanbgminfokciinp</t>
  </si>
  <si>
    <t>PIXIV Viewer</t>
  </si>
  <si>
    <t>https://chromewebstore.google.com/detail/iennmgkhodlaphjanjeincjlolinlhng</t>
  </si>
  <si>
    <t>Amazon Variation Price Checker</t>
  </si>
  <si>
    <t>https://chromewebstore.google.com/detail/lgdhflflkpgfhhpgnpeocbfmmkijcckn</t>
  </si>
  <si>
    <t>Eyevinn Player Chrome extension</t>
  </si>
  <si>
    <t>https://chromewebstore.google.com/detail/pnfaggphefamolgkicoieffboglcihgg</t>
  </si>
  <si>
    <t>Angular Chrome</t>
  </si>
  <si>
    <t>https://chromewebstore.google.com/detail/fobloefinmdlpnanffefbpkkgflocmlp</t>
  </si>
  <si>
    <t>Echo360+</t>
  </si>
  <si>
    <t>https://chromewebstore.google.com/detail/golfblfimaaodgjjagigkahbbhbagndl</t>
  </si>
  <si>
    <t>Sesli Sozluk</t>
  </si>
  <si>
    <t>https://chromewebstore.google.com/detail/ijhjoaolkofdfgbnfalbomgkblphhoji</t>
  </si>
  <si>
    <t>Whiskey Militia Countdown Timer</t>
  </si>
  <si>
    <t>https://chromewebstore.google.com/detail/pemfnmdbgcehmkfbgpcimghoopojjchp</t>
  </si>
  <si>
    <t>YouTube Picture-In-Picture</t>
  </si>
  <si>
    <t>https://chromewebstore.google.com/detail/phneljjeificmdaehodadkdiacgiinbk</t>
  </si>
  <si>
    <t>Recent Download</t>
  </si>
  <si>
    <t>https://chromewebstore.google.com/detail/abmbeknhkchhaalbjkbehhfbibcmogbe</t>
  </si>
  <si>
    <t>抓猫</t>
  </si>
  <si>
    <t>https://chromewebstore.google.com/detail/doipjigkgmeaohilolpdphkafmhdpdam</t>
  </si>
  <si>
    <t>Masterlingo - Learn languages as you scroll</t>
  </si>
  <si>
    <t>https://chromewebstore.google.com/detail/fbfmjjebfpcefapmipcbckbdpfnjhfmj</t>
  </si>
  <si>
    <t>Flower Password</t>
  </si>
  <si>
    <t>https://chromewebstore.google.com/detail/ggfnopabjhlbcmchfajkadagogmohglj</t>
  </si>
  <si>
    <t>MyFitnessPal Food Diary Percentages</t>
  </si>
  <si>
    <t>https://chromewebstore.google.com/detail/iihalhcnelmolmliablkcmhahdnfcejf</t>
  </si>
  <si>
    <t>MRsec Exe Blocker</t>
  </si>
  <si>
    <t>https://chromewebstore.google.com/detail/cjahhhdejgeeijmmlinkckdmlheefcke</t>
  </si>
  <si>
    <t>FIP Radio</t>
  </si>
  <si>
    <t>https://chromewebstore.google.com/detail/fnhlecpfnocgmmmghkjcipmhdpmpddii</t>
  </si>
  <si>
    <t>Sync Salesforce Contacts to Google by cloudHQ</t>
  </si>
  <si>
    <t>https://chromewebstore.google.com/detail/madljjkeanhoocbnlfehnahfikjbnnhl</t>
  </si>
  <si>
    <t>Skribbl.io Hebrew Fix</t>
  </si>
  <si>
    <t>https://chromewebstore.google.com/detail/nijiemanodbknbbpngohcdhbadmnhcde</t>
  </si>
  <si>
    <t>Posture!Posture!Posture!</t>
  </si>
  <si>
    <t>https://chromewebstore.google.com/detail/ekleaenhplpaiincbdkbebmeccfgmbll</t>
  </si>
  <si>
    <t>Thaana Phonetic Keyboard</t>
  </si>
  <si>
    <t>https://chromewebstore.google.com/detail/lbkokgnilbbkpjnkeamgpbhmdojajngo</t>
  </si>
  <si>
    <t>Moodle Downloader</t>
  </si>
  <si>
    <t>https://chromewebstore.google.com/detail/egdgajocnmpjhghpglffhngdojcinkhn</t>
  </si>
  <si>
    <t>DIM</t>
  </si>
  <si>
    <t>https://chromewebstore.google.com/detail/nlddooikpnchhikklpamelnpldhcpnbe</t>
  </si>
  <si>
    <t>Youtube Skip Sign-in</t>
  </si>
  <si>
    <t>https://chromewebstore.google.com/detail/febbpoacmmneppioahpfegkoafiicdmm</t>
  </si>
  <si>
    <t>Password Chameleon</t>
  </si>
  <si>
    <t>https://chromewebstore.google.com/detail/ihgpfjkeignaegoghdopjncdahgilfnc</t>
  </si>
  <si>
    <t>Alibaba Scenario Recorder</t>
  </si>
  <si>
    <t>https://chromewebstore.google.com/detail/inodhkekikcaapcjhcepfiplgeoffjpb</t>
  </si>
  <si>
    <t>Working time counter</t>
  </si>
  <si>
    <t>https://chromewebstore.google.com/detail/lakpjellnlajgbedjhejhdbkmphhfolo</t>
  </si>
  <si>
    <t>Response Box</t>
  </si>
  <si>
    <t>https://chromewebstore.google.com/detail/ogomkaomgiefjihfoaoajomablaiiknf</t>
  </si>
  <si>
    <t>TextEditAid</t>
  </si>
  <si>
    <t>https://chromewebstore.google.com/detail/ppoadiihggafnhokfkpphojggcdigllp</t>
  </si>
  <si>
    <t>ツイキャスコメント再生</t>
  </si>
  <si>
    <t>https://chromewebstore.google.com/detail/lnbjmahfkagdmpeifkblhkglbcpbpohk</t>
  </si>
  <si>
    <t>Lequipe Abblock Go To Hell</t>
  </si>
  <si>
    <t>https://chromewebstore.google.com/detail/mkpibmnbjlmhmmnlcnplekcdkjnjjcba</t>
  </si>
  <si>
    <t>Loginext</t>
  </si>
  <si>
    <t>https://chromewebstore.google.com/detail/dbpfebhlmkmglapcnmhiedpkoadpggco</t>
  </si>
  <si>
    <t>Gambling Blocker | CasinosAnalyzer Blocker</t>
  </si>
  <si>
    <t>https://chromewebstore.google.com/detail/eakokjhgkhhijjoiemldkiodpeliffod</t>
  </si>
  <si>
    <t>My Epitech Percentages</t>
  </si>
  <si>
    <t>https://chromewebstore.google.com/detail/hepfpnmpnjacajnfkpmmmhhbiaggddin</t>
  </si>
  <si>
    <t>Vedantu Screen Share</t>
  </si>
  <si>
    <t>https://chromewebstore.google.com/detail/jcohaoldnebjjblkhmifechlephbefio</t>
  </si>
  <si>
    <t>コピペでメモる！</t>
  </si>
  <si>
    <t>https://chromewebstore.google.com/detail/pjacaegmadgnakiegpmedhbpfoecmfop</t>
  </si>
  <si>
    <t>Astro Bot</t>
  </si>
  <si>
    <t>https://chromewebstore.google.com/detail/acjiedbilhbchmjblapmekfajpplpgdo</t>
  </si>
  <si>
    <t>Whiteboard Animation Software</t>
  </si>
  <si>
    <t>https://chromewebstore.google.com/detail/hciibklojpeiibfiknmcedlfgggoejin</t>
  </si>
  <si>
    <t>Zabbix Notifier</t>
  </si>
  <si>
    <t>https://chromewebstore.google.com/detail/ikeijbmpddnkaeejokgifioccbcijjfo</t>
  </si>
  <si>
    <t>G RTF: Plain to Rich Text</t>
  </si>
  <si>
    <t>https://chromewebstore.google.com/detail/mogceicjmeopokfnobebnoepladkifdn</t>
  </si>
  <si>
    <t>Moment</t>
  </si>
  <si>
    <t>https://chromewebstore.google.com/detail/nlabgnkjjckboiimmhkeplocmhpcfkkn</t>
  </si>
  <si>
    <t>EasyFox語音辨識</t>
  </si>
  <si>
    <t>https://chromewebstore.google.com/detail/adhejfemhikenogccjlljipjiekgopfh</t>
  </si>
  <si>
    <t>Extereo Audio Player</t>
  </si>
  <si>
    <t>https://chromewebstore.google.com/detail/aokleaidncgnfejhkddhfobfffalfilm</t>
  </si>
  <si>
    <t>SomaPlayer</t>
  </si>
  <si>
    <t>https://chromewebstore.google.com/detail/dpcghdgbhjkihgnnbojldhjmcbieofgo</t>
  </si>
  <si>
    <t>Coppermine album downloader</t>
  </si>
  <si>
    <t>https://chromewebstore.google.com/detail/magolbmjckjmhpmohfpomegcpmgfkpcm</t>
  </si>
  <si>
    <t>Corrupt-a-File.net</t>
  </si>
  <si>
    <t>https://chromewebstore.google.com/detail/mnmplenlloeppjiopcknepdmlcbbfeln</t>
  </si>
  <si>
    <t>Tab &amp; URL manager</t>
  </si>
  <si>
    <t>https://chromewebstore.google.com/detail/egiemoacchfofdhhlfhkdcacgaopncmi</t>
  </si>
  <si>
    <t>URL Networks number2url</t>
  </si>
  <si>
    <t>https://chromewebstore.google.com/detail/lndpiehcijmlgooadkonganjdnnaojhc</t>
  </si>
  <si>
    <t>eScanner</t>
  </si>
  <si>
    <t>https://chromewebstore.google.com/detail/mpiipiobgejghkocofogeonfkapjgfmk</t>
  </si>
  <si>
    <t>RPThreadTracker QuickAdd</t>
  </si>
  <si>
    <t>https://chromewebstore.google.com/detail/paoldhmcjbgimkcicmognhfcjmcpcopl</t>
  </si>
  <si>
    <t>Rainy night</t>
  </si>
  <si>
    <t>https://chromewebstore.google.com/detail/pogcoeenpkpdchlmloiehcbabfkfjncf</t>
  </si>
  <si>
    <t>Canvas to Quizlet</t>
  </si>
  <si>
    <t>https://chromewebstore.google.com/detail/bkpohndgjlgpohojjndfigankhdnbgll</t>
  </si>
  <si>
    <t>Udemy™ Faster Autoplay</t>
  </si>
  <si>
    <t>https://chromewebstore.google.com/detail/fepcpdjalebcocminbnogcgfbphllkeh</t>
  </si>
  <si>
    <t>Dragonfly AI Extension</t>
  </si>
  <si>
    <t>https://chromewebstore.google.com/detail/gghcgiklappijoenldhohfifipkcpngj</t>
  </si>
  <si>
    <t>FashionReps Tools</t>
  </si>
  <si>
    <t>https://chromewebstore.google.com/detail/paakgokkhjhnmhblaflnckghjajlflki</t>
  </si>
  <si>
    <t>NASA Astronomy Picture of the Day</t>
  </si>
  <si>
    <t>https://chromewebstore.google.com/detail/bechhfglhcdjmemhkmincgemjgcbeifa</t>
  </si>
  <si>
    <t>Multiplayer Wikigame</t>
  </si>
  <si>
    <t>https://chromewebstore.google.com/detail/hlgnjjenjinpaiilhmjpejjjphieejdb</t>
  </si>
  <si>
    <t>Pomodoro clock</t>
  </si>
  <si>
    <t>https://chromewebstore.google.com/detail/inilkfalkkngchkgodhhcmgbofohnkmg</t>
  </si>
  <si>
    <t>AQUARIUM PRO (New Tab)</t>
  </si>
  <si>
    <t>https://chromewebstore.google.com/detail/lcehafmmncnalckchekikmoeeknlbijm</t>
  </si>
  <si>
    <t>Touch &amp; Clean</t>
  </si>
  <si>
    <t>https://chromewebstore.google.com/detail/cpalggakbbncabkdciiimaimmbencibf</t>
  </si>
  <si>
    <t>QuickStreamer</t>
  </si>
  <si>
    <t>https://chromewebstore.google.com/detail/ioegnnjonphieiamlnmfaacafcdfbccm</t>
  </si>
  <si>
    <t>Network Requests Download</t>
  </si>
  <si>
    <t>https://chromewebstore.google.com/detail/odecihgekkcnfbgbpjgpapaljjnebmdc</t>
  </si>
  <si>
    <t>Delivery Availability Checker</t>
  </si>
  <si>
    <t>https://chromewebstore.google.com/detail/aciieodoebcieadfecdgeeooelmflkal</t>
  </si>
  <si>
    <t>Web Injector</t>
  </si>
  <si>
    <t>https://chromewebstore.google.com/detail/ajpmfpgmlbdhaipikkikomnmkiecpgep</t>
  </si>
  <si>
    <t>Tab Aligner</t>
  </si>
  <si>
    <t>https://chromewebstore.google.com/detail/cegjnbajkdmaijhcimmajappmimkohhe</t>
  </si>
  <si>
    <t>Fortnite 4k Wallpapers New Tab Theme</t>
  </si>
  <si>
    <t>https://chromewebstore.google.com/detail/fjoeagddmkkkcfhnehcmaajdbhfkapjb</t>
  </si>
  <si>
    <t>DREAM ChatOS automatic email sender</t>
  </si>
  <si>
    <t>https://chromewebstore.google.com/detail/iodmhofpdjdndlljpodbbekmkbognang</t>
  </si>
  <si>
    <t>Planner - Dark Mode</t>
  </si>
  <si>
    <t>https://chromewebstore.google.com/detail/mnmohepacnhlohgdefiieeglgijicomo</t>
  </si>
  <si>
    <t>ChromeDash</t>
  </si>
  <si>
    <t>https://chromewebstore.google.com/detail/bbpiealmmbiefhppikadopbljoppcnoa</t>
  </si>
  <si>
    <t>Bootlint This Page</t>
  </si>
  <si>
    <t>https://chromewebstore.google.com/detail/cnamjhcdoadndjpjodeclalnmfhkoepb</t>
  </si>
  <si>
    <t>Word Replacer</t>
  </si>
  <si>
    <t>https://chromewebstore.google.com/detail/hfpjfkbenhdblefkfdlccgkagcfmkadk</t>
  </si>
  <si>
    <t>AlterNote Editor</t>
  </si>
  <si>
    <t>https://chromewebstore.google.com/detail/hljkfahiahjhhpmpihngnommookkneji</t>
  </si>
  <si>
    <t>https://chromewebstore.google.com/detail/klkgibeelchkifaeamopaheinfnfleaj</t>
  </si>
  <si>
    <t>444hsz</t>
  </si>
  <si>
    <t>https://chromewebstore.google.com/detail/lbeeoakjnfiejomcokohmfbfblbhjllo</t>
  </si>
  <si>
    <t>Extended Browse for Netflix</t>
  </si>
  <si>
    <t>https://chromewebstore.google.com/detail/oajemdopahhgfbnikcogidfnaaeglfhn</t>
  </si>
  <si>
    <t>CoinGecko Candy Collector</t>
  </si>
  <si>
    <t>https://chromewebstore.google.com/detail/ogdmacmpiojggeojaapfapjljcodigah</t>
  </si>
  <si>
    <t>Doigby</t>
  </si>
  <si>
    <t>https://chromewebstore.google.com/detail/omkjaeopjjopljblegaejfcahcogpdho</t>
  </si>
  <si>
    <t>סימון הודעות ב יד2 - Yad2 message marker</t>
  </si>
  <si>
    <t>https://chromewebstore.google.com/detail/gflbkmkiflokpeeaaiojdgnfdgmjecmo</t>
  </si>
  <si>
    <t>Selective Cookie Remover</t>
  </si>
  <si>
    <t>https://chromewebstore.google.com/detail/nagfacmodkbckhjiimdccehaabobmnnh</t>
  </si>
  <si>
    <t>OneUp</t>
  </si>
  <si>
    <t>https://chromewebstore.google.com/detail/nfihappcoloadkogdfpoaeefhikofiib</t>
  </si>
  <si>
    <t>дневник ру</t>
  </si>
  <si>
    <t>https://chromewebstore.google.com/detail/bjkcbdcpbbhmbfampcegnjjhdiffhinb</t>
  </si>
  <si>
    <t>Challenge Hunt</t>
  </si>
  <si>
    <t>https://chromewebstore.google.com/detail/cgbnhngdlmhjbmgkekedepoapmoingjj</t>
  </si>
  <si>
    <t>Chegg Search</t>
  </si>
  <si>
    <t>https://chromewebstore.google.com/detail/flicpnkdedpbcjmpglinaghjfccgcppp</t>
  </si>
  <si>
    <t>Hide Online for Whatsapp Web</t>
  </si>
  <si>
    <t>https://chromewebstore.google.com/detail/jcneeahkklelmgmdhakianajbmolceai</t>
  </si>
  <si>
    <t>Paper downloader</t>
  </si>
  <si>
    <t>https://chromewebstore.google.com/detail/nkpcgjafmckjhhoogopopoaaogjhkkie</t>
  </si>
  <si>
    <t>BingeBox - Watch movies with voice chat</t>
  </si>
  <si>
    <t>https://chromewebstore.google.com/detail/ohjmjimfdapilgepkjpaijnnekcncnon</t>
  </si>
  <si>
    <t>Highlights - Highlighter and Web Clipper</t>
  </si>
  <si>
    <t>https://chromewebstore.google.com/detail/fiajhjomgpnlefcbdhfghnbhpillkklb</t>
  </si>
  <si>
    <t>Colorize AWS CloudWatch Logs</t>
  </si>
  <si>
    <t>https://chromewebstore.google.com/detail/fkagnmcbeokmapmcbecbcmpccmlbhkpl</t>
  </si>
  <si>
    <t>Roblox Anti-Experience Chrome Extension</t>
  </si>
  <si>
    <t>https://chromewebstore.google.com/detail/hlheolkbapgpemjigmgolodgphnabnlh</t>
  </si>
  <si>
    <t>Tax Rate Calculator</t>
  </si>
  <si>
    <t>https://chromewebstore.google.com/detail/kpimejhpijkooobbiakdolkkgkhiajbk</t>
  </si>
  <si>
    <t>watchlist</t>
  </si>
  <si>
    <t>https://chromewebstore.google.com/detail/menehddibpdfhbfgfmhkddgbajijoole</t>
  </si>
  <si>
    <t>Taqyeem</t>
  </si>
  <si>
    <t>https://chromewebstore.google.com/detail/moffikgcnfodfocliogeocbmbjkolmgb</t>
  </si>
  <si>
    <t>Scroll Stop</t>
  </si>
  <si>
    <t>https://chromewebstore.google.com/detail/hjaclffbikdneicnleajghmppjdnnohl</t>
  </si>
  <si>
    <t>Тёмный дизайн new.vk.com (ВКонтакте)</t>
  </si>
  <si>
    <t>https://chromewebstore.google.com/detail/idncinkacbcdnndoilhndfpfkcbnbjhg</t>
  </si>
  <si>
    <t>Stop Scrolling Newsfeed for Facebook</t>
  </si>
  <si>
    <t>https://chromewebstore.google.com/detail/nhcbjhbdnlkddnapaoidpkfbjkpkpdcj</t>
  </si>
  <si>
    <t>LiveNotif - Aypierre</t>
  </si>
  <si>
    <t>https://chromewebstore.google.com/detail/oapbenfplhadkkokfloaogfkolhojgcl</t>
  </si>
  <si>
    <t>NewPage Georgia</t>
  </si>
  <si>
    <t>https://chromewebstore.google.com/detail/anonhhfhmigoeokidhbegbbaajocoajj</t>
  </si>
  <si>
    <t>CSS Extractor (Extracts style &amp; media rules)</t>
  </si>
  <si>
    <t>https://chromewebstore.google.com/detail/cigdmgjlopkhnmngkenhglnlhdhgibjj</t>
  </si>
  <si>
    <t>Tweaks Web Protection</t>
  </si>
  <si>
    <t>https://chromewebstore.google.com/detail/eefofopjefcjhpnpmpbcbalkmebjapcf</t>
  </si>
  <si>
    <t>YOUTUBE QUEUE</t>
  </si>
  <si>
    <t>https://chromewebstore.google.com/detail/haeailcifihaafhoelpckdbkdffnbnnk</t>
  </si>
  <si>
    <t>RPi-youtube</t>
  </si>
  <si>
    <t>https://chromewebstore.google.com/detail/laacchpjldmpbhkcjfmfcjijaekhhlgn</t>
  </si>
  <si>
    <t>Fancy Text Generator</t>
  </si>
  <si>
    <t>https://chromewebstore.google.com/detail/lnbnkkbamjbifbckjndhfcgbkjlkbkfo</t>
  </si>
  <si>
    <t>NoteFlix</t>
  </si>
  <si>
    <t>https://chromewebstore.google.com/detail/ahoplkcmcgpbkimjhncpnnllgikapjoj</t>
  </si>
  <si>
    <t>CRN Automation</t>
  </si>
  <si>
    <t>https://chromewebstore.google.com/detail/cjaclnpoihnmcojmbinlikenmidkefel</t>
  </si>
  <si>
    <t>豆瓣快速搜索</t>
  </si>
  <si>
    <t>https://chromewebstore.google.com/detail/gdacjpegboojpmgghnnldeciiaianfod</t>
  </si>
  <si>
    <t>Hamster Dance Fix</t>
  </si>
  <si>
    <t>https://chromewebstore.google.com/detail/ghchdnjbeglgofkleikiiedhclobleoh</t>
  </si>
  <si>
    <t>PQI WebAutoLogin</t>
  </si>
  <si>
    <t>https://chromewebstore.google.com/detail/gmmiaijojldkfijdahobpeepfigegdcl</t>
  </si>
  <si>
    <t>AJAX Cross Origin</t>
  </si>
  <si>
    <t>https://chromewebstore.google.com/detail/jlmkegjbfkmojbgfnmnfhcgnfamfmdae</t>
  </si>
  <si>
    <t>Picarto Notifier</t>
  </si>
  <si>
    <t>https://chromewebstore.google.com/detail/fifjhakdmflgahkghkijipchfomdajfn</t>
  </si>
  <si>
    <t>Yiddish Typer</t>
  </si>
  <si>
    <t>https://chromewebstore.google.com/detail/higlebidpnhccabnhankdoiiccnnfkko</t>
  </si>
  <si>
    <t>Conflict of Nations</t>
  </si>
  <si>
    <t>https://chromewebstore.google.com/detail/iagamimmphgpdphhkbnopnhlgeakalhp</t>
  </si>
  <si>
    <t>Google Docs Image Viewer</t>
  </si>
  <si>
    <t>https://chromewebstore.google.com/detail/kdlnfjjcbeaehfkoefcgfmnmdocogbja</t>
  </si>
  <si>
    <t>Gmail image fit</t>
  </si>
  <si>
    <t>https://chromewebstore.google.com/detail/ofglaiipngecdpdioidnflbfcplpiapa</t>
  </si>
  <si>
    <t>cute wallpaper for girls</t>
  </si>
  <si>
    <t>https://chromewebstore.google.com/detail/hlcilaceonjngbndcacpkgkeefmclahk</t>
  </si>
  <si>
    <t>Outbox for Tumblr</t>
  </si>
  <si>
    <t>https://chromewebstore.google.com/detail/oeamngjfgbhipkibmgglfdaohochpoej</t>
  </si>
  <si>
    <t>Maps URL Converter</t>
  </si>
  <si>
    <t>https://chromewebstore.google.com/detail/ehnoijojkgigcmlimlndncbdfcmmlgmi</t>
  </si>
  <si>
    <t>Many search engines</t>
  </si>
  <si>
    <t>https://chromewebstore.google.com/detail/hkbdimhkhlphaekppobhboienpeppiop</t>
  </si>
  <si>
    <t>Timestamp Converter</t>
  </si>
  <si>
    <t>https://chromewebstore.google.com/detail/komcaaelngccnmdahpmighfoeikdbmdl</t>
  </si>
  <si>
    <t>Trello Grids</t>
  </si>
  <si>
    <t>https://chromewebstore.google.com/detail/gckekomhhecblpbfpgelgaohdnbmilji</t>
  </si>
  <si>
    <t>Paste To VM</t>
  </si>
  <si>
    <t>https://chromewebstore.google.com/detail/aagnhjfkbjmfhgojleohmamjbojhciac</t>
  </si>
  <si>
    <t>Daily Links</t>
  </si>
  <si>
    <t>https://chromewebstore.google.com/detail/bpmiffipgillbacdfnbkicndliejockp</t>
  </si>
  <si>
    <t>https://chromewebstore.google.com/detail/djlpjopjnkojimgiaefgbenbbkkknnln</t>
  </si>
  <si>
    <t>GotoBase64Link</t>
  </si>
  <si>
    <t>https://chromewebstore.google.com/detail/fbkgfclopheckgncmoogiegbnjkelkkh</t>
  </si>
  <si>
    <t>Recorder Action</t>
  </si>
  <si>
    <t>https://chromewebstore.google.com/detail/hkefjlonaegglofbhbjblbhmhfhmnfjf</t>
  </si>
  <si>
    <t>Syntax Highlight Code Blocks</t>
  </si>
  <si>
    <t>https://chromewebstore.google.com/detail/hpoobjomnbgfehbigjdghibjddfpoigp</t>
  </si>
  <si>
    <t>Clip Copy</t>
  </si>
  <si>
    <t>https://chromewebstore.google.com/detail/nhabmnkcikbafdgidlmjkflpiemhnbch</t>
  </si>
  <si>
    <t>Just Refresh</t>
  </si>
  <si>
    <t>https://chromewebstore.google.com/detail/pgaimkehoiabhliejchbnamlboniofpd</t>
  </si>
  <si>
    <t>Tab Thumbnails</t>
  </si>
  <si>
    <t>https://chromewebstore.google.com/detail/aoeldolnbdgenobiigcnpajmcjdemkpf</t>
  </si>
  <si>
    <t>Cisco Dialer (Beta)</t>
  </si>
  <si>
    <t>https://chromewebstore.google.com/detail/bemkphgkamhbplojfkjeikoiagmkbfhk</t>
  </si>
  <si>
    <t>Proxy1Click - Secure Proxy Service</t>
  </si>
  <si>
    <t>https://chromewebstore.google.com/detail/giehedcpnkgeeahnefcnnijjfflnpolk</t>
  </si>
  <si>
    <t>InoReader Enhancements</t>
  </si>
  <si>
    <t>https://chromewebstore.google.com/detail/gplhofhphfekaflbghoggkbgfoblaamo</t>
  </si>
  <si>
    <t>ElseWhere</t>
  </si>
  <si>
    <t>https://chromewebstore.google.com/detail/macdjnpohgjehopclkfldiagchgpddok</t>
  </si>
  <si>
    <t>Handle Stalker</t>
  </si>
  <si>
    <t>https://chromewebstore.google.com/detail/ofdhgbjblhdkepgmafdeppjcmaaegllf</t>
  </si>
  <si>
    <t>Custom JavaScript for Websites 3</t>
  </si>
  <si>
    <t>https://chromewebstore.google.com/detail/fadhnaamieppahmfbeppffbpfkkiohdl</t>
  </si>
  <si>
    <t>Twitch Chat Helper</t>
  </si>
  <si>
    <t>https://chromewebstore.google.com/detail/fdecmpcjekkifmllbbalhhcipgfiaoch</t>
  </si>
  <si>
    <t>Google Master</t>
  </si>
  <si>
    <t>https://chromewebstore.google.com/detail/mkeolkcnabfjecpddmpimpddeajbpjid</t>
  </si>
  <si>
    <t>Mini Militia Hack Mod</t>
  </si>
  <si>
    <t>https://chromewebstore.google.com/detail/nmlfbleobblfkojbdbkjjolblhfnegoh</t>
  </si>
  <si>
    <t>vx</t>
  </si>
  <si>
    <t>https://chromewebstore.google.com/detail/obopnfigmanifpiojfhebcegjepgaiif</t>
  </si>
  <si>
    <t>JSON live editor</t>
  </si>
  <si>
    <t>https://chromewebstore.google.com/detail/aeboiihikjegpmcdjpnehnmpiiekjmhb</t>
  </si>
  <si>
    <t>Unicode Keyboard</t>
  </si>
  <si>
    <t>https://chromewebstore.google.com/detail/dengmjlghngndfpcejhcajfpmabcaenn</t>
  </si>
  <si>
    <t>Fontfully</t>
  </si>
  <si>
    <t>https://chromewebstore.google.com/detail/gmlpaaphhbillgipemeigfgkccalcclm</t>
  </si>
  <si>
    <t>mattermost-chrome-badge</t>
  </si>
  <si>
    <t>https://chromewebstore.google.com/detail/ahmlpiknebpepidendbfmflbipgbioob</t>
  </si>
  <si>
    <t>Seasonvar</t>
  </si>
  <si>
    <t>https://chromewebstore.google.com/detail/cflmhhlddhlndhajdngbeglceebpgkfl</t>
  </si>
  <si>
    <t>Twitch Dongers</t>
  </si>
  <si>
    <t>https://chromewebstore.google.com/detail/gghfcijjckogopngfdlmbfonadjkkoil</t>
  </si>
  <si>
    <t>Map Replace</t>
  </si>
  <si>
    <t>https://chromewebstore.google.com/detail/kcaeeijmehodhlebigdekedaehnconpb</t>
  </si>
  <si>
    <t>随机抽签器</t>
  </si>
  <si>
    <t>https://chromewebstore.google.com/detail/ldlabgfidopfkhbdfaanbihnjnkijikj</t>
  </si>
  <si>
    <t>ForgeCommander Integration</t>
  </si>
  <si>
    <t>https://chromewebstore.google.com/detail/mfdeccgkoldiahiohijhlnkgjbofohip</t>
  </si>
  <si>
    <t>WebLabel</t>
  </si>
  <si>
    <t>https://chromewebstore.google.com/detail/paaiopflofakieapanjjggpcpgbidcaj</t>
  </si>
  <si>
    <t>LeadMine Prospector</t>
  </si>
  <si>
    <t>https://chromewebstore.google.com/detail/cjfcggkodegcngbhenjoppjagififcpk</t>
  </si>
  <si>
    <t>Unblocker</t>
  </si>
  <si>
    <t>https://chromewebstore.google.com/detail/jkgoidcneenbbjbncgegpledfdolbodh</t>
  </si>
  <si>
    <t>Αναζήτηση στο Skroutz</t>
  </si>
  <si>
    <t>https://chromewebstore.google.com/detail/naekkaimmdjkdhgccbkhfabndiiiaidd</t>
  </si>
  <si>
    <t>Google Mail Notification Sound</t>
  </si>
  <si>
    <t>https://chromewebstore.google.com/detail/pbkplelomfmahlbhpekhcgebnhgknhjh</t>
  </si>
  <si>
    <t>PHP Compiler Editor</t>
  </si>
  <si>
    <t>https://chromewebstore.google.com/detail/ldfijcnohnjjeokjkpmahpjmlljejhpn</t>
  </si>
  <si>
    <t>DuckDuckGo Search Engines for Chrome</t>
  </si>
  <si>
    <t>https://chromewebstore.google.com/detail/mfikohbeadpajcijohnobibodimmjhfk</t>
  </si>
  <si>
    <t>Yu-Gi-Oh-Deck-Downloader</t>
  </si>
  <si>
    <t>https://chromewebstore.google.com/detail/omhigihagjbdeocmmopgdnklnfanpbka</t>
  </si>
  <si>
    <t>LWC ShadowPath Generator</t>
  </si>
  <si>
    <t>https://chromewebstore.google.com/detail/pjpdcemjgnjlnljbihckfabphjpjhmbl</t>
  </si>
  <si>
    <t>Optotax Assistant</t>
  </si>
  <si>
    <t>https://chromewebstore.google.com/detail/cofjfghobnapjoeogfkflhcbghgdnpae</t>
  </si>
  <si>
    <t>Zikr</t>
  </si>
  <si>
    <t>https://chromewebstore.google.com/detail/dechcjncbhilapicebooedmhphhiglef</t>
  </si>
  <si>
    <t>Grrrid</t>
  </si>
  <si>
    <t>https://chromewebstore.google.com/detail/fikpgdnlnimmndcamdmmkfjblcfnckoo</t>
  </si>
  <si>
    <t>Low Down Deep Official Browser</t>
  </si>
  <si>
    <t>https://chromewebstore.google.com/detail/gibkmpjlfnibddpaaflijepffcpgcohp</t>
  </si>
  <si>
    <t>VkOptOptOpt</t>
  </si>
  <si>
    <t>https://chromewebstore.google.com/detail/oenhefnbdinonicaglkhcagpaepmmfoo</t>
  </si>
  <si>
    <t>Better Tumblr Video</t>
  </si>
  <si>
    <t>https://chromewebstore.google.com/detail/apnnlkobibgdkakehkkgnmfinenhjddh</t>
  </si>
  <si>
    <t>South China Morning Clearance</t>
  </si>
  <si>
    <t>https://chromewebstore.google.com/detail/cdehpghdgmcgjafphehekainkknbdajc</t>
  </si>
  <si>
    <t>123movies</t>
  </si>
  <si>
    <t>https://chromewebstore.google.com/detail/lkkaijmiimgfbmfnbnmicfbfpdcdienh</t>
  </si>
  <si>
    <t>Black Panther Wallpaper - New Tab Theme</t>
  </si>
  <si>
    <t>https://chromewebstore.google.com/detail/ikbgoplhddcabppmifaaoakohjjfooem</t>
  </si>
  <si>
    <t>YT End Cards Hider</t>
  </si>
  <si>
    <t>https://chromewebstore.google.com/detail/jokabnhdpdjkpncammcloeagdnnooima</t>
  </si>
  <si>
    <t>Twitch DCCON extension</t>
  </si>
  <si>
    <t>https://chromewebstore.google.com/detail/nljojmgmnidbehhocgkbeejchcmkpgki</t>
  </si>
  <si>
    <t>FPL Mini-League Stats Calculator</t>
  </si>
  <si>
    <t>https://chromewebstore.google.com/detail/ofjikfigpedfahjpninpbegobibogbda</t>
  </si>
  <si>
    <t>Duolibro</t>
  </si>
  <si>
    <t>https://chromewebstore.google.com/detail/ogianofickehjjgaopiohbgjhmhbdafn</t>
  </si>
  <si>
    <t>Google Meet - Don't forget to record ribbon</t>
  </si>
  <si>
    <t>https://chromewebstore.google.com/detail/ppehpblmikpidcbjfobiomoedhpnlmdl</t>
  </si>
  <si>
    <t>YouTube Text-Recognition</t>
  </si>
  <si>
    <t>https://chromewebstore.google.com/detail/eiobdpjhboagcihclljpjkkehnmiodlb</t>
  </si>
  <si>
    <t>Jiraya</t>
  </si>
  <si>
    <t>https://chromewebstore.google.com/detail/jmmmcnfbcinhmphcbadgbfkalkmagiog</t>
  </si>
  <si>
    <t>Social Toolkit Pro</t>
  </si>
  <si>
    <t>https://chromewebstore.google.com/detail/lemjeocdokhjlhidkiajmgeoealmanho</t>
  </si>
  <si>
    <t>Selectify</t>
  </si>
  <si>
    <t>https://chromewebstore.google.com/detail/lpnjpfcjoodgemnipmlaobngfndgojki</t>
  </si>
  <si>
    <t>setInterval sniffer</t>
  </si>
  <si>
    <t>https://chromewebstore.google.com/detail/odkgihncjgklajjabihpoipfnpcjhdno</t>
  </si>
  <si>
    <t>JDE-xpansion</t>
  </si>
  <si>
    <t>https://chromewebstore.google.com/detail/oilcfopfbikfeapigpknngnmdcpijgnl</t>
  </si>
  <si>
    <t>Sprinter</t>
  </si>
  <si>
    <t>https://chromewebstore.google.com/detail/dokjalegehmapmfcgljdmpnnheabgedb</t>
  </si>
  <si>
    <t>Spoiler Shield</t>
  </si>
  <si>
    <t>https://chromewebstore.google.com/detail/geedjmnplkdpfigfefbnegoppimkfekn</t>
  </si>
  <si>
    <t>https://chromewebstore.google.com/detail/hbglapgegjickodindimfgfmjmhhdlii</t>
  </si>
  <si>
    <t>Web Scan - Web technology lookup</t>
  </si>
  <si>
    <t>https://chromewebstore.google.com/detail/hfcopfpmehaahmglocoolmgidihnjdgn</t>
  </si>
  <si>
    <t>Tabs of our Lives - Manage Your Tabs Now</t>
  </si>
  <si>
    <t>https://chromewebstore.google.com/detail/hpdgkdeokgdljggbajofdlcacgdolopc</t>
  </si>
  <si>
    <t>SFR / NEUF Hotspot AutoFill</t>
  </si>
  <si>
    <t>https://chromewebstore.google.com/detail/jpcokheimfkcoofnbgalbeogbgpjlajo</t>
  </si>
  <si>
    <t>Play Next</t>
  </si>
  <si>
    <t>https://chromewebstore.google.com/detail/kfedadkcoojmpcngclejddilmdllildj</t>
  </si>
  <si>
    <t>Google Ad Blocker</t>
  </si>
  <si>
    <t>https://chromewebstore.google.com/detail/oekldebgglamjinopejlfdefedeodlfe</t>
  </si>
  <si>
    <t>Chat Direto</t>
  </si>
  <si>
    <t>https://chromewebstore.google.com/detail/pjeegkceklkldmejcphacjjjnhokeelj</t>
  </si>
  <si>
    <t>Simple YouTube Loop</t>
  </si>
  <si>
    <t>https://chromewebstore.google.com/detail/bfhmecnhdehblbnadegfpbmmbbobkjff</t>
  </si>
  <si>
    <t>Blue Prism 6.10.2 Browser Extension</t>
  </si>
  <si>
    <t>https://chromewebstore.google.com/detail/bnkfnbanaddcalcbanfmlbeljhbhjmba</t>
  </si>
  <si>
    <t>World Clock</t>
  </si>
  <si>
    <t>https://chromewebstore.google.com/detail/dngepaapinafpbhfbfjhkcbabhfakmia</t>
  </si>
  <si>
    <t>Piss off, publisher frames!</t>
  </si>
  <si>
    <t>https://chromewebstore.google.com/detail/ffmffcaeblfpligkklopofadiemkelld</t>
  </si>
  <si>
    <t>Full Screen Video for Youtube and more</t>
  </si>
  <si>
    <t>https://chromewebstore.google.com/detail/gbmnhnmodfphgecokgbppdeepkodjglg</t>
  </si>
  <si>
    <t>Groups Pro</t>
  </si>
  <si>
    <t>https://chromewebstore.google.com/detail/nmpbcamdnjodendgfnnaphlpnbmhefkn</t>
  </si>
  <si>
    <t>AlphaSense Web Clipper</t>
  </si>
  <si>
    <t>https://chromewebstore.google.com/detail/odjjihghjdapmcfjhnkkkikiibladmkj</t>
  </si>
  <si>
    <t>Translate into Urdu</t>
  </si>
  <si>
    <t>https://chromewebstore.google.com/detail/ohohbfcpbhmbomjilbokachdnoanpbfn</t>
  </si>
  <si>
    <t>Sum for Trello</t>
  </si>
  <si>
    <t>https://chromewebstore.google.com/detail/pkoogihbgjbpeollfnioabeaimjaongg</t>
  </si>
  <si>
    <t>Connector</t>
  </si>
  <si>
    <t>https://chromewebstore.google.com/detail/pmfmklabfjmnmjihlpmkfemgcfdpfhdn</t>
  </si>
  <si>
    <t>Dropified</t>
  </si>
  <si>
    <t>https://chromewebstore.google.com/detail/andfkdmajakgfaegeepffdpejahkphje</t>
  </si>
  <si>
    <t>Clean CSS</t>
  </si>
  <si>
    <t>https://chromewebstore.google.com/detail/echojgiinphjmeidkoenhhlnnbgnahfb</t>
  </si>
  <si>
    <t>Quickie - Sticky Notes</t>
  </si>
  <si>
    <t>https://chromewebstore.google.com/detail/fagbkcmhagoigbbjccpglokfdklgicfg</t>
  </si>
  <si>
    <t>Printer Friendly Gmail</t>
  </si>
  <si>
    <t>https://chromewebstore.google.com/detail/ikehhajkadegiobmdlmajippigldcnma</t>
  </si>
  <si>
    <t>Query params</t>
  </si>
  <si>
    <t>https://chromewebstore.google.com/detail/jgacgeahnbmkhdhldifidddbkneahmal</t>
  </si>
  <si>
    <t>rminder - WinTenDev</t>
  </si>
  <si>
    <t>https://chromewebstore.google.com/detail/kbchhfdklfddnnilmdffaeahipjcabll</t>
  </si>
  <si>
    <t>English to Any Language Dictionary | BDWord</t>
  </si>
  <si>
    <t>https://chromewebstore.google.com/detail/apenapfkioiehfhgheabegngnfhnfbjh</t>
  </si>
  <si>
    <t>smaxer</t>
  </si>
  <si>
    <t>https://chromewebstore.google.com/detail/cpllkgijabinckdkaklopkecmkfldaci</t>
  </si>
  <si>
    <t>Quickmarks</t>
  </si>
  <si>
    <t>https://chromewebstore.google.com/detail/piefpokhpcehbeelhohgcnbipnfkogig</t>
  </si>
  <si>
    <t>Alix for Chrome</t>
  </si>
  <si>
    <t>https://chromewebstore.google.com/detail/aepmadgjacfjcneccddiccnkbpimobge</t>
  </si>
  <si>
    <t>Просмотр мобильных версии страниц</t>
  </si>
  <si>
    <t>https://chromewebstore.google.com/detail/dnnmhbpkodfaokfjdiolkcaplipifian</t>
  </si>
  <si>
    <t>ProfitView</t>
  </si>
  <si>
    <t>https://chromewebstore.google.com/detail/gmflieilmcgbdepadibceklnjbjimpof</t>
  </si>
  <si>
    <t>Backstairs Game House</t>
  </si>
  <si>
    <t>https://chromewebstore.google.com/detail/gnbahblccifcgnfejjijlmjcidfookfh</t>
  </si>
  <si>
    <t>Worldfree4u</t>
  </si>
  <si>
    <t>https://chromewebstore.google.com/detail/jejhfjabchpfgmieifoaidgkoijankgk</t>
  </si>
  <si>
    <t>Betsy</t>
  </si>
  <si>
    <t>https://chromewebstore.google.com/detail/bnfdjfapcjoceahmmbeobcjfaohmfoci</t>
  </si>
  <si>
    <t>OSM Smart Menu</t>
  </si>
  <si>
    <t>https://chromewebstore.google.com/detail/icipmdhgbkejfideagkhdebiaeohfijk</t>
  </si>
  <si>
    <t>Nurture</t>
  </si>
  <si>
    <t>https://chromewebstore.google.com/detail/llpkoklagnnpahhbokmimohbmjkhhcjc</t>
  </si>
  <si>
    <t>TagPredict</t>
  </si>
  <si>
    <t>https://chromewebstore.google.com/detail/paeleikfhjllfcdmkgnjmmkikchonnih</t>
  </si>
  <si>
    <t>nanaco gift code input helper</t>
  </si>
  <si>
    <t>https://chromewebstore.google.com/detail/eekphfelaedkocmngpodmoahbgbldbik</t>
  </si>
  <si>
    <t>Tab Cola</t>
  </si>
  <si>
    <t>https://chromewebstore.google.com/detail/icdphajhndamimeleigndjlofmcpgjho</t>
  </si>
  <si>
    <t>Free Conference Calls</t>
  </si>
  <si>
    <t>https://chromewebstore.google.com/detail/klhplehocjgjgpmkfcmdmlegopncomck</t>
  </si>
  <si>
    <t>SAGE2 Screen Capture</t>
  </si>
  <si>
    <t>https://chromewebstore.google.com/detail/mbkfcmpjbkmmdcfocaclghbobhnjfpkk</t>
  </si>
  <si>
    <t>Ads.txt Checker</t>
  </si>
  <si>
    <t>https://chromewebstore.google.com/detail/bjddoinjnabgbnloplmjdfdcdlefdbhj</t>
  </si>
  <si>
    <t>Vanced iOS Updates</t>
  </si>
  <si>
    <t>https://chromewebstore.google.com/detail/fjnmafjfphgfkfhdlbibdjpojgkpomhg</t>
  </si>
  <si>
    <t>Close Other Tabs</t>
  </si>
  <si>
    <t>https://chromewebstore.google.com/detail/hlgfnmhokcceeipoadecmcgfijbnjpjm</t>
  </si>
  <si>
    <t>Diver - Web Traffic Monitor Tool</t>
  </si>
  <si>
    <t>https://chromewebstore.google.com/detail/ompelnpholagcjdmfomlhbmmmaneholh</t>
  </si>
  <si>
    <t>Classgap Screensharing</t>
  </si>
  <si>
    <t>https://chromewebstore.google.com/detail/bchohngmdfcbpchmpikoggegmkdcindl</t>
  </si>
  <si>
    <t>Iskoduler</t>
  </si>
  <si>
    <t>https://chromewebstore.google.com/detail/ebbdfenmifgpbgificimnmnbihbonngd</t>
  </si>
  <si>
    <t>AdMonish - The most powerful AdBlocker</t>
  </si>
  <si>
    <t>https://chromewebstore.google.com/detail/gemnnoleeghoopacifipccmkpiakghab</t>
  </si>
  <si>
    <t>Zona для Кинопоиска</t>
  </si>
  <si>
    <t>https://chromewebstore.google.com/detail/jmlpibaiajblhhhlahofdbijphklkknf</t>
  </si>
  <si>
    <t>Salesmsg - Business Text Messaging</t>
  </si>
  <si>
    <t>https://chromewebstore.google.com/detail/jpnhdjjeppmoifhgkkdccockheofgiba</t>
  </si>
  <si>
    <t>多瑙影院 dnvod plugins</t>
  </si>
  <si>
    <t>https://chromewebstore.google.com/detail/mjjpndhmkjgapkmkmanfhhfellhpkglf</t>
  </si>
  <si>
    <t>CHIẾT KHẤU</t>
  </si>
  <si>
    <t>https://chromewebstore.google.com/detail/mnjompehmpjmjbpbkigjmhdioobojphe</t>
  </si>
  <si>
    <t>Youtube Audio Fixer</t>
  </si>
  <si>
    <t>https://chromewebstore.google.com/detail/kffimnekdgebaakicpmjkpafgkfejdmi</t>
  </si>
  <si>
    <t>Teletekst</t>
  </si>
  <si>
    <t>https://chromewebstore.google.com/detail/noblnklnhglbnfomoipgcidnbpdjfbom</t>
  </si>
  <si>
    <t>sodaG</t>
  </si>
  <si>
    <t>https://chromewebstore.google.com/detail/bpaipbaiemikfhkocfcfaclnleninehe</t>
  </si>
  <si>
    <t>Photo Mapper</t>
  </si>
  <si>
    <t>https://chromewebstore.google.com/detail/cgagedfhkoecbplejmeljanhfnnpdpef</t>
  </si>
  <si>
    <t>FourteenFish</t>
  </si>
  <si>
    <t>https://chromewebstore.google.com/detail/eibdnbdagdbjnnilmejnknnbblmdiibd</t>
  </si>
  <si>
    <t>tickertape MMI</t>
  </si>
  <si>
    <t>https://chromewebstore.google.com/detail/gofjhbnojoafoljbmnehmniibbpdknhc</t>
  </si>
  <si>
    <t>Amazon AppStream Example Client</t>
  </si>
  <si>
    <t>https://chromewebstore.google.com/detail/jooibckpjiaaoaffacacomklfdodlmah</t>
  </si>
  <si>
    <t>WaitBlock</t>
  </si>
  <si>
    <t>https://chromewebstore.google.com/detail/kcnjfeppclpdinikcljfjigoongebpkh</t>
  </si>
  <si>
    <t>Dot Lang Viewer</t>
  </si>
  <si>
    <t>https://chromewebstore.google.com/detail/nbcmnpdcfidmedecbhlbhpoiganlkbio</t>
  </si>
  <si>
    <t>Tribalwars Millisecond Clock</t>
  </si>
  <si>
    <t>https://chromewebstore.google.com/detail/ockippfhjpjfmdkhdcjecepcleopfamm</t>
  </si>
  <si>
    <t>Multisearch</t>
  </si>
  <si>
    <t>https://chromewebstore.google.com/detail/acacjoabappgkabopnlnmdiodjilaggi</t>
  </si>
  <si>
    <t>Whats This?</t>
  </si>
  <si>
    <t>https://chromewebstore.google.com/detail/bipgbnnhdilbcdnfkdiijdmfmdbnndja</t>
  </si>
  <si>
    <t>Kahoot Name Bypasser</t>
  </si>
  <si>
    <t>https://chromewebstore.google.com/detail/jfgegneebalomljahlfcohoobilfkhed</t>
  </si>
  <si>
    <t>hckr news</t>
  </si>
  <si>
    <t>https://chromewebstore.google.com/detail/mnlaodleonmmfkdhfofamacceeikgecp</t>
  </si>
  <si>
    <t>WordXPress - WordPress fastest posting tool</t>
  </si>
  <si>
    <t>https://chromewebstore.google.com/detail/opmpbebdjikhgoeidagipcihicjionkd</t>
  </si>
  <si>
    <t>Орфографер</t>
  </si>
  <si>
    <t>https://chromewebstore.google.com/detail/ebldcekbhkmgibmbleabdbapkhhhdjib</t>
  </si>
  <si>
    <t>Smart Button® Extension</t>
  </si>
  <si>
    <t>https://chromewebstore.google.com/detail/gchekdkhbplidbmknbcglochkmififdn</t>
  </si>
  <si>
    <t>Rephraser</t>
  </si>
  <si>
    <t>https://chromewebstore.google.com/detail/gihgcfjlfknobepndndckpfhpighjdpa</t>
  </si>
  <si>
    <t>AuthorViz</t>
  </si>
  <si>
    <t>https://chromewebstore.google.com/detail/hfmcmcphnmeljmpbbkhlfplaoegimepj</t>
  </si>
  <si>
    <t>Redirect skipper</t>
  </si>
  <si>
    <t>https://chromewebstore.google.com/detail/innfgppndhmajanacannnjmlfnimkegf</t>
  </si>
  <si>
    <t>Lenny Face Copy for Google Chrome™</t>
  </si>
  <si>
    <t>https://chromewebstore.google.com/detail/jgbanohkgcipimphbnjajofdmkedlbpd</t>
  </si>
  <si>
    <t>WhiteBuster</t>
  </si>
  <si>
    <t>https://chromewebstore.google.com/detail/kkgacobcjapebahjhkabbkacbpmddeco</t>
  </si>
  <si>
    <t>Do Not Merge WIP for GitHub</t>
  </si>
  <si>
    <t>https://chromewebstore.google.com/detail/nimelepbpejjlbmoobocpfnjhihnpked</t>
  </si>
  <si>
    <t>RESTED APS</t>
  </si>
  <si>
    <t>https://chromewebstore.google.com/detail/omkndfeccmeplaimlpaefimnimmniccl</t>
  </si>
  <si>
    <t>Select and Dial</t>
  </si>
  <si>
    <t>https://chromewebstore.google.com/detail/bblggkmgbdcnbgdjjggjegdddhmklcpg</t>
  </si>
  <si>
    <t>TrackMyOrders.com Amazon IP Catcher</t>
  </si>
  <si>
    <t>https://chromewebstore.google.com/detail/ifgcgbjbcfnomakgdmjccioieaejllgn</t>
  </si>
  <si>
    <t>Writing Prompt Generator</t>
  </si>
  <si>
    <t>https://chromewebstore.google.com/detail/kffichpbbagkbjokajcpncophhhjgafl</t>
  </si>
  <si>
    <t>Advanced WebSocket Client</t>
  </si>
  <si>
    <t>https://chromewebstore.google.com/detail/lgimpnfdefcpkicbflpmainbcdnlblej</t>
  </si>
  <si>
    <t>Ayat Al Quran</t>
  </si>
  <si>
    <t>https://chromewebstore.google.com/detail/phpchoonngafcpakpkddaddfcfokoljg</t>
  </si>
  <si>
    <t>Cookie Monitor</t>
  </si>
  <si>
    <t>https://chromewebstore.google.com/detail/ccalldmbpkkpjcfgahbnpeffakpdldhj</t>
  </si>
  <si>
    <t>Mat Bao assistant</t>
  </si>
  <si>
    <t>https://chromewebstore.google.com/detail/eccdnkekcnnnlipheicaldlogfnccfoc</t>
  </si>
  <si>
    <t>CPC &amp; CPM  Calculator</t>
  </si>
  <si>
    <t>https://chromewebstore.google.com/detail/ecfegnjfemalkfnohnlnecfedlloigdd</t>
  </si>
  <si>
    <t>Fokus</t>
  </si>
  <si>
    <t>https://chromewebstore.google.com/detail/flkkpmjbbpijiedjdgnhkcgopgnflehe</t>
  </si>
  <si>
    <t>diacritice.ai</t>
  </si>
  <si>
    <t>https://chromewebstore.google.com/detail/gedahnddbefjjlpbhghpjnddbkleambb</t>
  </si>
  <si>
    <t>Colour Changer</t>
  </si>
  <si>
    <t>https://chromewebstore.google.com/detail/oghncgjeeecljbkloncoifojhioefmpj</t>
  </si>
  <si>
    <t>Qikipedia</t>
  </si>
  <si>
    <t>https://chromewebstore.google.com/detail/dljenobnbaealaglncgihenfkbkblefd</t>
  </si>
  <si>
    <t>Tab Stasher</t>
  </si>
  <si>
    <t>https://chromewebstore.google.com/detail/igbkiendclmannlppkbacbfnolhgoino</t>
  </si>
  <si>
    <t>Touch &amp; Drag Scroller</t>
  </si>
  <si>
    <t>https://chromewebstore.google.com/detail/ddgjcdjmppffpfhehjmipgcjgfodicom</t>
  </si>
  <si>
    <t>AI助手(AiHelper)</t>
  </si>
  <si>
    <t>https://chromewebstore.google.com/detail/eiloldiefkfjmhfcoghlddibiopnfmco</t>
  </si>
  <si>
    <t>WebinarJam Screen Sharing</t>
  </si>
  <si>
    <t>https://chromewebstore.google.com/detail/fjcagflhkmbkecgddkjblhkadbplhfan</t>
  </si>
  <si>
    <t>Just a Day - the Day of Week</t>
  </si>
  <si>
    <t>https://chromewebstore.google.com/detail/nkbalpdjkhpfohgonjkagacjkcndhgic</t>
  </si>
  <si>
    <t>CFCA CryptoKit.CFAE Extension</t>
  </si>
  <si>
    <t>https://chromewebstore.google.com/detail/pakdbolgkiaihjjnagiapphppcfmggcg</t>
  </si>
  <si>
    <t>Opens external links in a new tab</t>
  </si>
  <si>
    <t>https://chromewebstore.google.com/detail/dmcplcjakmobkeanofhphpjecbpjicka</t>
  </si>
  <si>
    <t>ResumeTube</t>
  </si>
  <si>
    <t>https://chromewebstore.google.com/detail/hjpjeoggaghioalbepadcjcjpjhofnbb</t>
  </si>
  <si>
    <t>YoWorld Art</t>
  </si>
  <si>
    <t>https://chromewebstore.google.com/detail/ielihhgdcegllgkmlhjccngaiifdebjp</t>
  </si>
  <si>
    <t>Website scripting</t>
  </si>
  <si>
    <t>https://chromewebstore.google.com/detail/aggnfbkmhedkekjoplldenefbchaoiln</t>
  </si>
  <si>
    <t>Amazon International Shopping</t>
  </si>
  <si>
    <t>https://chromewebstore.google.com/detail/fomcmmdciijaejhjmiilenadhjmlgldp</t>
  </si>
  <si>
    <t>Free Kindle Books</t>
  </si>
  <si>
    <t>https://chromewebstore.google.com/detail/gkmacjbcgflihgjpmbbpeeaegcimgngi</t>
  </si>
  <si>
    <t>IKEA Stock Availability Checker</t>
  </si>
  <si>
    <t>https://chromewebstore.google.com/detail/hjdnnkppfadnemodjjnbacnagkgbhekm</t>
  </si>
  <si>
    <t>Full Window YouTube</t>
  </si>
  <si>
    <t>https://chromewebstore.google.com/detail/ljoihobokkeeobaplgebomjknmchpace</t>
  </si>
  <si>
    <t>Blossom - Lean Product Management</t>
  </si>
  <si>
    <t>https://chromewebstore.google.com/detail/foaonmbkcfefpcdnnnooanneebjkneee</t>
  </si>
  <si>
    <t>Simple Word Count</t>
  </si>
  <si>
    <t>https://chromewebstore.google.com/detail/lkabgnnfbbkphagmbjpbenlfglahnlmh</t>
  </si>
  <si>
    <t>Monopoly Deal Online Plus</t>
  </si>
  <si>
    <t>https://chromewebstore.google.com/detail/omneonbfgmjmgmihdgicnipfkmcefhhg</t>
  </si>
  <si>
    <t>P9助手 - 全面提升浏览PSNINE的体验！</t>
  </si>
  <si>
    <t>https://chromewebstore.google.com/detail/pjijphabckepflameggcdikcoaljmjgf</t>
  </si>
  <si>
    <t>PagalWorld MP3 Song 2020 Free Download Online</t>
  </si>
  <si>
    <t>https://chromewebstore.google.com/detail/llpeekamncgmjpoinjibkambheghifpn</t>
  </si>
  <si>
    <t>Web Clipper for Dropbox</t>
  </si>
  <si>
    <t>https://chromewebstore.google.com/detail/oblhholoigcdnggmpekdkkkohckiennk</t>
  </si>
  <si>
    <t>Zoom on doubleclick</t>
  </si>
  <si>
    <t>https://chromewebstore.google.com/detail/jkmalmidnicnnmceielaelokkdmmgkcb</t>
  </si>
  <si>
    <t>flashkill</t>
  </si>
  <si>
    <t>https://chromewebstore.google.com/detail/haodokcagfamodepjecmfemicdkdcekk</t>
  </si>
  <si>
    <t>ui5-detector</t>
  </si>
  <si>
    <t>https://chromewebstore.google.com/detail/hpgdddjhemgilkedfdkjhhkblfdhpgmi</t>
  </si>
  <si>
    <t>Font Size Changer for AppsScript</t>
  </si>
  <si>
    <t>https://chromewebstore.google.com/detail/lkjeamadaggbfkjiiemgdkamlecpkhpo</t>
  </si>
  <si>
    <t>Вконтакте Загрузка</t>
  </si>
  <si>
    <t>https://chromewebstore.google.com/detail/mgmlhofeembbhkmofnmhghombpdenhib</t>
  </si>
  <si>
    <t>The 20 Second Rule</t>
  </si>
  <si>
    <t>https://chromewebstore.google.com/detail/mlonnhlhamjoopabmomhbdlddiomojpp</t>
  </si>
  <si>
    <t>Kit Ilias OpenCast Downloader</t>
  </si>
  <si>
    <t>https://chromewebstore.google.com/detail/ocemimikpbpokinfnnncaeamaffpgepb</t>
  </si>
  <si>
    <t>Anilist+ for Anilist</t>
  </si>
  <si>
    <t>https://chromewebstore.google.com/detail/elpfbellmnhbenkcdofdbdkneppoekhl</t>
  </si>
  <si>
    <t>Stork Copy Check</t>
  </si>
  <si>
    <t>https://chromewebstore.google.com/detail/ibjklhamhinhniplfnoafdohmbllfhdb</t>
  </si>
  <si>
    <t>Diki</t>
  </si>
  <si>
    <t>https://chromewebstore.google.com/detail/afeffbkeofbblopklekkhaijgbnkfjjk</t>
  </si>
  <si>
    <t>PushAll</t>
  </si>
  <si>
    <t>https://chromewebstore.google.com/detail/cbdcdhkdonnpnilabcdfnoiokhgbigka</t>
  </si>
  <si>
    <t>Cookies Exporter</t>
  </si>
  <si>
    <t>https://chromewebstore.google.com/detail/clbnnfdgcjlepbmmaehcegainakikopd</t>
  </si>
  <si>
    <t>Clipboard Manager</t>
  </si>
  <si>
    <t>https://chromewebstore.google.com/detail/hlmagkbphobghocaimgijjjpmionjcnj</t>
  </si>
  <si>
    <t>Selenide for Selenium IDE</t>
  </si>
  <si>
    <t>https://chromewebstore.google.com/detail/nlkfobhoffngaakgdbkdnmmjcchibcba</t>
  </si>
  <si>
    <t>https://chromewebstore.google.com/detail/jaoianckkhlbbeodjpaajaimlpidbckh</t>
  </si>
  <si>
    <t>Alarm Clock</t>
  </si>
  <si>
    <t>https://chromewebstore.google.com/detail/lccikkjiejgomehccjmjoppgeagbdgph</t>
  </si>
  <si>
    <t>Galleryzer</t>
  </si>
  <si>
    <t>https://chromewebstore.google.com/detail/nieodpeajmoimhojmopkljlkcppamaec</t>
  </si>
  <si>
    <t>G Favicon Fixer</t>
  </si>
  <si>
    <t>https://chromewebstore.google.com/detail/fgofmpkkcmalkeloaihfljngbibciile</t>
  </si>
  <si>
    <t>ColorA11y</t>
  </si>
  <si>
    <t>https://chromewebstore.google.com/detail/icfneoldcbdmgaiocnnobpbbjncdfbfb</t>
  </si>
  <si>
    <t>Bar Translate</t>
  </si>
  <si>
    <t>https://chromewebstore.google.com/detail/inigdjcpofmlcigjhhiigigihmookhcp</t>
  </si>
  <si>
    <t>Search AliExpress Products By Image</t>
  </si>
  <si>
    <t>https://chromewebstore.google.com/detail/kbchnjmopnponhoihboafembgokiioei</t>
  </si>
  <si>
    <t>My JSON Editor</t>
  </si>
  <si>
    <t>https://chromewebstore.google.com/detail/oeclbhigfgdhohcojkdnaahfblebhopm</t>
  </si>
  <si>
    <t>remove-twitter-trends</t>
  </si>
  <si>
    <t>https://chromewebstore.google.com/detail/pdbaomfhmpcbdabjpjfpoehhjnphdoac</t>
  </si>
  <si>
    <t>The Daily Kitten</t>
  </si>
  <si>
    <t>https://chromewebstore.google.com/detail/cljonclahoagoejnfcmmdpcapdcnfbid</t>
  </si>
  <si>
    <t>TF2 S.T.A.R.S.</t>
  </si>
  <si>
    <t>https://chromewebstore.google.com/detail/hfbjphgoffoahbnlkpfijmefofmmcfng</t>
  </si>
  <si>
    <t>Walmart Deals</t>
  </si>
  <si>
    <t>https://chromewebstore.google.com/detail/klhjnkppefffcpaoidilhdpdcoenpelj</t>
  </si>
  <si>
    <t>UACH SEGA Average</t>
  </si>
  <si>
    <t>https://chromewebstore.google.com/detail/mnglpbimfdclpepbeolgnknccmccigpg</t>
  </si>
  <si>
    <t>Secure Passwords</t>
  </si>
  <si>
    <t>https://chromewebstore.google.com/detail/eecnlkcbgpdabdgobnpoldjgainahdni</t>
  </si>
  <si>
    <t>Discount.ro - Cumpara la reducere</t>
  </si>
  <si>
    <t>https://chromewebstore.google.com/detail/ffpibealclcjgmoghaocdlffiimoekeg</t>
  </si>
  <si>
    <t>Open Same Tab</t>
  </si>
  <si>
    <t>https://chromewebstore.google.com/detail/fpkmdincjjgncpbbmeclgbpjmgdehmph</t>
  </si>
  <si>
    <t>Download By SMG</t>
  </si>
  <si>
    <t>https://chromewebstore.google.com/detail/gnmcaafcppjgmhnjmnjmcpiedclkmlea</t>
  </si>
  <si>
    <t>chatwork一括既読ボタン</t>
  </si>
  <si>
    <t>https://chromewebstore.google.com/detail/gomaibjmibogpcbcfmlnpmipclkdamag</t>
  </si>
  <si>
    <t>Trump to Poop</t>
  </si>
  <si>
    <t>https://chromewebstore.google.com/detail/mihfneoljcgdjnpmeefcmahciglmljli</t>
  </si>
  <si>
    <t>Cookies Quick Achieve</t>
  </si>
  <si>
    <t>https://chromewebstore.google.com/detail/bcihihcnlienjckgamfnlhjfloodmebo</t>
  </si>
  <si>
    <t>Peoples Gamez Gift Exchange</t>
  </si>
  <si>
    <t>https://chromewebstore.google.com/detail/dcenglkfnenjnpnmalmachboemjlmakj</t>
  </si>
  <si>
    <t>PrivOrNot</t>
  </si>
  <si>
    <t>https://chromewebstore.google.com/detail/fnpgifcbmacmnlpdlkffhneepkhhjfkn</t>
  </si>
  <si>
    <t>Meet Auto Accept</t>
  </si>
  <si>
    <t>https://chromewebstore.google.com/detail/mdcflcofcghggppkaehajfcdgkfndcfa</t>
  </si>
  <si>
    <t>Command &amp; Conquer TA POIs Analyser</t>
  </si>
  <si>
    <t>https://chromewebstore.google.com/detail/opjfennpifbhgfpaihhahgelpcdapfdp</t>
  </si>
  <si>
    <t>Discord Easy Share Free</t>
  </si>
  <si>
    <t>https://chromewebstore.google.com/detail/ckfejipjdkdjicjgecdgdacnomelbhii</t>
  </si>
  <si>
    <t>jBart Crawler</t>
  </si>
  <si>
    <t>https://chromewebstore.google.com/detail/eocfeihmkgnmldnhgijijlffdpegocnh</t>
  </si>
  <si>
    <t>Window Layout Resizer</t>
  </si>
  <si>
    <t>https://chromewebstore.google.com/detail/gpogedegpcfmbpfbjilofgfmjglebnhi</t>
  </si>
  <si>
    <t>SweDic (Swedish - English Dictionary)</t>
  </si>
  <si>
    <t>https://chromewebstore.google.com/detail/incfcomifnogniajmiejpobcpeillilo</t>
  </si>
  <si>
    <t>Bitcoin Auto-Converter</t>
  </si>
  <si>
    <t>https://chromewebstore.google.com/detail/jjcbgfhjneiblaifakgnnkdakebpebaf</t>
  </si>
  <si>
    <t>LSD effect</t>
  </si>
  <si>
    <t>https://chromewebstore.google.com/detail/nidjphagpgghijflkhpnijgncmelonmo</t>
  </si>
  <si>
    <t>YouTube Player Speed Controls</t>
  </si>
  <si>
    <t>https://chromewebstore.google.com/detail/acibbdogpnpdfhhhhiofgegplmhhffgf</t>
  </si>
  <si>
    <t>Secure Unfollow for Instagram</t>
  </si>
  <si>
    <t>https://chromewebstore.google.com/detail/bclljjldiiifccncjnikpalnomejlkog</t>
  </si>
  <si>
    <t>[name]</t>
  </si>
  <si>
    <t>https://chromewebstore.google.com/detail/bedgondbfpagijbdcgejejcknfhikfmm</t>
  </si>
  <si>
    <t>Custom vpn for lixi88</t>
  </si>
  <si>
    <t>https://chromewebstore.google.com/detail/giicgaaobmdldgjpbinocofnhfhnklpm</t>
  </si>
  <si>
    <t>aprilFools</t>
  </si>
  <si>
    <t>https://chromewebstore.google.com/detail/imkdafnalljikgogmjdccklndcdbfnng</t>
  </si>
  <si>
    <t>AreYouRecording</t>
  </si>
  <si>
    <t>https://chromewebstore.google.com/detail/inclbgdmhheebmihljedogpbfkaeeaci</t>
  </si>
  <si>
    <t>Steaser.Ru</t>
  </si>
  <si>
    <t>https://chromewebstore.google.com/detail/mjokgonphggmacmlgdfeeddkpjmdbakf</t>
  </si>
  <si>
    <t>Salesforce Credentials</t>
  </si>
  <si>
    <t>https://chromewebstore.google.com/detail/mneimgababoaidaajoibedahomnpmbja</t>
  </si>
  <si>
    <t>OGP Checker</t>
  </si>
  <si>
    <t>https://chromewebstore.google.com/detail/aahaelhkejkacfahbognphmanapkalab</t>
  </si>
  <si>
    <t>miniGestures [Reloaded]</t>
  </si>
  <si>
    <t>https://chromewebstore.google.com/detail/beamjpgknhidkfgmbeplfedbnhmajjpj</t>
  </si>
  <si>
    <t>WebApp Form Filler</t>
  </si>
  <si>
    <t>https://chromewebstore.google.com/detail/nmkmpldhpejmploidnhchbohelkfnokk</t>
  </si>
  <si>
    <t>Academia do Importador</t>
  </si>
  <si>
    <t>https://chromewebstore.google.com/detail/gdnacdhjfapjlfgmeclkciccfogjebil</t>
  </si>
  <si>
    <t>Pixel perfect tools</t>
  </si>
  <si>
    <t>https://chromewebstore.google.com/detail/hccdpjclpakgmpkghkhamjpdcmjojnak</t>
  </si>
  <si>
    <t>XPATH Builder</t>
  </si>
  <si>
    <t>https://chromewebstore.google.com/detail/jcnefiekgjgajlpddpakgcpnkpphddpp</t>
  </si>
  <si>
    <t>Music Control</t>
  </si>
  <si>
    <t>https://chromewebstore.google.com/detail/lcpnmiadfhokkkphhdmadlibhikkjlml</t>
  </si>
  <si>
    <t>The Great Desuspender</t>
  </si>
  <si>
    <t>https://chromewebstore.google.com/detail/pgpmpfcpnpgnkombckgpnfkmbepockaj</t>
  </si>
  <si>
    <t>Remove Helvetica Neue</t>
  </si>
  <si>
    <t>https://chromewebstore.google.com/detail/aebieeaodhkabdnmhjbfmdohhhcoipof</t>
  </si>
  <si>
    <t>Blending Scrollbar</t>
  </si>
  <si>
    <t>https://chromewebstore.google.com/detail/ajjnokaolfbjimgelmdmdlijoclmjnag</t>
  </si>
  <si>
    <t>Auto-Convert CSV to XLSX</t>
  </si>
  <si>
    <t>https://chromewebstore.google.com/detail/bpcbpnlhalnkaheioffegmhhdlmooieg</t>
  </si>
  <si>
    <t>Duolingo Audio</t>
  </si>
  <si>
    <t>https://chromewebstore.google.com/detail/dpicaggneknadilmelkoemhffdnooanb</t>
  </si>
  <si>
    <t>Free Kobo Books</t>
  </si>
  <si>
    <t>https://chromewebstore.google.com/detail/foinnhdebpllnjmmgkdfnkkejmejhkbc</t>
  </si>
  <si>
    <t>JSON-RPC Viewer</t>
  </si>
  <si>
    <t>https://chromewebstore.google.com/detail/hnmcofcmhpllkdkncnofkjdlpieagngg</t>
  </si>
  <si>
    <t>WebSatchel - Your personal web archive!</t>
  </si>
  <si>
    <t>https://chromewebstore.google.com/detail/imhekgipjdpmedaiocgljanjpbmhdmlo</t>
  </si>
  <si>
    <t>养基宝 - 实时查看基金收益</t>
  </si>
  <si>
    <t>https://chromewebstore.google.com/detail/lkoddlganbhamjljmlelnhljllbbljbf</t>
  </si>
  <si>
    <t>Translate for Tosbase</t>
  </si>
  <si>
    <t>https://chromewebstore.google.com/detail/lmncnhchelhjhiecgkeocomgbkjnmfgm</t>
  </si>
  <si>
    <t>qwertySeq()</t>
  </si>
  <si>
    <t>https://chromewebstore.google.com/detail/afnedldoicelogeopolcehamaelpagfd</t>
  </si>
  <si>
    <t>Boeing Flight Simulator 3D</t>
  </si>
  <si>
    <t>https://chromewebstore.google.com/detail/apdbfgmgdliefllebjfkbdmmgcdgfmpp</t>
  </si>
  <si>
    <t>Gelişim Microsoft Platformu</t>
  </si>
  <si>
    <t>https://chromewebstore.google.com/detail/gfkelnilbjflkdjhhfeojhpbjogakifh</t>
  </si>
  <si>
    <t>Admin Tools</t>
  </si>
  <si>
    <t>https://chromewebstore.google.com/detail/bigmfjdfngafahnkjchgobejppekainl</t>
  </si>
  <si>
    <t>The Green Web</t>
  </si>
  <si>
    <t>https://chromewebstore.google.com/detail/ekiibapogjgmlhlhpoalbppfhhgkcogc</t>
  </si>
  <si>
    <t>ShoutMatch</t>
  </si>
  <si>
    <t>https://chromewebstore.google.com/detail/mnfckoipoonlebfjfonlmpepbgifmnhm</t>
  </si>
  <si>
    <t>CFCA CertEnrollment.COFCO Extension</t>
  </si>
  <si>
    <t>https://chromewebstore.google.com/detail/comfcmnenlmhdkhkjgokadlonincpidm</t>
  </si>
  <si>
    <t>WordPress Dashboard Shortcut</t>
  </si>
  <si>
    <t>https://chromewebstore.google.com/detail/onhnglhmledjhmniakhogfdpkmkinnfe</t>
  </si>
  <si>
    <t>Shortcut Forwarding Tool</t>
  </si>
  <si>
    <t>https://chromewebstore.google.com/detail/clnalilglegcjmlgenoppklmfppddien</t>
  </si>
  <si>
    <t>Nanoleaf Aurora Controller</t>
  </si>
  <si>
    <t>https://chromewebstore.google.com/detail/kokpmlmpjlfgkpkbafjfcpebdnbhodlb</t>
  </si>
  <si>
    <t>Steward</t>
  </si>
  <si>
    <t>https://chromewebstore.google.com/detail/jglmompgeddkbcdamdknmebaimldkkbl</t>
  </si>
  <si>
    <t>Copy Markup Markdown</t>
  </si>
  <si>
    <t>https://chromewebstore.google.com/detail/kjolnndanembeldfjpchaipfopflpdph</t>
  </si>
  <si>
    <t>Verse of the Day</t>
  </si>
  <si>
    <t>https://chromewebstore.google.com/detail/lkfmekffciaajeflkfegpmlhfapfholj</t>
  </si>
  <si>
    <t>Text Transform</t>
  </si>
  <si>
    <t>https://chromewebstore.google.com/detail/lngoloonfgohfhnpcgkfgnfikeedbhgg</t>
  </si>
  <si>
    <t>IC naming extensions</t>
  </si>
  <si>
    <t>https://chromewebstore.google.com/detail/oepbpdamkigabminkagecahfgdgbbodc</t>
  </si>
  <si>
    <t>Mini Break Timer: Every 20 Minutes</t>
  </si>
  <si>
    <t>https://chromewebstore.google.com/detail/plncnpocaddbiiggfiflhiabkgmklcge</t>
  </si>
  <si>
    <t>IndexedDB cleaner</t>
  </si>
  <si>
    <t>https://chromewebstore.google.com/detail/bkbkgpcacphidgmpbfcapoillheakfpi</t>
  </si>
  <si>
    <t>Pinyinizer</t>
  </si>
  <si>
    <t>https://chromewebstore.google.com/detail/dkmlhgmmfochpgplckjlfakepmmhpaep</t>
  </si>
  <si>
    <t>Ctrl+g | A shortcut key to google</t>
  </si>
  <si>
    <t>https://chromewebstore.google.com/detail/hpigbcfkeekdfkbabcohgljkgiggehag</t>
  </si>
  <si>
    <t>Qulu – Your Hulu Queue</t>
  </si>
  <si>
    <t>https://chromewebstore.google.com/detail/iggfkakbafpkgjaocfjaoehcclhcjckb</t>
  </si>
  <si>
    <t>Google with Favicons</t>
  </si>
  <si>
    <t>https://chromewebstore.google.com/detail/nabghppbcmjjflfemokkgocleeclijph</t>
  </si>
  <si>
    <t>Cisar</t>
  </si>
  <si>
    <t>https://chromewebstore.google.com/detail/nifbdojdggkboiifaklkamfpjcmgafpo</t>
  </si>
  <si>
    <t>Avantajix Hatırlatıcı</t>
  </si>
  <si>
    <t>https://chromewebstore.google.com/detail/oocokpigpfnmcblelocddbadnclmfjeh</t>
  </si>
  <si>
    <t>Easy Contacts Opener for Google Contacts™</t>
  </si>
  <si>
    <t>https://chromewebstore.google.com/detail/efnhgdhfilhagkkfplapfkcfodhdgeoa</t>
  </si>
  <si>
    <t>KBBI</t>
  </si>
  <si>
    <t>https://chromewebstore.google.com/detail/ejgkinembcbakgnmlejjcajkefnddlin</t>
  </si>
  <si>
    <t>Check Face</t>
  </si>
  <si>
    <t>https://chromewebstore.google.com/detail/pbfneacmjmcjdbeonggmoanjpaklahfk</t>
  </si>
  <si>
    <t>Google Search Ads Highlighter</t>
  </si>
  <si>
    <t>https://chromewebstore.google.com/detail/cjdeidnceplfnabgonejmggjhgjmlpff</t>
  </si>
  <si>
    <t>Hawaii Wallpapers Paradise New Tab Theme</t>
  </si>
  <si>
    <t>https://chromewebstore.google.com/detail/dpealgnedanapbepaegeajlhpbidbifg</t>
  </si>
  <si>
    <t>Twitch Channel Points Auto-Clicker</t>
  </si>
  <si>
    <t>https://chromewebstore.google.com/detail/gcfemncaehdhehnidnegppgofnmomido</t>
  </si>
  <si>
    <t>LeetSessionManager</t>
  </si>
  <si>
    <t>https://chromewebstore.google.com/detail/nophchlleabfnhjonhnhjiacdjhjkghb</t>
  </si>
  <si>
    <t>Single Tab Zoom</t>
  </si>
  <si>
    <t>https://chromewebstore.google.com/detail/palhkglkelpleoalemmjdhbdckkikjmo</t>
  </si>
  <si>
    <t>Read Pro</t>
  </si>
  <si>
    <t>https://chromewebstore.google.com/detail/ckjogkiieodbdmkeabpnhdaagilainco</t>
  </si>
  <si>
    <t>Dark Scrollbar</t>
  </si>
  <si>
    <t>https://chromewebstore.google.com/detail/eafmdhegblfeilejhmieheapmlpdeklm</t>
  </si>
  <si>
    <t>Cyber Web Tools</t>
  </si>
  <si>
    <t>https://chromewebstore.google.com/detail/ekjpkajimfmgjiammkidbhomndojnpbb</t>
  </si>
  <si>
    <t>Amazon Price Comparator</t>
  </si>
  <si>
    <t>https://chromewebstore.google.com/detail/igccnpemgifkkpnlhbebglclbgofpemb</t>
  </si>
  <si>
    <t>Chrome JS Error Icon</t>
  </si>
  <si>
    <t>https://chromewebstore.google.com/detail/mnjomdibnloobkbgdaaplldfihfhpnbm</t>
  </si>
  <si>
    <t>Чистые Новости для VK.com</t>
  </si>
  <si>
    <t>https://chromewebstore.google.com/detail/poannipkjoijnlchnpljlhgphaappbkf</t>
  </si>
  <si>
    <t>PrivacyCheck</t>
  </si>
  <si>
    <t>https://chromewebstore.google.com/detail/poobeppenopkcbjejfjenbiepifcbclg</t>
  </si>
  <si>
    <t>Google Cache Search</t>
  </si>
  <si>
    <t>https://chromewebstore.google.com/detail/ppdjcaigbogfcfmakohpecocdjfjdopk</t>
  </si>
  <si>
    <t>https://chromewebstore.google.com/detail/gchapniglkpmdbgdgcglhddjpahiklpk</t>
  </si>
  <si>
    <t>https://chromewebstore.google.com/detail/kcdjkpahilfbajemghhapfompnafeijf</t>
  </si>
  <si>
    <t>API Proxy Agent for Google Chrome™</t>
  </si>
  <si>
    <t>https://chromewebstore.google.com/detail/kdhdgaemffmpfmceolgbfpnfiafbjdkp</t>
  </si>
  <si>
    <t>Freedom to More Freedom</t>
  </si>
  <si>
    <t>https://chromewebstore.google.com/detail/mbjafjdfamobncblnamcbfpkeelcihno</t>
  </si>
  <si>
    <t>Autoplay No More</t>
  </si>
  <si>
    <t>https://chromewebstore.google.com/detail/obiogedpmdnfaldjdjmnbpmhjjfnghnj</t>
  </si>
  <si>
    <t>WorkFlowy Images</t>
  </si>
  <si>
    <t>https://chromewebstore.google.com/detail/cnecfoeoohjnimhbcojcdfhhdllgleck</t>
  </si>
  <si>
    <t>Basaas Extension</t>
  </si>
  <si>
    <t>https://chromewebstore.google.com/detail/dfnefpadkibojlglpobnjbphlaojobfg</t>
  </si>
  <si>
    <t>BitCro Search</t>
  </si>
  <si>
    <t>https://chromewebstore.google.com/detail/eecedcnoilljhbpblfpceoakfipemlgg</t>
  </si>
  <si>
    <t>Window Dimensions</t>
  </si>
  <si>
    <t>https://chromewebstore.google.com/detail/fdegbhikbooibcahgagmcbkdecmelgfo</t>
  </si>
  <si>
    <t>Simpro Email Integration</t>
  </si>
  <si>
    <t>https://chromewebstore.google.com/detail/ocolinehgapgfghadjhmlfcdmmechadj</t>
  </si>
  <si>
    <t>taecel.com - Recarga Electrónica y Servicios</t>
  </si>
  <si>
    <t>https://chromewebstore.google.com/detail/opeaihddpcbkkecmmkeedgeofknfbfop</t>
  </si>
  <si>
    <t>텐핑 소문내기</t>
  </si>
  <si>
    <t>https://chromewebstore.google.com/detail/pdddoiidkiobfckceckklfooomlikihb</t>
  </si>
  <si>
    <t>JogosJogos</t>
  </si>
  <si>
    <t>https://chromewebstore.google.com/detail/plhdffccclnkdlolokgfdobocldbjdjn</t>
  </si>
  <si>
    <t>Cageify</t>
  </si>
  <si>
    <t>https://chromewebstore.google.com/detail/ppoobnoipkllpmpnnldhpghefjhiinoh</t>
  </si>
  <si>
    <t>Tablet Gestures</t>
  </si>
  <si>
    <t>https://chromewebstore.google.com/detail/adpfjochlgeifbpfnlchcdcmoaafnoim</t>
  </si>
  <si>
    <t>Bookmark beautifier</t>
  </si>
  <si>
    <t>https://chromewebstore.google.com/detail/ahnaocfoepojfegbafgokdjnpnhajjgb</t>
  </si>
  <si>
    <t>أداة راصد نور التلقائى</t>
  </si>
  <si>
    <t>https://chromewebstore.google.com/detail/fblembigbjdoeoicolcapnhacpfcajnl</t>
  </si>
  <si>
    <t>Video Converter</t>
  </si>
  <si>
    <t>https://chromewebstore.google.com/detail/gflgpmojfnandipfkamhocgjdnjkdhlk</t>
  </si>
  <si>
    <t>FoxBound DataScout - B2B Email Finder</t>
  </si>
  <si>
    <t>https://chromewebstore.google.com/detail/llgeckbnbfmlfcpmcpjiimlcefgpmfac</t>
  </si>
  <si>
    <t>ScreenSnip</t>
  </si>
  <si>
    <t>https://chromewebstore.google.com/detail/okodoejppedehahibmdngneledbkliap</t>
  </si>
  <si>
    <t>art</t>
  </si>
  <si>
    <t>https://chromewebstore.google.com/detail/pdlgekbegnmmhadkmoeiobdhpkamaene</t>
  </si>
  <si>
    <t>Vtiger Enrich</t>
  </si>
  <si>
    <t>https://chromewebstore.google.com/detail/aoieokedbecedmpafmimaabhcpmefjdk</t>
  </si>
  <si>
    <t>Anime episode tracker</t>
  </si>
  <si>
    <t>https://chromewebstore.google.com/detail/nmdmdpkkcdahmailooblnbdbcbakmbkp</t>
  </si>
  <si>
    <t>GWars.io: уведомления о событиях в игре</t>
  </si>
  <si>
    <t>https://chromewebstore.google.com/detail/khkopiebhfmedlbmnhdohicienflooag</t>
  </si>
  <si>
    <t>Auto Refresh Page</t>
  </si>
  <si>
    <t>https://chromewebstore.google.com/detail/llfpaibekbngemphkhllbbffpgopboec</t>
  </si>
  <si>
    <t>FA Previewer</t>
  </si>
  <si>
    <t>https://chromewebstore.google.com/detail/mbdmbjljdmkaefooomifpmmallfgdbec</t>
  </si>
  <si>
    <t>Sneekio</t>
  </si>
  <si>
    <t>https://chromewebstore.google.com/detail/plfkjhocdlikiendflhcgpbndefindap</t>
  </si>
  <si>
    <t>Old Tumblr Dashboard</t>
  </si>
  <si>
    <t>https://chromewebstore.google.com/detail/hnfhfloeaalhhbnbbgnlimemkjmaoedg</t>
  </si>
  <si>
    <t>My Fortnite Stats</t>
  </si>
  <si>
    <t>https://chromewebstore.google.com/detail/ikoffjnnljahdalenipohfhdhlaihfme</t>
  </si>
  <si>
    <t>Trellonet</t>
  </si>
  <si>
    <t>https://chromewebstore.google.com/detail/kijmjccaolmigiidffnnfbolbpnehhhp</t>
  </si>
  <si>
    <t>Branch Link Creator</t>
  </si>
  <si>
    <t>https://chromewebstore.google.com/detail/pekdpppibljpmpbcjelehhnldnfbglgf</t>
  </si>
  <si>
    <t>Weebly Site Detection</t>
  </si>
  <si>
    <t>https://chromewebstore.google.com/detail/hafhilhhmfljhlgkcnpmkephidgbiman</t>
  </si>
  <si>
    <t>Website to QR code</t>
  </si>
  <si>
    <t>https://chromewebstore.google.com/detail/cnmmkgiofmdjndakmiknefanjfpbljee</t>
  </si>
  <si>
    <t>YouTube Comment Exporter</t>
  </si>
  <si>
    <t>https://chromewebstore.google.com/detail/dgjafcfohanpcjdlejlklfcaiodolcdl</t>
  </si>
  <si>
    <t>DarazScout - Daraz Product Hunting Extentsion</t>
  </si>
  <si>
    <t>https://chromewebstore.google.com/detail/dhgfjjjnmfkolfcmcmdppghhanopfine</t>
  </si>
  <si>
    <t>ContactSaver-convert signatures into contacts</t>
  </si>
  <si>
    <t>https://chromewebstore.google.com/detail/hajkkplnnaacmpkfpeoeepbgbdiihbjk</t>
  </si>
  <si>
    <t>WQRI Recorder</t>
  </si>
  <si>
    <t>https://chromewebstore.google.com/detail/chpcjpecheclldlaadmlmaclhoflalbd</t>
  </si>
  <si>
    <t>Steel Monkey</t>
  </si>
  <si>
    <t>https://chromewebstore.google.com/detail/dchhcpcppkgonkhpgajbgempdofniibj</t>
  </si>
  <si>
    <t>TheDroidWay : Modify your Android our Way</t>
  </si>
  <si>
    <t>https://chromewebstore.google.com/detail/eggafenfldlaaefokcbdbinjhifjgoda</t>
  </si>
  <si>
    <t>APEX Page Designer Tab Lock - Explorer UK</t>
  </si>
  <si>
    <t>https://chromewebstore.google.com/detail/epenpjchljckbcfcmlahbhldaibgeolm</t>
  </si>
  <si>
    <t>Hotel Deals Finder</t>
  </si>
  <si>
    <t>https://chromewebstore.google.com/detail/jdkjckndecegekgnogmeobdajbnnmgng</t>
  </si>
  <si>
    <t>ASIN Collector</t>
  </si>
  <si>
    <t>https://chromewebstore.google.com/detail/jfjjcakbilcniihnkmjdllfheoanjagh</t>
  </si>
  <si>
    <t>ReadabilityCopy</t>
  </si>
  <si>
    <t>https://chromewebstore.google.com/detail/kloffboieoflphfanokeeaffhmoladln</t>
  </si>
  <si>
    <t>Ebay Button</t>
  </si>
  <si>
    <t>https://chromewebstore.google.com/detail/lpmakbbndaemdmmdpfijabdjdklhkkbd</t>
  </si>
  <si>
    <t>Download by extension</t>
  </si>
  <si>
    <t>https://chromewebstore.google.com/detail/ogflhjilpmfeejjdnelhakfokcldpfki</t>
  </si>
  <si>
    <t>Remove Citations</t>
  </si>
  <si>
    <t>https://chromewebstore.google.com/detail/ojmmohmckbjmbpjpdohkfmhnkfedbofp</t>
  </si>
  <si>
    <t>SKN SSL Enforcer</t>
  </si>
  <si>
    <t>https://chromewebstore.google.com/detail/eldkkiimeobmnkkiielcgemfkaadpchm</t>
  </si>
  <si>
    <t>Simple Black Scrollbar</t>
  </si>
  <si>
    <t>https://chromewebstore.google.com/detail/fnbghoijkcenbfhmnenlhdlbididmecl</t>
  </si>
  <si>
    <t>IPFS Search</t>
  </si>
  <si>
    <t>https://chromewebstore.google.com/detail/lffnkibaadgoclbhfajpnhlobdoomfeh</t>
  </si>
  <si>
    <t>Netflix Remote</t>
  </si>
  <si>
    <t>https://chromewebstore.google.com/detail/limeoeacpekfcanimjnnbgolggamkogd</t>
  </si>
  <si>
    <t>Youtube Live Chat : Troll Starver</t>
  </si>
  <si>
    <t>https://chromewebstore.google.com/detail/bcikajlocgcppeihfloalfdnpgfibdpk</t>
  </si>
  <si>
    <t>MTG Prices by MTGGoldfish</t>
  </si>
  <si>
    <t>https://chromewebstore.google.com/detail/bneckalmjgjiocbgannjaffookadphna</t>
  </si>
  <si>
    <t>Empty New Tab</t>
  </si>
  <si>
    <t>https://chromewebstore.google.com/detail/dnjaaphbpdglnpphncoiefaglgpfpmne</t>
  </si>
  <si>
    <t>Virus Checker</t>
  </si>
  <si>
    <t>https://chromewebstore.google.com/detail/ecpkbbplpehkkgaojngfhmfjgpkjbnci</t>
  </si>
  <si>
    <t>Go Search Extension</t>
  </si>
  <si>
    <t>https://chromewebstore.google.com/detail/epanejkfcekejmmfbcpbcbigfpefbnlb</t>
  </si>
  <si>
    <t>JWPepper Downloader</t>
  </si>
  <si>
    <t>https://chromewebstore.google.com/detail/gdblpfiocmgbccolhonbgpilnfnjidgn</t>
  </si>
  <si>
    <t>Scroll Memory</t>
  </si>
  <si>
    <t>https://chromewebstore.google.com/detail/iidnpfiaeiohlkmaehhjoiffcmjclpap</t>
  </si>
  <si>
    <t>Tab Cookie Remover</t>
  </si>
  <si>
    <t>https://chromewebstore.google.com/detail/kdgcemcnbloklddniceknpobimmglbjm</t>
  </si>
  <si>
    <t>Simple AWS Console App</t>
  </si>
  <si>
    <t>https://chromewebstore.google.com/detail/npmoddlmdecogbedcedcnnaikakheell</t>
  </si>
  <si>
    <t>Learn Korean</t>
  </si>
  <si>
    <t>https://chromewebstore.google.com/detail/pocbegcjhdleffmjjkaookjioocjipoh</t>
  </si>
  <si>
    <t>Website traffic displayer</t>
  </si>
  <si>
    <t>https://chromewebstore.google.com/detail/ibakhgbldoealibhbnggdlhjalbceclj</t>
  </si>
  <si>
    <t>WordPress Version</t>
  </si>
  <si>
    <t>https://chromewebstore.google.com/detail/jbbiglmmnldnajjcnglcbaflpmkjlenh</t>
  </si>
  <si>
    <t>Bookmark Pro</t>
  </si>
  <si>
    <t>https://chromewebstore.google.com/detail/mnflenlaoedijiilhimgcgndofcaofkh</t>
  </si>
  <si>
    <t>Click Translate</t>
  </si>
  <si>
    <t>https://chromewebstore.google.com/detail/oejnidpeffnbdfgienfmebepolhicmgh</t>
  </si>
  <si>
    <t>Earthbound Music</t>
  </si>
  <si>
    <t>https://chromewebstore.google.com/detail/pnnifppadimmgfkjhfiifmadbmoaamnk</t>
  </si>
  <si>
    <t>NTRglobal Plugin</t>
  </si>
  <si>
    <t>https://chromewebstore.google.com/detail/fgmiachbppgmenhaghkcmhhfipjanjpk</t>
  </si>
  <si>
    <t>Cashback-Vergleich mit Gutscheincodes</t>
  </si>
  <si>
    <t>https://chromewebstore.google.com/detail/hkeeobejbgjnpeceekbppnafmmnjllkn</t>
  </si>
  <si>
    <t>Vajehyab</t>
  </si>
  <si>
    <t>https://chromewebstore.google.com/detail/iiacjfkjpjmnapncgppmjijgmjlgldha</t>
  </si>
  <si>
    <t>Lorem Fill</t>
  </si>
  <si>
    <t>https://chromewebstore.google.com/detail/jfjnfhfeibkcokofbeipmehclfdojpaa</t>
  </si>
  <si>
    <t>Erinome RSS</t>
  </si>
  <si>
    <t>https://chromewebstore.google.com/detail/jnepdmcgobemcmfcdobmiajiigncnmlc</t>
  </si>
  <si>
    <t>7StarHD Bollywood,Hollywood HD Movies</t>
  </si>
  <si>
    <t>https://chromewebstore.google.com/detail/jnpnmkjloegflknlbahemlbodogklned</t>
  </si>
  <si>
    <t>Old New Tab</t>
  </si>
  <si>
    <t>https://chromewebstore.google.com/detail/klcijojgndghhnmkifealgnjgmclghio</t>
  </si>
  <si>
    <t>https://chromewebstore.google.com/detail/aklgphppnaannfmmijfggcckafbkbihi</t>
  </si>
  <si>
    <t>Fallen London Goat Farmer's Extension</t>
  </si>
  <si>
    <t>https://chromewebstore.google.com/detail/biefkddpeaninjbkipkgnncpdlbddkfl</t>
  </si>
  <si>
    <t>Google Play Music Tab Close Alarm</t>
  </si>
  <si>
    <t>https://chromewebstore.google.com/detail/ckclfldnjoefbibhhbdklbddhnehdgol</t>
  </si>
  <si>
    <t>Goat Alerts TradingView Bot</t>
  </si>
  <si>
    <t>https://chromewebstore.google.com/detail/gcfbekmogelpbhgcepghlkdbmhpbaaig</t>
  </si>
  <si>
    <t>Codeception TestTools</t>
  </si>
  <si>
    <t>https://chromewebstore.google.com/detail/jhaegbojocomemkcnmnpmoobbmnkijik</t>
  </si>
  <si>
    <t>ClearVox Nexxt click to call</t>
  </si>
  <si>
    <t>https://chromewebstore.google.com/detail/abpidkpcnhcdhahombmgajglihkdgoeh</t>
  </si>
  <si>
    <t>https://chromewebstore.google.com/detail/agdeebidnlidokgnnkhiiccefldilcjp</t>
  </si>
  <si>
    <t>Salesforce UI Improver</t>
  </si>
  <si>
    <t>https://chromewebstore.google.com/detail/cfihjphppakcdhnkbnjboipgblbjapha</t>
  </si>
  <si>
    <t>JPG to SVG Converter</t>
  </si>
  <si>
    <t>https://chromewebstore.google.com/detail/jhfokplgdpcnopapfoandlhmbhdolefb</t>
  </si>
  <si>
    <t>Super timer</t>
  </si>
  <si>
    <t>https://chromewebstore.google.com/detail/mnbkepgphamgbkiigedbddhfdbdmmahg</t>
  </si>
  <si>
    <t>LeetCode Reminder</t>
  </si>
  <si>
    <t>https://chromewebstore.google.com/detail/cefbdpiapcpjjjdghhofmnfcpgdhcpec</t>
  </si>
  <si>
    <t>TELELIKE - Automatically Like for Instagram</t>
  </si>
  <si>
    <t>https://chromewebstore.google.com/detail/gbemhpiepdmmhiahaeijenpbbflafbha</t>
  </si>
  <si>
    <t>Youtube caption indicator</t>
  </si>
  <si>
    <t>https://chromewebstore.google.com/detail/chajkagpcfnnjhcggboigcmbfmgeijin</t>
  </si>
  <si>
    <t>WordReference Translator</t>
  </si>
  <si>
    <t>https://chromewebstore.google.com/detail/cheajkjbaknihaobmnjmbphjphoahhlp</t>
  </si>
  <si>
    <t>Search on Yelp</t>
  </si>
  <si>
    <t>https://chromewebstore.google.com/detail/eeddchiaakhophnaemblfgjcjifiahea</t>
  </si>
  <si>
    <t>Gendersprache korrigieren</t>
  </si>
  <si>
    <t>https://chromewebstore.google.com/detail/fcliafhfhbkfdeknlpdpojgajcknhecf</t>
  </si>
  <si>
    <t>UPCZilla Search</t>
  </si>
  <si>
    <t>https://chromewebstore.google.com/detail/ndjabeeahhkdpcihameofbojdhhgemdb</t>
  </si>
  <si>
    <t>MM3-ProxySwitch</t>
  </si>
  <si>
    <t>https://chromewebstore.google.com/detail/phbjaiacjbplfmapmlljdoacomhbpfoe</t>
  </si>
  <si>
    <t>Reverse Youtube</t>
  </si>
  <si>
    <t>https://chromewebstore.google.com/detail/bbkebkkkocmacciojigkliggadljbmai</t>
  </si>
  <si>
    <t>Reddit Image Preview</t>
  </si>
  <si>
    <t>https://chromewebstore.google.com/detail/epkgcgdkdcihbmiapdajdhnkccaggbam</t>
  </si>
  <si>
    <t>WikiTree Tools</t>
  </si>
  <si>
    <t>https://chromewebstore.google.com/detail/nbofjmabmdnnjalpphahghiiblcpfloh</t>
  </si>
  <si>
    <t>JIRA Notifier</t>
  </si>
  <si>
    <t>https://chromewebstore.google.com/detail/pfipgkbjbojfdhhidcomjfgaakehpfdk</t>
  </si>
  <si>
    <t>Blockade</t>
  </si>
  <si>
    <t>https://chromewebstore.google.com/detail/dpcbdbpeiafniipmiedlceedbffiejek</t>
  </si>
  <si>
    <t>有道词典Chrome插件添加生词本</t>
  </si>
  <si>
    <t>https://chromewebstore.google.com/detail/ddphaphiplikhjbjlfbnkkmppbfjgdah</t>
  </si>
  <si>
    <t>Coursera Playback Speed</t>
  </si>
  <si>
    <t>https://chromewebstore.google.com/detail/ggonllaomlopoinanbapoaamhomlflao</t>
  </si>
  <si>
    <t>Dashify - New Tab Crypto NFT Dashboard</t>
  </si>
  <si>
    <t>https://chromewebstore.google.com/detail/jejdbiedgkidmmbbnkekdlfkkklckbdd</t>
  </si>
  <si>
    <t>Ａｅｓｔｈｅｔｉｃ Ｗｉｄｔｈ</t>
  </si>
  <si>
    <t>https://chromewebstore.google.com/detail/blljhfopgephjiocmoddmjbpggogkfch</t>
  </si>
  <si>
    <t>全球交易助手插件</t>
  </si>
  <si>
    <t>https://chromewebstore.google.com/detail/fjhhmciiekplggcfcmibkkahegdlmbln</t>
  </si>
  <si>
    <t>Drag to download</t>
  </si>
  <si>
    <t>https://chromewebstore.google.com/detail/nlbdfajoolkacbicncknldfoikncjdhb</t>
  </si>
  <si>
    <t>BUYFYツール</t>
  </si>
  <si>
    <t>https://chromewebstore.google.com/detail/pggofmblkmahcmaafhcnppgcdhmejbci</t>
  </si>
  <si>
    <t>Domkit</t>
  </si>
  <si>
    <t>https://chromewebstore.google.com/detail/cdeocdbeomkaegbihhleiikgkkmacgek</t>
  </si>
  <si>
    <t>Layout Debugger</t>
  </si>
  <si>
    <t>https://chromewebstore.google.com/detail/gkamnoiedmidgolhlihkamjpfccohilb</t>
  </si>
  <si>
    <t>No Seen</t>
  </si>
  <si>
    <t>https://chromewebstore.google.com/detail/lhfgjcfhkmijfeppjjokleldddlklpoc</t>
  </si>
  <si>
    <t>GitHub Wiki Search</t>
  </si>
  <si>
    <t>https://chromewebstore.google.com/detail/neadealkfeligebmmolcibhbcdfplhhg</t>
  </si>
  <si>
    <t>Webtrends Optimize® Editing Tools</t>
  </si>
  <si>
    <t>https://chromewebstore.google.com/detail/bjjpnhdlhpfdebcbhdlmecafnokpjpce</t>
  </si>
  <si>
    <t>Beam</t>
  </si>
  <si>
    <t>https://chromewebstore.google.com/detail/onglbhicnlbbljbhkilnnkbokcgoheej</t>
  </si>
  <si>
    <t>Playir: Mobile Game &amp; App Creator</t>
  </si>
  <si>
    <t>https://chromewebstore.google.com/detail/ahjhijiiemjbhbpnmmhdkgjbhahjbnjj</t>
  </si>
  <si>
    <t>T-Rex Outrunner</t>
  </si>
  <si>
    <t>https://chromewebstore.google.com/detail/ipaflcbenfmebafanoplpnieoaaiieon</t>
  </si>
  <si>
    <t>Translation Disabler for eBay</t>
  </si>
  <si>
    <t>https://chromewebstore.google.com/detail/nblmoonpiilkcfcckhhdaijolankohkj</t>
  </si>
  <si>
    <t>VIN Lookup</t>
  </si>
  <si>
    <t>https://chromewebstore.google.com/detail/nikcbpbhlpdkbfekbiojeppjfiajfmmm</t>
  </si>
  <si>
    <t>Cookie Parking</t>
  </si>
  <si>
    <t>https://chromewebstore.google.com/detail/gbpliecdabaekbhmncopnbkfpdippdnl</t>
  </si>
  <si>
    <t>scrape</t>
  </si>
  <si>
    <t>https://chromewebstore.google.com/detail/hffobopnjnagddkmcebaoamdfkijphhj</t>
  </si>
  <si>
    <t>СТОП: неетична медия</t>
  </si>
  <si>
    <t>https://chromewebstore.google.com/detail/nnmmefgfonjgeppijgkgnnibbmcbpedp</t>
  </si>
  <si>
    <t>Retrowave Radio</t>
  </si>
  <si>
    <t>https://chromewebstore.google.com/detail/olphnbmahbbaiicbjalinblhmppmhafn</t>
  </si>
  <si>
    <t>Speech And Debate Timer</t>
  </si>
  <si>
    <t>https://chromewebstore.google.com/detail/pnjdaiogafolcpacbpfblaificeideab</t>
  </si>
  <si>
    <t>Salesforce SObject2Apex code generator</t>
  </si>
  <si>
    <t>https://chromewebstore.google.com/detail/ahpnencomoimdlbgceinogcjpglcgnfh</t>
  </si>
  <si>
    <t>SimpleRent</t>
  </si>
  <si>
    <t>https://chromewebstore.google.com/detail/ejnancobllppofpnnlenepgacncofooi</t>
  </si>
  <si>
    <t>AutoCRN</t>
  </si>
  <si>
    <t>https://chromewebstore.google.com/detail/fnamipcehfmjomamkpgibdidlnlaobgf</t>
  </si>
  <si>
    <t>Posizer</t>
  </si>
  <si>
    <t>https://chromewebstore.google.com/detail/ifdokboipgdinjaiokegelppjdchgehf</t>
  </si>
  <si>
    <t>Spider-Man Miles Morales APK Download Mod</t>
  </si>
  <si>
    <t>https://chromewebstore.google.com/detail/jonopcgchkfmoimjbajihfkiobolimpm</t>
  </si>
  <si>
    <t>Getflix Region Switcher</t>
  </si>
  <si>
    <t>https://chromewebstore.google.com/detail/dnglcfmkeagcfmjnhgboabkbjkdnkija</t>
  </si>
  <si>
    <t>WishListo</t>
  </si>
  <si>
    <t>https://chromewebstore.google.com/detail/fdkjiocjncdhpmienmepiodnpbnedlmj</t>
  </si>
  <si>
    <t>RANDUS.ORG – генератор случайных личностей</t>
  </si>
  <si>
    <t>https://chromewebstore.google.com/detail/jcildekmhnmopplgcncdohaffhiobimo</t>
  </si>
  <si>
    <t>Free QR Code Generator</t>
  </si>
  <si>
    <t>https://chromewebstore.google.com/detail/ocnmfcnkkcpojobfhhpokjccbjbbmplb</t>
  </si>
  <si>
    <t>WELearn网课助手</t>
  </si>
  <si>
    <t>https://chromewebstore.google.com/detail/kojnddpihdfgebnbpanjhnhpjaiiekkf</t>
  </si>
  <si>
    <t>Kaleostra</t>
  </si>
  <si>
    <t>https://chromewebstore.google.com/detail/enefdmpkcjnemklamnmpdlafceaiogdf</t>
  </si>
  <si>
    <t>Get Thumbnails or Image to video YouTube</t>
  </si>
  <si>
    <t>https://chromewebstore.google.com/detail/fflaolblljkfjjigfpbokbkjnpeggcke</t>
  </si>
  <si>
    <t>Lectio Auto-Login</t>
  </si>
  <si>
    <t>https://chromewebstore.google.com/detail/hiejfnfnpmajcbgpcnkaldmomchgnlln</t>
  </si>
  <si>
    <t>Browser Stealth Mode</t>
  </si>
  <si>
    <t>https://chromewebstore.google.com/detail/offphobpedohkenckinejacpjodchgmn</t>
  </si>
  <si>
    <t>UUID Finder</t>
  </si>
  <si>
    <t>https://chromewebstore.google.com/detail/hdenpcfifhgoabfkmikpfbgoldfnddjk</t>
  </si>
  <si>
    <t>Apt-linker</t>
  </si>
  <si>
    <t>https://chromewebstore.google.com/detail/oljmaangfgmmokjpnojhfblppgeijikp</t>
  </si>
  <si>
    <t>investing.com Kurlar</t>
  </si>
  <si>
    <t>https://chromewebstore.google.com/detail/pclpbjpadbmgjnblbjfepihmkmnkpagj</t>
  </si>
  <si>
    <t>Stock Charts by Public.com</t>
  </si>
  <si>
    <t>https://chromewebstore.google.com/detail/pfiamephhdcbgkifdeejcjbhmolpjenj</t>
  </si>
  <si>
    <t>NJIT Schedule Builder RMP</t>
  </si>
  <si>
    <t>https://chromewebstore.google.com/detail/gbhlckmcjkpdhgkpbmkabcedbhjjpmbo</t>
  </si>
  <si>
    <t>Map Services Enhanced</t>
  </si>
  <si>
    <t>https://chromewebstore.google.com/detail/iomnmncpnhloilggeiefebaokegohhdl</t>
  </si>
  <si>
    <t>Privacy Extension</t>
  </si>
  <si>
    <t>https://chromewebstore.google.com/detail/kgdgengffgmikoloefhbcphnalpicjkg</t>
  </si>
  <si>
    <t>Military Pride Extension</t>
  </si>
  <si>
    <t>https://chromewebstore.google.com/detail/ceofcicakflonbbmbdbdkbmmhnnfahli</t>
  </si>
  <si>
    <t>https://chromewebstore.google.com/detail/cpocpfccehgaoaefhgfgimjicohiecje</t>
  </si>
  <si>
    <t>PBVidCast - Chromecast™ for Pinkbike videos</t>
  </si>
  <si>
    <t>https://chromewebstore.google.com/detail/jklkkahfncohfjgacjojgjhipioljjoh</t>
  </si>
  <si>
    <t>Công Cụ Đặt Hàng Ptite1688</t>
  </si>
  <si>
    <t>https://chromewebstore.google.com/detail/jlpfglbpgpbeiihgkelneefpmoedjjop</t>
  </si>
  <si>
    <t>Free Invoice Generator - InvoiceStal</t>
  </si>
  <si>
    <t>https://chromewebstore.google.com/detail/lcaimjohajcgfkapahpkfpiijkaegccn</t>
  </si>
  <si>
    <t>Planner Default View</t>
  </si>
  <si>
    <t>https://chromewebstore.google.com/detail/memnkhinbiilklahnhcpkpflpoplldng</t>
  </si>
  <si>
    <t>Flying Unicorn</t>
  </si>
  <si>
    <t>https://chromewebstore.google.com/detail/cdedcjjdfckjnageanlcifalkpnjdbpg</t>
  </si>
  <si>
    <t>Justaple Stapling Tool</t>
  </si>
  <si>
    <t>https://chromewebstore.google.com/detail/eaajehefbnkjhdbbolahieolfdnpnogm</t>
  </si>
  <si>
    <t>Relevance - Smart Tab Organizer</t>
  </si>
  <si>
    <t>https://chromewebstore.google.com/detail/hgklcaodfmndpkajdmcmlpihhoenhpbp</t>
  </si>
  <si>
    <t>semRush website rank badge</t>
  </si>
  <si>
    <t>https://chromewebstore.google.com/detail/hmjkeajnlfhbjabboakcgimcnejnnbjj</t>
  </si>
  <si>
    <t>Fulcro Inspect</t>
  </si>
  <si>
    <t>https://chromewebstore.google.com/detail/meeijplnfjcihnhkpanepcaffklobaal</t>
  </si>
  <si>
    <t>Defonic</t>
  </si>
  <si>
    <t>https://chromewebstore.google.com/detail/nlhdbldmdhcccholgnpaodephaaghoje</t>
  </si>
  <si>
    <t>Youtube Zero Annotations</t>
  </si>
  <si>
    <t>https://chromewebstore.google.com/detail/pkbdojddadoogfnjcblknggopgcbdnhn</t>
  </si>
  <si>
    <t>vfxAlert signals panel</t>
  </si>
  <si>
    <t>https://chromewebstore.google.com/detail/eaoefmgbepkgdmgnbhnpjfkfjdmpepcb</t>
  </si>
  <si>
    <t>Maze Generator Game</t>
  </si>
  <si>
    <t>https://chromewebstore.google.com/detail/backnpjeemenlgpdbdoddnlcofcjpcfj</t>
  </si>
  <si>
    <t>Page Load Notifier</t>
  </si>
  <si>
    <t>https://chromewebstore.google.com/detail/fidgoheifbbkckobaaabdjnjhacnioee</t>
  </si>
  <si>
    <t>Angular BatScanner</t>
  </si>
  <si>
    <t>https://chromewebstore.google.com/detail/gcngciildkejiapchdgpcniflijoiadf</t>
  </si>
  <si>
    <t>1COM</t>
  </si>
  <si>
    <t>https://chromewebstore.google.com/detail/mbiacbhbjhoimiiplminicfnmnolmgih</t>
  </si>
  <si>
    <t>Funchatcam</t>
  </si>
  <si>
    <t>https://chromewebstore.google.com/detail/nkclhplcadlpidaenlcbhlmjfhihinno</t>
  </si>
  <si>
    <t>Riak JSON editor</t>
  </si>
  <si>
    <t>https://chromewebstore.google.com/detail/eeponikjeljlngckgbekknkoncmljfbf</t>
  </si>
  <si>
    <t>Netflix Controller</t>
  </si>
  <si>
    <t>https://chromewebstore.google.com/detail/kjgfkjidgcfgbabbhjephchohcghcdkf</t>
  </si>
  <si>
    <t>宜蘭教學廣播老師版</t>
  </si>
  <si>
    <t>https://chromewebstore.google.com/detail/lpnpppcjhpdppibdojpmopaejakilljp</t>
  </si>
  <si>
    <t>Notifications DM Instagram</t>
  </si>
  <si>
    <t>https://chromewebstore.google.com/detail/beibjfkkheopnkifcgomndochmiilfda</t>
  </si>
  <si>
    <t>ChromeOverlay</t>
  </si>
  <si>
    <t>https://chromewebstore.google.com/detail/bfcanpejffolidoommjpiioaakhhofch</t>
  </si>
  <si>
    <t>Hashtagify</t>
  </si>
  <si>
    <t>https://chromewebstore.google.com/detail/bmpakblggjlmlahmhagoeocgllfikalp</t>
  </si>
  <si>
    <t>Thinreports Editor</t>
  </si>
  <si>
    <t>https://chromewebstore.google.com/detail/cdlcnnandndjkbbdcbpnjoimphmifkfn</t>
  </si>
  <si>
    <t>Strava Plus</t>
  </si>
  <si>
    <t>https://chromewebstore.google.com/detail/cdjkehgklopnffaenjgmbmckkeiaengi</t>
  </si>
  <si>
    <t>Knowsome - make better use of your time!</t>
  </si>
  <si>
    <t>https://chromewebstore.google.com/detail/ibfmipfionldjoeidndeefcnnpdohhkh</t>
  </si>
  <si>
    <t>HBOMax Keyboard Control</t>
  </si>
  <si>
    <t>https://chromewebstore.google.com/detail/jggjjeenacnfoklccefmpfkkjdocgkod</t>
  </si>
  <si>
    <t>TabZolo</t>
  </si>
  <si>
    <t>https://chromewebstore.google.com/detail/bkpcjokmnekbnkjldkiechmphnadngoj</t>
  </si>
  <si>
    <t>Extended Degiro summary</t>
  </si>
  <si>
    <t>https://chromewebstore.google.com/detail/jcmmnlmlpjkccjpdkjnjnglhhcnfbajd</t>
  </si>
  <si>
    <t>Who's Calling</t>
  </si>
  <si>
    <t>https://chromewebstore.google.com/detail/mpkooepgeekidcfpajdigolkggpidijn</t>
  </si>
  <si>
    <t>Dark Mode Global</t>
  </si>
  <si>
    <t>https://chromewebstore.google.com/detail/ngfbfmhhkpknjodmiklpkipnlmolabee</t>
  </si>
  <si>
    <t>TempText</t>
  </si>
  <si>
    <t>https://chromewebstore.google.com/detail/acieclflijheaejbikfnkpeikogkkgio</t>
  </si>
  <si>
    <t>CharmDate| Чаты+Письма помощник | ChatOS</t>
  </si>
  <si>
    <t>https://chromewebstore.google.com/detail/epakcpjignfmdgmeifpallcnkiggbegd</t>
  </si>
  <si>
    <t>Zoom Bookmarks</t>
  </si>
  <si>
    <t>https://chromewebstore.google.com/detail/haplbihlmhnffbihdfjhgnickameiphd</t>
  </si>
  <si>
    <t>LeetSports Fantasy Hockey Tools</t>
  </si>
  <si>
    <t>https://chromewebstore.google.com/detail/immpookfmnhkhekgapcepemkdehdlgbb</t>
  </si>
  <si>
    <t>NZBLinker</t>
  </si>
  <si>
    <t>https://chromewebstore.google.com/detail/podpddhcepkggomgplkpkdhehckkllab</t>
  </si>
  <si>
    <t>wbimgfix</t>
  </si>
  <si>
    <t>https://chromewebstore.google.com/detail/bdhgcfmghkbbdmejdaadfdhhdjphogkp</t>
  </si>
  <si>
    <t>Imgur Gifv as MP4 Downloader</t>
  </si>
  <si>
    <t>https://chromewebstore.google.com/detail/homgaeandhcohhcfbfdeohljedelgijc</t>
  </si>
  <si>
    <t>ADZbuzz uBlock</t>
  </si>
  <si>
    <t>https://chromewebstore.google.com/detail/kllohiclobgoaffphlofnjdlabflpgha</t>
  </si>
  <si>
    <t>React VT</t>
  </si>
  <si>
    <t>https://chromewebstore.google.com/detail/aphjepidficfgphkbggojoemgpmianhi</t>
  </si>
  <si>
    <t>1Command</t>
  </si>
  <si>
    <t>https://chromewebstore.google.com/detail/naojedmfkkciajbfcehknfbcmimcjbhg</t>
  </si>
  <si>
    <t>Dev Tools</t>
  </si>
  <si>
    <t>https://chromewebstore.google.com/detail/ahaclkcdfdcebbegimadgdlkccjdkmca</t>
  </si>
  <si>
    <t>Newsfeed Burner</t>
  </si>
  <si>
    <t>https://chromewebstore.google.com/detail/gdjcjcbjnaelafcijbnceapahcgkpjkl</t>
  </si>
  <si>
    <t>TabTree</t>
  </si>
  <si>
    <t>https://chromewebstore.google.com/detail/lhjaemlbbmojcmfcljjmbamecahgdlkp</t>
  </si>
  <si>
    <t>Clip To Dynalist</t>
  </si>
  <si>
    <t>https://chromewebstore.google.com/detail/ahiipffmcifaempjoeecollondfinbik</t>
  </si>
  <si>
    <t>分辨率调节</t>
  </si>
  <si>
    <t>https://chromewebstore.google.com/detail/ebbkpmchomacmdjaoffadojmkinafemn</t>
  </si>
  <si>
    <t>YouTube Music Hotkeys</t>
  </si>
  <si>
    <t>https://chromewebstore.google.com/detail/fgjkdpncbpnlhbdbmelbhmapblgaamkl</t>
  </si>
  <si>
    <t>BookEdge</t>
  </si>
  <si>
    <t>https://chromewebstore.google.com/detail/ifjngfpepgmgongpllodfdndmemnjgoc</t>
  </si>
  <si>
    <t>Markdown Menu for GitHub</t>
  </si>
  <si>
    <t>https://chromewebstore.google.com/detail/jekgocfoijmbgcjejohdgmojaejofdpo</t>
  </si>
  <si>
    <t>ALI Tracker - Alibaba.com Searching Made Easy</t>
  </si>
  <si>
    <t>https://chromewebstore.google.com/detail/lcdgeiifbconcoiiinhednkdhoeafjjl</t>
  </si>
  <si>
    <t>HDBooth</t>
  </si>
  <si>
    <t>https://chromewebstore.google.com/detail/oghohpnngiiaffelalcbfionkobcganp</t>
  </si>
  <si>
    <t>Google Search Favicons</t>
  </si>
  <si>
    <t>https://chromewebstore.google.com/detail/ehnmlbcepecoioeocjbdmmjggoanhpea</t>
  </si>
  <si>
    <t>비드바이코리아 구매대행</t>
  </si>
  <si>
    <t>https://chromewebstore.google.com/detail/okccjaoedfffkchmkcpphgkodojghdkp</t>
  </si>
  <si>
    <t>Duolingo Appearance</t>
  </si>
  <si>
    <t>https://chromewebstore.google.com/detail/oifnhalickiahlaoacabfafjaibhhimo</t>
  </si>
  <si>
    <t>Neopets Shop Highlighter</t>
  </si>
  <si>
    <t>https://chromewebstore.google.com/detail/aeflneddfelkgikdfnmgiabepophecje</t>
  </si>
  <si>
    <t>Tanke Insights</t>
  </si>
  <si>
    <t>https://chromewebstore.google.com/detail/bejidemagjhbekdamhdfcgdaaiagmbdl</t>
  </si>
  <si>
    <t>BurnerX</t>
  </si>
  <si>
    <t>https://chromewebstore.google.com/detail/dmoidpfmmhnchjngdjcbkpdjfmhkpnjg</t>
  </si>
  <si>
    <t>Auto-switch to Latest Tweets for Twitter</t>
  </si>
  <si>
    <t>https://chromewebstore.google.com/detail/dnjgjckjnbdecolmjdooahpcmihdmked</t>
  </si>
  <si>
    <t>Правільны сцяг</t>
  </si>
  <si>
    <t>https://chromewebstore.google.com/detail/eblobdnhbollnjjnfigjobhldpfeiejd</t>
  </si>
  <si>
    <t>Share to ChatWork</t>
  </si>
  <si>
    <t>https://chromewebstore.google.com/detail/nfefoppdjaidappikcjaeapgdkdjlngp</t>
  </si>
  <si>
    <t>UC Manager</t>
  </si>
  <si>
    <t>https://chromewebstore.google.com/detail/ocndcadaneceimkfpidpepichhfgonem</t>
  </si>
  <si>
    <t>YouTube Chapter Editor</t>
  </si>
  <si>
    <t>https://chromewebstore.google.com/detail/bjcbfemjpjpoiefolemocadinijjdmgd</t>
  </si>
  <si>
    <t>Programming Tips</t>
  </si>
  <si>
    <t>https://chromewebstore.google.com/detail/ooaiehbfngcjjeaiedpffeajkeleikpl</t>
  </si>
  <si>
    <t>Find That Font: Font Finder</t>
  </si>
  <si>
    <t>https://chromewebstore.google.com/detail/alannkadjimikdglagjkfdnmcdjkahhc</t>
  </si>
  <si>
    <t>Chorus for HCL Verse</t>
  </si>
  <si>
    <t>https://chromewebstore.google.com/detail/bnbaljnenddkjfkifdlkjjobccebnone</t>
  </si>
  <si>
    <t>Quick Search</t>
  </si>
  <si>
    <t>https://chromewebstore.google.com/detail/chgmjmpmfefgaiogdnnjbfcbgcflofgi</t>
  </si>
  <si>
    <t>Sencha Component Locator</t>
  </si>
  <si>
    <t>https://chromewebstore.google.com/detail/nkldpaeekcifioadclceajbacngjippj</t>
  </si>
  <si>
    <t>Force Autocomplete</t>
  </si>
  <si>
    <t>https://chromewebstore.google.com/detail/piechbhjioolbecaioglhamjjjkmbchj</t>
  </si>
  <si>
    <t>JMX Enhancer | Auto-Correlation for JMeter</t>
  </si>
  <si>
    <t>https://chromewebstore.google.com/detail/akoiagmmfbjephlbkncmnpdakfklipjd</t>
  </si>
  <si>
    <t>Time Blocker</t>
  </si>
  <si>
    <t>https://chromewebstore.google.com/detail/bjlhicepbkpkkejkaekdbdlanioklnlh</t>
  </si>
  <si>
    <t>JoomPlace</t>
  </si>
  <si>
    <t>https://chromewebstore.google.com/detail/cmpcfkahodbaemmenjllgkhhcihhinmk</t>
  </si>
  <si>
    <t>Twitter Timeline Auto Update</t>
  </si>
  <si>
    <t>https://chromewebstore.google.com/detail/ddbjabcmjjifognjcopebcllgpbdjlbm</t>
  </si>
  <si>
    <t>cookie快速模拟</t>
  </si>
  <si>
    <t>https://chromewebstore.google.com/detail/jpdfbendalpmcbdekkmldlkcklpcafma</t>
  </si>
  <si>
    <t>Prime Party</t>
  </si>
  <si>
    <t>https://chromewebstore.google.com/detail/kghegibponmiflnifgdcgjbmkbjpibhc</t>
  </si>
  <si>
    <t>Copy Url (from TabInfoCopy)</t>
  </si>
  <si>
    <t>https://chromewebstore.google.com/detail/kplmddgdeigcadlfohcelfefiinfghpi</t>
  </si>
  <si>
    <t>SLERPEE SERP SEO Tool</t>
  </si>
  <si>
    <t>https://chromewebstore.google.com/detail/lljiafmnknbhhffbiglmibneedmlkahl</t>
  </si>
  <si>
    <t>Instant SQL Formatter</t>
  </si>
  <si>
    <t>https://chromewebstore.google.com/detail/gbeoaipiglfibhkgiodjkbgcfhjgiekd</t>
  </si>
  <si>
    <t>eMule Search Extension</t>
  </si>
  <si>
    <t>https://chromewebstore.google.com/detail/lcdbbcnacdhighpoilpfbccjjgjknjpg</t>
  </si>
  <si>
    <t>Spreadsheet to JIRA</t>
  </si>
  <si>
    <t>https://chromewebstore.google.com/detail/lmgidnfcnjmijbmphpellnclmgahadjn</t>
  </si>
  <si>
    <t>速卖通客服助手</t>
  </si>
  <si>
    <t>https://chromewebstore.google.com/detail/okielmjkemkemnliimmofopifejnbjel</t>
  </si>
  <si>
    <t>Upset your friends  - Set with friends hack</t>
  </si>
  <si>
    <t>https://chromewebstore.google.com/detail/bokmadidlcdmkcjpobcknkojgfjdhjpl</t>
  </si>
  <si>
    <t>Amazon Scraper - Trial Version</t>
  </si>
  <si>
    <t>https://chromewebstore.google.com/detail/cpaihklfamokgdbpnkkmeihednbefmom</t>
  </si>
  <si>
    <t>DS5Chrome</t>
  </si>
  <si>
    <t>https://chromewebstore.google.com/detail/iapmmomaihcdpgkblagkodelfkijckfn</t>
  </si>
  <si>
    <t>ComfyFlix</t>
  </si>
  <si>
    <t>https://chromewebstore.google.com/detail/ddnipedkkjbiclaomlalefpeljjamhma</t>
  </si>
  <si>
    <t>Easy Pen: Auto suggestions and auto complete</t>
  </si>
  <si>
    <t>https://chromewebstore.google.com/detail/ogdgigafmglfomohcijjjopobmenabed</t>
  </si>
  <si>
    <t>Sponsor Blocker</t>
  </si>
  <si>
    <t>https://chromewebstore.google.com/detail/pjoibejadaddgagcjlibeacpnngdhlhi</t>
  </si>
  <si>
    <t>TabuLater - Save Open Tabs With One Click</t>
  </si>
  <si>
    <t>https://chromewebstore.google.com/detail/bcmbdjphemaclhjbkaejcaffeddkmjco</t>
  </si>
  <si>
    <t>Вконтакте без рекламы (VK without ads)</t>
  </si>
  <si>
    <t>https://chromewebstore.google.com/detail/jphpicdnjkfdblcdbjklpeananfcodha</t>
  </si>
  <si>
    <t>Can I Fly There</t>
  </si>
  <si>
    <t>https://chromewebstore.google.com/detail/kdnkcnookmaakjnlggihmijapnjonbng</t>
  </si>
  <si>
    <t>SSL Server Test</t>
  </si>
  <si>
    <t>https://chromewebstore.google.com/detail/kppeghgjfhkpgbnjoacjjmicedhdmfmb</t>
  </si>
  <si>
    <t>android messages</t>
  </si>
  <si>
    <t>https://chromewebstore.google.com/detail/meknbncbeioaffkoibipojfjibmfbnld</t>
  </si>
  <si>
    <t>Funnelyzer - Easily analyze eCommerce data</t>
  </si>
  <si>
    <t>https://chromewebstore.google.com/detail/ccijmcaojoicndalnhngocagddcnpdln</t>
  </si>
  <si>
    <t>Outliner</t>
  </si>
  <si>
    <t>https://chromewebstore.google.com/detail/hmdacajmldpieoadpgloddgkeamdhoka</t>
  </si>
  <si>
    <t>Salesforce Dashboards on TV</t>
  </si>
  <si>
    <t>https://chromewebstore.google.com/detail/imhafmhikkdannadmlekonhplfmfdddf</t>
  </si>
  <si>
    <t>Zenoti Weekly Schedule Viewer</t>
  </si>
  <si>
    <t>https://chromewebstore.google.com/detail/khjjlmjkpgmabocimfcbkbpecnpiocae</t>
  </si>
  <si>
    <t>Raise.com extension</t>
  </si>
  <si>
    <t>https://chromewebstore.google.com/detail/kknoembcnnnhefehcmegppchcmggaafo</t>
  </si>
  <si>
    <t>Idiots with Idioms</t>
  </si>
  <si>
    <t>https://chromewebstore.google.com/detail/lfjbbgdkogjkmkhdcnjeipnmceenjjhi</t>
  </si>
  <si>
    <t>Button: Clear Browsing Data</t>
  </si>
  <si>
    <t>https://chromewebstore.google.com/detail/lgldfljbefcgfallmeiflghmgoklamnp</t>
  </si>
  <si>
    <t>HubX (by Neambo)</t>
  </si>
  <si>
    <t>https://chromewebstore.google.com/detail/dmgpiodabbkeicgkhpokecnlpjddjmah</t>
  </si>
  <si>
    <t>Dropmark</t>
  </si>
  <si>
    <t>https://chromewebstore.google.com/detail/iekjfdepgjlgmcpcdcnndbhlohplepag</t>
  </si>
  <si>
    <t>AccessiByeBye</t>
  </si>
  <si>
    <t>https://chromewebstore.google.com/detail/ikcamkknjfdplkdjjncobgmpciklohjg</t>
  </si>
  <si>
    <t>Habit</t>
  </si>
  <si>
    <t>https://chromewebstore.google.com/detail/ljbnpeeemagmenbfmdodgflmdgdmcfhk</t>
  </si>
  <si>
    <t>Hide eBay Items and Sellers</t>
  </si>
  <si>
    <t>https://chromewebstore.google.com/detail/oaihjfifleeodajknhocogepkoomgecm</t>
  </si>
  <si>
    <t>Multiplication Matrix Launcher</t>
  </si>
  <si>
    <t>https://chromewebstore.google.com/detail/enfbeenkpdphfmgngblcghfndcnpopmf</t>
  </si>
  <si>
    <t>RiteForge</t>
  </si>
  <si>
    <t>https://chromewebstore.google.com/detail/ifhenecelemoiingiaipaicpnmkhiohn</t>
  </si>
  <si>
    <t>Auto form filler</t>
  </si>
  <si>
    <t>https://chromewebstore.google.com/detail/kbglaobalcgfdgbbjinnnfmnfafomdcl</t>
  </si>
  <si>
    <t>Unfriend Checker</t>
  </si>
  <si>
    <t>https://chromewebstore.google.com/detail/nddpfgkpjnclmibmhoonganoagoccoeo</t>
  </si>
  <si>
    <t>aHrefs Search Volume &amp; CPC Anchor Enhancer</t>
  </si>
  <si>
    <t>https://chromewebstore.google.com/detail/pdmkbfmeeijoafnndpcldheaimcibdln</t>
  </si>
  <si>
    <t>Новости дня СМИ2</t>
  </si>
  <si>
    <t>https://chromewebstore.google.com/detail/phoocmemlibnehglfgjfhogfohjmglgh</t>
  </si>
  <si>
    <t>Loadr - Daily Links</t>
  </si>
  <si>
    <t>https://chromewebstore.google.com/detail/aikmakbdhkfnfjhjbhakiipegcminlco</t>
  </si>
  <si>
    <t>TV Chart</t>
  </si>
  <si>
    <t>https://chromewebstore.google.com/detail/hodmmnlcinpkhnkkmfdbblcdnfffakgk</t>
  </si>
  <si>
    <t>Plutio</t>
  </si>
  <si>
    <t>https://chromewebstore.google.com/detail/ihflmpjhkokbfgcjcamhpbibpccepmgp</t>
  </si>
  <si>
    <t>PlantUML Extension</t>
  </si>
  <si>
    <t>https://chromewebstore.google.com/detail/jbdmdkcjhnceacdkahhpfpijcohplgaj</t>
  </si>
  <si>
    <t>Tab Magnet</t>
  </si>
  <si>
    <t>https://chromewebstore.google.com/detail/jdebomfefkcmclmmdcjjifflngionnaj</t>
  </si>
  <si>
    <t>LOC</t>
  </si>
  <si>
    <t>https://chromewebstore.google.com/detail/lmhpcmdjibbhkebfmbomehkfccllefnd</t>
  </si>
  <si>
    <t>TINYpulse</t>
  </si>
  <si>
    <t>https://chromewebstore.google.com/detail/bapegenmjdffnjoccdfmcpbacdcngnkj</t>
  </si>
  <si>
    <t>Plutonium Mirror</t>
  </si>
  <si>
    <t>https://chromewebstore.google.com/detail/cmdfdklimdbgkakbnplpohmekimalljl</t>
  </si>
  <si>
    <t>Text to CSV</t>
  </si>
  <si>
    <t>https://chromewebstore.google.com/detail/hmfmlgccdmgkcpegeljdiffgaemhopmi</t>
  </si>
  <si>
    <t>EasyBlogCommenting</t>
  </si>
  <si>
    <t>https://chromewebstore.google.com/detail/dmfabgipdbmkdcijifjdegkilbckjcdn</t>
  </si>
  <si>
    <t>Pixiv Kurocore Plugin</t>
  </si>
  <si>
    <t>https://chromewebstore.google.com/detail/ebhiafmjpcihakkaafdbcdclonondkkp</t>
  </si>
  <si>
    <t>Memrise Audio Uploader</t>
  </si>
  <si>
    <t>https://chromewebstore.google.com/detail/fonhjbpoimjmgfgbboichngpjlmilbmk</t>
  </si>
  <si>
    <t>Captain Drop</t>
  </si>
  <si>
    <t>https://chromewebstore.google.com/detail/kiohppcjanbphmhoncnfodjdnlehibjk</t>
  </si>
  <si>
    <t>Descargas</t>
  </si>
  <si>
    <t>https://chromewebstore.google.com/detail/jgahlokihlmhlhgkcjcjmbchfbgpomin</t>
  </si>
  <si>
    <t>CoScreen</t>
  </si>
  <si>
    <t>https://chromewebstore.google.com/detail/pahmjnapohdeedmdhmbeddgmhebhegme</t>
  </si>
  <si>
    <t>Công Cụ Hỗ Trợ Đặt Hàng nhaphangthuongmai.com</t>
  </si>
  <si>
    <t>https://chromewebstore.google.com/detail/gpbmppcfmalalknbfhafppomlckjhehd</t>
  </si>
  <si>
    <t>TRF2 Download Manager</t>
  </si>
  <si>
    <t>https://chromewebstore.google.com/detail/komegelldppbjndifhabfpjpddjaocfa</t>
  </si>
  <si>
    <t>Link Crawler</t>
  </si>
  <si>
    <t>https://chromewebstore.google.com/detail/iljlnbifckmihcloaildpbfapgnnhdbd</t>
  </si>
  <si>
    <t>AutoRefresh+</t>
  </si>
  <si>
    <t>https://chromewebstore.google.com/detail/jdcmniiepfjinccadkbjliiopialnnmi</t>
  </si>
  <si>
    <t>Barcodes &amp; address labels for seller central</t>
  </si>
  <si>
    <t>https://chromewebstore.google.com/detail/kakjgkkadbegednbmgapjggcfljebdka</t>
  </si>
  <si>
    <t>Marvel Unlimited Enhanced</t>
  </si>
  <si>
    <t>https://chromewebstore.google.com/detail/lojildlejeoemiiaolmkmfpeknonladk</t>
  </si>
  <si>
    <t>Agility RPA</t>
  </si>
  <si>
    <t>https://chromewebstore.google.com/detail/opdfdiecheihfgilhekjfdbdjgejodie</t>
  </si>
  <si>
    <t>Collavate - Workflow/ECM &amp; Enterprise Social</t>
  </si>
  <si>
    <t>https://chromewebstore.google.com/detail/pbpmcajjiljgolfofjgbcfeikjeogpbo</t>
  </si>
  <si>
    <t>ReaderTools</t>
  </si>
  <si>
    <t>https://chromewebstore.google.com/detail/ddplgjilhfboobldlegckoackmpgggbf</t>
  </si>
  <si>
    <t>Segmentify Extension</t>
  </si>
  <si>
    <t>https://chromewebstore.google.com/detail/dhcffckfimabfhbbjdngnajhnlohfjeo</t>
  </si>
  <si>
    <t>AnkiTab</t>
  </si>
  <si>
    <t>https://chromewebstore.google.com/detail/ihoaepdiibjbifnhcjoaddgcnfgjmjdk</t>
  </si>
  <si>
    <t>Battlelog Fix</t>
  </si>
  <si>
    <t>https://chromewebstore.google.com/detail/jfkknglaiapdhkgjpeiedhdkhlkmiglh</t>
  </si>
  <si>
    <t>Cooking Converter</t>
  </si>
  <si>
    <t>https://chromewebstore.google.com/detail/cpmajpjgghbgnplkodkmapnlkapkgbog</t>
  </si>
  <si>
    <t>Hide Tab</t>
  </si>
  <si>
    <t>https://chromewebstore.google.com/detail/fgkbkepokoodbbcbcboiopdkfelpjhgi</t>
  </si>
  <si>
    <t>NCU Helper</t>
  </si>
  <si>
    <t>https://chromewebstore.google.com/detail/khhogbhcofdjjccjhgganhkhokibnfnb</t>
  </si>
  <si>
    <t>Visual Hashing</t>
  </si>
  <si>
    <t>https://chromewebstore.google.com/detail/lkoelcpcjjehbjcchcbddggjmphfaiie</t>
  </si>
  <si>
    <t>Voice Chat API</t>
  </si>
  <si>
    <t>https://chromewebstore.google.com/detail/mmamadaodppejbaffaagddokjjekifoe</t>
  </si>
  <si>
    <t>CSTimer Makeover</t>
  </si>
  <si>
    <t>https://chromewebstore.google.com/detail/omchdkmkmadmhkaamhpojgldknpihgcg</t>
  </si>
  <si>
    <t>Youtube Clip Builder</t>
  </si>
  <si>
    <t>https://chromewebstore.google.com/detail/cgdgnkkknckpbebomffdhhoklfgddacg</t>
  </si>
  <si>
    <t>EASY LGTM</t>
  </si>
  <si>
    <t>https://chromewebstore.google.com/detail/pbbaemjnonobaiglegdfamlbmngkjdeg</t>
  </si>
  <si>
    <t>Close on Back</t>
  </si>
  <si>
    <t>https://chromewebstore.google.com/detail/pejmaahmbkcgbilcnckdadngeibiekbd</t>
  </si>
  <si>
    <t>Google Meet Attendance Downloader</t>
  </si>
  <si>
    <t>https://chromewebstore.google.com/detail/cmlkaihbnmcaalgjkeefklbpdlmdooel</t>
  </si>
  <si>
    <t>Chrome Extension for guiyitongdao.com</t>
  </si>
  <si>
    <t>https://chromewebstore.google.com/detail/neaifaakclhhlbfmpahdgbbpagolpfok</t>
  </si>
  <si>
    <t>Filma24 | Filma dhe seriale me Titra Shqip HD</t>
  </si>
  <si>
    <t>https://chromewebstore.google.com/detail/paeghpondmpmjbpgdkplhlcgnancifhh</t>
  </si>
  <si>
    <t>Encode-Decode</t>
  </si>
  <si>
    <t>https://chromewebstore.google.com/detail/peemgjdnpckhfcppmdgijnbfoohpjafp</t>
  </si>
  <si>
    <t>Privacy Screen and Security Blur</t>
  </si>
  <si>
    <t>https://chromewebstore.google.com/detail/bdcmimoaamiebegembfipeegejikilha</t>
  </si>
  <si>
    <t>Playify</t>
  </si>
  <si>
    <t>https://chromewebstore.google.com/detail/cniimiiflgmmjmcohcgnofcdiifdifef</t>
  </si>
  <si>
    <t>Text URL Downloader</t>
  </si>
  <si>
    <t>https://chromewebstore.google.com/detail/glbffpiffonfokkgfheanhbnleofjldc</t>
  </si>
  <si>
    <t>YouTube™ Productivity Mode</t>
  </si>
  <si>
    <t>https://chromewebstore.google.com/detail/hfmieanpcjmhneggofkdjhmlabjmbbaj</t>
  </si>
  <si>
    <t>Lichess Flags</t>
  </si>
  <si>
    <t>https://chromewebstore.google.com/detail/nnecmpmlkanlehaglkjbmiibipdcppol</t>
  </si>
  <si>
    <t>Browser SIP Phone</t>
  </si>
  <si>
    <t>https://chromewebstore.google.com/detail/ofneopaadiddcanpldoanpnmimjgnncd</t>
  </si>
  <si>
    <t>Warhammer-40000 Cursors</t>
  </si>
  <si>
    <t>https://chromewebstore.google.com/detail/pndplpbljfioienjpiiplnmgcbeonkdm</t>
  </si>
  <si>
    <t>WinchPass</t>
  </si>
  <si>
    <t>https://chromewebstore.google.com/detail/kalncabcefgchiphkgoiiglapkoopeal</t>
  </si>
  <si>
    <t>Tumblr images downloader</t>
  </si>
  <si>
    <t>https://chromewebstore.google.com/detail/ogdpfpkkpipedlmoecjonhjpoggipgme</t>
  </si>
  <si>
    <t>VIT Go</t>
  </si>
  <si>
    <t>https://chromewebstore.google.com/detail/cdoadjpmekajapjlkiemnmgokpimhbch</t>
  </si>
  <si>
    <t>Diablo 3 (tm) Toolbox</t>
  </si>
  <si>
    <t>https://chromewebstore.google.com/detail/jdgfidddcehboihddlggjiiakhbpanpf</t>
  </si>
  <si>
    <t>https://chromewebstore.google.com/detail/logjdplmfjkcafcbffphgdelmmcfodkm</t>
  </si>
  <si>
    <t>Elephango</t>
  </si>
  <si>
    <t>https://chromewebstore.google.com/detail/nnppckheibflkphjcgmlbiebgjfhgeie</t>
  </si>
  <si>
    <t>Banco Original - OFX Exporter</t>
  </si>
  <si>
    <t>https://chromewebstore.google.com/detail/hnhfoajneejhmbjkikjcneifjnjpbldf</t>
  </si>
  <si>
    <t>Better Notifications - monday.com</t>
  </si>
  <si>
    <t>https://chromewebstore.google.com/detail/pndbiclnamhhdppgogjfogfpbhoahkkl</t>
  </si>
  <si>
    <t>ABTasty</t>
  </si>
  <si>
    <t>https://chromewebstore.google.com/detail/bigoemfnjgidfijehdgillncneklifgb</t>
  </si>
  <si>
    <t>Quick Color</t>
  </si>
  <si>
    <t>https://chromewebstore.google.com/detail/gfkfagdbfocppnpnjbcopfdidgkndkie</t>
  </si>
  <si>
    <t>Exact Time - Local &amp; UTC</t>
  </si>
  <si>
    <t>https://chromewebstore.google.com/detail/iceehfhoipgiceeepgmecejmgcdckohb</t>
  </si>
  <si>
    <t>bbCodeInsert</t>
  </si>
  <si>
    <t>https://chromewebstore.google.com/detail/fhckbmeeagkjnabhfaindkhmofncedln</t>
  </si>
  <si>
    <t>magnet Link to Transmission Server</t>
  </si>
  <si>
    <t>https://chromewebstore.google.com/detail/hhgffaamginikggmhlgipghjkhcepnbk</t>
  </si>
  <si>
    <t>WA Sender Lite</t>
  </si>
  <si>
    <t>https://chromewebstore.google.com/detail/jeagkdepfcfablimaejcffahemdomeaf</t>
  </si>
  <si>
    <t>Midi and Music Xml Player</t>
  </si>
  <si>
    <t>https://chromewebstore.google.com/detail/kfmndfnbobcfhakpacjolccbcbhfppej</t>
  </si>
  <si>
    <t>Selector Finder</t>
  </si>
  <si>
    <t>https://chromewebstore.google.com/detail/aleacfocnimnddplebbpbfedfagnckcc</t>
  </si>
  <si>
    <t>Torry</t>
  </si>
  <si>
    <t>https://chromewebstore.google.com/detail/amgdmokmcgdoodpfegebpahngimkafin</t>
  </si>
  <si>
    <t>Компоновщик URL</t>
  </si>
  <si>
    <t>https://chromewebstore.google.com/detail/kaipnnmbgmeenlopbleehngolapgpmen</t>
  </si>
  <si>
    <t>Coordinates Extractor</t>
  </si>
  <si>
    <t>https://chromewebstore.google.com/detail/mnmgabpfpeghmkiieighbcbcompbnbji</t>
  </si>
  <si>
    <t>Hurry home &amp; 下班回家</t>
  </si>
  <si>
    <t>https://chromewebstore.google.com/detail/ndccpjjadppbehafiojmiknfihpmaodj</t>
  </si>
  <si>
    <t>每日限免精选</t>
  </si>
  <si>
    <t>https://chromewebstore.google.com/detail/neambpcjkehpbfgkipkcaigkndfllgbh</t>
  </si>
  <si>
    <t>Copy DOM Content</t>
  </si>
  <si>
    <t>https://chromewebstore.google.com/detail/dmdbhcacalljmfmilnhmnhihdfoamdap</t>
  </si>
  <si>
    <t>XING Benachrichtigungen</t>
  </si>
  <si>
    <t>https://chromewebstore.google.com/detail/eeedmlcepabknpceckocadjdaieobimp</t>
  </si>
  <si>
    <t>AI-Proctor</t>
  </si>
  <si>
    <t>https://chromewebstore.google.com/detail/llkbempahblbohpipifajipejjackemi</t>
  </si>
  <si>
    <t>Echo for ArcGIS</t>
  </si>
  <si>
    <t>https://chromewebstore.google.com/detail/mkeckgendkgcofhhenfkknonnkoboobm</t>
  </si>
  <si>
    <t>Closure</t>
  </si>
  <si>
    <t>https://chromewebstore.google.com/detail/jjagagcgljmlnihcilbpbfcglnopepjb</t>
  </si>
  <si>
    <t>Cards</t>
  </si>
  <si>
    <t>https://chromewebstore.google.com/detail/kaaoklkabjagllelfbideekhpjifbkel</t>
  </si>
  <si>
    <t>reflect. - a mindful website blocker</t>
  </si>
  <si>
    <t>https://chromewebstore.google.com/detail/bicebchdpeichdlmoaflplakefkjkade</t>
  </si>
  <si>
    <t>Awesome View Source Button</t>
  </si>
  <si>
    <t>https://chromewebstore.google.com/detail/hofjicknmidhbhmflllmmdaihmmggphg</t>
  </si>
  <si>
    <t>Slik Prospector</t>
  </si>
  <si>
    <t>https://chromewebstore.google.com/detail/hombkmjjoapdaclgaaioldnljmhhliai</t>
  </si>
  <si>
    <t>Gnome Button</t>
  </si>
  <si>
    <t>https://chromewebstore.google.com/detail/nenppnbcodpelcnkbpelphheiddcdmff</t>
  </si>
  <si>
    <t>WebMirror</t>
  </si>
  <si>
    <t>https://chromewebstore.google.com/detail/foimogngphjnehhefofocjlokefgppfj</t>
  </si>
  <si>
    <t>YouTube Audio Filtering</t>
  </si>
  <si>
    <t>https://chromewebstore.google.com/detail/ggpledkgjmbhndokhnakcgmnbgdenfgi</t>
  </si>
  <si>
    <t>Windows Manager for Google Chrome™</t>
  </si>
  <si>
    <t>https://chromewebstore.google.com/detail/gophpkegccafhjahoijdembdkbjpiflb</t>
  </si>
  <si>
    <t>Tab Link Copier</t>
  </si>
  <si>
    <t>https://chromewebstore.google.com/detail/ijkpnaifgolhlcfhcfamddnlnfjpjaji</t>
  </si>
  <si>
    <t>Social Lead Machine</t>
  </si>
  <si>
    <t>https://chromewebstore.google.com/detail/ikcleedhpnkajcggbaehhbpldeeogkkd</t>
  </si>
  <si>
    <t>Prestashop Dropshipping Aliexpress</t>
  </si>
  <si>
    <t>https://chromewebstore.google.com/detail/mpgigiljfaoednoffglmjmbeafajcakb</t>
  </si>
  <si>
    <t>YouTube New Tab</t>
  </si>
  <si>
    <t>https://chromewebstore.google.com/detail/hkdjjblefenaffilobnkdekehpjfbein</t>
  </si>
  <si>
    <t>SSL to TLS</t>
  </si>
  <si>
    <t>https://chromewebstore.google.com/detail/ihonobiipipkjdeodacdamhkjobamdam</t>
  </si>
  <si>
    <t>AutoXu for Shopee</t>
  </si>
  <si>
    <t>https://chromewebstore.google.com/detail/kcbffhdphjkfahmiakcgmeekbleoepde</t>
  </si>
  <si>
    <t>chatworkリンクメーカー</t>
  </si>
  <si>
    <t>https://chromewebstore.google.com/detail/akhcbndknelgdjnehlpnhenpdhnlepko</t>
  </si>
  <si>
    <t>Basecamp Extension</t>
  </si>
  <si>
    <t>https://chromewebstore.google.com/detail/ankjnefclmaakpbgfglfegfekiofndkm</t>
  </si>
  <si>
    <t>Box Size</t>
  </si>
  <si>
    <t>https://chromewebstore.google.com/detail/njcdcnbfdnpbgeknnokdpenhkimaadjf</t>
  </si>
  <si>
    <t>Count the length of the character</t>
  </si>
  <si>
    <t>https://chromewebstore.google.com/detail/npkaienhmoflhlomhgffcnlfeeiilmcf</t>
  </si>
  <si>
    <t>Save to Pocket (mini)</t>
  </si>
  <si>
    <t>https://chromewebstore.google.com/detail/calnfcidhlhdmmmnicdpddbmmjmfohem</t>
  </si>
  <si>
    <t>AutoScrolling</t>
  </si>
  <si>
    <t>https://chromewebstore.google.com/detail/maibgninmecbokncboknddpeaedfioea</t>
  </si>
  <si>
    <t>LeadDesk Click-to-Call</t>
  </si>
  <si>
    <t>https://chromewebstore.google.com/detail/mjgiimfdgnpbgkepacffhdpjbbfmcgnp</t>
  </si>
  <si>
    <t>500px Chrome Extension</t>
  </si>
  <si>
    <t>https://chromewebstore.google.com/detail/nhghokbojmbheijdiecnjkifnahakkcm</t>
  </si>
  <si>
    <t>WordPress theme and plugins detector 2017</t>
  </si>
  <si>
    <t>https://chromewebstore.google.com/detail/bpfflaogkhdlflapgekofknjgmggmnbf</t>
  </si>
  <si>
    <t>Word Blocker</t>
  </si>
  <si>
    <t>https://chromewebstore.google.com/detail/ebbplnackfijdgaocobghipflkadnejp</t>
  </si>
  <si>
    <t>interviewstream powered by RIVS</t>
  </si>
  <si>
    <t>https://chromewebstore.google.com/detail/fgdakcbkieoobadomnfjccmieclpoala</t>
  </si>
  <si>
    <t>Last Tabs</t>
  </si>
  <si>
    <t>https://chromewebstore.google.com/detail/ehdbaonmnanalnmmlkgdnkkcdlppjhhc</t>
  </si>
  <si>
    <t>FilipinoTagalogSearch</t>
  </si>
  <si>
    <t>https://chromewebstore.google.com/detail/ekjkjbodjcdjgafbkolhfjgpfgagdegj</t>
  </si>
  <si>
    <t>Quicklink Chrome Extension</t>
  </si>
  <si>
    <t>https://chromewebstore.google.com/detail/epmplkdcjhgigmnjmjibilpmekhgkbeg</t>
  </si>
  <si>
    <t>Fasteignaleit - viðbætur</t>
  </si>
  <si>
    <t>https://chromewebstore.google.com/detail/gjklflifcllkcbnkalfcjpkbmifempna</t>
  </si>
  <si>
    <t>German English Word Translator</t>
  </si>
  <si>
    <t>https://chromewebstore.google.com/detail/jfgbllgoiodkelaifljpjkdmendhhlcg</t>
  </si>
  <si>
    <t>Sheen</t>
  </si>
  <si>
    <t>https://chromewebstore.google.com/detail/mopkplcglehjfbedbngcglkmajhflnjk</t>
  </si>
  <si>
    <t>https://chromewebstore.google.com/detail/nibhmcokabkgmcgifpepmohpnfchpgda</t>
  </si>
  <si>
    <t>Smart Youtube Playlist (AutoFavorite)</t>
  </si>
  <si>
    <t>https://chromewebstore.google.com/detail/ihajljlkkkgaigonbgkoncfaddnaafoj</t>
  </si>
  <si>
    <t>WebsiteOutlook</t>
  </si>
  <si>
    <t>https://chromewebstore.google.com/detail/gemjflcbbfghpfenhikfidbjdkbkdljn</t>
  </si>
  <si>
    <t>Free Web hosting</t>
  </si>
  <si>
    <t>https://chromewebstore.google.com/detail/plfmoahhnaoojlmlnjfbggfdblhdbkjp</t>
  </si>
  <si>
    <t>Daydream Night Mode</t>
  </si>
  <si>
    <t>https://chromewebstore.google.com/detail/kbbmooglpoifkklpckgabiahlicnhnmo</t>
  </si>
  <si>
    <t>MangoShare</t>
  </si>
  <si>
    <t>https://chromewebstore.google.com/detail/lhehblheoabjhaoidpediiolhmlebckb</t>
  </si>
  <si>
    <t>Quick Calendar Free</t>
  </si>
  <si>
    <t>https://chromewebstore.google.com/detail/nmnehbfgpadbppbdlljpiibhiniehejd</t>
  </si>
  <si>
    <t>Shopify Theme helper</t>
  </si>
  <si>
    <t>https://chromewebstore.google.com/detail/palnodkhbhhnaoecdfbifdfpibklccdk</t>
  </si>
  <si>
    <t>Extreme Markup Editor for Blogger™</t>
  </si>
  <si>
    <t>https://chromewebstore.google.com/detail/epjlelpgajbfpcdohkbaeaindpcjpfhi</t>
  </si>
  <si>
    <t>Quick Extension Reload</t>
  </si>
  <si>
    <t>https://chromewebstore.google.com/detail/goeiakeofnlpkioeadcbocfifmgkidpb</t>
  </si>
  <si>
    <t>Saba Org Planning Admin Chrome Connector 2.0</t>
  </si>
  <si>
    <t>https://chromewebstore.google.com/detail/lbjiebgdlgngeojjlebihchdmnaeehdg</t>
  </si>
  <si>
    <t>Seesu Music</t>
  </si>
  <si>
    <t>https://chromewebstore.google.com/detail/nhonlochieibnkmfpombklkgjpkeckhi</t>
  </si>
  <si>
    <t>Ampliz Sales Buddy</t>
  </si>
  <si>
    <t>https://chromewebstore.google.com/detail/abgoaphadkcmbkapnamhkcgkaddlmfal</t>
  </si>
  <si>
    <t>Mile Wide Back</t>
  </si>
  <si>
    <t>https://chromewebstore.google.com/detail/fmgnifabmkdembnfmhppkflgamojpodf</t>
  </si>
  <si>
    <t>HubTags</t>
  </si>
  <si>
    <t>https://chromewebstore.google.com/detail/ihcibdneoammialnfkheajplgddmijji</t>
  </si>
  <si>
    <t>Fructify: Productivity + New Tab</t>
  </si>
  <si>
    <t>https://chromewebstore.google.com/detail/gpppkkkidmlbdenkajgcpfkjocmdbock</t>
  </si>
  <si>
    <t>Get Traffic To Your Blog</t>
  </si>
  <si>
    <t>https://chromewebstore.google.com/detail/cbfkaanjhpcchfkdplljghhggpjbjjhk</t>
  </si>
  <si>
    <t>Easy Select</t>
  </si>
  <si>
    <t>https://chromewebstore.google.com/detail/emfpfmjldkffpibmfhdfmjdbkphccaom</t>
  </si>
  <si>
    <t>Mailbrew Read Later</t>
  </si>
  <si>
    <t>https://chromewebstore.google.com/detail/fgcpnflfkoclnkgkkimfpbehjopdfdem</t>
  </si>
  <si>
    <t>Speak Selected Text by elabueloeduca.com</t>
  </si>
  <si>
    <t>https://chromewebstore.google.com/detail/mhjfmpoapdmndhmeoojjedmopafcecfn</t>
  </si>
  <si>
    <t>Статистика в Рекламном кабинете ВК</t>
  </si>
  <si>
    <t>https://chromewebstore.google.com/detail/nfanbbpnoaomnehhkkkfmahbfbomflbj</t>
  </si>
  <si>
    <t>Greek alphabet</t>
  </si>
  <si>
    <t>https://chromewebstore.google.com/detail/panfmicmhbfbgmihhgikpobeoeiaeoam</t>
  </si>
  <si>
    <t>Passify</t>
  </si>
  <si>
    <t>https://chromewebstore.google.com/detail/cnonkgapmofblpkobcagimkjidigjpib</t>
  </si>
  <si>
    <t>UXReality for Chrome</t>
  </si>
  <si>
    <t>https://chromewebstore.google.com/detail/ibpbamgbgdeaiabiedppnlpiegijnbdp</t>
  </si>
  <si>
    <t>Public IP Display</t>
  </si>
  <si>
    <t>https://chromewebstore.google.com/detail/lpbdnabmlikokalkbdoadccamhcfmnga</t>
  </si>
  <si>
    <t>Snippit</t>
  </si>
  <si>
    <t>https://chromewebstore.google.com/detail/alnjkmbmogcjljncjoencmadbiboedfp</t>
  </si>
  <si>
    <t>Universal Social Wishlist | Wishtack</t>
  </si>
  <si>
    <t>https://chromewebstore.google.com/detail/caomgpcmfhfocdnmledbkifhklganjef</t>
  </si>
  <si>
    <t>Gloria</t>
  </si>
  <si>
    <t>https://chromewebstore.google.com/detail/cnelmenogjgobndnoddckekbojgginbn</t>
  </si>
  <si>
    <t>TED Player Control</t>
  </si>
  <si>
    <t>https://chromewebstore.google.com/detail/ejkfpcfaajhhgaegdkgmdfgaookckeac</t>
  </si>
  <si>
    <t>BangDD</t>
  </si>
  <si>
    <t>https://chromewebstore.google.com/detail/fabaimpklfkedhgiaciiggiihfmmeaio</t>
  </si>
  <si>
    <t>Scroll Percentage in Tab Title Extension</t>
  </si>
  <si>
    <t>https://chromewebstore.google.com/detail/fbohjeijkanpeamijojloonklakpncef</t>
  </si>
  <si>
    <t>Udemy Creation Date</t>
  </si>
  <si>
    <t>https://chromewebstore.google.com/detail/geefpmbdhidciekkfocjinkbefjegmkn</t>
  </si>
  <si>
    <t>GoSats</t>
  </si>
  <si>
    <t>https://chromewebstore.google.com/detail/hgngfllcalefeagkohnhehfdallpglcm</t>
  </si>
  <si>
    <t>ニコニコ動画 Link Opener</t>
  </si>
  <si>
    <t>https://chromewebstore.google.com/detail/khglcidcgogfgjmobbgapfobkplbhcgg</t>
  </si>
  <si>
    <t>Points for Trello - Combined Edition</t>
  </si>
  <si>
    <t>https://chromewebstore.google.com/detail/elfbcdococbdgeaolelhgdghjgkkhndf</t>
  </si>
  <si>
    <t>gDrivePrint - Google Drive Print Folder</t>
  </si>
  <si>
    <t>https://chromewebstore.google.com/detail/jimnnpmaanbiglfmjaheajeehclekjoc</t>
  </si>
  <si>
    <t>Chrome Music Player Ext</t>
  </si>
  <si>
    <t>https://chromewebstore.google.com/detail/kgjndbjllboloebaeglimdfjgmdlgika</t>
  </si>
  <si>
    <t>Chromodoro</t>
  </si>
  <si>
    <t>https://chromewebstore.google.com/detail/koiffgdgddhndlejbbgolhcmefdedgpp</t>
  </si>
  <si>
    <t>Trello card counter</t>
  </si>
  <si>
    <t>https://chromewebstore.google.com/detail/lkifhkgedjabhdpbogaobhkgajndjihg</t>
  </si>
  <si>
    <t>Steroids for Badoo v.1.5</t>
  </si>
  <si>
    <t>https://chromewebstore.google.com/detail/aallcmelejdfkmcdijkklloblonbeiap</t>
  </si>
  <si>
    <t>Funimation Streaming</t>
  </si>
  <si>
    <t>https://chromewebstore.google.com/detail/abdhmkeccbnobbpdmfkfjlmlgbmbmhja</t>
  </si>
  <si>
    <t>RIP - GasNow</t>
  </si>
  <si>
    <t>https://chromewebstore.google.com/detail/cpclcgemnnjhnemgndddgjglogjpnine</t>
  </si>
  <si>
    <t>Backlink Search Tool</t>
  </si>
  <si>
    <t>https://chromewebstore.google.com/detail/hdaipepmdljmnbenbclhfahgfjfcpmhk</t>
  </si>
  <si>
    <t>5i01 自動轉址</t>
  </si>
  <si>
    <t>https://chromewebstore.google.com/detail/kidhoiknbmmepbgjjkonimlnphohhdno</t>
  </si>
  <si>
    <t>New Window With Tabs To Right</t>
  </si>
  <si>
    <t>https://chromewebstore.google.com/detail/ldahcfljppchbfgdokomobmfdfplaman</t>
  </si>
  <si>
    <t>Car diagnostics with ELM327</t>
  </si>
  <si>
    <t>https://chromewebstore.google.com/detail/nmnncnpkicfomcilcdeiegppleiicfig</t>
  </si>
  <si>
    <t>Paytaca</t>
  </si>
  <si>
    <t>https://chromewebstore.google.com/detail/pakphhpnneopheifihmjcjnbdbhaaiaa</t>
  </si>
  <si>
    <t>小码短链接</t>
  </si>
  <si>
    <t>https://chromewebstore.google.com/detail/phgnljhcfaiimdbmpbphhfoplhleaghn</t>
  </si>
  <si>
    <t>Leprosorium on Steroids</t>
  </si>
  <si>
    <t>https://chromewebstore.google.com/detail/hkmfjcihoiailllcblejlhgaeedaephl</t>
  </si>
  <si>
    <t>Laboratory</t>
  </si>
  <si>
    <t>https://chromewebstore.google.com/detail/mjcamldajgnpgjcpacomkgfhccnibldg</t>
  </si>
  <si>
    <t>Cached link</t>
  </si>
  <si>
    <t>https://chromewebstore.google.com/detail/dknndpinklaamkckfjfjdnmnmgaakcaf</t>
  </si>
  <si>
    <t>Listicle To One Page</t>
  </si>
  <si>
    <t>https://chromewebstore.google.com/detail/phpopkefffapdkbajahlbmnniaogmjje</t>
  </si>
  <si>
    <t>Fluminense Football Club</t>
  </si>
  <si>
    <t>https://chromewebstore.google.com/detail/aibjdgijmohdfebdndikpikimadfpghg</t>
  </si>
  <si>
    <t>TraeloYa.com</t>
  </si>
  <si>
    <t>https://chromewebstore.google.com/detail/cpfpkpfdmfbmbhjokmiahlefkfhimpob</t>
  </si>
  <si>
    <t>Slang - Text to Speech</t>
  </si>
  <si>
    <t>https://chromewebstore.google.com/detail/enkmbkhkbdiaafkmofbmdahclajelgfh</t>
  </si>
  <si>
    <t>Pomodoro Timer</t>
  </si>
  <si>
    <t>https://chromewebstore.google.com/detail/hcfahcbjaolpfghelfanfepghajfbkdg</t>
  </si>
  <si>
    <t>KUKU.io</t>
  </si>
  <si>
    <t>https://chromewebstore.google.com/detail/mlnbdkndimgjfpfjokkcfgghmmmknhlj</t>
  </si>
  <si>
    <t>Soi Giá Việt</t>
  </si>
  <si>
    <t>https://chromewebstore.google.com/detail/ejlghibhonddakjbgfmdpeifcoljnlob</t>
  </si>
  <si>
    <t>Semi-Colon List Delimiter</t>
  </si>
  <si>
    <t>https://chromewebstore.google.com/detail/ldmhlfmikjfnpepnkcnepibmobdoeklc</t>
  </si>
  <si>
    <t>Qualys BrowserCheck CoinBlocker</t>
  </si>
  <si>
    <t>https://chromewebstore.google.com/detail/jdocohkgkgpminecekdnkoljcffebkgc</t>
  </si>
  <si>
    <t>My Hotspots</t>
  </si>
  <si>
    <t>https://chromewebstore.google.com/detail/kngmdnkaeiaodchlfljkkinpphgfmkfg</t>
  </si>
  <si>
    <t>YouTube Popup Tamer</t>
  </si>
  <si>
    <t>https://chromewebstore.google.com/detail/ljhkfklbohndemkbafegonhpanfajeae</t>
  </si>
  <si>
    <t>Ruby (IRB)</t>
  </si>
  <si>
    <t>https://chromewebstore.google.com/detail/mdoifndjjoblccpefkbdicgahkbbcfdk</t>
  </si>
  <si>
    <t>Slitherio Bot</t>
  </si>
  <si>
    <t>https://chromewebstore.google.com/detail/caidggjajppheihpeoeokndacpgjncmn</t>
  </si>
  <si>
    <t>ServerHealers SysAdmin Tools</t>
  </si>
  <si>
    <t>https://chromewebstore.google.com/detail/eogdfgnbobifjiebhcalcmaofkeponng</t>
  </si>
  <si>
    <t>Surge - Material New Tab</t>
  </si>
  <si>
    <t>https://chromewebstore.google.com/detail/fimecghnlpkdjcjhpaemckklaimbafae</t>
  </si>
  <si>
    <t>Song Search</t>
  </si>
  <si>
    <t>https://chromewebstore.google.com/detail/hfdidojhnkdibahcndapblampeicghfd</t>
  </si>
  <si>
    <t>Superfly - Relay Auto Booker</t>
  </si>
  <si>
    <t>https://chromewebstore.google.com/detail/ikdalniioengaefjkpkhfcgjemdfhpfg</t>
  </si>
  <si>
    <t>NoteIt</t>
  </si>
  <si>
    <t>https://chromewebstore.google.com/detail/ldfacjglncaooacfoiikhphjmbobimij</t>
  </si>
  <si>
    <t>CIP - Picture In Picture (AKA. PIP) player</t>
  </si>
  <si>
    <t>https://chromewebstore.google.com/detail/oacpifbefgeacllmohgglfjmgchadkjh</t>
  </si>
  <si>
    <t>Open Spotify Desktop</t>
  </si>
  <si>
    <t>https://chromewebstore.google.com/detail/pnbnpemckkkiilpamimpoadnfjkchfjo</t>
  </si>
  <si>
    <t>TradingViewBridgeMT5</t>
  </si>
  <si>
    <t>https://chromewebstore.google.com/detail/bblomhfgjpijldhajjihjaiioaadbhck</t>
  </si>
  <si>
    <t>Document template finder</t>
  </si>
  <si>
    <t>https://chromewebstore.google.com/detail/cemmbegipoglnffhabpjekghghlefenn</t>
  </si>
  <si>
    <t>Pantip Clean Style</t>
  </si>
  <si>
    <t>https://chromewebstore.google.com/detail/gghbgdecnkcekoinhhffonnmoejbaddj</t>
  </si>
  <si>
    <t>Testi@ - Live Email Testing with (ESP)</t>
  </si>
  <si>
    <t>https://chromewebstore.google.com/detail/hbgeikbbpfjgcicclnjcokjapbgkkfkd</t>
  </si>
  <si>
    <t>PageAccel</t>
  </si>
  <si>
    <t>https://chromewebstore.google.com/detail/homgapmnacbmbflidhpenianmeidfcjp</t>
  </si>
  <si>
    <t>Mapbox Vector Tiles</t>
  </si>
  <si>
    <t>https://chromewebstore.google.com/detail/mfikcokdfehaofebfhoehbajfgbofdpk</t>
  </si>
  <si>
    <t>OpenSwitchMaps</t>
  </si>
  <si>
    <t>https://chromewebstore.google.com/detail/cfkddjlocfecchnemnnmmpdjcohgmkij</t>
  </si>
  <si>
    <t>nyt_mod</t>
  </si>
  <si>
    <t>https://chromewebstore.google.com/detail/fpolgnklaplaakjhefmibfpikoacfacj</t>
  </si>
  <si>
    <t>EdPage</t>
  </si>
  <si>
    <t>https://chromewebstore.google.com/detail/mmbkacbempildiaidjlgkfjooejeinib</t>
  </si>
  <si>
    <t>EJDic Script for Kindle Cloud Reader</t>
  </si>
  <si>
    <t>https://chromewebstore.google.com/detail/afeijlgmanpjidpdpbdjjhphchafgccg</t>
  </si>
  <si>
    <t>Notifier for Trello</t>
  </si>
  <si>
    <t>https://chromewebstore.google.com/detail/apgmgifljeljdmgkgklphgmckihimami</t>
  </si>
  <si>
    <t>URL Group Manager</t>
  </si>
  <si>
    <t>https://chromewebstore.google.com/detail/dpaoeoomjbnkcognlcnlflilidjdlmoi</t>
  </si>
  <si>
    <t>Download Image from Context Menu</t>
  </si>
  <si>
    <t>https://chromewebstore.google.com/detail/fihdnfkfpjmipmlggdknalpfjjnjbboj</t>
  </si>
  <si>
    <t>Arcadia Desktop Companion</t>
  </si>
  <si>
    <t>https://chromewebstore.google.com/detail/fmhmlfpagkjohbpcnpkdofohamkpoenc</t>
  </si>
  <si>
    <t>Salesforce Field Finder</t>
  </si>
  <si>
    <t>https://chromewebstore.google.com/detail/hplajapbnicfielfbpefhfnkcokkidmh</t>
  </si>
  <si>
    <t>SoundShroud</t>
  </si>
  <si>
    <t>https://chromewebstore.google.com/detail/iiobjlckmlifihapcmkjfhjhldhijphf</t>
  </si>
  <si>
    <t>Easy Url Shortener + QRCode generator</t>
  </si>
  <si>
    <t>https://chromewebstore.google.com/detail/jjbnhkmkgmkgmioeilekhfjdkkdchcni</t>
  </si>
  <si>
    <t>MultiTimer ZN</t>
  </si>
  <si>
    <t>https://chromewebstore.google.com/detail/mkeknbhnbobknhphlbmhoeibadjpflma</t>
  </si>
  <si>
    <t>Dogpile Private Search</t>
  </si>
  <si>
    <t>https://chromewebstore.google.com/detail/nklpckeghehienbnedfnkhjalkkebjcm</t>
  </si>
  <si>
    <t>ShopeeCookies</t>
  </si>
  <si>
    <t>https://chromewebstore.google.com/detail/cbjbkhibmlbpphlahafcocjoabmfofkd</t>
  </si>
  <si>
    <t>Save tabs as HTML</t>
  </si>
  <si>
    <t>https://chromewebstore.google.com/detail/dmnhgbenglfffoaodbgpfoihfnbdbfcb</t>
  </si>
  <si>
    <t>Panel Extension For Gmail</t>
  </si>
  <si>
    <t>https://chromewebstore.google.com/detail/gmeifladpehcngpnildmklfaofdmmnie</t>
  </si>
  <si>
    <t>Перевод раскладки онлайн GSgen.RU</t>
  </si>
  <si>
    <t>https://chromewebstore.google.com/detail/lppcdmiilphgdakoehkoofiedkehidmo</t>
  </si>
  <si>
    <t>CADLAB.io</t>
  </si>
  <si>
    <t>https://chromewebstore.google.com/detail/nlafhefelnfmdpkkhhcckfhnphjcgepm</t>
  </si>
  <si>
    <t>Excavator</t>
  </si>
  <si>
    <t>https://chromewebstore.google.com/detail/dbhabmcjpihjecdnfabogbojhbllhpjj</t>
  </si>
  <si>
    <t>Primoloisirs</t>
  </si>
  <si>
    <t>https://chromewebstore.google.com/detail/foopodbofoiekihkibckjlaokmcikcjm</t>
  </si>
  <si>
    <t>StackOverflow focus</t>
  </si>
  <si>
    <t>https://chromewebstore.google.com/detail/gaeipjkcdkpbfdfmakonllgiboaonopp</t>
  </si>
  <si>
    <t>CineFox Updater</t>
  </si>
  <si>
    <t>https://chromewebstore.google.com/detail/hnjmbbjbamghemdgkpmcmgkifadfgadb</t>
  </si>
  <si>
    <t>Multi Twitch Extension</t>
  </si>
  <si>
    <t>https://chromewebstore.google.com/detail/jpgnbiffpoelgpegopldffmpbmfdojga</t>
  </si>
  <si>
    <t>PopupFilter</t>
  </si>
  <si>
    <t>https://chromewebstore.google.com/detail/mlenfedpcojbeegkmpnhjlndjelijpij</t>
  </si>
  <si>
    <t>Habivator - build a habit!</t>
  </si>
  <si>
    <t>https://chromewebstore.google.com/detail/nidmklgpplnfghikfnkbdgldlkdgddcn</t>
  </si>
  <si>
    <t>Organimi</t>
  </si>
  <si>
    <t>https://chromewebstore.google.com/detail/pmlcphbonjlghdmgmlbdbfpgbcfadgje</t>
  </si>
  <si>
    <t>Google Meet Balcão Virtual</t>
  </si>
  <si>
    <t>https://chromewebstore.google.com/detail/gjahfhmgpcmhanglnegapfchicccjfmp</t>
  </si>
  <si>
    <t>Simply Do</t>
  </si>
  <si>
    <t>https://chromewebstore.google.com/detail/hipnehepikeibdofmddlciccfkijjphf</t>
  </si>
  <si>
    <t>Add to Google Bookmarks (context menu)</t>
  </si>
  <si>
    <t>https://chromewebstore.google.com/detail/keobkeaihgkidbpfjojklhjjlfjgaejp</t>
  </si>
  <si>
    <t>Clean feed</t>
  </si>
  <si>
    <t>https://chromewebstore.google.com/detail/efladpoendbckpfaecbojpbeobmkjcna</t>
  </si>
  <si>
    <t>NFC Reader Extension for Win32</t>
  </si>
  <si>
    <t>https://chromewebstore.google.com/detail/fpfopfkmppdokphaignimakbaglmbegn</t>
  </si>
  <si>
    <t>EOS KIT</t>
  </si>
  <si>
    <t>https://chromewebstore.google.com/detail/hiaddgihenoiohaoelnclcbjgjjflfhc</t>
  </si>
  <si>
    <t>Text Tube</t>
  </si>
  <si>
    <t>https://chromewebstore.google.com/detail/hieblbgldolbjjogogbdeogdegncnkep</t>
  </si>
  <si>
    <t>Aurelia 2 Inspector</t>
  </si>
  <si>
    <t>https://chromewebstore.google.com/detail/ldoeffoadpangcpkdbegpjnldhcbogpd</t>
  </si>
  <si>
    <t>Fix Copy Link Address</t>
  </si>
  <si>
    <t>https://chromewebstore.google.com/detail/aeecoplkhlfpclbiabnfkjlfkbhpbcjd</t>
  </si>
  <si>
    <t>System Information</t>
  </si>
  <si>
    <t>https://chromewebstore.google.com/detail/aepfgjfmiifeijhnhmlmieninjpjgnlg</t>
  </si>
  <si>
    <t>ZIG Scroll Bar (Green Wider Version)</t>
  </si>
  <si>
    <t>https://chromewebstore.google.com/detail/amecdgjendemfplkokhllpbmmlpddoaf</t>
  </si>
  <si>
    <t>GitHub Math Display</t>
  </si>
  <si>
    <t>https://chromewebstore.google.com/detail/cgolaobglebjonjiblcjagnpmdmlgmda</t>
  </si>
  <si>
    <t>AWS SSH SSM RDP Links</t>
  </si>
  <si>
    <t>https://chromewebstore.google.com/detail/jbnhcgfdngapcelfhekkfmnnlpobhkkb</t>
  </si>
  <si>
    <t>Cachebuster</t>
  </si>
  <si>
    <t>https://chromewebstore.google.com/detail/lmdhgpbbmafnmlkpeaafegpohagkoikd</t>
  </si>
  <si>
    <t>Coloring online</t>
  </si>
  <si>
    <t>https://chromewebstore.google.com/detail/epkbohiekmlncnpcbjdjdjdppdonndph</t>
  </si>
  <si>
    <t>国外网站加速器 Googleapi Redirector</t>
  </si>
  <si>
    <t>https://chromewebstore.google.com/detail/okaafikclepnpjlcdbafakiiffbccmkb</t>
  </si>
  <si>
    <t>dccon downloader</t>
  </si>
  <si>
    <t>https://chromewebstore.google.com/detail/giaepkpgacklikcdgcoiniapegeakgad</t>
  </si>
  <si>
    <t>Force Scroll</t>
  </si>
  <si>
    <t>https://chromewebstore.google.com/detail/kncpohgclhdhcjcfbpfclpnohckakaie</t>
  </si>
  <si>
    <t>SponsorSkip</t>
  </si>
  <si>
    <t>https://chromewebstore.google.com/detail/mbfippfpgoaonnkdckaademcmflcnpda</t>
  </si>
  <si>
    <t>Tictok Downloader Assistant</t>
  </si>
  <si>
    <t>https://chromewebstore.google.com/detail/bhjhkhppcacjglakljgngpinoeljejjd</t>
  </si>
  <si>
    <t>Backend</t>
  </si>
  <si>
    <t>https://chromewebstore.google.com/detail/eiingmhoibigiplopcmepmahoihedjnk</t>
  </si>
  <si>
    <t>Epic UserWeb Search</t>
  </si>
  <si>
    <t>https://chromewebstore.google.com/detail/ginlmldponabcjidalfoboonnmloeolj</t>
  </si>
  <si>
    <t>netmonitor</t>
  </si>
  <si>
    <t>https://chromewebstore.google.com/detail/jekcpjegemgakiacfgiplacomhabclce</t>
  </si>
  <si>
    <t>ViewportDimension</t>
  </si>
  <si>
    <t>https://chromewebstore.google.com/detail/jfoaoghgpkaklamhphfihiaifckkanlf</t>
  </si>
  <si>
    <t>https://chromewebstore.google.com/detail/kafbpkaodnkapgalobfodcpbioffcngc</t>
  </si>
  <si>
    <t>ChatWork DarkSkin</t>
  </si>
  <si>
    <t>https://chromewebstore.google.com/detail/lncidbbcmjegllbdlpbmgdelncdpgpkc</t>
  </si>
  <si>
    <t>Next Page</t>
  </si>
  <si>
    <t>https://chromewebstore.google.com/detail/onajnlcpcfhahbmnppgkajefblapkhln</t>
  </si>
  <si>
    <t>OhtaniMeter</t>
  </si>
  <si>
    <t>https://chromewebstore.google.com/detail/pbipgkaadgdbakhonngkopmnofndhdem</t>
  </si>
  <si>
    <t>Selekt - One click actions for text selection</t>
  </si>
  <si>
    <t>https://chromewebstore.google.com/detail/fglfhelnlhemjigjdokjojihfeapoipl</t>
  </si>
  <si>
    <t>Calculator Button</t>
  </si>
  <si>
    <t>https://chromewebstore.google.com/detail/ibjednfgajknahjpfoafmeiehmeaofnc</t>
  </si>
  <si>
    <t>Kitty Tab</t>
  </si>
  <si>
    <t>https://chromewebstore.google.com/detail/fbhgegkipgjamncghhbfojfecmkfbglm</t>
  </si>
  <si>
    <t>Automated Flash Site Enabler (Pro)</t>
  </si>
  <si>
    <t>https://chromewebstore.google.com/detail/jfeiechecdangjmpojnjplngpociajeh</t>
  </si>
  <si>
    <t>Webplayer Hotkeys - Shortcuts for web players</t>
  </si>
  <si>
    <t>https://chromewebstore.google.com/detail/ikmkicnmahfdilneilgibeppbnolgkaf</t>
  </si>
  <si>
    <t>Ubilling stats</t>
  </si>
  <si>
    <t>https://chromewebstore.google.com/detail/jgbdhmicbegjppohlonbfohpphkcnflb</t>
  </si>
  <si>
    <t>Close Left tabs</t>
  </si>
  <si>
    <t>https://chromewebstore.google.com/detail/mbflckojhjfboffiknejjmmnoipndeab</t>
  </si>
  <si>
    <t>My Dictionary</t>
  </si>
  <si>
    <t>https://chromewebstore.google.com/detail/dlmmgckeognpojabkkcablldnlfnfgpo</t>
  </si>
  <si>
    <t>Georgian eSpeak (ქართული TTS)</t>
  </si>
  <si>
    <t>https://chromewebstore.google.com/detail/inlgpfbideakmipghjmkfmhmapaholok</t>
  </si>
  <si>
    <t>Montage Screen Sharing</t>
  </si>
  <si>
    <t>https://chromewebstore.google.com/detail/kpdaolkakefdigaoijmjllkfnmmekfad</t>
  </si>
  <si>
    <t>Developer Cookie</t>
  </si>
  <si>
    <t>https://chromewebstore.google.com/detail/lknhpplgahpbindnnocglcjonpahfikn</t>
  </si>
  <si>
    <t>Breef for Gmail™</t>
  </si>
  <si>
    <t>https://chromewebstore.google.com/detail/mnmmifodhaffbmhplackgideaammgjjb</t>
  </si>
  <si>
    <t>Google Tasks Fork</t>
  </si>
  <si>
    <t>https://chromewebstore.google.com/detail/ndnffckeceebpmkkfeadfdoldeeidlbm</t>
  </si>
  <si>
    <t>Плагин для сайта www.nnm.me v2.0</t>
  </si>
  <si>
    <t>https://chromewebstore.google.com/detail/ogalcpfdhfjhheepeojicjfnhdlkgkdb</t>
  </si>
  <si>
    <t>https://chromewebstore.google.com/detail/pgaaplkccmgbkncfaeiekjlbchmmciak</t>
  </si>
  <si>
    <t>HoduPhone</t>
  </si>
  <si>
    <t>https://chromewebstore.google.com/detail/bfmmmagdadlahlofkabfaohncnpfcjbn</t>
  </si>
  <si>
    <t>Privacy Guardr</t>
  </si>
  <si>
    <t>https://chromewebstore.google.com/detail/edcajbacgdcdeecojhlllbgingbjfbmk</t>
  </si>
  <si>
    <t>Woocommerce AliExpress Importer</t>
  </si>
  <si>
    <t>https://chromewebstore.google.com/detail/egmfmidppapjfoehpdmaknheodbikjhj</t>
  </si>
  <si>
    <t>Amazon SEO Assistant</t>
  </si>
  <si>
    <t>https://chromewebstore.google.com/detail/kbomhfjppdgllelhnikpdcocckadacia</t>
  </si>
  <si>
    <t>TLS/SSL checker and reminder - ElevenGuard</t>
  </si>
  <si>
    <t>https://chromewebstore.google.com/detail/nfbpakgdmfeimjgaolnijnccdighjiho</t>
  </si>
  <si>
    <t>MegaIndex Bar</t>
  </si>
  <si>
    <t>https://chromewebstore.google.com/detail/dmebaaellaamjeejfmjnmemlfghlhpik</t>
  </si>
  <si>
    <t>SGFinanças Certificado A3</t>
  </si>
  <si>
    <t>https://chromewebstore.google.com/detail/ghkcdlbpfmckamjkkmcniedgbcijpepd</t>
  </si>
  <si>
    <t>URL Replacement</t>
  </si>
  <si>
    <t>https://chromewebstore.google.com/detail/hcggkglhggiegnomijleedobpnmgklim</t>
  </si>
  <si>
    <t>Công Cụ Đặt Hàng - TaoBaoDaNang.Com</t>
  </si>
  <si>
    <t>https://chromewebstore.google.com/detail/ndphngghkckfnhpgjghgmecfkhkkpklj</t>
  </si>
  <si>
    <t>WordPress Tutorials WPCompendium</t>
  </si>
  <si>
    <t>https://chromewebstore.google.com/detail/cakkhjlegolkdggdepipdjnahkpelbpi</t>
  </si>
  <si>
    <t>Copy video url</t>
  </si>
  <si>
    <t>https://chromewebstore.google.com/detail/fhfmfaokjdlpcbbofolnncfegfhgoafk</t>
  </si>
  <si>
    <t>Yet another autoplay blocker</t>
  </si>
  <si>
    <t>https://chromewebstore.google.com/detail/fjekfkbibnnjlkfjaeifgecjfmpmdaad</t>
  </si>
  <si>
    <t>Slack Message Deleter</t>
  </si>
  <si>
    <t>https://chromewebstore.google.com/detail/goiifbijipfnhegpnppmkdhoehkaiggn</t>
  </si>
  <si>
    <t>Email From Github</t>
  </si>
  <si>
    <t>https://chromewebstore.google.com/detail/kdpfkmkiaknkheelgdkhdbkjdenghcjo</t>
  </si>
  <si>
    <t>Quick Ant Ext</t>
  </si>
  <si>
    <t>https://chromewebstore.google.com/detail/lekfgahkjfpgjmpbbppdllkamcjdjgfm</t>
  </si>
  <si>
    <t>KinoTracker</t>
  </si>
  <si>
    <t>https://chromewebstore.google.com/detail/nekcnoeamnleegdapjhnmnlplolelnab</t>
  </si>
  <si>
    <t>Gay? Wikipedia</t>
  </si>
  <si>
    <t>https://chromewebstore.google.com/detail/npfkncfachgpmimogndpnmgfipfomjki</t>
  </si>
  <si>
    <t>Zombs Royale Cursor Line</t>
  </si>
  <si>
    <t>https://chromewebstore.google.com/detail/gjkkmhdgiombhhgkklidllgenonicehh</t>
  </si>
  <si>
    <t>IndiaGlitz Hindi Tamil Telugu</t>
  </si>
  <si>
    <t>https://chromewebstore.google.com/detail/kmfdcifchfmhgpmglolfgablnmeajcbd</t>
  </si>
  <si>
    <t>Related Search</t>
  </si>
  <si>
    <t>https://chromewebstore.google.com/detail/ngfibjjjgckccbpbppikkgipcpknbglf</t>
  </si>
  <si>
    <t>London Air</t>
  </si>
  <si>
    <t>https://chromewebstore.google.com/detail/phjpbdjgpgaabhgnlapcenieplnlkphd</t>
  </si>
  <si>
    <t>Todoist New Tab</t>
  </si>
  <si>
    <t>https://chromewebstore.google.com/detail/dffbbheconicccgghdddjeklbneimlmf</t>
  </si>
  <si>
    <t>Star Finder</t>
  </si>
  <si>
    <t>https://chromewebstore.google.com/detail/fecgbkpogfcghjebjhpggnkmchofiolh</t>
  </si>
  <si>
    <t>My Cloud9</t>
  </si>
  <si>
    <t>https://chromewebstore.google.com/detail/hfggcpfepgbdjcpbbgckllhjmnpnhbcc</t>
  </si>
  <si>
    <t>Tab Limiter And Restorer</t>
  </si>
  <si>
    <t>https://chromewebstore.google.com/detail/ifhilckbhneppbcbpkimbgeahhijhdpj</t>
  </si>
  <si>
    <t>Warframe Helper</t>
  </si>
  <si>
    <t>https://chromewebstore.google.com/detail/megdibgjimdgcjgdjocdldjchhfmhacb</t>
  </si>
  <si>
    <t>minesweeper</t>
  </si>
  <si>
    <t>https://chromewebstore.google.com/detail/nidkgaaedkeepdalkdcmhhnpfgekjbpm</t>
  </si>
  <si>
    <t>Link Audit Checker - depricated.</t>
  </si>
  <si>
    <t>https://chromewebstore.google.com/detail/ofmcimekgccbifblgaiobcbcglihncem</t>
  </si>
  <si>
    <t>SkyRooms.IO Desktop Streamer</t>
  </si>
  <si>
    <t>https://chromewebstore.google.com/detail/pifoihkipgckedfddhjmmpddibjenieb</t>
  </si>
  <si>
    <t>Collect images on Indulgy.com</t>
  </si>
  <si>
    <t>https://chromewebstore.google.com/detail/gegdkoobknknikkhmnbkpnejehkchcom</t>
  </si>
  <si>
    <t>FreestylersEmotes</t>
  </si>
  <si>
    <t>https://chromewebstore.google.com/detail/jidbibpgnkfcgbkmkdigiecmnakkheae</t>
  </si>
  <si>
    <t>GS Downloads Settings</t>
  </si>
  <si>
    <t>https://chromewebstore.google.com/detail/amlkddagjlidoklgogkcokgcdkoplbfm</t>
  </si>
  <si>
    <t>Arinaz - For Amazon KDP</t>
  </si>
  <si>
    <t>https://chromewebstore.google.com/detail/onofabbbjgjempkcbidiacgldbdbojil</t>
  </si>
  <si>
    <t>AMZ India Profit</t>
  </si>
  <si>
    <t>https://chromewebstore.google.com/detail/bcbebckcfnbhmhcghnnhhldcombkloaf</t>
  </si>
  <si>
    <t>저속자설 도우미</t>
  </si>
  <si>
    <t>https://chromewebstore.google.com/detail/ebolamfalknccebghdocaokplkfpkhbf</t>
  </si>
  <si>
    <t>Krunker Customiser</t>
  </si>
  <si>
    <t>https://chromewebstore.google.com/detail/haogjblnnpemjmomfbkicmgklaegmmhc</t>
  </si>
  <si>
    <t>Advanced Search for Chrome</t>
  </si>
  <si>
    <t>https://chromewebstore.google.com/detail/hddplepddicnloeicfmihmldbpllgmaf</t>
  </si>
  <si>
    <t>DevTools Theme: NightLion Dark</t>
  </si>
  <si>
    <t>https://chromewebstore.google.com/detail/nmiejanhomgcihofiaipfpgenalpjnmp</t>
  </si>
  <si>
    <t>RTrack</t>
  </si>
  <si>
    <t>https://chromewebstore.google.com/detail/ocncmnlemplfdjckmhflkhjebhlkkepl</t>
  </si>
  <si>
    <t>Goal Reminder</t>
  </si>
  <si>
    <t>https://chromewebstore.google.com/detail/ocnjckohbfdjdlhfgmnocamdfdkfclmk</t>
  </si>
  <si>
    <t>Preview - Sneak peak at links</t>
  </si>
  <si>
    <t>https://chromewebstore.google.com/detail/eogpejkjgbbhikkebmpbcdglbnjllfai</t>
  </si>
  <si>
    <t>Timeline for Chrome</t>
  </si>
  <si>
    <t>https://chromewebstore.google.com/detail/hmeejpepihngockjpcappgappbepggip</t>
  </si>
  <si>
    <t>TCMB Döviz Kurları</t>
  </si>
  <si>
    <t>https://chromewebstore.google.com/detail/ioapfajjckangiinhjnhphkjdjfgkkgc</t>
  </si>
  <si>
    <t>在线随机数生成器</t>
  </si>
  <si>
    <t>https://chromewebstore.google.com/detail/kfbjgcdnobfffhgnlokmdmlnhikneoki</t>
  </si>
  <si>
    <t>Timebite - Online wasted time tracker</t>
  </si>
  <si>
    <t>https://chromewebstore.google.com/detail/mkpcepodmbdmbpenhmmkipbijpblfjik</t>
  </si>
  <si>
    <t>Chat Notifications for Gmail™</t>
  </si>
  <si>
    <t>https://chromewebstore.google.com/detail/phokmbaffndjgejhemchophkkpdmpeln</t>
  </si>
  <si>
    <t>MagicSearch</t>
  </si>
  <si>
    <t>https://chromewebstore.google.com/detail/fpkdjcbfpcjhkjgdebpilkojicboeick</t>
  </si>
  <si>
    <t>Advanced Dev Tools</t>
  </si>
  <si>
    <t>https://chromewebstore.google.com/detail/hefcmbkgejfdgalommcceebgodchffke</t>
  </si>
  <si>
    <t>Total Script Blocker</t>
  </si>
  <si>
    <t>https://chromewebstore.google.com/detail/iafhjdlaghjpnpgddlhoiokipfpchnkc</t>
  </si>
  <si>
    <t>Cat Screen Cleaner</t>
  </si>
  <si>
    <t>https://chromewebstore.google.com/detail/incaoikdbplldggiaakikmhaeafapfpo</t>
  </si>
  <si>
    <t>Lofi Radio</t>
  </si>
  <si>
    <t>https://chromewebstore.google.com/detail/lbgdgffkmahmodcbdgaokjiccogmfkel</t>
  </si>
  <si>
    <t>Tumblr Load HiRes Images</t>
  </si>
  <si>
    <t>https://chromewebstore.google.com/detail/nmnkcdhmgffolgjmohbbdahpebdpglkp</t>
  </si>
  <si>
    <t>Peach</t>
  </si>
  <si>
    <t>https://chromewebstore.google.com/detail/affklpjfehnkiekjdoalajogpbmjgajk</t>
  </si>
  <si>
    <t>Tablight</t>
  </si>
  <si>
    <t>https://chromewebstore.google.com/detail/clenlcdnkhcmilhodbibgldkmldgpboi</t>
  </si>
  <si>
    <t>Roamit</t>
  </si>
  <si>
    <t>https://chromewebstore.google.com/detail/ighnlholdodepefajbkbjcedobmggmlk</t>
  </si>
  <si>
    <t>QSB - Quick Simple Bot</t>
  </si>
  <si>
    <t>https://chromewebstore.google.com/detail/ldaiicpiaelfkcmflimecpfjlejgnfoo</t>
  </si>
  <si>
    <t>OneOptimize AdBlock</t>
  </si>
  <si>
    <t>https://chromewebstore.google.com/detail/dlbgdlmfkjiffjkchlipihnmbmhnapja</t>
  </si>
  <si>
    <t>Official QPR Homepage</t>
  </si>
  <si>
    <t>https://chromewebstore.google.com/detail/dmjhgmbjmadknbcgggacmdnmmbkjhcoh</t>
  </si>
  <si>
    <t>DarazScout</t>
  </si>
  <si>
    <t>https://chromewebstore.google.com/detail/heffmihflilcadjdebaijhmmbccdmigg</t>
  </si>
  <si>
    <t>Push To Talk For Google Meet</t>
  </si>
  <si>
    <t>https://chromewebstore.google.com/detail/kkijalhkcfebhahlagllhlpocfehbfok</t>
  </si>
  <si>
    <t>Telescope</t>
  </si>
  <si>
    <t>https://chromewebstore.google.com/detail/mcbkdemjpfgkelnhcnbkoafaljnblcjd</t>
  </si>
  <si>
    <t>Color Palette Finder</t>
  </si>
  <si>
    <t>https://chromewebstore.google.com/detail/acijagaddpagpgcjdcoigjkmeiengplp</t>
  </si>
  <si>
    <t>YTMusic random album</t>
  </si>
  <si>
    <t>https://chromewebstore.google.com/detail/dncgjknchhlpnhebhabokhoippnmiloi</t>
  </si>
  <si>
    <t>Easy AliExpress Captcha Solver</t>
  </si>
  <si>
    <t>https://chromewebstore.google.com/detail/fegcpknnjjbjekicabkhmjldhokgjmoa</t>
  </si>
  <si>
    <t>Excavator launcher</t>
  </si>
  <si>
    <t>https://chromewebstore.google.com/detail/bkhonkbidgpbiiocpcmakmheigldfkdj</t>
  </si>
  <si>
    <t>VietLunar - Lunar Calendar for Vietnam</t>
  </si>
  <si>
    <t>https://chromewebstore.google.com/detail/blklnljefnfkonpnmknbbglbbhbhjieg</t>
  </si>
  <si>
    <t>Moto Key</t>
  </si>
  <si>
    <t>https://chromewebstore.google.com/detail/docmpmaaknodeakimnnbnodgaopgidjj</t>
  </si>
  <si>
    <t>Week Ly - Week Number</t>
  </si>
  <si>
    <t>https://chromewebstore.google.com/detail/endnddbohopbmapkpghdigekfngmjldj</t>
  </si>
  <si>
    <t>Reddit Ad Blocker</t>
  </si>
  <si>
    <t>https://chromewebstore.google.com/detail/ikfphehapjecfjflnjagoaapglaihehn</t>
  </si>
  <si>
    <t>Cloud Vision</t>
  </si>
  <si>
    <t>https://chromewebstore.google.com/detail/nblmokgbialjjgfhfofbgfcghhbkejac</t>
  </si>
  <si>
    <t>Coolpc Search</t>
  </si>
  <si>
    <t>https://chromewebstore.google.com/detail/biaodlmdjlkhhllcdgabfipilkjjekhh</t>
  </si>
  <si>
    <t>incogni-tab</t>
  </si>
  <si>
    <t>https://chromewebstore.google.com/detail/mhppgjeghhhfdeemdkfcfkcnmopmcnkf</t>
  </si>
  <si>
    <t>Sonatype Nexus IQ Evaluation</t>
  </si>
  <si>
    <t>https://chromewebstore.google.com/detail/mjehedmoboadebjmbmobpedkdgenmlhd</t>
  </si>
  <si>
    <t>First Line</t>
  </si>
  <si>
    <t>https://chromewebstore.google.com/detail/ngecnggngjbaedajbnmbmppmbflgnpmp</t>
  </si>
  <si>
    <t>Polisis</t>
  </si>
  <si>
    <t>https://chromewebstore.google.com/detail/bkddolgokpghlbhhkflbbhhjghjdojck</t>
  </si>
  <si>
    <t>Dryft</t>
  </si>
  <si>
    <t>https://chromewebstore.google.com/detail/bpfibgbdeacmameoklggiabcekheipei</t>
  </si>
  <si>
    <t>School Loop HoraceScope</t>
  </si>
  <si>
    <t>https://chromewebstore.google.com/detail/eijldmakpkmhciipnjchmhimcjcpahde</t>
  </si>
  <si>
    <t>Genesis: Attendance From Zoom</t>
  </si>
  <si>
    <t>https://chromewebstore.google.com/detail/gkobgglgpfmapkcacekjjdncldlajlhn</t>
  </si>
  <si>
    <t>LexisNexis PatentAdvisor® Extension</t>
  </si>
  <si>
    <t>https://chromewebstore.google.com/detail/kpjegcemlcajkehigehjegohoplbfmpm</t>
  </si>
  <si>
    <t>Kissflow for Gmail</t>
  </si>
  <si>
    <t>https://chromewebstore.google.com/detail/cieofhhbpplmgpdlebmoocmoecneaolc</t>
  </si>
  <si>
    <t>New Tab Notepad</t>
  </si>
  <si>
    <t>https://chromewebstore.google.com/detail/djfmjecpknbihjjjeijgmdfhcbflahgb</t>
  </si>
  <si>
    <t>Neel's Cricket</t>
  </si>
  <si>
    <t>https://chromewebstore.google.com/detail/gcmmghdaojpilacbjnhikophkjhemmbi</t>
  </si>
  <si>
    <t>Cocomelon - Youtube for Kids</t>
  </si>
  <si>
    <t>https://chromewebstore.google.com/detail/jlbeloojpkfehgnmfgneodpbhepgojkf</t>
  </si>
  <si>
    <t>Polygon Gas Station</t>
  </si>
  <si>
    <t>https://chromewebstore.google.com/detail/mofhphpaefijhjcidmcibbihfgdemooa</t>
  </si>
  <si>
    <t>Text Toolkit : (AIO Text Tools)</t>
  </si>
  <si>
    <t>https://chromewebstore.google.com/detail/bppfgbihmmcmdiokmoafejejgahilmom</t>
  </si>
  <si>
    <t>Horizon Collaborate Guest Client</t>
  </si>
  <si>
    <t>https://chromewebstore.google.com/detail/cenpoaamfdlkmfhagmklphodcadlejnh</t>
  </si>
  <si>
    <t>Website text content replacer</t>
  </si>
  <si>
    <t>https://chromewebstore.google.com/detail/fmbchninojmfdlimbakaohgodgjpihcc</t>
  </si>
  <si>
    <t>Merch Text - Streamline Merch By Amazon</t>
  </si>
  <si>
    <t>https://chromewebstore.google.com/detail/kboeaaibapmekfoncghackichkpfhdoh</t>
  </si>
  <si>
    <t>BioJupies Generator</t>
  </si>
  <si>
    <t>https://chromewebstore.google.com/detail/picalhhlpcjhonibabfigihelpmpadel</t>
  </si>
  <si>
    <t>Multiple Selection</t>
  </si>
  <si>
    <t>https://chromewebstore.google.com/detail/cnccnjdknbhcdcenjmelmlkpklbhlieg</t>
  </si>
  <si>
    <t>Colors for Developers (Converter and more...)</t>
  </si>
  <si>
    <t>https://chromewebstore.google.com/detail/gchkodmdjkonohhibomiolgndijceoij</t>
  </si>
  <si>
    <t>Salesforce Schema Builder Expander</t>
  </si>
  <si>
    <t>https://chromewebstore.google.com/detail/mhmpcpfhhfdoeiejndcmogmnlomkfdkk</t>
  </si>
  <si>
    <t>DraftNight Draft Board</t>
  </si>
  <si>
    <t>https://chromewebstore.google.com/detail/mlacoffeehmpkkdajjgmhgcpfkonlnjn</t>
  </si>
  <si>
    <t>WordPress.org Plugins SVN Link</t>
  </si>
  <si>
    <t>https://chromewebstore.google.com/detail/nfhpbeacfmdhhlhmolfcdlknnmalnled</t>
  </si>
  <si>
    <t>Look Up Wikipedia, Google Translate &amp; Maps</t>
  </si>
  <si>
    <t>https://chromewebstore.google.com/detail/dkahhckcjhglekflgjmmmmmkpffnhnka</t>
  </si>
  <si>
    <t>OnlyKey Configuration</t>
  </si>
  <si>
    <t>https://chromewebstore.google.com/detail/adafilbceehejjehoccladhbkgbjmica</t>
  </si>
  <si>
    <t>Zendesk Submit Expander</t>
  </si>
  <si>
    <t>https://chromewebstore.google.com/detail/hpocmjkijiifppldckmofghmhjmmmcdk</t>
  </si>
  <si>
    <t>E21Web Shortcut Manager</t>
  </si>
  <si>
    <t>https://chromewebstore.google.com/detail/naeclkbhbhakmocfailmfffhdooeadpj</t>
  </si>
  <si>
    <t>Monkey Wrench</t>
  </si>
  <si>
    <t>https://chromewebstore.google.com/detail/baemnbkeofdleidjnpjfoleobieckdlk</t>
  </si>
  <si>
    <t>WorkFindy for WorkFlowy</t>
  </si>
  <si>
    <t>https://chromewebstore.google.com/detail/hbambmdimfhkndanjdhfopdodgkfclhb</t>
  </si>
  <si>
    <t>Yes Baby Babyknop</t>
  </si>
  <si>
    <t>https://chromewebstore.google.com/detail/mkmdicbdlgeglfpnkbjlhooegdmkbgmn</t>
  </si>
  <si>
    <t>Front Rush Gmail Interactions</t>
  </si>
  <si>
    <t>https://chromewebstore.google.com/detail/bngjiednbfbcmmdnhbfabgkkjgjhlbac</t>
  </si>
  <si>
    <t>读了吗·稍后</t>
  </si>
  <si>
    <t>https://chromewebstore.google.com/detail/dnonpndeibhdojmapddbfjkldgidolml</t>
  </si>
  <si>
    <t>CopyFlickr</t>
  </si>
  <si>
    <t>https://chromewebstore.google.com/detail/egpjbhchaakkfmhkmclejpeeigahhhlj</t>
  </si>
  <si>
    <t>iWin Chrome Wallpaper</t>
  </si>
  <si>
    <t>https://chromewebstore.google.com/detail/fcgkcfeognaadiinfndapngidgpnkjnf</t>
  </si>
  <si>
    <t>YouTube Full Windowed</t>
  </si>
  <si>
    <t>https://chromewebstore.google.com/detail/hcmgmocihecidijbefmiecboedfegcgk</t>
  </si>
  <si>
    <t>Multiple PiP Changer</t>
  </si>
  <si>
    <t>https://chromewebstore.google.com/detail/heecooojlcebffhjpmipceockeamgohd</t>
  </si>
  <si>
    <t>DARAZ Lab</t>
  </si>
  <si>
    <t>https://chromewebstore.google.com/detail/iojlafmhhbgcoojblnfhioadhinpckgm</t>
  </si>
  <si>
    <t>Super Search Agent</t>
  </si>
  <si>
    <t>https://chromewebstore.google.com/detail/jlpkmcnaabibpmimadpdpocakebgcjnd</t>
  </si>
  <si>
    <t>Social Media and Website Analytics</t>
  </si>
  <si>
    <t>https://chromewebstore.google.com/detail/kppmigaaekiicjfcnbjnchjjjhfodeej</t>
  </si>
  <si>
    <t>Detektor dezinformačných webov</t>
  </si>
  <si>
    <t>https://chromewebstore.google.com/detail/ajfhmidimnkpbhnkcckllicmhhdipmoo</t>
  </si>
  <si>
    <t>GWA Calculator</t>
  </si>
  <si>
    <t>https://chromewebstore.google.com/detail/eompkohifnhnjdchhaieegileekehjhn</t>
  </si>
  <si>
    <t>Asset Search</t>
  </si>
  <si>
    <t>https://chromewebstore.google.com/detail/lbbnflmcjoiccbnphomocoiomkcaohlb</t>
  </si>
  <si>
    <t>https://chromewebstore.google.com/detail/mmngbmmjfjannofkffhoindghfbhcool</t>
  </si>
  <si>
    <t>Wikipedia IPA Speaker</t>
  </si>
  <si>
    <t>https://chromewebstore.google.com/detail/jkgihpigffcfeebgedpklldebdibbnne</t>
  </si>
  <si>
    <t>MeetChatSave: Salvar chat do Google Meet</t>
  </si>
  <si>
    <t>https://chromewebstore.google.com/detail/kbjbjdhcadgapllledgnnllgfhjkldmc</t>
  </si>
  <si>
    <t>Puresolid IDE</t>
  </si>
  <si>
    <t>https://chromewebstore.google.com/detail/ndhdjddnbbjnojdjbglbpenimlpnlpbl</t>
  </si>
  <si>
    <t>Walkway</t>
  </si>
  <si>
    <t>https://chromewebstore.google.com/detail/nkbflgdoljijfdopjgfnbjdcedjkbfnm</t>
  </si>
  <si>
    <t>My Grabillas History</t>
  </si>
  <si>
    <t>https://chromewebstore.google.com/detail/ogaaeaoebonhcfbcjeommaodhmilomii</t>
  </si>
  <si>
    <t>Better Image Scaling</t>
  </si>
  <si>
    <t>https://chromewebstore.google.com/detail/cjifmfjjelmmfknfijnfdciabkblgame</t>
  </si>
  <si>
    <t>SEO Checker Plus</t>
  </si>
  <si>
    <t>https://chromewebstore.google.com/detail/mjnnnhalapjjgmplloheopnbkdgjpdfk</t>
  </si>
  <si>
    <t>SCP Wiki Tools</t>
  </si>
  <si>
    <t>https://chromewebstore.google.com/detail/mlekifkggmodhopdfdpiofjnipnonmfn</t>
  </si>
  <si>
    <t>Brightspace Improvements</t>
  </si>
  <si>
    <t>https://chromewebstore.google.com/detail/ngplfhblfejgjnaapcajgiccnapfhchi</t>
  </si>
  <si>
    <t>Lingotek Workbench Extension (Beta)</t>
  </si>
  <si>
    <t>https://chromewebstore.google.com/detail/nlepkjdljbdlgblopipfdcebcclcjngc</t>
  </si>
  <si>
    <t>楽天市場 ジャンル別ランキング チェッカー</t>
  </si>
  <si>
    <t>https://chromewebstore.google.com/detail/cbkfbpldkdcackefdcehbinedcmefbon</t>
  </si>
  <si>
    <t>Dillinger</t>
  </si>
  <si>
    <t>https://chromewebstore.google.com/detail/ofcakejhikahjhchhgohnmckooafbjam</t>
  </si>
  <si>
    <t>Công Cụ Đặt Hàng Alibao.vn 3</t>
  </si>
  <si>
    <t>https://chromewebstore.google.com/detail/albefehmnhpifecdlhjojlenkjpnnamk</t>
  </si>
  <si>
    <t>Smart ATG Dynamo</t>
  </si>
  <si>
    <t>https://chromewebstore.google.com/detail/apdodcbnnfkiohphgedncobeejeccjbk</t>
  </si>
  <si>
    <t>ETH Gas Price</t>
  </si>
  <si>
    <t>https://chromewebstore.google.com/detail/dnggapdaebddmmnpegfopeocoecimcaa</t>
  </si>
  <si>
    <t>Grid Builder</t>
  </si>
  <si>
    <t>https://chromewebstore.google.com/detail/fdngjphcahnpgejdhledgcfggjokekgl</t>
  </si>
  <si>
    <t>https://chromewebstore.google.com/detail/fkccjmkhdcnogpgaojnglaheohcjodno</t>
  </si>
  <si>
    <t>Install as App</t>
  </si>
  <si>
    <t>https://chromewebstore.google.com/detail/ilbjnijjaidemeofigoeapbnnplenmaj</t>
  </si>
  <si>
    <t>page-web-skeleton</t>
  </si>
  <si>
    <t>https://chromewebstore.google.com/detail/nfbfgaldeonhcepgjpaboikblamoodea</t>
  </si>
  <si>
    <t>Aliexpress: Search similar cheap products</t>
  </si>
  <si>
    <t>https://chromewebstore.google.com/detail/nnimbegadieahkenpkmdlmadcbkbehao</t>
  </si>
  <si>
    <t>Tabtics</t>
  </si>
  <si>
    <t>https://chromewebstore.google.com/detail/difblhehhojpopenmmmdlmfcjdbghkno</t>
  </si>
  <si>
    <t>Tab Closer for Zoom</t>
  </si>
  <si>
    <t>https://chromewebstore.google.com/detail/dipbdmjcnihnpjpignoilhljekeimlkp</t>
  </si>
  <si>
    <t>Treendly — Discover rising trends</t>
  </si>
  <si>
    <t>https://chromewebstore.google.com/detail/jnnmldnjikpokpfohpbcieipcmklhebb</t>
  </si>
  <si>
    <t>ATP Video Poker</t>
  </si>
  <si>
    <t>https://chromewebstore.google.com/detail/afoceahbjknneljdddlkhmcjmblokede</t>
  </si>
  <si>
    <t>Systêxtil Local</t>
  </si>
  <si>
    <t>https://chromewebstore.google.com/detail/ehklcgfhalhkgjmjbpbdaligajmpofli</t>
  </si>
  <si>
    <t>Send To WebHook</t>
  </si>
  <si>
    <t>https://chromewebstore.google.com/detail/hoglpfllfgiennflpdodjpaaecpfodpe</t>
  </si>
  <si>
    <t>EyeContact demo extension</t>
  </si>
  <si>
    <t>https://chromewebstore.google.com/detail/kofakgibcdhniefjoapcgamdhjjaaidf</t>
  </si>
  <si>
    <t>Simple Weight Converter - Pound and Kilogram</t>
  </si>
  <si>
    <t>https://chromewebstore.google.com/detail/lihkjpmkolenlpmecejhbkdmcfhbaogf</t>
  </si>
  <si>
    <t>Copy &amp; Paste</t>
  </si>
  <si>
    <t>https://chromewebstore.google.com/detail/oijiikmgkljldpbpddpmhiblpgkciobn</t>
  </si>
  <si>
    <t>Fresh Hotel Automatic Flash Acceptance</t>
  </si>
  <si>
    <t>https://chromewebstore.google.com/detail/akhdojncgcgflecepkmdhbdgnacgjbhg</t>
  </si>
  <si>
    <t>TuBeast</t>
  </si>
  <si>
    <t>https://chromewebstore.google.com/detail/bgbodedmnofjkldbogikhhbggijiebgm</t>
  </si>
  <si>
    <t>Analytics Inspector</t>
  </si>
  <si>
    <t>https://chromewebstore.google.com/detail/dopkjjecbigomblmonkbbadicpbehdgh</t>
  </si>
  <si>
    <t>Tumblr Disable Video Autoplay</t>
  </si>
  <si>
    <t>https://chromewebstore.google.com/detail/fpjhoibmllbklaapilcdhnbdicilaeed</t>
  </si>
  <si>
    <t>STEALTH IP Changer</t>
  </si>
  <si>
    <t>https://chromewebstore.google.com/detail/ipbndnchcohcdddecocielghdlkfhjgb</t>
  </si>
  <si>
    <t>iRead4u</t>
  </si>
  <si>
    <t>https://chromewebstore.google.com/detail/pkmbaacpdcnaaeeddokcpdahdokceppb</t>
  </si>
  <si>
    <t>Ecommerce Tally eVanik</t>
  </si>
  <si>
    <t>https://chromewebstore.google.com/detail/bdefieggjaidlmdhcaheokahplifomoa</t>
  </si>
  <si>
    <t>Dewey launcher</t>
  </si>
  <si>
    <t>https://chromewebstore.google.com/detail/fnfpnjjgpfifiilkencadlekjebpmbph</t>
  </si>
  <si>
    <t>Competitive Companion</t>
  </si>
  <si>
    <t>https://chromewebstore.google.com/detail/ggcfcaiiadodpdfnphnejkocgjejcbic</t>
  </si>
  <si>
    <t>Responsive Window</t>
  </si>
  <si>
    <t>https://chromewebstore.google.com/detail/gnflplbfnfekejfoalgbcikilalbloec</t>
  </si>
  <si>
    <t>Omni World Timezone Map</t>
  </si>
  <si>
    <t>https://chromewebstore.google.com/detail/lbmkcdphcmlokbdpgnjdpghmbednmhch</t>
  </si>
  <si>
    <t>Ludwig Dictionary</t>
  </si>
  <si>
    <t>https://chromewebstore.google.com/detail/opejkjehcoahdkeemeamadblglgabknf</t>
  </si>
  <si>
    <t>Disable Scroll Jacking</t>
  </si>
  <si>
    <t>https://chromewebstore.google.com/detail/ehpdicggenhgapiikfpnmppdonadlnmp</t>
  </si>
  <si>
    <t>Aavegotchi Extension</t>
  </si>
  <si>
    <t>https://chromewebstore.google.com/detail/ibggmlahcckfbcghmbnbdmkmolmaejfc</t>
  </si>
  <si>
    <t>HackerRank Codepair</t>
  </si>
  <si>
    <t>https://chromewebstore.google.com/detail/mnkgahiafhiphkelfiignncoifadhpnd</t>
  </si>
  <si>
    <t>Pastebin Raw Text</t>
  </si>
  <si>
    <t>https://chromewebstore.google.com/detail/madpgppmbhecemnaicfpkokbookighmg</t>
  </si>
  <si>
    <t>TF2Center Tools</t>
  </si>
  <si>
    <t>https://chromewebstore.google.com/detail/oagdkccjchnflfcikaagcelgipminjhd</t>
  </si>
  <si>
    <t>Tumblr Tag Copy</t>
  </si>
  <si>
    <t>https://chromewebstore.google.com/detail/oakefghfmmcnejnpgpehidmbjgkelmdm</t>
  </si>
  <si>
    <t>Click Scheduler Pro</t>
  </si>
  <si>
    <t>https://chromewebstore.google.com/detail/cglnpjdjjinnbaioncegaiaifdpildne</t>
  </si>
  <si>
    <t>Weather</t>
  </si>
  <si>
    <t>https://chromewebstore.google.com/detail/ialodjkaifigeaffjdbifgeimoaccidp</t>
  </si>
  <si>
    <t>Trello Compact Mode</t>
  </si>
  <si>
    <t>https://chromewebstore.google.com/detail/ikogmikbjiooajfagjhobaopmehnooko</t>
  </si>
  <si>
    <t>Usability Hike: Find usability problems</t>
  </si>
  <si>
    <t>https://chromewebstore.google.com/detail/ndlpokknholbnmpamepplidpkfnmplgf</t>
  </si>
  <si>
    <t>Web Portal v2</t>
  </si>
  <si>
    <t>https://chromewebstore.google.com/detail/apoejkbnhcajliaadjmnomdfhhpojnak</t>
  </si>
  <si>
    <t>Swiggity Swooty Extension</t>
  </si>
  <si>
    <t>https://chromewebstore.google.com/detail/ecofnlndicmgjgodcoiggbjlaipjmenb</t>
  </si>
  <si>
    <t>Christmas Mode</t>
  </si>
  <si>
    <t>https://chromewebstore.google.com/detail/ehiookjpopjjpogmbhhmhiikdincggnh</t>
  </si>
  <si>
    <t>Dofus Hunt Tools</t>
  </si>
  <si>
    <t>https://chromewebstore.google.com/detail/phacgaokecahmpcfcbpelnbpbjcglapd</t>
  </si>
  <si>
    <t>CrowdWorkers</t>
  </si>
  <si>
    <t>https://chromewebstore.google.com/detail/aamdbafophajiecmhbnbakndfgjkfpce</t>
  </si>
  <si>
    <t>UARTool</t>
  </si>
  <si>
    <t>https://chromewebstore.google.com/detail/bafhnpibhakejchipdcnhbdpejphjiem</t>
  </si>
  <si>
    <t>Stop Tracking Me on Reddit</t>
  </si>
  <si>
    <t>https://chromewebstore.google.com/detail/cbebgcijnnddaopldijabckkahpbimgi</t>
  </si>
  <si>
    <t>Admin UI Tweaks for Canvas</t>
  </si>
  <si>
    <t>https://chromewebstore.google.com/detail/ckfphpmobmoadbdkmffnffngagjohjmf</t>
  </si>
  <si>
    <t>Mudu RTC</t>
  </si>
  <si>
    <t>https://chromewebstore.google.com/detail/igfghgmlefpidcbinpcifhknoifdamdj</t>
  </si>
  <si>
    <t>Paczka Rozszerzeń/Extensions Pack</t>
  </si>
  <si>
    <t>https://chromewebstore.google.com/detail/jilkhaondmaoalimddiaeiahpfkkchkf</t>
  </si>
  <si>
    <t>Emoty</t>
  </si>
  <si>
    <t>https://chromewebstore.google.com/detail/kgljgnbhcigffgoifhjbbifhbdkapmgm</t>
  </si>
  <si>
    <t>Diff Tool</t>
  </si>
  <si>
    <t>https://chromewebstore.google.com/detail/knammbkafbpckgibgjilgpcnpacmecme</t>
  </si>
  <si>
    <t>Google Looker Studio™ Helper - Porter</t>
  </si>
  <si>
    <t>https://chromewebstore.google.com/detail/kcgmdmiklefbbknlajdlngofclkianjp</t>
  </si>
  <si>
    <t>autoPass</t>
  </si>
  <si>
    <t>https://chromewebstore.google.com/detail/pafeplegibgoknhlkemcfeemoghbamfj</t>
  </si>
  <si>
    <t>Transmitter for Transmission</t>
  </si>
  <si>
    <t>https://chromewebstore.google.com/detail/cdmpmfcgepijfiaaojbahpmpjfkgdgja</t>
  </si>
  <si>
    <t>SIP Click To Call Phone Extension</t>
  </si>
  <si>
    <t>https://chromewebstore.google.com/detail/hkhlmkflfapnfamjjldmemkbgplfhbnl</t>
  </si>
  <si>
    <t>HexString Converter</t>
  </si>
  <si>
    <t>https://chromewebstore.google.com/detail/libajdoapablnccbiakfbjjoofohelah</t>
  </si>
  <si>
    <t>YouTube Focus Mode</t>
  </si>
  <si>
    <t>https://chromewebstore.google.com/detail/aiickpjplakbajmoglephfflijahgblj</t>
  </si>
  <si>
    <t>Inception Button</t>
  </si>
  <si>
    <t>https://chromewebstore.google.com/detail/bomipglfgpeaeailgdcgkcppjhkgbhoh</t>
  </si>
  <si>
    <t>Linkly</t>
  </si>
  <si>
    <t>https://chromewebstore.google.com/detail/eafdoeojplandfjbmjkglljhlckoajcg</t>
  </si>
  <si>
    <t>Blank New Tab Page (Dark)</t>
  </si>
  <si>
    <t>https://chromewebstore.google.com/detail/fhdjnnbfgbgheebemnjaopachfanifhh</t>
  </si>
  <si>
    <t>Instant Dat Boi</t>
  </si>
  <si>
    <t>https://chromewebstore.google.com/detail/mkgeplonhadmdlocjaneefkldpfdcago</t>
  </si>
  <si>
    <t>Anylink - linkify/highlight any text anywhere</t>
  </si>
  <si>
    <t>https://chromewebstore.google.com/detail/mpflpgaobfpjcpefkdnpalfdodifkkgc</t>
  </si>
  <si>
    <t>No Pinterest Results</t>
  </si>
  <si>
    <t>https://chromewebstore.google.com/detail/odgmkhgpjabofenjcinopoocomeaepej</t>
  </si>
  <si>
    <t>Local Audio Player</t>
  </si>
  <si>
    <t>https://chromewebstore.google.com/detail/cdlcldfkcgmpndknbabgmhfkeeampkcn</t>
  </si>
  <si>
    <t>Blitz Full Screen URL Launcher</t>
  </si>
  <si>
    <t>https://chromewebstore.google.com/detail/eaemaefgnoddejclbjbkdjhnejojlnda</t>
  </si>
  <si>
    <t>Password revealer</t>
  </si>
  <si>
    <t>https://chromewebstore.google.com/detail/ekgbhfcaocclbckaiodiegejdinnndja</t>
  </si>
  <si>
    <t>Orchestra NG Integration</t>
  </si>
  <si>
    <t>https://chromewebstore.google.com/detail/kcmgccejanjgdkfdhcjohbepjlbefdje</t>
  </si>
  <si>
    <t>RadioTube - watch Radio songs on YouTube™</t>
  </si>
  <si>
    <t>https://chromewebstore.google.com/detail/ldgmbjnnjnjjnkllaffafcdgblhaijnh</t>
  </si>
  <si>
    <t>Readable</t>
  </si>
  <si>
    <t>https://chromewebstore.google.com/detail/mcfkanphaccondbcfdenamohbpfbploe</t>
  </si>
  <si>
    <t>Youtube Plus</t>
  </si>
  <si>
    <t>https://chromewebstore.google.com/detail/fgpecdgiijcjpcammohmmjmanehafffc</t>
  </si>
  <si>
    <t>SU Tools: Foursquare extension for Superusers</t>
  </si>
  <si>
    <t>https://chromewebstore.google.com/detail/fhaodkdhmbgaogggcaaihcpinapofffk</t>
  </si>
  <si>
    <t>Changer - change google logo</t>
  </si>
  <si>
    <t>https://chromewebstore.google.com/detail/fkjnfffkjhkpnogngcclhloiafjcpmbf</t>
  </si>
  <si>
    <t>Converter Case</t>
  </si>
  <si>
    <t>https://chromewebstore.google.com/detail/gioecfncgelemfipmklohlfondkogeha</t>
  </si>
  <si>
    <t>Q Pad</t>
  </si>
  <si>
    <t>https://chromewebstore.google.com/detail/gkaekoklibblfgbmjcellibkjmgddcjh</t>
  </si>
  <si>
    <t>Page to JSON</t>
  </si>
  <si>
    <t>https://chromewebstore.google.com/detail/glbjlbehokkbmdfmnkbpkiidamifooci</t>
  </si>
  <si>
    <t>Block URL: Website Blocker for Google Chrome</t>
  </si>
  <si>
    <t>https://chromewebstore.google.com/detail/hciflkkadhmficnfopeojmdfjfcaoejf</t>
  </si>
  <si>
    <t>Pixiz</t>
  </si>
  <si>
    <t>https://chromewebstore.google.com/detail/keokkojbogejboamkdahfibbeiegfpek</t>
  </si>
  <si>
    <t>NonAd Block</t>
  </si>
  <si>
    <t>https://chromewebstore.google.com/detail/mjdphmpknkepficogfmnfhabmlngggip</t>
  </si>
  <si>
    <t>Sound Tab</t>
  </si>
  <si>
    <t>https://chromewebstore.google.com/detail/poheidbodnopapiohmaiicjljellfneg</t>
  </si>
  <si>
    <t>Minimal New Page</t>
  </si>
  <si>
    <t>https://chromewebstore.google.com/detail/danoojfpckpaacgbaebfakjeepeenaop</t>
  </si>
  <si>
    <t>Темы Вконтакте</t>
  </si>
  <si>
    <t>https://chromewebstore.google.com/detail/facgjnnnpnopaambndocnfehnikijpdm</t>
  </si>
  <si>
    <t>Backstory: Remember Your Facebook Friends!</t>
  </si>
  <si>
    <t>https://chromewebstore.google.com/detail/hlabkdeeoecamlejpjgaedopbpflfhjm</t>
  </si>
  <si>
    <t>Collocation Dictionary Lookup</t>
  </si>
  <si>
    <t>https://chromewebstore.google.com/detail/kfgpcicheodmhneglkflmggjhflimmaj</t>
  </si>
  <si>
    <t>JSONView-HATEOAS</t>
  </si>
  <si>
    <t>https://chromewebstore.google.com/detail/lcnackgadgeghepobofcongbnjajafag</t>
  </si>
  <si>
    <t>ARCHS4</t>
  </si>
  <si>
    <t>https://chromewebstore.google.com/detail/ognafeffndmmiliegaamoockceneedea</t>
  </si>
  <si>
    <t>Font Style</t>
  </si>
  <si>
    <t>https://chromewebstore.google.com/detail/ajcdhdekjnodelbjdobjeodhemkkconf</t>
  </si>
  <si>
    <t>Sesse Analysis</t>
  </si>
  <si>
    <t>https://chromewebstore.google.com/detail/bifhfmlnimmkleegfinieegidihkbjml</t>
  </si>
  <si>
    <t>Stockchecker</t>
  </si>
  <si>
    <t>https://chromewebstore.google.com/detail/dlepnjlehdglcllkkhbdihcanplfjknj</t>
  </si>
  <si>
    <t>9gag Volume control</t>
  </si>
  <si>
    <t>https://chromewebstore.google.com/detail/eibnpeegkdkfcoaakejdjcimjjncefln</t>
  </si>
  <si>
    <t>screenshot</t>
  </si>
  <si>
    <t>https://chromewebstore.google.com/detail/ihibpepjbcahppdceephbdpgflncodce</t>
  </si>
  <si>
    <t>Контур-Фокус - быстрая проверка контрагентов</t>
  </si>
  <si>
    <t>https://chromewebstore.google.com/detail/jbpkdhiabgiejinphngblmjmfiominfm</t>
  </si>
  <si>
    <t>Tags Generator</t>
  </si>
  <si>
    <t>https://chromewebstore.google.com/detail/jjnknmlibfooipdjmggpfpeoafbjhmoo</t>
  </si>
  <si>
    <t>Chat with Justin Bieber</t>
  </si>
  <si>
    <t>https://chromewebstore.google.com/detail/ahpieafhibipfkfjapdjkhiolckdfill</t>
  </si>
  <si>
    <t>GitHub Search</t>
  </si>
  <si>
    <t>https://chromewebstore.google.com/detail/deoidkimdgonjkhffoaieoejhfcmcfbn</t>
  </si>
  <si>
    <t>Affiliate Link Button</t>
  </si>
  <si>
    <t>https://chromewebstore.google.com/detail/ghicpnbjacakmhdneadbiacfnjajlaeg</t>
  </si>
  <si>
    <t>Showroom 投げカウントはワンクリックで回収も補助するちゃん1号</t>
  </si>
  <si>
    <t>https://chromewebstore.google.com/detail/joablcpjombbhaongiepgcnefbepblal</t>
  </si>
  <si>
    <t>Snake Game For Chrome</t>
  </si>
  <si>
    <t>https://chromewebstore.google.com/detail/kogpmjpahimpmhfcciipfhoahjjfkenm</t>
  </si>
  <si>
    <t>Twishort</t>
  </si>
  <si>
    <t>https://chromewebstore.google.com/detail/oakfhpoofifebonhbmegpdkpjgfmlcdb</t>
  </si>
  <si>
    <t>Picture in Picture</t>
  </si>
  <si>
    <t>https://chromewebstore.google.com/detail/opimkfaiaekjknodenklcjdeaeedjdkc</t>
  </si>
  <si>
    <t>Queria Toolbar for Google Chrome™</t>
  </si>
  <si>
    <t>https://chromewebstore.google.com/detail/bnabedeodphlebnlohfpmmiinphfadem</t>
  </si>
  <si>
    <t>Life Counter</t>
  </si>
  <si>
    <t>https://chromewebstore.google.com/detail/bnbpeolijjenmnpfiohapnejmhoecchh</t>
  </si>
  <si>
    <t>Simple JavaScript Toggle</t>
  </si>
  <si>
    <t>https://chromewebstore.google.com/detail/mhidlbegmoiddmebedbiijmpckambgfj</t>
  </si>
  <si>
    <t>Tab Slider</t>
  </si>
  <si>
    <t>https://chromewebstore.google.com/detail/nobaaibkcalggmjnjhnlmmcldllpogjp</t>
  </si>
  <si>
    <t>closeOnUrl</t>
  </si>
  <si>
    <t>https://chromewebstore.google.com/detail/pjnpalcebijghomiebbpmokmejfpjaml</t>
  </si>
  <si>
    <t>Unix timestamp to readable date/time</t>
  </si>
  <si>
    <t>https://chromewebstore.google.com/detail/cngfpffdiefnoblplbcdejppdpceaehm</t>
  </si>
  <si>
    <t>CheckMyProf</t>
  </si>
  <si>
    <t>https://chromewebstore.google.com/detail/gfhlhiifmefkepebndobmgogmoljjfil</t>
  </si>
  <si>
    <t>Shdr</t>
  </si>
  <si>
    <t>https://chromewebstore.google.com/detail/oocbddhjkohbpgjgaeedmnkhejelialp</t>
  </si>
  <si>
    <t>Recruiters' integration tool</t>
  </si>
  <si>
    <t>https://chromewebstore.google.com/detail/ibfoabadoicmplbdpmchomcagkpmfama</t>
  </si>
  <si>
    <t>Bug Recorder</t>
  </si>
  <si>
    <t>https://chromewebstore.google.com/detail/kielfocekgmlnkdpibcedkofgafkkppg</t>
  </si>
  <si>
    <t>SwiftConverter | Free File Converter</t>
  </si>
  <si>
    <t>https://chromewebstore.google.com/detail/ielmedmaojjcccenembkobaocbikcepl</t>
  </si>
  <si>
    <t>Cálculos Mercado Livre</t>
  </si>
  <si>
    <t>https://chromewebstore.google.com/detail/kciklomoepmlnofhghfmlnhgolnjackh</t>
  </si>
  <si>
    <t>ThreadHelper</t>
  </si>
  <si>
    <t>https://chromewebstore.google.com/detail/nfadnflafdfmekapgcgddbccooagpndk</t>
  </si>
  <si>
    <t>Salvini-Blocker</t>
  </si>
  <si>
    <t>https://chromewebstore.google.com/detail/bgceopfkpahkhabbcjegjmanckmmdlde</t>
  </si>
  <si>
    <t>Simple SEO Tools</t>
  </si>
  <si>
    <t>https://chromewebstore.google.com/detail/epjgogeknnnaanaegbdheeciocdlcknl</t>
  </si>
  <si>
    <t>Zalgo Chrome</t>
  </si>
  <si>
    <t>https://chromewebstore.google.com/detail/folffjepoklmnclkciffhfonkgfikbgf</t>
  </si>
  <si>
    <t>Table of Contents Sidebar</t>
  </si>
  <si>
    <t>https://chromewebstore.google.com/detail/gnfemeofnjpbaigdpammdejmmjhdejih</t>
  </si>
  <si>
    <t>Sniperrr</t>
  </si>
  <si>
    <t>https://chromewebstore.google.com/detail/hbfhjphklnjcpfindkfbbajlaajkhbnh</t>
  </si>
  <si>
    <t>Impatient IMSLP</t>
  </si>
  <si>
    <t>https://chromewebstore.google.com/detail/jbkelkchcmmkhnhoekdcfbflmabnhpji</t>
  </si>
  <si>
    <t>Wordpress Stats</t>
  </si>
  <si>
    <t>https://chromewebstore.google.com/detail/jcdnefhhiabcloefaejmgdihedgdeplg</t>
  </si>
  <si>
    <t>Clarín+Nación - Sin registro ni publicidades</t>
  </si>
  <si>
    <t>https://chromewebstore.google.com/detail/klknffnahnlkjiohdgngaefninbdlfkg</t>
  </si>
  <si>
    <t>ScreenClipBeta: Screenshot, Comment, Annotate</t>
  </si>
  <si>
    <t>https://chromewebstore.google.com/detail/agfmhdblakkkljpdgpamkbfblikonemn</t>
  </si>
  <si>
    <t>Web Risk Info</t>
  </si>
  <si>
    <t>https://chromewebstore.google.com/detail/bnpfaalcobpnjdbkmhmhlchialhgaapm</t>
  </si>
  <si>
    <t>No Limits for YaMusic</t>
  </si>
  <si>
    <t>https://chromewebstore.google.com/detail/fcjgbihlfjnhdlgefhdodfpnkilofilb</t>
  </si>
  <si>
    <t>Navy App</t>
  </si>
  <si>
    <t>https://chromewebstore.google.com/detail/fdbnpficlmmbjmhmmaklmpggddbljieg</t>
  </si>
  <si>
    <t>Deep Dark Scrollbars</t>
  </si>
  <si>
    <t>https://chromewebstore.google.com/detail/feeaojjpfjaggengmoigjlckepbmkane</t>
  </si>
  <si>
    <t>Distraction Free YouTube</t>
  </si>
  <si>
    <t>https://chromewebstore.google.com/detail/hoeoebicgchngdidmbadgkdiempefcfn</t>
  </si>
  <si>
    <t>Edit Hidden Fields</t>
  </si>
  <si>
    <t>https://chromewebstore.google.com/detail/jkgiedeofneodbglnndcejlabknincfp</t>
  </si>
  <si>
    <t>xblock</t>
  </si>
  <si>
    <t>https://chromewebstore.google.com/detail/llajifecehalipnfbehdcjpappgdjkpf</t>
  </si>
  <si>
    <t>F1 TV Enhanced</t>
  </si>
  <si>
    <t>https://chromewebstore.google.com/detail/mkalpcklojnhdnaanfbamjgippoijdnf</t>
  </si>
  <si>
    <t>IMDb &amp; Rotten Tomatoes @ Prime Instant Video</t>
  </si>
  <si>
    <t>https://chromewebstore.google.com/detail/pfnkplljjpbbbclllghfeakdlfcldpfj</t>
  </si>
  <si>
    <t>ArtSocket ♥ Fine Art Photography</t>
  </si>
  <si>
    <t>https://chromewebstore.google.com/detail/blcmjmbalenihipjodgeebipglnbjjen</t>
  </si>
  <si>
    <t>一马: 在线代码翻译</t>
  </si>
  <si>
    <t>https://chromewebstore.google.com/detail/inicknfojohdbgekdffgcdfiheflpnbh</t>
  </si>
  <si>
    <t>SBS Downloader</t>
  </si>
  <si>
    <t>https://chromewebstore.google.com/detail/jagjjmnidiacegfkbbbocegjecfheogj</t>
  </si>
  <si>
    <t>WP Detect</t>
  </si>
  <si>
    <t>https://chromewebstore.google.com/detail/jdfohafahkdilhehnefganaoechoejng</t>
  </si>
  <si>
    <t>Beyondpad</t>
  </si>
  <si>
    <t>https://chromewebstore.google.com/detail/kgjilocmjkhfhcoelokiomommpihnpep</t>
  </si>
  <si>
    <t>Google Classroom Peer Review</t>
  </si>
  <si>
    <t>https://chromewebstore.google.com/detail/kpdjoooficdkhfkpmnblbiecdnecefae</t>
  </si>
  <si>
    <t>問卷助手︰南台科大版</t>
  </si>
  <si>
    <t>https://chromewebstore.google.com/detail/ldfoemphhkpifbmoapiokpfbkgaklemj</t>
  </si>
  <si>
    <t>Real Jewish calendar</t>
  </si>
  <si>
    <t>https://chromewebstore.google.com/detail/lgfllfljkpaekhehknpnalicagjllhmn</t>
  </si>
  <si>
    <t>Tabby Cat - New cats with each new tab</t>
  </si>
  <si>
    <t>https://chromewebstore.google.com/detail/eglbilcojjagfhgfibibgabkehpbocoa</t>
  </si>
  <si>
    <t>Mini Squeezebox Control</t>
  </si>
  <si>
    <t>https://chromewebstore.google.com/detail/emicaigjkpfbgljmoalhmmbheakjokhi</t>
  </si>
  <si>
    <t>1 frame forward</t>
  </si>
  <si>
    <t>https://chromewebstore.google.com/detail/kcpphmaadlipclmhmdgjibnemplidjgh</t>
  </si>
  <si>
    <t>Customize Facebook Style</t>
  </si>
  <si>
    <t>https://chromewebstore.google.com/detail/mjfipghbahcmkabjkeflpcickedokppl</t>
  </si>
  <si>
    <t>FiveX</t>
  </si>
  <si>
    <t>https://chromewebstore.google.com/detail/nhnkanophkdcadlfdbmaoeihlbknejkg</t>
  </si>
  <si>
    <t>Add To Calendar</t>
  </si>
  <si>
    <t>https://chromewebstore.google.com/detail/pipjnidgeelohoapkmdcbkddjjklnofj</t>
  </si>
  <si>
    <t>Grapher for Steam</t>
  </si>
  <si>
    <t>https://chromewebstore.google.com/detail/geofimghgjbkgchoennmfmbbmmlljmgn</t>
  </si>
  <si>
    <t>Chrome Remote Desktop Links</t>
  </si>
  <si>
    <t>https://chromewebstore.google.com/detail/ghmjkdfkjmclgnhiipapphippmgdbhhf</t>
  </si>
  <si>
    <t>Custom Stylesheet &amp; Script</t>
  </si>
  <si>
    <t>https://chromewebstore.google.com/detail/hojkciooaohipljgobfikbkjcehockld</t>
  </si>
  <si>
    <t>Give me the F-ing PDF</t>
  </si>
  <si>
    <t>https://chromewebstore.google.com/detail/iekjpaipocoglamgpjoehfdemffdmami</t>
  </si>
  <si>
    <t>In-page Highlighter</t>
  </si>
  <si>
    <t>https://chromewebstore.google.com/detail/jieapbldippnhiccagafbdbhipaaanei</t>
  </si>
  <si>
    <t>Hancom Groupware Mail Beautifier Extension</t>
  </si>
  <si>
    <t>https://chromewebstore.google.com/detail/pjgjkdkogecobfmmefdiajgggppmcllo</t>
  </si>
  <si>
    <t>Flip That Tab</t>
  </si>
  <si>
    <t>https://chromewebstore.google.com/detail/cdciibllmibdlannjhadoapbdpgeemga</t>
  </si>
  <si>
    <t>VK Comment Blocker</t>
  </si>
  <si>
    <t>https://chromewebstore.google.com/detail/hcblijjkmabjdppajebmbmmkjnkflpbl</t>
  </si>
  <si>
    <t>Multiple Tools For Fiverr</t>
  </si>
  <si>
    <t>https://chromewebstore.google.com/detail/hejmglcpnnbdnlcnmpjpmlnaeahgffej</t>
  </si>
  <si>
    <t>MoonTab 新标签页</t>
  </si>
  <si>
    <t>https://chromewebstore.google.com/detail/jjfjapjnjdoehnmecalfglbaefkmchfk</t>
  </si>
  <si>
    <t>Family Movie Filter</t>
  </si>
  <si>
    <t>https://chromewebstore.google.com/detail/mbglppdnipeddfbnlohekfgedkdoicnn</t>
  </si>
  <si>
    <t>Twemoji for Instagram</t>
  </si>
  <si>
    <t>https://chromewebstore.google.com/detail/pdelfnlllmbfhpleodmhdnghokfkield</t>
  </si>
  <si>
    <t>plugCubed</t>
  </si>
  <si>
    <t>https://chromewebstore.google.com/detail/cfeomlnnfncblkheeneahgmngbnbiaoi</t>
  </si>
  <si>
    <t>vPause - vk.com player hotkeys</t>
  </si>
  <si>
    <t>https://chromewebstore.google.com/detail/dbjhmpmaehamokkakfmacgjepggojhmo</t>
  </si>
  <si>
    <t>VK friends manager</t>
  </si>
  <si>
    <t>https://chromewebstore.google.com/detail/jlkcnjddcnmkalophafebfmjkkaakfpc</t>
  </si>
  <si>
    <t>New writeurl</t>
  </si>
  <si>
    <t>https://chromewebstore.google.com/detail/njlnbpgjgdaaadeefkahpaobdnbanckh</t>
  </si>
  <si>
    <t>VK Feed Tweaks (aka VK Spoilers)</t>
  </si>
  <si>
    <t>https://chromewebstore.google.com/detail/offdcbgibomkmdeeklddjajjpfngbffh</t>
  </si>
  <si>
    <t>Red Cloud Lakota Keyboard</t>
  </si>
  <si>
    <t>https://chromewebstore.google.com/detail/dfhebacjiehcfaniioabpmgfbifobgia</t>
  </si>
  <si>
    <t>Manchester United News tracker</t>
  </si>
  <si>
    <t>https://chromewebstore.google.com/detail/diekjndigniigjbokhfjbocibncchbpi</t>
  </si>
  <si>
    <t>Darker Medium</t>
  </si>
  <si>
    <t>https://chromewebstore.google.com/detail/ffhffkeoooocikeclopcedglnjhoddfj</t>
  </si>
  <si>
    <t>Golden Ratio</t>
  </si>
  <si>
    <t>https://chromewebstore.google.com/detail/jlidieenmdoobegfmnmeogammjjgcdal</t>
  </si>
  <si>
    <t>שירות.נט</t>
  </si>
  <si>
    <t>https://chromewebstore.google.com/detail/lkcicaigapaemfihekdebhinojkommab</t>
  </si>
  <si>
    <t>KAT UI - Kickass Torrents Special</t>
  </si>
  <si>
    <t>https://chromewebstore.google.com/detail/nmpmaifgfbegmbnmmekiegcfkhpdibcc</t>
  </si>
  <si>
    <t>start.xyz - Video Backgrounds</t>
  </si>
  <si>
    <t>https://chromewebstore.google.com/detail/oodpgglcmckddcmghkdfdfoepibmgigp</t>
  </si>
  <si>
    <t>Chrome Devtools Styler</t>
  </si>
  <si>
    <t>https://chromewebstore.google.com/detail/geneoacljdknpjlgnlcnhipjgigolpih</t>
  </si>
  <si>
    <t>Local PGP - Browser Encryption and Decryption</t>
  </si>
  <si>
    <t>https://chromewebstore.google.com/detail/hlcbdlnnolgaenfoddgdlmgjflcapbba</t>
  </si>
  <si>
    <t>Sounds Plus</t>
  </si>
  <si>
    <t>https://chromewebstore.google.com/detail/hplkfmjhkdpbiekddokeabgcbpoffoee</t>
  </si>
  <si>
    <t>Tinking - Scrapping Tool</t>
  </si>
  <si>
    <t>https://chromewebstore.google.com/detail/ibidcmokfddpkgdoobeihkfnajmodlkp</t>
  </si>
  <si>
    <t>Mynet</t>
  </si>
  <si>
    <t>https://chromewebstore.google.com/detail/fcjjacbofbieoieobmddaheodhjoopcf</t>
  </si>
  <si>
    <t>TuShop Tool</t>
  </si>
  <si>
    <t>https://chromewebstore.google.com/detail/gbcjheigkcdigiimkgieconajpngcako</t>
  </si>
  <si>
    <t>Your YouTube Views</t>
  </si>
  <si>
    <t>https://chromewebstore.google.com/detail/mmlhfcfeedemkppodgcilbhfhjcijijg</t>
  </si>
  <si>
    <t>https://chromewebstore.google.com/detail/ncjaameocjfjjnjcijikhkhifncjijhn</t>
  </si>
  <si>
    <t>VK Ad Blocker Beta</t>
  </si>
  <si>
    <t>https://chromewebstore.google.com/detail/acpadffhaelioakobdjgobbfpbmlenag</t>
  </si>
  <si>
    <t>Trello Card Aging</t>
  </si>
  <si>
    <t>https://chromewebstore.google.com/detail/eldafhhjhnfgkhpnicalopgocdbehkgj</t>
  </si>
  <si>
    <t>42logtime</t>
  </si>
  <si>
    <t>https://chromewebstore.google.com/detail/fkcfecmfcfmealjioddcpgghpmdgbeag</t>
  </si>
  <si>
    <t>Ritual</t>
  </si>
  <si>
    <t>https://chromewebstore.google.com/detail/hicbofonjfochofgicgpmmdlbaddmacb</t>
  </si>
  <si>
    <t>Name Lookup</t>
  </si>
  <si>
    <t>https://chromewebstore.google.com/detail/oifhpkdmngmgaemkbjalbbgnminihhai</t>
  </si>
  <si>
    <t>Youtube like to view ratio</t>
  </si>
  <si>
    <t>https://chromewebstore.google.com/detail/pjkjdnlpbfcociacjalpklkpebephmha</t>
  </si>
  <si>
    <t>The 15-Minute SEO Audit</t>
  </si>
  <si>
    <t>https://chromewebstore.google.com/detail/amchhjaeingdimeejiicfkmingnanlbk</t>
  </si>
  <si>
    <t>HashFair</t>
  </si>
  <si>
    <t>https://chromewebstore.google.com/detail/bjkankegappneledmkoephpodobfmlhh</t>
  </si>
  <si>
    <t>Multiplication Table</t>
  </si>
  <si>
    <t>https://chromewebstore.google.com/detail/efojmcondicmmlepieoficobmdnpnfmd</t>
  </si>
  <si>
    <t>Read the web page on your mobile device</t>
  </si>
  <si>
    <t>https://chromewebstore.google.com/detail/eoojmaeimppffbibicnechhihkcjcmnl</t>
  </si>
  <si>
    <t>Pluckeye</t>
  </si>
  <si>
    <t>https://chromewebstore.google.com/detail/fajfnhakabcehaonmijifmlnlogbpaoa</t>
  </si>
  <si>
    <t>Robots vs Humans</t>
  </si>
  <si>
    <t>https://chromewebstore.google.com/detail/fjnhgpnnokcbcfbopenblmpncpaljfbk</t>
  </si>
  <si>
    <t>Spotty Web Remote Control</t>
  </si>
  <si>
    <t>https://chromewebstore.google.com/detail/jcaebomgnpplnkgdbgeiifjafbclkiam</t>
  </si>
  <si>
    <t>Mixkit Art - New Tab</t>
  </si>
  <si>
    <t>https://chromewebstore.google.com/detail/jjpifadanikcmofdfjlifpaehhhpgjap</t>
  </si>
  <si>
    <t>Quick Translate - AI Learning Assistant</t>
  </si>
  <si>
    <t>https://chromewebstore.google.com/detail/lpoljgbmkbhhdpihhcfpkekfncjibobh</t>
  </si>
  <si>
    <t>Gmail Gifline</t>
  </si>
  <si>
    <t>https://chromewebstore.google.com/detail/mcmandlkgdpmhpaebifnnepgokcjncej</t>
  </si>
  <si>
    <t>AcceleReader for Instapaper</t>
  </si>
  <si>
    <t>https://chromewebstore.google.com/detail/aaiicdnkfldglpocbdlihoepjfkjplda</t>
  </si>
  <si>
    <t>XPS to JPG Converter</t>
  </si>
  <si>
    <t>https://chromewebstore.google.com/detail/acmbhgeienaechckfgjhngddbklhnknh</t>
  </si>
  <si>
    <t>20-20 3D Viewer for Ideal Spaces</t>
  </si>
  <si>
    <t>https://chromewebstore.google.com/detail/ahibdmbefdankgpmmkdnkmlfbmkjgphi</t>
  </si>
  <si>
    <t>gulper.io</t>
  </si>
  <si>
    <t>https://chromewebstore.google.com/detail/clmgdfgfndcfofkeefailmkhhimbaknk</t>
  </si>
  <si>
    <t>Octo-Free</t>
  </si>
  <si>
    <t>https://chromewebstore.google.com/detail/japafjdhbmaapfhklkppbigmkioikboe</t>
  </si>
  <si>
    <t>Monaco Editor</t>
  </si>
  <si>
    <t>https://chromewebstore.google.com/detail/npedoklkaclmikfmkpdlangkhljgmhni</t>
  </si>
  <si>
    <t>Surf Extension</t>
  </si>
  <si>
    <t>https://chromewebstore.google.com/detail/aipkghikndfblkikafmbahbekkhmppia</t>
  </si>
  <si>
    <t>Minigiochi.com - Giochi Gratis</t>
  </si>
  <si>
    <t>https://chromewebstore.google.com/detail/hlpbijgcoogekkgnaplmgcgekbkehiij</t>
  </si>
  <si>
    <t>WebDEVTools</t>
  </si>
  <si>
    <t>https://chromewebstore.google.com/detail/hpoambpogelfpboinoffjcdceokjmdjo</t>
  </si>
  <si>
    <t>Processor Monitor</t>
  </si>
  <si>
    <t>https://chromewebstore.google.com/detail/ihfhbddglfpbodgoalhmljdneofejjnd</t>
  </si>
  <si>
    <t>Hangfire Job Filter</t>
  </si>
  <si>
    <t>https://chromewebstore.google.com/detail/bdjjepigjagkbbkeajennkhnpaejbgdi</t>
  </si>
  <si>
    <t>Splice Sounds Shortcuts</t>
  </si>
  <si>
    <t>https://chromewebstore.google.com/detail/gpodigoepmcbgcmimpabobkhifnjpile</t>
  </si>
  <si>
    <t>Buster</t>
  </si>
  <si>
    <t>https://chromewebstore.google.com/detail/hecncknibnmjplflipbjpikmajllbeci</t>
  </si>
  <si>
    <t>Replace Duolingo cartoons with anime girls</t>
  </si>
  <si>
    <t>https://chromewebstore.google.com/detail/laakljikklodjldfnanikoefcpbjhodj</t>
  </si>
  <si>
    <t>Start your search with eBay™ + Right Click</t>
  </si>
  <si>
    <t>https://chromewebstore.google.com/detail/mgfjbmhhphmndapijdlgaifinndnhcbe</t>
  </si>
  <si>
    <t>MicroWeather</t>
  </si>
  <si>
    <t>https://chromewebstore.google.com/detail/mlkbifdobkhikfmhopopgdfikiilbhio</t>
  </si>
  <si>
    <t>なぞり検索 for 楽天市場</t>
  </si>
  <si>
    <t>https://chromewebstore.google.com/detail/jlgpobagnemgpoddgcnckpgmcccnkfkd</t>
  </si>
  <si>
    <t>Add to Pinry</t>
  </si>
  <si>
    <t>https://chromewebstore.google.com/detail/jmhdcnmfkglikfjafdmdikoonedgijpa</t>
  </si>
  <si>
    <t>Glitch Text Generator - [Pro] -&gt; Glitch Fonts</t>
  </si>
  <si>
    <t>https://chromewebstore.google.com/detail/nepfndlkgainkkigfhdiopmhbbccpcao</t>
  </si>
  <si>
    <t>Snap Note</t>
  </si>
  <si>
    <t>https://chromewebstore.google.com/detail/bcddlnpbfpldhhgpjkoedhcnjchldcff</t>
  </si>
  <si>
    <t>Policy Control - JavaScript and Flash blocker</t>
  </si>
  <si>
    <t>https://chromewebstore.google.com/detail/eekommagmgepaafaaegimeldlnnnolgn</t>
  </si>
  <si>
    <t>Axie.zone Pricing Helper</t>
  </si>
  <si>
    <t>https://chromewebstore.google.com/detail/gnejflagnhkhfalcogkkcpejgkiflibf</t>
  </si>
  <si>
    <t>Galgalatz - play it live - מוזיקה זה גלגלצ</t>
  </si>
  <si>
    <t>https://chromewebstore.google.com/detail/iajclipdhicfdjbfffmgepcbipoacmfh</t>
  </si>
  <si>
    <t>Manheim Media Player (Mac)</t>
  </si>
  <si>
    <t>https://chromewebstore.google.com/detail/jgjaffakgllihecdbmikjkkpkkoincne</t>
  </si>
  <si>
    <t>Displate Fullscreen Viewer</t>
  </si>
  <si>
    <t>https://chromewebstore.google.com/detail/nchdoajnpindhpopdjhlapbdanbbfneo</t>
  </si>
  <si>
    <t>Better YouTube</t>
  </si>
  <si>
    <t>https://chromewebstore.google.com/detail/nfbnikpgcldgbpmpckhcajakdhfjjghk</t>
  </si>
  <si>
    <t>Netsuite XML</t>
  </si>
  <si>
    <t>https://chromewebstore.google.com/detail/npodoagpdconlihebmobeapjflaafcmf</t>
  </si>
  <si>
    <t>Page View Counter</t>
  </si>
  <si>
    <t>https://chromewebstore.google.com/detail/pbffhgellplheapoloifdakppmnbmdkd</t>
  </si>
  <si>
    <t>Speak Thai</t>
  </si>
  <si>
    <t>https://chromewebstore.google.com/detail/hgkdkfekclpieaclmlpfgmefdmhfccan</t>
  </si>
  <si>
    <t>Html2Book</t>
  </si>
  <si>
    <t>https://chromewebstore.google.com/detail/jafkfcddjbcfdjnogbhogflaagohdohf</t>
  </si>
  <si>
    <t>Tab Separator</t>
  </si>
  <si>
    <t>https://chromewebstore.google.com/detail/loifmfjjhcdpgpkmphgemeooklpjlihp</t>
  </si>
  <si>
    <t>Trello Card Printer</t>
  </si>
  <si>
    <t>https://chromewebstore.google.com/detail/dakpbdiplbbpkiejkbdebphiajboajic</t>
  </si>
  <si>
    <t>pop Notepad</t>
  </si>
  <si>
    <t>https://chromewebstore.google.com/detail/ekpnkffalcdjkfapohiibeimminjionc</t>
  </si>
  <si>
    <t>Chrome playback speed controller</t>
  </si>
  <si>
    <t>https://chromewebstore.google.com/detail/jjapmdbeieeoeaebndobpmjfckbimhon</t>
  </si>
  <si>
    <t>Selection Search for Google Chrome™</t>
  </si>
  <si>
    <t>https://chromewebstore.google.com/detail/mofanilgbgccagapkigfiagbhjffinbg</t>
  </si>
  <si>
    <t>IdentiFont</t>
  </si>
  <si>
    <t>https://chromewebstore.google.com/detail/nmmdmcgnpdhlhcaaklfkhiemkkiecpca</t>
  </si>
  <si>
    <t>AngularContext</t>
  </si>
  <si>
    <t>https://chromewebstore.google.com/detail/acicgfcckneopchflaeebkmdieegkpik</t>
  </si>
  <si>
    <t>Squarespace Help Toolbar</t>
  </si>
  <si>
    <t>https://chromewebstore.google.com/detail/befddnocokafidcmfpgjdbohbhiaaahj</t>
  </si>
  <si>
    <t>Meet Extension by Mitel</t>
  </si>
  <si>
    <t>https://chromewebstore.google.com/detail/egfcldmlhgaeoeihpfbjeogedcmckbkd</t>
  </si>
  <si>
    <t>Serial Term</t>
  </si>
  <si>
    <t>https://chromewebstore.google.com/detail/fnjkimblohniildfepjhejeppenokhie</t>
  </si>
  <si>
    <t>Glitch extension</t>
  </si>
  <si>
    <t>https://chromewebstore.google.com/detail/pdiedadcnaailaknceakckfffhfjiagd</t>
  </si>
  <si>
    <t>GitHub Stars Tagger</t>
  </si>
  <si>
    <t>https://chromewebstore.google.com/detail/aaihhjepepgajmehjdmfkofegfddcabc</t>
  </si>
  <si>
    <t>Gacha Life New Tab</t>
  </si>
  <si>
    <t>https://chromewebstore.google.com/detail/ghoealjfjjibhhdhialmimmmgoaeagbc</t>
  </si>
  <si>
    <t>Material Design Palette</t>
  </si>
  <si>
    <t>https://chromewebstore.google.com/detail/iklaoaeikobdklaggagbapdkhamhdjoc</t>
  </si>
  <si>
    <t>Web.TV Screen Sharing</t>
  </si>
  <si>
    <t>https://chromewebstore.google.com/detail/lmdjfpiidgmpcdfdjkhnlennkobbmbpk</t>
  </si>
  <si>
    <t>Paratic Piyasalar: Döviz, Altın, Borsa</t>
  </si>
  <si>
    <t>https://chromewebstore.google.com/detail/iofhakjmgneodeccneehnnbfpmgmcelc</t>
  </si>
  <si>
    <t>sysPass-Browser</t>
  </si>
  <si>
    <t>https://chromewebstore.google.com/detail/amllnakjfhdjjlebenhjmheboaojeplk</t>
  </si>
  <si>
    <t>True Love Calculator</t>
  </si>
  <si>
    <t>https://chromewebstore.google.com/detail/bmanfdammpmhpjpmdjpnbhmfbnminbkb</t>
  </si>
  <si>
    <t>Tinker Chrome</t>
  </si>
  <si>
    <t>https://chromewebstore.google.com/detail/dgmbfhhnljmmokimpapbpjkhnlgfolid</t>
  </si>
  <si>
    <t>douban Plus</t>
  </si>
  <si>
    <t>https://chromewebstore.google.com/detail/immcnbkcmdmhnaklnemeeaadpfphcfmd</t>
  </si>
  <si>
    <t>Sura Observatorio</t>
  </si>
  <si>
    <t>https://chromewebstore.google.com/detail/jgkailifpinppnlekakmbfoochljpacl</t>
  </si>
  <si>
    <t>easyCalc</t>
  </si>
  <si>
    <t>https://chromewebstore.google.com/detail/odhjfldkefanhaflcloghbcpapedfblh</t>
  </si>
  <si>
    <t>BlocketZoom</t>
  </si>
  <si>
    <t>https://chromewebstore.google.com/detail/akbafgfmkfcgnlogkkobammjldppgnoi</t>
  </si>
  <si>
    <t>Dev Helper</t>
  </si>
  <si>
    <t>https://chromewebstore.google.com/detail/kbbgddcndpjnadfacanamniaomcohlcc</t>
  </si>
  <si>
    <t>UF LogMeIn by joshuac.com</t>
  </si>
  <si>
    <t>https://chromewebstore.google.com/detail/kfccgbdpeficpdmkknifjabahopjjmjj</t>
  </si>
  <si>
    <t>Voice To Search</t>
  </si>
  <si>
    <t>https://chromewebstore.google.com/detail/fjjdfhdnmgaomehkdjcneiopdaeoemgg</t>
  </si>
  <si>
    <t>Nightscout Chrome Extension</t>
  </si>
  <si>
    <t>https://chromewebstore.google.com/detail/hncdmgomjlflmfphembffnaajhfmcjnk</t>
  </si>
  <si>
    <t>catcatcatcaaaaaaaaaaaaat</t>
  </si>
  <si>
    <t>https://chromewebstore.google.com/detail/pljdeblcblhdngbkhadobblaelhgfgim</t>
  </si>
  <si>
    <t>Nope 2 Overlays</t>
  </si>
  <si>
    <t>https://chromewebstore.google.com/detail/bhlfiadmogondcnpfcfjepokmmcjgdoe</t>
  </si>
  <si>
    <t>Tildes Tulkotājs</t>
  </si>
  <si>
    <t>https://chromewebstore.google.com/detail/dnbgcpgkobmfpedfhpepffbbmamffhgg</t>
  </si>
  <si>
    <t>Duck Duck Private</t>
  </si>
  <si>
    <t>https://chromewebstore.google.com/detail/gdngaleeolacajdmmfdbebdhojampnjo</t>
  </si>
  <si>
    <t>Tab Rename</t>
  </si>
  <si>
    <t>https://chromewebstore.google.com/detail/lgoehggcekcijojdfdifnfknonmeillp</t>
  </si>
  <si>
    <t>SkyRoom Assistant</t>
  </si>
  <si>
    <t>https://chromewebstore.google.com/detail/ljdankmhmhhaadaidbaddioidnfdikdg</t>
  </si>
  <si>
    <t>Alipay | Aliexpress paypal checker</t>
  </si>
  <si>
    <t>https://chromewebstore.google.com/detail/mpoijbdfnhkmfcddkfgcdkjpgecdlndo</t>
  </si>
  <si>
    <t>New Tab Random Quote</t>
  </si>
  <si>
    <t>https://chromewebstore.google.com/detail/ajdmjnkmegnofepbbkaaklfopjgdocfl</t>
  </si>
  <si>
    <t>CSS Diff</t>
  </si>
  <si>
    <t>https://chromewebstore.google.com/detail/bnkooidmjbobfbgncondmfoajbpafjio</t>
  </si>
  <si>
    <t>Motivational New Tab</t>
  </si>
  <si>
    <t>https://chromewebstore.google.com/detail/colhedmdicjkpcamhdmhelahipgceneb</t>
  </si>
  <si>
    <t>Sylestia Extension (Full Version!)</t>
  </si>
  <si>
    <t>https://chromewebstore.google.com/detail/phhplkknbklebdecmibhipcdkkaeicfi</t>
  </si>
  <si>
    <t>guideLinr</t>
  </si>
  <si>
    <t>https://chromewebstore.google.com/detail/gpbpgpmnfkhkadopaeojaobkejiipgmb</t>
  </si>
  <si>
    <t>Twitch Favorites</t>
  </si>
  <si>
    <t>https://chromewebstore.google.com/detail/ibgbiogjjahboaeffhcicimhgjmhnlcb</t>
  </si>
  <si>
    <t>豆瓣影视图书小助手</t>
  </si>
  <si>
    <t>https://chromewebstore.google.com/detail/ioacifoopoldngldmbknimhhophmfbgh</t>
  </si>
  <si>
    <t>Dropdown Filter</t>
  </si>
  <si>
    <t>https://chromewebstore.google.com/detail/lafpapdojniijcaeadlpnhcfkkpcodmb</t>
  </si>
  <si>
    <t>俄罗斯方块</t>
  </si>
  <si>
    <t>https://chromewebstore.google.com/detail/meaihhpenjllgjkkpigdkcjoboofgnih</t>
  </si>
  <si>
    <t>Keyword Wrapper &amp; Permutation Tool</t>
  </si>
  <si>
    <t>https://chromewebstore.google.com/detail/mhdnileajaidhkhmomkdjgnpkbgepgoe</t>
  </si>
  <si>
    <t>Кинориум</t>
  </si>
  <si>
    <t>https://chromewebstore.google.com/detail/ogeankadkoofdjpdoggjfomegklpdnmb</t>
  </si>
  <si>
    <t>Just Copy URL</t>
  </si>
  <si>
    <t>https://chromewebstore.google.com/detail/pdbikiamkjijdamfmbmnladmjfjhjmgn</t>
  </si>
  <si>
    <t>9块9包邮</t>
  </si>
  <si>
    <t>https://chromewebstore.google.com/detail/pnkmjipifhjeemponlmnjohfgahenifi</t>
  </si>
  <si>
    <t>Zend Debugger Extension</t>
  </si>
  <si>
    <t>https://chromewebstore.google.com/detail/aonajadpeeaijblinaeohfdmbgdpibba</t>
  </si>
  <si>
    <t>Klay_Printer</t>
  </si>
  <si>
    <t>https://chromewebstore.google.com/detail/bmmfmcdfiilloaojbpgdoafoickikegk</t>
  </si>
  <si>
    <t>Better Search For Github</t>
  </si>
  <si>
    <t>https://chromewebstore.google.com/detail/clkoiiijdjmoojmeicielppejamlbbkl</t>
  </si>
  <si>
    <t>SameVolume for Youtube™</t>
  </si>
  <si>
    <t>https://chromewebstore.google.com/detail/coekkdnnplbblpnidldcpdeoilppekcd</t>
  </si>
  <si>
    <t>Rainbow JSON Formatter</t>
  </si>
  <si>
    <t>https://chromewebstore.google.com/detail/dbiolbddipbicaokllijphafkgbedhcm</t>
  </si>
  <si>
    <t>Remove Screenshare Notification for Hangouts™</t>
  </si>
  <si>
    <t>https://chromewebstore.google.com/detail/dkoinecnplfbobfdamgfjfonmjieigpd</t>
  </si>
  <si>
    <t>Salvage Auction Research Tool</t>
  </si>
  <si>
    <t>https://chromewebstore.google.com/detail/ghbmpbdefklbjbnebdcpbjflekgmalpb</t>
  </si>
  <si>
    <t>ctrlw</t>
  </si>
  <si>
    <t>https://chromewebstore.google.com/detail/goejokenmdamcapadhgghgpeeaeaaedc</t>
  </si>
  <si>
    <t>LinkSuppressor: Make Any Link Selectable</t>
  </si>
  <si>
    <t>https://chromewebstore.google.com/detail/jffdmjmhkinopagcjgfjjfoagglhnhff</t>
  </si>
  <si>
    <t>Twitch Chat Replay</t>
  </si>
  <si>
    <t>https://chromewebstore.google.com/detail/kckepnldahdjnfmlpalbgjekincelkkk</t>
  </si>
  <si>
    <t>iSams Utilities (formerly iSams GradesPaster)</t>
  </si>
  <si>
    <t>https://chromewebstore.google.com/detail/pejofheppddmifhohdecbiocahfjhfjb</t>
  </si>
  <si>
    <t>PreWrap</t>
  </si>
  <si>
    <t>https://chromewebstore.google.com/detail/calpcokkjmookodfpbmdbknfcjhekgaj</t>
  </si>
  <si>
    <t>EGANY Tools</t>
  </si>
  <si>
    <t>https://chromewebstore.google.com/detail/ccnllgcbfegnbaokgodmlfdmocbechdg</t>
  </si>
  <si>
    <t>Youtube Monetization and Demonetization Check</t>
  </si>
  <si>
    <t>https://chromewebstore.google.com/detail/ffihidkffmefhfbkagaaoadnlbjgicfp</t>
  </si>
  <si>
    <t>JSONEdit</t>
  </si>
  <si>
    <t>https://chromewebstore.google.com/detail/kehhlmjoalagcpildnljacdicljgblgp</t>
  </si>
  <si>
    <t>EZ Copy Plaintext</t>
  </si>
  <si>
    <t>https://chromewebstore.google.com/detail/khgahhiehdlgmaoghjoegkgbfcdodnhb</t>
  </si>
  <si>
    <t>Twitter AdBlock</t>
  </si>
  <si>
    <t>https://chromewebstore.google.com/detail/kjaonljkcdidebicpnjijbfefeblncal</t>
  </si>
  <si>
    <t>Linkseller - CRM em seu WA</t>
  </si>
  <si>
    <t>https://chromewebstore.google.com/detail/nejnoepjdhjidigmphpjonnbfcmifhag</t>
  </si>
  <si>
    <t>ReproNow: Capture Screen + Network</t>
  </si>
  <si>
    <t>https://chromewebstore.google.com/detail/bgnboagkkokloclccjpmamhfijeinnpc</t>
  </si>
  <si>
    <t>Linkification Chrome</t>
  </si>
  <si>
    <t>https://chromewebstore.google.com/detail/haaamfoknimneabkapikpoccmfekkidj</t>
  </si>
  <si>
    <t>Man in the Middle</t>
  </si>
  <si>
    <t>https://chromewebstore.google.com/detail/mfgcopdhimkemcnlhkohjbdjgahmagil</t>
  </si>
  <si>
    <t>https://chromewebstore.google.com/detail/ofebnpmoppjhjeljocmfcghndlacaflg</t>
  </si>
  <si>
    <t>Wix Image Downloader</t>
  </si>
  <si>
    <t>https://chromewebstore.google.com/detail/phknhncjbkehihhchhllabhlggjlenai</t>
  </si>
  <si>
    <t>Universal script runner</t>
  </si>
  <si>
    <t>https://chromewebstore.google.com/detail/clokkgjofkeiehldpmkmpdbhehjkajkh</t>
  </si>
  <si>
    <t>Panelizer</t>
  </si>
  <si>
    <t>https://chromewebstore.google.com/detail/dpefooogphgomhpbgebhpmhpbmideaab</t>
  </si>
  <si>
    <t>Amplifier  AMP/Canonical switcher</t>
  </si>
  <si>
    <t>https://chromewebstore.google.com/detail/ennckgigejppolagdoadgaaodkhopjnb</t>
  </si>
  <si>
    <t>Lucproxy Extension</t>
  </si>
  <si>
    <t>https://chromewebstore.google.com/detail/eodlnheadifbpibmclblocmkbjmfofff</t>
  </si>
  <si>
    <t>萌典 台灣國語詞典</t>
  </si>
  <si>
    <t>https://chromewebstore.google.com/detail/fejaaaadapfieghheckpobhppccjlelm</t>
  </si>
  <si>
    <t>Export Strava to TCX</t>
  </si>
  <si>
    <t>https://chromewebstore.google.com/detail/aiieicfdcgkbkfablicinojgpkhclboi</t>
  </si>
  <si>
    <t>Vtiger Buzz</t>
  </si>
  <si>
    <t>https://chromewebstore.google.com/detail/fgkjkeadmdepahconmiapfmegflbfpej</t>
  </si>
  <si>
    <t>HTML template Gmail</t>
  </si>
  <si>
    <t>https://chromewebstore.google.com/detail/omafniemnnaphcfgflnblhknnhdmndhg</t>
  </si>
  <si>
    <t>Center Pages</t>
  </si>
  <si>
    <t>https://chromewebstore.google.com/detail/ooebgplbpddoedbkdgkebgjidllhcfae</t>
  </si>
  <si>
    <t>PinSnapper</t>
  </si>
  <si>
    <t>https://chromewebstore.google.com/detail/edamlpocaepmeldjhppnmadaieeoddba</t>
  </si>
  <si>
    <t>Cache Cleaner</t>
  </si>
  <si>
    <t>https://chromewebstore.google.com/detail/ekcjobkhkmknjjfenofigfkncfjfdmjo</t>
  </si>
  <si>
    <t>URLエンコード速攻！</t>
  </si>
  <si>
    <t>https://chromewebstore.google.com/detail/iofkdafjmcibaenmdaeikmcbapfgfmbl</t>
  </si>
  <si>
    <t>RAM light</t>
  </si>
  <si>
    <t>https://chromewebstore.google.com/detail/jbhmglllgkjijmanjbnpcpdlopbfcdkk</t>
  </si>
  <si>
    <t>Hebrew in notion</t>
  </si>
  <si>
    <t>https://chromewebstore.google.com/detail/jmcibfacbbnkhidbdmahgdmkbkpkaecb</t>
  </si>
  <si>
    <t>Foundation Overlay</t>
  </si>
  <si>
    <t>https://chromewebstore.google.com/detail/odknmbgidnpnihgllkebklpekefphpbn</t>
  </si>
  <si>
    <t>Tăng Follow Theo Dõi TikTok</t>
  </si>
  <si>
    <t>https://chromewebstore.google.com/detail/olohkojlinfcgndgpjojfjdgkhlehpdo</t>
  </si>
  <si>
    <t>Sun-Asterisk Alert</t>
  </si>
  <si>
    <t>https://chromewebstore.google.com/detail/padfelcpddafgnggpadfafblcbajajhk</t>
  </si>
  <si>
    <t>Torrentz direct search</t>
  </si>
  <si>
    <t>https://chromewebstore.google.com/detail/dilkpbckgcjjlgpkejlemkmlgceghijn</t>
  </si>
  <si>
    <t>SoundCloud DeepDark</t>
  </si>
  <si>
    <t>https://chromewebstore.google.com/detail/edooflagimepjnndabmcdlahbfpagjcl</t>
  </si>
  <si>
    <t>Five9 Adapter for NetSuite</t>
  </si>
  <si>
    <t>https://chromewebstore.google.com/detail/ekfkenjlcknadbafbcmenhkmphognnac</t>
  </si>
  <si>
    <t>Hide Mouse</t>
  </si>
  <si>
    <t>https://chromewebstore.google.com/detail/fhailkcelmfnlidlgejaggffjepcemok</t>
  </si>
  <si>
    <t>Send to Kodi</t>
  </si>
  <si>
    <t>https://chromewebstore.google.com/detail/fobjnlgachlcppfalhpnmdllmjnfmfah</t>
  </si>
  <si>
    <t>Sakura rain</t>
  </si>
  <si>
    <t>https://chromewebstore.google.com/detail/nlignnkbnkkifeholilhddbhglllkcfk</t>
  </si>
  <si>
    <t>P2P Trademanager</t>
  </si>
  <si>
    <t>https://chromewebstore.google.com/detail/abpmhgifmihkfmihjkiknebekbemmcgo</t>
  </si>
  <si>
    <t>Maximize All Windows</t>
  </si>
  <si>
    <t>https://chromewebstore.google.com/detail/amhaoajgjmbmibdnbgdebkmbcpicgnkj</t>
  </si>
  <si>
    <t>Finesse and Internet Connection Monitor</t>
  </si>
  <si>
    <t>https://chromewebstore.google.com/detail/enaplnnogjaedomhckijdghdgmpcpngl</t>
  </si>
  <si>
    <t>蓝猫知乎好物工具</t>
  </si>
  <si>
    <t>https://chromewebstore.google.com/detail/hpoemnghlchaejpfdakaaoemehinbopf</t>
  </si>
  <si>
    <t>Assima Train</t>
  </si>
  <si>
    <t>https://chromewebstore.google.com/detail/ioknjhjjcencfpdllmeoijbacekgbgdg</t>
  </si>
  <si>
    <t>Notyfy - Web Notifications in One Place</t>
  </si>
  <si>
    <t>https://chromewebstore.google.com/detail/jchnjaoenbpjjnfgnfhfljcdfhmpljic</t>
  </si>
  <si>
    <t>Enhanced grave search</t>
  </si>
  <si>
    <t>https://chromewebstore.google.com/detail/jkhdgcaplgmcaapihckchbkkcbcedhmi</t>
  </si>
  <si>
    <t>FontMe</t>
  </si>
  <si>
    <t>https://chromewebstore.google.com/detail/jmflbifhkmjblfhmkpfdflfhphbinfjl</t>
  </si>
  <si>
    <t>NASA APOD</t>
  </si>
  <si>
    <t>https://chromewebstore.google.com/detail/ehmheehfpmapjlodikilpobofjjhobaj</t>
  </si>
  <si>
    <t>Windows Phone Store QR</t>
  </si>
  <si>
    <t>https://chromewebstore.google.com/detail/imnodmdmelbigacgeladdbfnkoadecei</t>
  </si>
  <si>
    <t>Polish - UX writing made easy</t>
  </si>
  <si>
    <t>https://chromewebstore.google.com/detail/nlhnpmiknpimmdpjldadojameofboeja</t>
  </si>
  <si>
    <t>Find Forms</t>
  </si>
  <si>
    <t>https://chromewebstore.google.com/detail/hajkkfloelnggpmlehppgfhoncmghckc</t>
  </si>
  <si>
    <t>Working Holiday Visa Auto-Fill Plugin Super X</t>
  </si>
  <si>
    <t>https://chromewebstore.google.com/detail/ikfnnjcmgeedlhlgpacghonphhnolobh</t>
  </si>
  <si>
    <t>HTML Live</t>
  </si>
  <si>
    <t>https://chromewebstore.google.com/detail/mhnnniabbinkphbhmjdaigcbdicakdfn</t>
  </si>
  <si>
    <t>CoinEater</t>
  </si>
  <si>
    <t>https://chromewebstore.google.com/detail/mphghokdjcoojfjbmldmjodgmbjchnlp</t>
  </si>
  <si>
    <t>RSS Alarm</t>
  </si>
  <si>
    <t>https://chromewebstore.google.com/detail/ohgphcdjbnlbnkdooieahfmbmaaipogf</t>
  </si>
  <si>
    <t>txtReplace</t>
  </si>
  <si>
    <t>https://chromewebstore.google.com/detail/anbidaokdpljaipkcgihbooniklbfbfc</t>
  </si>
  <si>
    <t>Darcula Theme for DevTools</t>
  </si>
  <si>
    <t>https://chromewebstore.google.com/detail/gfmlaljopbojfghmafldbdecllafopom</t>
  </si>
  <si>
    <t>Oke.io Link Shortener</t>
  </si>
  <si>
    <t>https://chromewebstore.google.com/detail/ocajbbmlgngfpanabollgdekcbcehcjd</t>
  </si>
  <si>
    <t>Web Design Project Online Marketplace</t>
  </si>
  <si>
    <t>https://chromewebstore.google.com/detail/bdohnoncgnjdlijjpnebkggepaocgopo</t>
  </si>
  <si>
    <t>Kavkom Click2Call</t>
  </si>
  <si>
    <t>https://chromewebstore.google.com/detail/epfenpmnngonckanfoaehlnepjbjlmaa</t>
  </si>
  <si>
    <t>Stay Up</t>
  </si>
  <si>
    <t>https://chromewebstore.google.com/detail/pmmfkoldfghblakickfcpjpdhbbalaoh</t>
  </si>
  <si>
    <t>Goatarize for Chrome</t>
  </si>
  <si>
    <t>https://chromewebstore.google.com/detail/dmcghmgmohlfkaknkangmjnhdbejmcin</t>
  </si>
  <si>
    <t>nohistory</t>
  </si>
  <si>
    <t>https://chromewebstore.google.com/detail/ekilnbdikdapophfmkflnpphpcnpffff</t>
  </si>
  <si>
    <t>Focused - Website Blocker</t>
  </si>
  <si>
    <t>https://chromewebstore.google.com/detail/gohlodncmafjmajkfemnppioagfbjcpl</t>
  </si>
  <si>
    <t>Strava Club Annual Leaderboard</t>
  </si>
  <si>
    <t>https://chromewebstore.google.com/detail/mlmjeckehjikocbfihempdfhjdldnhgk</t>
  </si>
  <si>
    <t>ESPN Tempo Free Box</t>
  </si>
  <si>
    <t>https://chromewebstore.google.com/detail/aojnohijgfljoaikgpmehcbhfpbdibnh</t>
  </si>
  <si>
    <t>Previous / Next Page</t>
  </si>
  <si>
    <t>https://chromewebstore.google.com/detail/fmichikmgflpgibapdhepmodjdjemmda</t>
  </si>
  <si>
    <t>Oxygen</t>
  </si>
  <si>
    <t>https://chromewebstore.google.com/detail/ibbmgejonlmocgjnkmabigdgbolcomea</t>
  </si>
  <si>
    <t>Agile Poker Clock</t>
  </si>
  <si>
    <t>https://chromewebstore.google.com/detail/jdlhbbfgmidmnfacbfpfejfllhcappci</t>
  </si>
  <si>
    <t>Drive PhotoMap, GeoTag Gallery</t>
  </si>
  <si>
    <t>https://chromewebstore.google.com/detail/kdpimpkanipcikgpdogdejdbidmbfhem</t>
  </si>
  <si>
    <t>Magnet To Peerflix</t>
  </si>
  <si>
    <t>https://chromewebstore.google.com/detail/oogbolppgglppleehdlkjmfpjchekdpl</t>
  </si>
  <si>
    <t>Search Sap</t>
  </si>
  <si>
    <t>https://chromewebstore.google.com/detail/ppambhffhbblclhelfcclnjefonjijoa</t>
  </si>
  <si>
    <t>Panopto Plus</t>
  </si>
  <si>
    <t>https://chromewebstore.google.com/detail/akbikmmpkifiidiegdmhaancnfoeokbh</t>
  </si>
  <si>
    <t>Dec-Bin-Hex Converter</t>
  </si>
  <si>
    <t>https://chromewebstore.google.com/detail/ekpmhbdmofhgphjjbejkefeaebflacog</t>
  </si>
  <si>
    <t>Soliya Screensharing</t>
  </si>
  <si>
    <t>https://chromewebstore.google.com/detail/kngnmjeonknomjlmiphobdignngijjaa</t>
  </si>
  <si>
    <t>SmarterTour</t>
  </si>
  <si>
    <t>https://chromewebstore.google.com/detail/ndemdbbnlookindnmbdcaffdllkfodif</t>
  </si>
  <si>
    <t>Launchpage</t>
  </si>
  <si>
    <t>https://chromewebstore.google.com/detail/bkdpdcgcbkkohcelcibdenakcngkmamg</t>
  </si>
  <si>
    <t>Clean calculator</t>
  </si>
  <si>
    <t>https://chromewebstore.google.com/detail/dkilgaafooiibcdkhgnhialfmbdgkfae</t>
  </si>
  <si>
    <t>Your MemoPad - Simply notes for Chrome</t>
  </si>
  <si>
    <t>https://chromewebstore.google.com/detail/foejegkpnomadfpnaofmhcbgmfejboge</t>
  </si>
  <si>
    <t>Xero Accounting Reconciliation Automation</t>
  </si>
  <si>
    <t>https://chromewebstore.google.com/detail/gpkabcbkpmgnhbnophinkkbgkkfknjne</t>
  </si>
  <si>
    <t>Localize Editor</t>
  </si>
  <si>
    <t>https://chromewebstore.google.com/detail/jefepjcokpcjcemgcganhhfbgkfgijdh</t>
  </si>
  <si>
    <t>שקוף - הון-שלטון-עיתון</t>
  </si>
  <si>
    <t>https://chromewebstore.google.com/detail/emcbbfefhbnpklilnlijonjanehjnfdi</t>
  </si>
  <si>
    <t>Google Meet Global Shortcuts</t>
  </si>
  <si>
    <t>https://chromewebstore.google.com/detail/fjbngkpiplemfiflfmbhbjicmmfdcgni</t>
  </si>
  <si>
    <t>WordsBaking+</t>
  </si>
  <si>
    <t>https://chromewebstore.google.com/detail/fjdejejennfkoeghchlkjfmdlhoeebjc</t>
  </si>
  <si>
    <t>Urdu Meme - Urdu for web</t>
  </si>
  <si>
    <t>https://chromewebstore.google.com/detail/fklfhmpplflfonommkogigohiblgmiid</t>
  </si>
  <si>
    <t>NCC Image Checker</t>
  </si>
  <si>
    <t>https://chromewebstore.google.com/detail/fphiheficgnpphmjdliclanppccfgifl</t>
  </si>
  <si>
    <t>Shortcuts for Chrome</t>
  </si>
  <si>
    <t>https://chromewebstore.google.com/detail/hcjhjbmpmnemeejoleljopmmfbcncbao</t>
  </si>
  <si>
    <t>LinkedBoost</t>
  </si>
  <si>
    <t>https://chromewebstore.google.com/detail/lakflicggollbhfjonbcpgnakngepdgc</t>
  </si>
  <si>
    <t>Přeložit pomocí slovnik.cz</t>
  </si>
  <si>
    <t>https://chromewebstore.google.com/detail/lhibffeamhlmgdhohnjcnlckebkkdjim</t>
  </si>
  <si>
    <t>Running Balance for Chase</t>
  </si>
  <si>
    <t>https://chromewebstore.google.com/detail/adcbgphpofiknockeadfpohfffchliii</t>
  </si>
  <si>
    <t>OpenVoice for Google Calendar</t>
  </si>
  <si>
    <t>https://chromewebstore.google.com/detail/bbknefcaioodfgiohopbfddegglmlbhc</t>
  </si>
  <si>
    <t>Mopon | موپن</t>
  </si>
  <si>
    <t>https://chromewebstore.google.com/detail/cpbbkedomfmihdhdphhggbpcodeoljfm</t>
  </si>
  <si>
    <t>Zelle App Guide For Beginners</t>
  </si>
  <si>
    <t>https://chromewebstore.google.com/detail/gdeobcpobkpjgllegccnegmigcockmed</t>
  </si>
  <si>
    <t>Your notifier</t>
  </si>
  <si>
    <t>https://chromewebstore.google.com/detail/ijkpkehidneobagkboaoapccnfnnmemg</t>
  </si>
  <si>
    <t>ImageScrapper</t>
  </si>
  <si>
    <t>https://chromewebstore.google.com/detail/iobhdbbomjpihclcfdcedekcigollffc</t>
  </si>
  <si>
    <t>Goko Dominion Salvager</t>
  </si>
  <si>
    <t>https://chromewebstore.google.com/detail/kaignighoceeemhinbbophdeogpnedjn</t>
  </si>
  <si>
    <t>CodeTree</t>
  </si>
  <si>
    <t>https://chromewebstore.google.com/detail/keecdmdfhddgmiclpcmhgeamfaecamll</t>
  </si>
  <si>
    <t>TabIt - G Keep : Productivity in Access</t>
  </si>
  <si>
    <t>https://chromewebstore.google.com/detail/mlgblhjjbecaeiocopmpceegpdeflmke</t>
  </si>
  <si>
    <t>Cache Hit</t>
  </si>
  <si>
    <t>https://chromewebstore.google.com/detail/dpbikgdikjegmkpihbiokijjenonebga</t>
  </si>
  <si>
    <t>Send to Discord</t>
  </si>
  <si>
    <t>https://chromewebstore.google.com/detail/fdhmmlghpocfmbcjhjjhnjhbbnigaiin</t>
  </si>
  <si>
    <t>GitHub Issue Link Status</t>
  </si>
  <si>
    <t>https://chromewebstore.google.com/detail/nbiddhncecgemgccalnoanpnenalmkic</t>
  </si>
  <si>
    <t>AliEx Image Downloader &amp; Editor</t>
  </si>
  <si>
    <t>https://chromewebstore.google.com/detail/pkmdjabelopohmbkdehdanmkpoobecca</t>
  </si>
  <si>
    <t>SoloTodo</t>
  </si>
  <si>
    <t>https://chromewebstore.google.com/detail/dnacbdkmnedgahgcogbeecmgjlmkjgpf</t>
  </si>
  <si>
    <t>Screenshot to Text - Beta</t>
  </si>
  <si>
    <t>https://chromewebstore.google.com/detail/fpmhfgogalamnijkkcddamnobhdioedn</t>
  </si>
  <si>
    <t>Anonymous VPN - WebRTC leak prevent</t>
  </si>
  <si>
    <t>https://chromewebstore.google.com/detail/gkicmebfnjalhhmhljadbocnjgblkbil</t>
  </si>
  <si>
    <t>VK Manager</t>
  </si>
  <si>
    <t>https://chromewebstore.google.com/detail/jbbplengggjdnlghliebnhfbemmfmcjd</t>
  </si>
  <si>
    <t>YouTube Background Ad Skip Extension</t>
  </si>
  <si>
    <t>https://chromewebstore.google.com/detail/ncbifbdnlggnffchafbdiefobpabajkb</t>
  </si>
  <si>
    <t>1Click Save Screenshot</t>
  </si>
  <si>
    <t>https://chromewebstore.google.com/detail/olnkhcjfknjcodoclmhfcgklcmjfpale</t>
  </si>
  <si>
    <t>Safe Password Generator</t>
  </si>
  <si>
    <t>https://chromewebstore.google.com/detail/aaalbidinndddbgmcofhfmgjjgneldhi</t>
  </si>
  <si>
    <t>forexcalendar</t>
  </si>
  <si>
    <t>https://chromewebstore.google.com/detail/gpebdilgknpneddfhbnjcaibdklimggo</t>
  </si>
  <si>
    <t>freelancer extension</t>
  </si>
  <si>
    <t>https://chromewebstore.google.com/detail/ieelccadneohfiecpoocjoaolcaglmfp</t>
  </si>
  <si>
    <t>TimeCat Chrome</t>
  </si>
  <si>
    <t>https://chromewebstore.google.com/detail/jgnkkambbdmhfdbdbkljlenddlbplhal</t>
  </si>
  <si>
    <t>Directly Zoom Client Opener</t>
  </si>
  <si>
    <t>https://chromewebstore.google.com/detail/kagpicheakoeomjijdjclddhlmjhijbg</t>
  </si>
  <si>
    <t>Active Collab Inline Timers</t>
  </si>
  <si>
    <t>https://chromewebstore.google.com/detail/kdlddcggilfnadgpodhimkchdgcfobba</t>
  </si>
  <si>
    <t>VCD viewer</t>
  </si>
  <si>
    <t>https://chromewebstore.google.com/detail/fpacodjpmmabkjooobgbpgpmgbfjidkg</t>
  </si>
  <si>
    <t>Mine Control</t>
  </si>
  <si>
    <t>https://chromewebstore.google.com/detail/jnhbbkmdjdehejoajlcjhcdlofkchcbj</t>
  </si>
  <si>
    <t>Which Hogwarts House Do You Belong In?</t>
  </si>
  <si>
    <t>https://chromewebstore.google.com/detail/logajabhacnmnleejlahephdeeblooep</t>
  </si>
  <si>
    <t>Greek Alphabet</t>
  </si>
  <si>
    <t>https://chromewebstore.google.com/detail/ommeeoflbjpjkklmccchckbdgeolhmgi</t>
  </si>
  <si>
    <t>SellMission - Permission Checker</t>
  </si>
  <si>
    <t>https://chromewebstore.google.com/detail/pmjnmgcmdciabldfleoikhkdjgojheic</t>
  </si>
  <si>
    <t>Awesome History Button</t>
  </si>
  <si>
    <t>https://chromewebstore.google.com/detail/cjifeclbknmlhapifaiaocfcbahinlji</t>
  </si>
  <si>
    <t>MageTools: DevTools Reimagined</t>
  </si>
  <si>
    <t>https://chromewebstore.google.com/detail/jemdgiimoenlbpbkjpacjbkjmhgopaei</t>
  </si>
  <si>
    <t>SiteTalk Cashback Add-on</t>
  </si>
  <si>
    <t>https://chromewebstore.google.com/detail/mfekhoaagncindpjeenfenjmnbolofdi</t>
  </si>
  <si>
    <t>QR Kod Oluşturucu</t>
  </si>
  <si>
    <t>https://chromewebstore.google.com/detail/mlajdeeelocdhmckdgmnadnekmleljnm</t>
  </si>
  <si>
    <t>Musica</t>
  </si>
  <si>
    <t>https://chromewebstore.google.com/detail/nelklinoajfblccjokadcagladfhommg</t>
  </si>
  <si>
    <t>Save Animated GIFs to Drive</t>
  </si>
  <si>
    <t>https://chromewebstore.google.com/detail/ocikmedcpndmeipmaiajklkjggdiglcj</t>
  </si>
  <si>
    <t>Krunker.io Alien Blaster</t>
  </si>
  <si>
    <t>https://chromewebstore.google.com/detail/dfapkieamcdbicdffjpgcdbjobffkdag</t>
  </si>
  <si>
    <t>ツイキャスコメント楽々送信</t>
  </si>
  <si>
    <t>https://chromewebstore.google.com/detail/fiakfefleilhjceopkofaegcnmcoobhj</t>
  </si>
  <si>
    <t>WebMusic - New MP3 Music Free Download</t>
  </si>
  <si>
    <t>https://chromewebstore.google.com/detail/fkikabammcheoknpemcdhpiclllmpdoh</t>
  </si>
  <si>
    <t>MP4 to WEBM Converter</t>
  </si>
  <si>
    <t>https://chromewebstore.google.com/detail/gmohgpemjcebmklhpkojfgogfpkmcgfj</t>
  </si>
  <si>
    <t>WebWall - Internet Security &amp; Privacy Safety</t>
  </si>
  <si>
    <t>https://chromewebstore.google.com/detail/kdkochodolnbncigpmpenjjohjlkccii</t>
  </si>
  <si>
    <t>Ctrl + A (Select All)</t>
  </si>
  <si>
    <t>https://chromewebstore.google.com/detail/llkhmcjkflajcgioljbamhcepjgpgibj</t>
  </si>
  <si>
    <t>TR-Line FSA Integration</t>
  </si>
  <si>
    <t>https://chromewebstore.google.com/detail/lnjhhkicgchdekkajhnhmpelmgpafepo</t>
  </si>
  <si>
    <t>Ayah a Day</t>
  </si>
  <si>
    <t>https://chromewebstore.google.com/detail/okpcnhpoapmamjdbahbincecahemicbb</t>
  </si>
  <si>
    <t>Autochecker Antispam &amp; Checkbox Tool</t>
  </si>
  <si>
    <t>https://chromewebstore.google.com/detail/cgjodoppdnlnjliiiddckimhdjjpjdmk</t>
  </si>
  <si>
    <t>KlavoTools Kango</t>
  </si>
  <si>
    <t>https://chromewebstore.google.com/detail/ipdcaeoegfdddholdneiejgmjfnjnkbf</t>
  </si>
  <si>
    <t>Urban Dictionary Instant Word Lookup</t>
  </si>
  <si>
    <t>https://chromewebstore.google.com/detail/iphhinkkgcndibcnabdcfcianhebblmb</t>
  </si>
  <si>
    <t>Simple Paste Extension</t>
  </si>
  <si>
    <t>https://chromewebstore.google.com/detail/jbfmdblhfaookljgkjlcnhfachcfegei</t>
  </si>
  <si>
    <t>Global Mobile</t>
  </si>
  <si>
    <t>https://chromewebstore.google.com/detail/jnphbfhmpdmdhbnjheabpmkmpeeheofp</t>
  </si>
  <si>
    <t>D365-UI-Test-Designer</t>
  </si>
  <si>
    <t>https://chromewebstore.google.com/detail/lfcoehhlodiaehjepemaogbgadfoipog</t>
  </si>
  <si>
    <t>Gitmoji Browser Extension</t>
  </si>
  <si>
    <t>https://chromewebstore.google.com/detail/lkjogeoldakjceempbkdahkojohmbaja</t>
  </si>
  <si>
    <t>Job Fill</t>
  </si>
  <si>
    <t>https://chromewebstore.google.com/detail/mjoffpneklipeiopgidgjccbjefamnhj</t>
  </si>
  <si>
    <t>超级下单</t>
  </si>
  <si>
    <t>https://chromewebstore.google.com/detail/dllgocogbblembnhmkbjbakkfkooficl</t>
  </si>
  <si>
    <t>Money Manager</t>
  </si>
  <si>
    <t>https://chromewebstore.google.com/detail/eglhkdhnmkggbbepgfdigfajlempkdif</t>
  </si>
  <si>
    <t>Rapids</t>
  </si>
  <si>
    <t>https://chromewebstore.google.com/detail/fdoghhkncnblgflogjchbhhfalffaaad</t>
  </si>
  <si>
    <t>Perceptual image analysis</t>
  </si>
  <si>
    <t>https://chromewebstore.google.com/detail/gidmeabdffonnejjlkbglmppmfniakdf</t>
  </si>
  <si>
    <t>Funny Games</t>
  </si>
  <si>
    <t>https://chromewebstore.google.com/detail/hojbnjghcepifkmfnifhhmejlahfgiem</t>
  </si>
  <si>
    <t>Auto Boomerang by Siege Media</t>
  </si>
  <si>
    <t>https://chromewebstore.google.com/detail/kemincbhdgppphceahdgebffjcfgbigp</t>
  </si>
  <si>
    <t>VoiceHack</t>
  </si>
  <si>
    <t>https://chromewebstore.google.com/detail/kflglbgjhjolgboocdpajcfjiokfpcam</t>
  </si>
  <si>
    <t>Weekdone - Plan and share your weekly tasks</t>
  </si>
  <si>
    <t>https://chromewebstore.google.com/detail/bbecdibpbedkfjhgipnjgkalhedefegj</t>
  </si>
  <si>
    <t>打骨折-淘宝优惠券 天猫优惠券领取</t>
  </si>
  <si>
    <t>https://chromewebstore.google.com/detail/bodhjcioepfmdioecpjonecadajiiamj</t>
  </si>
  <si>
    <t>EPS to AI Converter</t>
  </si>
  <si>
    <t>https://chromewebstore.google.com/detail/fonjkoapgplledieiloikhboinelmmop</t>
  </si>
  <si>
    <t>Jisho Kioku</t>
  </si>
  <si>
    <t>https://chromewebstore.google.com/detail/icnpljpaddnphinehahcfincggpgcadb</t>
  </si>
  <si>
    <t>Add "Mark All Read" button to GMail</t>
  </si>
  <si>
    <t>https://chromewebstore.google.com/detail/mhgahabpbdjldmonmfgehfhjmgjedjkc</t>
  </si>
  <si>
    <t>Rick Roller</t>
  </si>
  <si>
    <t>https://chromewebstore.google.com/detail/mjklaailjabbidpmbngdceejclkbikib</t>
  </si>
  <si>
    <t>ClickUp RTL</t>
  </si>
  <si>
    <t>https://chromewebstore.google.com/detail/onakkfgcndojknipgnpagfakhbnpmpeh</t>
  </si>
  <si>
    <t>AO3 Enhancement Suite</t>
  </si>
  <si>
    <t>https://chromewebstore.google.com/detail/bhmneclegcomgehhnoielpcmgjbamblj</t>
  </si>
  <si>
    <t>LibShield Chrome Client</t>
  </si>
  <si>
    <t>https://chromewebstore.google.com/detail/ceehlgckkmkaoggdnjhibffkphfnphmg</t>
  </si>
  <si>
    <t>QueryParam</t>
  </si>
  <si>
    <t>https://chromewebstore.google.com/detail/debkbpaaeaocgianodbgghkhkjjlclhg</t>
  </si>
  <si>
    <t>Dark Side</t>
  </si>
  <si>
    <t>https://chromewebstore.google.com/detail/mepmobcikgjmkmfpogmigbmliihpnpkb</t>
  </si>
  <si>
    <t>Better Group Tabs</t>
  </si>
  <si>
    <t>https://chromewebstore.google.com/detail/mmjaoaafcnfpgjlhkoopnnlhmkjmeglg</t>
  </si>
  <si>
    <t>https://chromewebstore.google.com/detail/pakimokpohbojafpbgknlohgoepnelki</t>
  </si>
  <si>
    <t>Version Check for Drupal</t>
  </si>
  <si>
    <t>https://chromewebstore.google.com/detail/cfgkoondhklepebjanihdiedjmibieii</t>
  </si>
  <si>
    <t>Text Customizer</t>
  </si>
  <si>
    <t>https://chromewebstore.google.com/detail/kjcahcohoafkpcehokeficpobcplpnhc</t>
  </si>
  <si>
    <t>Simple OTP Token Generator</t>
  </si>
  <si>
    <t>https://chromewebstore.google.com/detail/lcohfbdkckffmhclhoidahddlkffebaa</t>
  </si>
  <si>
    <t>Georgify</t>
  </si>
  <si>
    <t>https://chromewebstore.google.com/detail/ofjfdfaleomlfanfehgblppafkijjhmi</t>
  </si>
  <si>
    <t>FLO Player</t>
  </si>
  <si>
    <t>https://chromewebstore.google.com/detail/pnkfjmfdjmbiamaeooekochfcdhjjhcg</t>
  </si>
  <si>
    <t>Amazon Harvest</t>
  </si>
  <si>
    <t>https://chromewebstore.google.com/detail/aamemknciolgiibiifaplfacppgjjpkl</t>
  </si>
  <si>
    <t>Chrome Extension Organizer</t>
  </si>
  <si>
    <t>https://chromewebstore.google.com/detail/ihpaieemfcpeondkheidnecdlhihgddc</t>
  </si>
  <si>
    <t>Stock Chart</t>
  </si>
  <si>
    <t>https://chromewebstore.google.com/detail/mmdillemdanmbdhkoijknbbibhlmlbga</t>
  </si>
  <si>
    <t>See On BoardGameGeek</t>
  </si>
  <si>
    <t>https://chromewebstore.google.com/detail/oaiagedjckhjgfmmmgfnnkjigbmplbhm</t>
  </si>
  <si>
    <t>Verbatim Search</t>
  </si>
  <si>
    <t>https://chromewebstore.google.com/detail/occcfdnjdbgjglcbpolkmjnjillkgbcm</t>
  </si>
  <si>
    <t>Starsucks</t>
  </si>
  <si>
    <t>https://chromewebstore.google.com/detail/ccpijncgingpepdgbjaglhnomiikmenp</t>
  </si>
  <si>
    <t>Lenny Face ( ͡° ͜ʖ ͡°)</t>
  </si>
  <si>
    <t>https://chromewebstore.google.com/detail/hblmbelcbkkfeldlnbiblbmkeeoemaci</t>
  </si>
  <si>
    <t>Custom Shortcut Button</t>
  </si>
  <si>
    <t>https://chromewebstore.google.com/detail/kcmejemnmnheajipjgilcefofjchdafg</t>
  </si>
  <si>
    <t>One Key Full Screen</t>
  </si>
  <si>
    <t>https://chromewebstore.google.com/detail/mggglpiplgkfcmbpnfdibgcncjfclbgc</t>
  </si>
  <si>
    <t>Seedboxes.cc</t>
  </si>
  <si>
    <t>https://chromewebstore.google.com/detail/nnmmipaoneinbdcjodijccmblmleffbc</t>
  </si>
  <si>
    <t>Get Link</t>
  </si>
  <si>
    <t>https://chromewebstore.google.com/detail/bknagdmankilmkenflkobkobmdeakcic</t>
  </si>
  <si>
    <t>Backup and Restore Tabs</t>
  </si>
  <si>
    <t>https://chromewebstore.google.com/detail/clcofnmpilgeamkhcngjhkgdniidpnhn</t>
  </si>
  <si>
    <t>Snovasys Chrome Listener</t>
  </si>
  <si>
    <t>https://chromewebstore.google.com/detail/dlmofpahhkcpioogjkallbhilojkaggm</t>
  </si>
  <si>
    <t>Wandering Cat</t>
  </si>
  <si>
    <t>https://chromewebstore.google.com/detail/fekmcdeljonllillnbjhophkhnjhhjpd</t>
  </si>
  <si>
    <t>SimpleNote</t>
  </si>
  <si>
    <t>https://chromewebstore.google.com/detail/glkebnfeoeechmiphpabhophnpcogpdj</t>
  </si>
  <si>
    <t>ServiceNow tool belt</t>
  </si>
  <si>
    <t>https://chromewebstore.google.com/detail/jflcifhpkilfaomlnikfaaccmpidkmln</t>
  </si>
  <si>
    <t>APEX Developer Addon</t>
  </si>
  <si>
    <t>https://chromewebstore.google.com/detail/kodbmoekdigcemdkcbonnnejdpjfkpdf</t>
  </si>
  <si>
    <t>Universal Now Playing Companion</t>
  </si>
  <si>
    <t>https://chromewebstore.google.com/detail/lljahlkpnhdopaegadghfjhhkcpdlijg</t>
  </si>
  <si>
    <t>Nopad</t>
  </si>
  <si>
    <t>https://chromewebstore.google.com/detail/mmhhhpngkbmehangnmfjflmloccnpoha</t>
  </si>
  <si>
    <t>Smart Ads Finder</t>
  </si>
  <si>
    <t>https://chromewebstore.google.com/detail/oojeieppkffpbnmlpipfbblophebaplg</t>
  </si>
  <si>
    <t>IQ Trading Bot</t>
  </si>
  <si>
    <t>https://chromewebstore.google.com/detail/pgpmofldjfjmcoooopmhmkmjkpjcobgm</t>
  </si>
  <si>
    <t>Auto-complete</t>
  </si>
  <si>
    <t>https://chromewebstore.google.com/detail/aoifdlchnbljhopodkpaieedbchgjpmo</t>
  </si>
  <si>
    <t>e621 Subscriptions</t>
  </si>
  <si>
    <t>https://chromewebstore.google.com/detail/dgjmocajjcibgpkigbnhengiidoehmoo</t>
  </si>
  <si>
    <t>Assay - the URL Inspection tools</t>
  </si>
  <si>
    <t>https://chromewebstore.google.com/detail/dpaahndfhbkiolfhjbeaocgmphmgidih</t>
  </si>
  <si>
    <t>Motargam</t>
  </si>
  <si>
    <t>https://chromewebstore.google.com/detail/gifpicggdnmcookaopgohbpbnhggighk</t>
  </si>
  <si>
    <t>Smooth Scroll</t>
  </si>
  <si>
    <t>https://chromewebstore.google.com/detail/gkhebpnlfbdhbhnlgdpcpidkcgmmhdhp</t>
  </si>
  <si>
    <t>WMA to WAV Converter</t>
  </si>
  <si>
    <t>https://chromewebstore.google.com/detail/hnpoddgigidolgmakoikejeldkbcifbd</t>
  </si>
  <si>
    <t>Show This Image</t>
  </si>
  <si>
    <t>https://chromewebstore.google.com/detail/maihkkiapahkbejpojgcioffhmcfnbpc</t>
  </si>
  <si>
    <t>Morse Chrome</t>
  </si>
  <si>
    <t>https://chromewebstore.google.com/detail/mcgjcnemliplogmakfelldipnhbpnmob</t>
  </si>
  <si>
    <t>Simple Dic (Instant Dictionary)</t>
  </si>
  <si>
    <t>https://chromewebstore.google.com/detail/nckcfdmjoihejoigkinnajfaeepfgaak</t>
  </si>
  <si>
    <t>Bhagavad Gita</t>
  </si>
  <si>
    <t>https://chromewebstore.google.com/detail/ookdjhmocgldcjpddgnadpeaiglgfccn</t>
  </si>
  <si>
    <t>Trello Table Markdown</t>
  </si>
  <si>
    <t>https://chromewebstore.google.com/detail/pgifaolbebmlmfafkgngfjchfpcpndig</t>
  </si>
  <si>
    <t>Beatport Key Changer</t>
  </si>
  <si>
    <t>https://chromewebstore.google.com/detail/mccpbdlgkkdffdigmnjnmeccpadjfgkp</t>
  </si>
  <si>
    <t>FPL Insights</t>
  </si>
  <si>
    <t>https://chromewebstore.google.com/detail/ppogcdipnlbkhgpbpicpcedleloiejak</t>
  </si>
  <si>
    <t>Caspr: Enforcer</t>
  </si>
  <si>
    <t>https://chromewebstore.google.com/detail/fekcdjkhlbjngkimekikebfegbijjafd</t>
  </si>
  <si>
    <t>Craigslist Inline Image Preview</t>
  </si>
  <si>
    <t>https://chromewebstore.google.com/detail/ficneidiepnebpcibidooogdpnoblhdc</t>
  </si>
  <si>
    <t>Google Account Chooser</t>
  </si>
  <si>
    <t>https://chromewebstore.google.com/detail/fldnfjcbkcklcbcbjojlinecjpbmiapi</t>
  </si>
  <si>
    <t>https://chromewebstore.google.com/detail/gpaakhhkcmlenabckmapmlfnajboobbi</t>
  </si>
  <si>
    <t>Lectio Expert</t>
  </si>
  <si>
    <t>https://chromewebstore.google.com/detail/hdfpfilneelpdfahbkehkgjlbccijkkk</t>
  </si>
  <si>
    <t>VK Custom Stickers</t>
  </si>
  <si>
    <t>https://chromewebstore.google.com/detail/kddpoomkfoafiocglfhpdbeigehicpnj</t>
  </si>
  <si>
    <t>autoFill</t>
  </si>
  <si>
    <t>https://chromewebstore.google.com/detail/acpgjmjldamjjinpkchgnimfcdilcilb</t>
  </si>
  <si>
    <t>Pause page</t>
  </si>
  <si>
    <t>https://chromewebstore.google.com/detail/aephmjhanjgbapahgbbkfhpianhbmeed</t>
  </si>
  <si>
    <t>Skin Filter</t>
  </si>
  <si>
    <t>https://chromewebstore.google.com/detail/digkbjcglmbbipijiogdeegbfbepgdon</t>
  </si>
  <si>
    <t>Shrug Emoji</t>
  </si>
  <si>
    <t>https://chromewebstore.google.com/detail/gdmpjhkcabahmlpildpfmangdfpceofc</t>
  </si>
  <si>
    <t>Wishlist-To-Cart for Amazon</t>
  </si>
  <si>
    <t>https://chromewebstore.google.com/detail/hcidhephpgibbomfkllaaebnlokpemim</t>
  </si>
  <si>
    <t>Clip64 Base64 Decoder</t>
  </si>
  <si>
    <t>https://chromewebstore.google.com/detail/hdneaoibdfdmifgfjjlkbkceanhjmgch</t>
  </si>
  <si>
    <t>Callee</t>
  </si>
  <si>
    <t>https://chromewebstore.google.com/detail/miblecepolnmkhkbijfmlllpajnfjmlc</t>
  </si>
  <si>
    <t>CaptionPop</t>
  </si>
  <si>
    <t>https://chromewebstore.google.com/detail/oghhiiieljkjlkiednhchfbpbgadkeam</t>
  </si>
  <si>
    <t>デッキ分布図つくるマシーン</t>
  </si>
  <si>
    <t>https://chromewebstore.google.com/detail/dfljbdbkgkhcpmjgbjfegdnlembkkcol</t>
  </si>
  <si>
    <t>Just do it!</t>
  </si>
  <si>
    <t>https://chromewebstore.google.com/detail/hclflnemjmbjnohglfdbmmlmlbpemaij</t>
  </si>
  <si>
    <t>My First Browser</t>
  </si>
  <si>
    <t>https://chromewebstore.google.com/detail/joaofgaoaipdmglbfjkjfeefdkjjaine</t>
  </si>
  <si>
    <t>Pipedrive CRM Helper</t>
  </si>
  <si>
    <t>https://chromewebstore.google.com/detail/khelhkpoimpdfcdkhbpkmoefgpbjeafm</t>
  </si>
  <si>
    <t>#ДАНСwithme</t>
  </si>
  <si>
    <t>https://chromewebstore.google.com/detail/lmcpmmnecclemnhobkplkgpjjddgnkej</t>
  </si>
  <si>
    <t>Durak - the card game</t>
  </si>
  <si>
    <t>https://chromewebstore.google.com/detail/moendlkcamnfghollfakonolmkaeedmj</t>
  </si>
  <si>
    <t>East Control</t>
  </si>
  <si>
    <t>https://chromewebstore.google.com/detail/oanebiaiakkpfipgnkpmcpkjfnclbgfi</t>
  </si>
  <si>
    <t>Grandstream Click To Call</t>
  </si>
  <si>
    <t>https://chromewebstore.google.com/detail/pgdncclokadpgmdbakidmdajhggioigg</t>
  </si>
  <si>
    <t>Asset Swapper</t>
  </si>
  <si>
    <t>https://chromewebstore.google.com/detail/ppbpfkdfdbdpflkahbidgilomkiiholg</t>
  </si>
  <si>
    <t>JSON Format</t>
  </si>
  <si>
    <t>https://chromewebstore.google.com/detail/kodnagflhocgibhbmgbpceldokkoldpm</t>
  </si>
  <si>
    <t>SVG link viewer</t>
  </si>
  <si>
    <t>https://chromewebstore.google.com/detail/lnggninmgmlcfbancjjfiplammfeeihj</t>
  </si>
  <si>
    <t>Intercom Chrome Extension</t>
  </si>
  <si>
    <t>https://chromewebstore.google.com/detail/nacbmbmlibonpmhhacnnliibhpdpkpjl</t>
  </si>
  <si>
    <t>Chart Nerd Extension</t>
  </si>
  <si>
    <t>https://chromewebstore.google.com/detail/bakfkchdglacloppcphpfbpofmfmflkk</t>
  </si>
  <si>
    <t>Netflix Toggle English Subtitles</t>
  </si>
  <si>
    <t>https://chromewebstore.google.com/detail/dgfigfcmgjgaioloiogajolohifeimhi</t>
  </si>
  <si>
    <t>TabAttack</t>
  </si>
  <si>
    <t>https://chromewebstore.google.com/detail/ginflokhdahakklidfjlogllkkhokidj</t>
  </si>
  <si>
    <t>Dinimiz islam</t>
  </si>
  <si>
    <t>https://chromewebstore.google.com/detail/jilanmapccclggpknpoldablbdgipgkc</t>
  </si>
  <si>
    <t>Unblock Please</t>
  </si>
  <si>
    <t>https://chromewebstore.google.com/detail/lpngbkmgnehdkkobdbieckjpphkohffd</t>
  </si>
  <si>
    <t>Bookmark RecycleBin</t>
  </si>
  <si>
    <t>https://chromewebstore.google.com/detail/oiaokhalddljknajgbakpkikohhpfnle</t>
  </si>
  <si>
    <t>webhook</t>
  </si>
  <si>
    <t>https://chromewebstore.google.com/detail/plembnjjobijhfiimnfjnnlmchabljoe</t>
  </si>
  <si>
    <t>Temporary Bookmarks</t>
  </si>
  <si>
    <t>https://chromewebstore.google.com/detail/bpndllhnkhaepbdeeklhlbpinaacbjfj</t>
  </si>
  <si>
    <t>PLATO Highlighter</t>
  </si>
  <si>
    <t>https://chromewebstore.google.com/detail/dggoghopejehbpogaaehefjlflbbdgej</t>
  </si>
  <si>
    <t>Fluid Page</t>
  </si>
  <si>
    <t>https://chromewebstore.google.com/detail/fgpgdjgeoadkigpbnkhobdbgmjifnpaa</t>
  </si>
  <si>
    <t>GitHubber</t>
  </si>
  <si>
    <t>https://chromewebstore.google.com/detail/gmhgbhgpembbkendmjfhmdekcddncflc</t>
  </si>
  <si>
    <t>Кэшбэк-сервис Moneta.ua</t>
  </si>
  <si>
    <t>https://chromewebstore.google.com/detail/jkmcidhidkfnconjdkhdiigbamgpihgo</t>
  </si>
  <si>
    <t>PubMed for Omnibox</t>
  </si>
  <si>
    <t>https://chromewebstore.google.com/detail/kcipmkejkojihddfhdmgolhhnbjnhbpm</t>
  </si>
  <si>
    <t>Doodler</t>
  </si>
  <si>
    <t>https://chromewebstore.google.com/detail/kkibgipamepglokkgajhiholokhcjmog</t>
  </si>
  <si>
    <t>RegX</t>
  </si>
  <si>
    <t>https://chromewebstore.google.com/detail/ljalefclkclbejlnejeagbpebmheejml</t>
  </si>
  <si>
    <t>Cookies Scanner</t>
  </si>
  <si>
    <t>https://chromewebstore.google.com/detail/mbpokgplnceehjoeifmlhkbfifjmbpee</t>
  </si>
  <si>
    <t>Lead Arena Extension</t>
  </si>
  <si>
    <t>https://chromewebstore.google.com/detail/oaflcfpfbadadlpedcaenffejghilmdl</t>
  </si>
  <si>
    <t>slack emoji meister</t>
  </si>
  <si>
    <t>https://chromewebstore.google.com/detail/omcnknklnilbbnoioiaibdkhoonlmdnj</t>
  </si>
  <si>
    <t>MEETboard</t>
  </si>
  <si>
    <t>https://chromewebstore.google.com/detail/khdpepplemadoajklfhgmffmhjojicie</t>
  </si>
  <si>
    <t>SB Angular Inspector</t>
  </si>
  <si>
    <t>https://chromewebstore.google.com/detail/lapcbklolihkkijaemmlbkpibgghhioh</t>
  </si>
  <si>
    <t>Open Tabs In Foreground</t>
  </si>
  <si>
    <t>https://chromewebstore.google.com/detail/bmnanfhdjbcilhippcdfbhfpfoipgjgm</t>
  </si>
  <si>
    <t>Gmail automatic BCC me by 010Pixel</t>
  </si>
  <si>
    <t>https://chromewebstore.google.com/detail/cdbbhmihggfhmhbbmabpkpflahdeodgo</t>
  </si>
  <si>
    <t>Consultar Disponibilidade NF-e</t>
  </si>
  <si>
    <t>https://chromewebstore.google.com/detail/giikpeklljpljjdhhgnnlgdefikneiih</t>
  </si>
  <si>
    <t>Magoon: Chrome DevTools Theme</t>
  </si>
  <si>
    <t>https://chromewebstore.google.com/detail/aaimlcmkljmacmacanfbhfgjkahgaihm</t>
  </si>
  <si>
    <t>aguse popup tool</t>
  </si>
  <si>
    <t>https://chromewebstore.google.com/detail/aimpmlaibekeikgifanaejmpglpknnnj</t>
  </si>
  <si>
    <t>CorityLayout+</t>
  </si>
  <si>
    <t>https://chromewebstore.google.com/detail/cahocmmpljojjnbddkgflandcdbomgob</t>
  </si>
  <si>
    <t>https://chromewebstore.google.com/detail/ehagagfefdlncfmdnnegoagdemnfehdc</t>
  </si>
  <si>
    <t>Polyglot</t>
  </si>
  <si>
    <t>https://chromewebstore.google.com/detail/hdbcnodefcbojlkaobiahghecgjoiicb</t>
  </si>
  <si>
    <t>Reload Tabs</t>
  </si>
  <si>
    <t>https://chromewebstore.google.com/detail/inhimoldpmckkeohhdkccpnpbpdfaple</t>
  </si>
  <si>
    <t>Dropship N Paste</t>
  </si>
  <si>
    <t>https://chromewebstore.google.com/detail/mhfkipjbjoggoibcnilbbhdmojekjico</t>
  </si>
  <si>
    <t>Movies, TV-series search</t>
  </si>
  <si>
    <t>https://chromewebstore.google.com/detail/miploifkaagebhdlcdaaomgnenchiocf</t>
  </si>
  <si>
    <t>Phytonic</t>
  </si>
  <si>
    <t>https://chromewebstore.google.com/detail/nmjjeegdffiahoepnhjomedajlphigoa</t>
  </si>
  <si>
    <t>ignore-x-frame-headers</t>
  </si>
  <si>
    <t>https://chromewebstore.google.com/detail/ohgdnhkppgeemnmjebhedjneajcedppf</t>
  </si>
  <si>
    <t>https://chromewebstore.google.com/detail/dgmhlmcmofmfdmjhpkpippfklihelkhe</t>
  </si>
  <si>
    <t>ZeXtras companion Extension</t>
  </si>
  <si>
    <t>https://chromewebstore.google.com/detail/eiichpepijkdkmeblleomnppnmiinfkp</t>
  </si>
  <si>
    <t>Linkify JIRA Issues</t>
  </si>
  <si>
    <t>https://chromewebstore.google.com/detail/ekbbnaokafbanjgmcbllligemhiclbcb</t>
  </si>
  <si>
    <t>Outside Simulator</t>
  </si>
  <si>
    <t>https://chromewebstore.google.com/detail/lemblgpmokabdmjphfehokigmpeobefc</t>
  </si>
  <si>
    <t>Pinboard Pro</t>
  </si>
  <si>
    <t>https://chromewebstore.google.com/detail/pmgaobiflaffpllgnepmhcnbdhfgnpna</t>
  </si>
  <si>
    <t>Regex</t>
  </si>
  <si>
    <t>https://chromewebstore.google.com/detail/pmihaiejckejbpjdnildimfkpcpnohlo</t>
  </si>
  <si>
    <t>IG Speed</t>
  </si>
  <si>
    <t>https://chromewebstore.google.com/detail/bhaoeiajjigjglldnbichcimpgkfhckj</t>
  </si>
  <si>
    <t>Translation on selection</t>
  </si>
  <si>
    <t>https://chromewebstore.google.com/detail/eepnfgpbliefeomgndikgopjomjelbhd</t>
  </si>
  <si>
    <t>Cyber Campus Assistant</t>
  </si>
  <si>
    <t>https://chromewebstore.google.com/detail/fddonggpkiioiamiooilhidionncbdoj</t>
  </si>
  <si>
    <t>zzllrr Easy Clock(ZEC)</t>
  </si>
  <si>
    <t>https://chromewebstore.google.com/detail/fdnpemihonbjkncljjolnmpfgbeigapf</t>
  </si>
  <si>
    <t>Focus YouTube: Remove the recommendations</t>
  </si>
  <si>
    <t>https://chromewebstore.google.com/detail/ejjfgahdiphopekkdkkkapolodefpenn</t>
  </si>
  <si>
    <t>Apollo Sync for Chrome</t>
  </si>
  <si>
    <t>https://chromewebstore.google.com/detail/fbmhcbaeifdmgiidnkhchagmeijdoijp</t>
  </si>
  <si>
    <t>OGS Notifier</t>
  </si>
  <si>
    <t>https://chromewebstore.google.com/detail/fcoiihedkoepncejhcojgooljcflgpki</t>
  </si>
  <si>
    <t>Canvas Class Average</t>
  </si>
  <si>
    <t>https://chromewebstore.google.com/detail/gmfkhbgcplalelcilmjpilgeeeabcbmh</t>
  </si>
  <si>
    <t>https://chromewebstore.google.com/detail/hoflghcpbmgflojkghjopgodbhlpaeah</t>
  </si>
  <si>
    <t>Netflix Auto Skip Intro</t>
  </si>
  <si>
    <t>https://chromewebstore.google.com/detail/nnpjokeejpliankbgnjbjlkaloppehoi</t>
  </si>
  <si>
    <t>Chrome Note</t>
  </si>
  <si>
    <t>https://chromewebstore.google.com/detail/aockhgcalnpkacmmbabpenflbdikonmg</t>
  </si>
  <si>
    <t>Leetcode Shortcuts</t>
  </si>
  <si>
    <t>https://chromewebstore.google.com/detail/gnfgpckgnjfpifajcmmkegajbnmpdagb</t>
  </si>
  <si>
    <t>Dark Scrollbar for YouTube™</t>
  </si>
  <si>
    <t>https://chromewebstore.google.com/detail/mcccooedddofpgcfonjkjkcjcmjopgag</t>
  </si>
  <si>
    <t>SEOkit - Quick Test on Free SEO Tools!</t>
  </si>
  <si>
    <t>https://chromewebstore.google.com/detail/mdockcefffdofgbbjnnopcdmmkmfhjbm</t>
  </si>
  <si>
    <t>Pixiv Ranking New Tab</t>
  </si>
  <si>
    <t>https://chromewebstore.google.com/detail/mjfpkofgblpbkmjapadadendndgpiehh</t>
  </si>
  <si>
    <t>Rotate Page in Google Books</t>
  </si>
  <si>
    <t>https://chromewebstore.google.com/detail/njekdcbanhfkdnnfmmbidoacmankeplg</t>
  </si>
  <si>
    <t>Crunchyroll Dark Mode + UI Upgrade</t>
  </si>
  <si>
    <t>https://chromewebstore.google.com/detail/ameigalddkfonmfeclbpknhmacaponip</t>
  </si>
  <si>
    <t>Опубликовать ВКонтакте (vk.com)</t>
  </si>
  <si>
    <t>https://chromewebstore.google.com/detail/bhbcbhpenkmpgbjgaleflgfmelhjlcla</t>
  </si>
  <si>
    <t>ASCII Art</t>
  </si>
  <si>
    <t>https://chromewebstore.google.com/detail/iiijcjlkdiolgjlchofcehnenjijmpoc</t>
  </si>
  <si>
    <t>Study Buddy</t>
  </si>
  <si>
    <t>https://chromewebstore.google.com/detail/oclpffaofghhmjgdldcmnkofpdnogdnf</t>
  </si>
  <si>
    <t>Узнай кто перекуп | (validauto.ru)</t>
  </si>
  <si>
    <t>https://chromewebstore.google.com/detail/pmhanmhcicjcfmmjiclkkjlpigpdmchl</t>
  </si>
  <si>
    <t>https://chromewebstore.google.com/detail/aliachjmgkelibfecomdccomahgpople</t>
  </si>
  <si>
    <t>Brightness control</t>
  </si>
  <si>
    <t>https://chromewebstore.google.com/detail/leocemaonffedgnjdhfoilhdledinnnh</t>
  </si>
  <si>
    <t>Brightery Website Builder</t>
  </si>
  <si>
    <t>https://chromewebstore.google.com/detail/oikidifpfcaoocciidamfmfjmhggbhlk</t>
  </si>
  <si>
    <t>Chris Burkard Photography</t>
  </si>
  <si>
    <t>https://chromewebstore.google.com/detail/ahahkpfdmlddommandcmeanlhbabnckn</t>
  </si>
  <si>
    <t>Twitch Points Claimer</t>
  </si>
  <si>
    <t>https://chromewebstore.google.com/detail/fjekaacdohamhhbmfhllhangfcgaimmm</t>
  </si>
  <si>
    <t>Add URL to page title</t>
  </si>
  <si>
    <t>https://chromewebstore.google.com/detail/ghpeimfjbonkimelnkbgekmcboomkgmi</t>
  </si>
  <si>
    <t>LikeFree</t>
  </si>
  <si>
    <t>https://chromewebstore.google.com/detail/hejgbghjhjiilikhjinpbooockoiipek</t>
  </si>
  <si>
    <t>Tab Manager (by shimomire)</t>
  </si>
  <si>
    <t>https://chromewebstore.google.com/detail/lhnjllodihbcobjkppfbafclibgpofje</t>
  </si>
  <si>
    <t>YouMix</t>
  </si>
  <si>
    <t>https://chromewebstore.google.com/detail/lnhmnokjidjgnnbfcnbhnkgfnfcndfkg</t>
  </si>
  <si>
    <t>Forkfile Download Manager</t>
  </si>
  <si>
    <t>https://chromewebstore.google.com/detail/olifkhgiaclmeffmbahghkpapnfipibl</t>
  </si>
  <si>
    <t>Web Guardian</t>
  </si>
  <si>
    <t>https://chromewebstore.google.com/detail/pjfphmbojlohmlllhdonekppepdpbkme</t>
  </si>
  <si>
    <t>Fill form from json</t>
  </si>
  <si>
    <t>https://chromewebstore.google.com/detail/gdgkhgfgpfhnmiebaedlcaignonmjobe</t>
  </si>
  <si>
    <t>Wordzen for Gmail</t>
  </si>
  <si>
    <t>https://chromewebstore.google.com/detail/iljjenghdkelgjcolpijbmljfiejjphn</t>
  </si>
  <si>
    <t>Filmaffinity búsqueda rápida</t>
  </si>
  <si>
    <t>https://chromewebstore.google.com/detail/kbmlfebdmnbkankdjbfjepadjnapkbki</t>
  </si>
  <si>
    <t>Image-saver</t>
  </si>
  <si>
    <t>https://chromewebstore.google.com/detail/kkpnmkbpnnmefdjpdemgjpalbnplmdif</t>
  </si>
  <si>
    <t>Notifications for Twitch</t>
  </si>
  <si>
    <t>https://chromewebstore.google.com/detail/bgkogmcpidbbckddheecaheippeabpnf</t>
  </si>
  <si>
    <t>Canvas Quiz Solution Remover</t>
  </si>
  <si>
    <t>https://chromewebstore.google.com/detail/bjnnkbaedklmpjohbnhnblglllonbkik</t>
  </si>
  <si>
    <t>URL Reader</t>
  </si>
  <si>
    <t>https://chromewebstore.google.com/detail/cjiagapahflodiohcblmknmbaanipomj</t>
  </si>
  <si>
    <t>Kurotodon</t>
  </si>
  <si>
    <t>https://chromewebstore.google.com/detail/fandjchmgmejjcjcedgeoileeibjndbb</t>
  </si>
  <si>
    <t>Examin</t>
  </si>
  <si>
    <t>https://chromewebstore.google.com/detail/ihhopbmcfgkpjklemfdbhgingabdkcpe</t>
  </si>
  <si>
    <t>Make Trump Burger Again</t>
  </si>
  <si>
    <t>https://chromewebstore.google.com/detail/laphclamlodlnkaicijbcflfmhpebnno</t>
  </si>
  <si>
    <t>FeedPop: Simple RSS feed reader</t>
  </si>
  <si>
    <t>https://chromewebstore.google.com/detail/nleicnolldoamnpiekcpifpimpolkelo</t>
  </si>
  <si>
    <t>Ripple (XRP/BTC) Price Ticker</t>
  </si>
  <si>
    <t>https://chromewebstore.google.com/detail/aceanfmobdgdiifkcnobhdoadjphmccd</t>
  </si>
  <si>
    <t>Moodboard</t>
  </si>
  <si>
    <t>https://chromewebstore.google.com/detail/djmbmdhgkbkcjoocbkleedhdhippikab</t>
  </si>
  <si>
    <t>https://chromewebstore.google.com/detail/dmcopoldcoemapdejndbdnfmbofbkmbh</t>
  </si>
  <si>
    <t>Home Assistant Quick Restart</t>
  </si>
  <si>
    <t>https://chromewebstore.google.com/detail/eoekhnolflkjbpiafambpfemogdidlch</t>
  </si>
  <si>
    <t>微度新标签页修改版</t>
  </si>
  <si>
    <t>https://chromewebstore.google.com/detail/hdnehngglnbnehkfcidabjckinphnief</t>
  </si>
  <si>
    <t>HW info</t>
  </si>
  <si>
    <t>https://chromewebstore.google.com/detail/mapimlkdaecmhlhapakmonjdlpiejbeh</t>
  </si>
  <si>
    <t>R1 AdBlocker</t>
  </si>
  <si>
    <t>https://chromewebstore.google.com/detail/mbonhaimbjdhphgdpfihdanaimpiooan</t>
  </si>
  <si>
    <t>Colab Notifier</t>
  </si>
  <si>
    <t>https://chromewebstore.google.com/detail/njppjhbkfdkokacgoifjbbkijgfpkjec</t>
  </si>
  <si>
    <t>Tailwind CSS Media Query Inspector</t>
  </si>
  <si>
    <t>https://chromewebstore.google.com/detail/pipocicnhgaphjjmcchdnnaoofncdfnn</t>
  </si>
  <si>
    <t>Chat Translator v.2.0</t>
  </si>
  <si>
    <t>https://chromewebstore.google.com/detail/bgpjnknbmhdhgpofaeifiokeniefmael</t>
  </si>
  <si>
    <t>It's Raining</t>
  </si>
  <si>
    <t>https://chromewebstore.google.com/detail/fkakmejoechmicbecchienoapbakancc</t>
  </si>
  <si>
    <t>Link Finder</t>
  </si>
  <si>
    <t>https://chromewebstore.google.com/detail/jnodcgnkggmnlmcgibanbaeagpjckjnd</t>
  </si>
  <si>
    <t>Easy Button</t>
  </si>
  <si>
    <t>https://chromewebstore.google.com/detail/kkganccblahhhjbpjgbaindnmjimjaep</t>
  </si>
  <si>
    <t>실시간 검색어 Keyworld</t>
  </si>
  <si>
    <t>https://chromewebstore.google.com/detail/aeaopfchihlkndgjcimklmopnccejhbn</t>
  </si>
  <si>
    <t>textlint editor</t>
  </si>
  <si>
    <t>https://chromewebstore.google.com/detail/gfhlfpnpjokocfohicmfbgjneiipfeil</t>
  </si>
  <si>
    <t>FC Barcelona New Monitor</t>
  </si>
  <si>
    <t>https://chromewebstore.google.com/detail/gjbbkgcllakoeppmegglnocdfmlbdlck</t>
  </si>
  <si>
    <t>StickerSnap</t>
  </si>
  <si>
    <t>https://chromewebstore.google.com/detail/glkakabophafagdlboddioadkhhadgjf</t>
  </si>
  <si>
    <t>Inventor</t>
  </si>
  <si>
    <t>https://chromewebstore.google.com/detail/lobgcbjldcompfnfkiaahnbgagkeafbd</t>
  </si>
  <si>
    <t>Supreme Size Selector + ATC</t>
  </si>
  <si>
    <t>https://chromewebstore.google.com/detail/mialjgeooaepealoglgacdjicchfipjd</t>
  </si>
  <si>
    <t>Подаркус</t>
  </si>
  <si>
    <t>https://chromewebstore.google.com/detail/nkembapigckgnpnghehabanohmfmfpii</t>
  </si>
  <si>
    <t>CreativeRusBear's FPS extension</t>
  </si>
  <si>
    <t>https://chromewebstore.google.com/detail/pplfkfelndgidjmndlgnbelpomclmelm</t>
  </si>
  <si>
    <t>Хранитель сюрпризов</t>
  </si>
  <si>
    <t>https://chromewebstore.google.com/detail/bdghcmkefkobbmpeealipifblooopbja</t>
  </si>
  <si>
    <t>Notable</t>
  </si>
  <si>
    <t>https://chromewebstore.google.com/detail/ckhhdfhcoijmbejbeigjcjdfflnmeeje</t>
  </si>
  <si>
    <t>2nd Toolbar Spacer</t>
  </si>
  <si>
    <t>https://chromewebstore.google.com/detail/fplioachhfdbehddoehahffjbcfeinid</t>
  </si>
  <si>
    <t>ZooAccess menu</t>
  </si>
  <si>
    <t>https://chromewebstore.google.com/detail/hchkanfcbaiiapcpdadjanhklcfaeodn</t>
  </si>
  <si>
    <t>Dribbble @2x</t>
  </si>
  <si>
    <t>https://chromewebstore.google.com/detail/hgdfllkgbhpehkplfjckkecheniibdpe</t>
  </si>
  <si>
    <t>dアニメ 新規タブツール</t>
  </si>
  <si>
    <t>https://chromewebstore.google.com/detail/igcckpiilmgndjpfcojcmagpieedchij</t>
  </si>
  <si>
    <t>Youtube Defender</t>
  </si>
  <si>
    <t>https://chromewebstore.google.com/detail/ldcbggleohekjaihklhbkcekmpkdigpa</t>
  </si>
  <si>
    <t>Friends Who Listen</t>
  </si>
  <si>
    <t>https://chromewebstore.google.com/detail/meggmbmcebhnbamegfmejpokkjhcnmih</t>
  </si>
  <si>
    <t>List Builder for Twitter</t>
  </si>
  <si>
    <t>https://chromewebstore.google.com/detail/angdkjndobobaegbnhjaooedegkbibae</t>
  </si>
  <si>
    <t>Ghilbi Inspired Lofi Radio</t>
  </si>
  <si>
    <t>https://chromewebstore.google.com/detail/angodpfpjlolgkhlflepneffcckdkeni</t>
  </si>
  <si>
    <t>KEXP Streaming Player (Listener Developed)</t>
  </si>
  <si>
    <t>https://chromewebstore.google.com/detail/aoomledhkicfjimnbdcpdlkppkoloddj</t>
  </si>
  <si>
    <t>STERN.DE</t>
  </si>
  <si>
    <t>https://chromewebstore.google.com/detail/apeagpappkcpkenmhnofdpfpaminilfj</t>
  </si>
  <si>
    <t>Baseball Star</t>
  </si>
  <si>
    <t>https://chromewebstore.google.com/detail/bepkjkmghlbjbeaoggnjjmemckkacnod</t>
  </si>
  <si>
    <t>Attributes Replacer</t>
  </si>
  <si>
    <t>https://chromewebstore.google.com/detail/blchhkbbijehipelagipdngfhiolahko</t>
  </si>
  <si>
    <t>Local Cache</t>
  </si>
  <si>
    <t>https://chromewebstore.google.com/detail/bpiehpmcnipgajgjdmalnpobnkfaanlj</t>
  </si>
  <si>
    <t>Apollo Tracing</t>
  </si>
  <si>
    <t>https://chromewebstore.google.com/detail/cekcgnaofolhdeamjcghebalfmjodgeh</t>
  </si>
  <si>
    <t>Hell Play! Alert</t>
  </si>
  <si>
    <t>https://chromewebstore.google.com/detail/cmdjafgljdgjncmbgiphgjokfcdfnnkb</t>
  </si>
  <si>
    <t>UAI - Unfollow Accounts on Instagram</t>
  </si>
  <si>
    <t>https://chromewebstore.google.com/detail/ghfkolelcoadihahcnegknflcmofegib</t>
  </si>
  <si>
    <t>Freshhh</t>
  </si>
  <si>
    <t>https://chromewebstore.google.com/detail/lfmpjfiaamohbamfgjlnmhogcclnpdhd</t>
  </si>
  <si>
    <t>FormGet - Online Contact Form Builder</t>
  </si>
  <si>
    <t>https://chromewebstore.google.com/detail/mnabmigmbaoimceikabofkghpdfkhlbf</t>
  </si>
  <si>
    <t>Crypto Correct</t>
  </si>
  <si>
    <t>https://chromewebstore.google.com/detail/enampmoogmjoofjmpobfdmgflljfacnl</t>
  </si>
  <si>
    <t>Nextcloud Passwords</t>
  </si>
  <si>
    <t>https://chromewebstore.google.com/detail/jjpfdfcgmfaoiebailahlppglbkdbajb</t>
  </si>
  <si>
    <t>Among Us Hack| Always Imposter Hack</t>
  </si>
  <si>
    <t>https://chromewebstore.google.com/detail/mebphgfpdffafikgeakpkbmlmkbimcmk</t>
  </si>
  <si>
    <t>Redesign</t>
  </si>
  <si>
    <t>https://chromewebstore.google.com/detail/mimclceeboejniclilndinkbkfnadlki</t>
  </si>
  <si>
    <t>Password Generator</t>
  </si>
  <si>
    <t>https://chromewebstore.google.com/detail/nnjgaeekiplalipomfgacalgehhcckbp</t>
  </si>
  <si>
    <t>Trial Anatomy Sprite Animator 2</t>
  </si>
  <si>
    <t>https://chromewebstore.google.com/detail/omekgoimkadkjcpdakieofgjjfeahcbi</t>
  </si>
  <si>
    <t>この拡張はいかがでしたか？</t>
  </si>
  <si>
    <t>https://chromewebstore.google.com/detail/cbomgfbookfdpmiddedikmihfcbplmcl</t>
  </si>
  <si>
    <t>Harvard Library &amp; DOI Search</t>
  </si>
  <si>
    <t>https://chromewebstore.google.com/detail/jfjodidafpjnpfgcfmoadhjldhljjkgc</t>
  </si>
  <si>
    <t>Reddit Slideshow</t>
  </si>
  <si>
    <t>https://chromewebstore.google.com/detail/jnjpgagcbhkomjfkfimifpddphbiilkh</t>
  </si>
  <si>
    <t>Azbuka</t>
  </si>
  <si>
    <t>https://chromewebstore.google.com/detail/kaolnppbknjoipdbneeopagbajdkceno</t>
  </si>
  <si>
    <t>ARABEASY Keyboard type Arabic in English IME</t>
  </si>
  <si>
    <t>https://chromewebstore.google.com/detail/makncdgkhgjppmehkcgncbikakkdhndp</t>
  </si>
  <si>
    <t>DWR Explorer</t>
  </si>
  <si>
    <t>https://chromewebstore.google.com/detail/mijfipgkjnpanmnmanbjjibihbdgehlf</t>
  </si>
  <si>
    <t>QuickLaTex</t>
  </si>
  <si>
    <t>https://chromewebstore.google.com/detail/phancnbmppjgodggfbjccodoepcbdghj</t>
  </si>
  <si>
    <t>Dr.Protect: Secure Search</t>
  </si>
  <si>
    <t>https://chromewebstore.google.com/detail/bhgmcidfcdpepjjdpobpejfgbejjknjc</t>
  </si>
  <si>
    <t>Millennials Begone!</t>
  </si>
  <si>
    <t>https://chromewebstore.google.com/detail/dlgjecnejicmpdknhangcbeahbgipolf</t>
  </si>
  <si>
    <t>Add to uStart (by uStart)</t>
  </si>
  <si>
    <t>https://chromewebstore.google.com/detail/ejdojpmakfpfcnenobhjdngbdfgkdmjl</t>
  </si>
  <si>
    <t>Harvest</t>
  </si>
  <si>
    <t>https://chromewebstore.google.com/detail/gimgggabfigedfmidfhmgaaccgefdfnj</t>
  </si>
  <si>
    <t>SimpleShot</t>
  </si>
  <si>
    <t>https://chromewebstore.google.com/detail/hpnikgbjfhnpcaoicgbkkialbejlecke</t>
  </si>
  <si>
    <t>https://chromewebstore.google.com/detail/kdabjjgkcfjdlbpneackoihbkdpdmodp</t>
  </si>
  <si>
    <t>getURL - Link Parameter Extractor</t>
  </si>
  <si>
    <t>https://chromewebstore.google.com/detail/kindcepkhhhkoofimgndkdbhkfechfon</t>
  </si>
  <si>
    <t>job hunt</t>
  </si>
  <si>
    <t>https://chromewebstore.google.com/detail/nbnenbbiijokomeoejdlnphoagolpbek</t>
  </si>
  <si>
    <t>LocalStorage Sync</t>
  </si>
  <si>
    <t>https://chromewebstore.google.com/detail/nlgkphpdbpmpdngngdafeggajlblhhko</t>
  </si>
  <si>
    <t>smartKey Shortcuts</t>
  </si>
  <si>
    <t>https://chromewebstore.google.com/detail/aogbgmnbacmlobiajlmjhmbecjohglnl</t>
  </si>
  <si>
    <t>AMZ Keyword Tracker</t>
  </si>
  <si>
    <t>https://chromewebstore.google.com/detail/egfdbbahfgffecgejddaohlhehdbgcim</t>
  </si>
  <si>
    <t>Clanboss Calculator Assistant</t>
  </si>
  <si>
    <t>https://chromewebstore.google.com/detail/enhmhnpongjnlidbliglfbljgnknfepo</t>
  </si>
  <si>
    <t>Black and Green YouTube</t>
  </si>
  <si>
    <t>https://chromewebstore.google.com/detail/fpddhllfchfajogpilcliaichjndognf</t>
  </si>
  <si>
    <t>Angular Profiler</t>
  </si>
  <si>
    <t>https://chromewebstore.google.com/detail/ikkobdhhnnllhcmjaealbihjkahnegia</t>
  </si>
  <si>
    <t>JavaScript Breakpoint Collection</t>
  </si>
  <si>
    <t>https://chromewebstore.google.com/detail/kgpjjblahlmjlfljfpcneapmeblichbp</t>
  </si>
  <si>
    <t>ft_logtime</t>
  </si>
  <si>
    <t>https://chromewebstore.google.com/detail/mnohnflacgkmhaocfhhmjeeciibiciep</t>
  </si>
  <si>
    <t>Examine Offline Data (Cookies, HTML5 Storage)</t>
  </si>
  <si>
    <t>https://chromewebstore.google.com/detail/lgbennneeiaagpbialihidiohfkcagph</t>
  </si>
  <si>
    <t>IRI Climate and Society Map Room</t>
  </si>
  <si>
    <t>https://chromewebstore.google.com/detail/baplejgongpocoeabgpmhmnknjafhmbo</t>
  </si>
  <si>
    <t>Youtube to Google Music</t>
  </si>
  <si>
    <t>https://chromewebstore.google.com/detail/dcoljlfaeahfnjgeajeakopfgpaoadmc</t>
  </si>
  <si>
    <t>Webzapper: Browser Remote Control</t>
  </si>
  <si>
    <t>https://chromewebstore.google.com/detail/lmmeplodmojecahcndjgnonnhcbcmpdk</t>
  </si>
  <si>
    <t>Clutterboard</t>
  </si>
  <si>
    <t>https://chromewebstore.google.com/detail/odceejiiplkpbgindolcjnhfbojameao</t>
  </si>
  <si>
    <t>Công Cụ Đặt Hàng NinjaDirect</t>
  </si>
  <si>
    <t>https://chromewebstore.google.com/detail/pgecoedepcnloepnnpaainogaldjjobc</t>
  </si>
  <si>
    <t>Artlist Assistant</t>
  </si>
  <si>
    <t>https://chromewebstore.google.com/detail/agmnjaabedgipomljkngpfpmmgclogce</t>
  </si>
  <si>
    <t>Easymeta for Salesforce</t>
  </si>
  <si>
    <t>https://chromewebstore.google.com/detail/effgbolecegljiieljjfnfgelnnepcff</t>
  </si>
  <si>
    <t>D1CryptExt Native Messaging Host</t>
  </si>
  <si>
    <t>https://chromewebstore.google.com/detail/egdbhllbiehpidkfpkccejnkcjbigpca</t>
  </si>
  <si>
    <t>Weathery (weather)</t>
  </si>
  <si>
    <t>https://chromewebstore.google.com/detail/eknnpofdolaciafcnokdbgfelpmdpceb</t>
  </si>
  <si>
    <t>Make Sentence for Translator</t>
  </si>
  <si>
    <t>https://chromewebstore.google.com/detail/emlmmgcgnglgamlijmgmnlnkohbipkoi</t>
  </si>
  <si>
    <t>Oasis ❊ Wellness in your New Tab</t>
  </si>
  <si>
    <t>https://chromewebstore.google.com/detail/hijkflhhocjhknnafhmafolcckldoadh</t>
  </si>
  <si>
    <t>Twisty Timer</t>
  </si>
  <si>
    <t>https://chromewebstore.google.com/detail/kggikmmipgmioinmlfpfpbhgmpgmedhp</t>
  </si>
  <si>
    <t>Syjonizer</t>
  </si>
  <si>
    <t>https://chromewebstore.google.com/detail/anfdiaikaccfpdloehibnplnlgijeaan</t>
  </si>
  <si>
    <t>JSON Pretty Printer</t>
  </si>
  <si>
    <t>https://chromewebstore.google.com/detail/engmhjmhpefoikhobkahplacofaogiob</t>
  </si>
  <si>
    <t>Synonym Finder</t>
  </si>
  <si>
    <t>https://chromewebstore.google.com/detail/illimocegjikcgmopnajholfanllebic</t>
  </si>
  <si>
    <t>EdScreen</t>
  </si>
  <si>
    <t>https://chromewebstore.google.com/detail/kamhblojfkpcbpfbgfpcbiffpnjjoppl</t>
  </si>
  <si>
    <t>Erica Synths Firmware upgrader v2</t>
  </si>
  <si>
    <t>https://chromewebstore.google.com/detail/keoldnckmblacoeicjncfkfgnldbpolf</t>
  </si>
  <si>
    <t>Fun Educational Games</t>
  </si>
  <si>
    <t>https://chromewebstore.google.com/detail/geggkgmkcghccndcoihfklmaojdbgaio</t>
  </si>
  <si>
    <t>Find on XING</t>
  </si>
  <si>
    <t>https://chromewebstore.google.com/detail/hllhbmpggmclmlefofdfoadpaeldnkfl</t>
  </si>
  <si>
    <t>Corporate Video Production</t>
  </si>
  <si>
    <t>https://chromewebstore.google.com/detail/jnojjlmgafipcahopmnnafodcekcalmc</t>
  </si>
  <si>
    <t>My Reading List</t>
  </si>
  <si>
    <t>https://chromewebstore.google.com/detail/kdollpkhgalgcngiilcninngilhkceha</t>
  </si>
  <si>
    <t>CALLIDO™ Argument Mapper</t>
  </si>
  <si>
    <t>https://chromewebstore.google.com/detail/lfijjmjnlahhgpfdbilgnnnkikacnmgg</t>
  </si>
  <si>
    <t>Rename Tab</t>
  </si>
  <si>
    <t>https://chromewebstore.google.com/detail/fdngcgnmmiiolgcdcnmafbfoplhcjcel</t>
  </si>
  <si>
    <t>YouTube for TV Without Adware</t>
  </si>
  <si>
    <t>https://chromewebstore.google.com/detail/fineefhnleogndjepcabcddamodbkcjo</t>
  </si>
  <si>
    <t>Music.torrent</t>
  </si>
  <si>
    <t>https://chromewebstore.google.com/detail/jajfnignhamaakankjkilkomgnabonei</t>
  </si>
  <si>
    <t>URL Browser</t>
  </si>
  <si>
    <t>https://chromewebstore.google.com/detail/noegjlhdcbcjieppomcphdalgelkigdb</t>
  </si>
  <si>
    <t>Tabtter UserStreamsHelper</t>
  </si>
  <si>
    <t>https://chromewebstore.google.com/detail/anbkoicflbagjpoadmjemgjaaibdmien</t>
  </si>
  <si>
    <t>Moreba</t>
  </si>
  <si>
    <t>https://chromewebstore.google.com/detail/eheahakaengdijmkoeegphbnlgphlfii</t>
  </si>
  <si>
    <t>Affiliate Tools - Affiliate link generator</t>
  </si>
  <si>
    <t>https://chromewebstore.google.com/detail/fahggphoodkmfhpeomejdfonhjijdedk</t>
  </si>
  <si>
    <t>Vanmaram English Malayalam dictionary</t>
  </si>
  <si>
    <t>https://chromewebstore.google.com/detail/kbliaiapfnladddeljohhbgghelbdlbl</t>
  </si>
  <si>
    <t>URL Shortcut</t>
  </si>
  <si>
    <t>https://chromewebstore.google.com/detail/phaniiibecagmfolpbjafbcckimlgjac</t>
  </si>
  <si>
    <t>greybeard devtools theme</t>
  </si>
  <si>
    <t>https://chromewebstore.google.com/detail/cckelcjlkjehoepkfcpgdpjfagodhimd</t>
  </si>
  <si>
    <t>Upsales</t>
  </si>
  <si>
    <t>https://chromewebstore.google.com/detail/dmamggdkgjfiddiedcoghmbdmjbfgcjd</t>
  </si>
  <si>
    <t>Ambition Life Calendar</t>
  </si>
  <si>
    <t>https://chromewebstore.google.com/detail/ebijidmcbgegeollecfmniimekemhlmk</t>
  </si>
  <si>
    <t>ChromeBot</t>
  </si>
  <si>
    <t>https://chromewebstore.google.com/detail/ejdaeiahdnabjhceoobekpekohcileep</t>
  </si>
  <si>
    <t>Sound Prank</t>
  </si>
  <si>
    <t>https://chromewebstore.google.com/detail/fepmcjghfpdmhdfbdckdfhckcmcfegpb</t>
  </si>
  <si>
    <t>ctrl tab</t>
  </si>
  <si>
    <t>https://chromewebstore.google.com/detail/ijfnjhlohbehhlhhokgokabonpnlldon</t>
  </si>
  <si>
    <t>Click&amp;listen for Spotify</t>
  </si>
  <si>
    <t>https://chromewebstore.google.com/detail/oamfgaophpgocppjcgfobkbkkeehionm</t>
  </si>
  <si>
    <t>Muunship.com</t>
  </si>
  <si>
    <t>https://chromewebstore.google.com/detail/bnjdbijgcgbpnghpipedgnfedmpodnom</t>
  </si>
  <si>
    <t>https://chromewebstore.google.com/detail/dinicgnlokehfhgdpnmochdhhhcfgiga</t>
  </si>
  <si>
    <t>Da DaBaby Game</t>
  </si>
  <si>
    <t>https://chromewebstore.google.com/detail/fagmfkolmknblpackhiildiemhmfnomn</t>
  </si>
  <si>
    <t>Play a Random KPOP Video</t>
  </si>
  <si>
    <t>https://chromewebstore.google.com/detail/gblfkgdklcmdedpcdedhoepgdldkfkfg</t>
  </si>
  <si>
    <t>養股</t>
  </si>
  <si>
    <t>https://chromewebstore.google.com/detail/jfmggnnekbfhbphpfdcbpdeibilpkfck</t>
  </si>
  <si>
    <t>Parse Youtube Links and Create Playlist</t>
  </si>
  <si>
    <t>https://chromewebstore.google.com/detail/lelcdhabkkjhffonhfcfflbjaekdmege</t>
  </si>
  <si>
    <t>NBA League Pass Auto Login</t>
  </si>
  <si>
    <t>https://chromewebstore.google.com/detail/dhokeechijknaledflfhcpmjkmibhblc</t>
  </si>
  <si>
    <t>CHelper extension</t>
  </si>
  <si>
    <t>https://chromewebstore.google.com/detail/eicjndbmlajfjdhephbcjdeegmmoadip</t>
  </si>
  <si>
    <t>Add To Registry - Amazing Registry</t>
  </si>
  <si>
    <t>https://chromewebstore.google.com/detail/fakaldmaepeakkcjljcakjphgknbbbmp</t>
  </si>
  <si>
    <t>Quantum Random Number Generator</t>
  </si>
  <si>
    <t>https://chromewebstore.google.com/detail/gjponlefaghiebceidhikagiddaekbbi</t>
  </si>
  <si>
    <t>Right Click to Search Amazon</t>
  </si>
  <si>
    <t>https://chromewebstore.google.com/detail/kccclhpedkhcdieldgnejhmdolcipdlg</t>
  </si>
  <si>
    <t>Beast Drop</t>
  </si>
  <si>
    <t>https://chromewebstore.google.com/detail/lkfkidfbenipdkmnngmdjfnmkhekinlm</t>
  </si>
  <si>
    <t>SteamGuard Authorizator</t>
  </si>
  <si>
    <t>https://chromewebstore.google.com/detail/cimopngjedikbebkpcnemgokekenboam</t>
  </si>
  <si>
    <t>Katamari Anything</t>
  </si>
  <si>
    <t>https://chromewebstore.google.com/detail/ggjfoablenfkopjbdjeipgcjcocklhne</t>
  </si>
  <si>
    <t>Countdown to Christmas Day</t>
  </si>
  <si>
    <t>https://chromewebstore.google.com/detail/hdncbeemmadlkelehboocphbgnpagmgk</t>
  </si>
  <si>
    <t>Telescope: AI-powered Web Clipper</t>
  </si>
  <si>
    <t>https://chromewebstore.google.com/detail/lpohhpokidkkffkeaklfocgpkdlkpkki</t>
  </si>
  <si>
    <t>Youtube playback control</t>
  </si>
  <si>
    <t>https://chromewebstore.google.com/detail/okbcoijdeebocmahlanbfemnckjonfnh</t>
  </si>
  <si>
    <t>HTML Parser</t>
  </si>
  <si>
    <t>https://chromewebstore.google.com/detail/peifeohiachhdbogbbhabeflggebbmol</t>
  </si>
  <si>
    <t>AutomaticXpathGenerator</t>
  </si>
  <si>
    <t>https://chromewebstore.google.com/detail/amcbnabgjffdhibpmgcnpnmjpfjliikh</t>
  </si>
  <si>
    <t>PepperSale: Coupons, Sales &amp; Voucher Codes</t>
  </si>
  <si>
    <t>https://chromewebstore.google.com/detail/bamdlgngndkdhmepijfgchpfbhlaimol</t>
  </si>
  <si>
    <t>Gas Now Notifier</t>
  </si>
  <si>
    <t>https://chromewebstore.google.com/detail/clccniplcefppppkbaaefjmkipnjgpek</t>
  </si>
  <si>
    <t>Tumblr Inactivity Checker</t>
  </si>
  <si>
    <t>https://chromewebstore.google.com/detail/idegoclkpbmijpnnldfgngfceghpfhpg</t>
  </si>
  <si>
    <t>Fteaser.Ru</t>
  </si>
  <si>
    <t>https://chromewebstore.google.com/detail/kbbdhdnamedaijdpppljhmddmjcncoho</t>
  </si>
  <si>
    <t>Programmer Dvorak</t>
  </si>
  <si>
    <t>https://chromewebstore.google.com/detail/mogcmmflienoigckdgnkkkafbgkaecbj</t>
  </si>
  <si>
    <t>HTTP Status Codes</t>
  </si>
  <si>
    <t>https://chromewebstore.google.com/detail/nlilibdmmomdoanihholgmofmhhdcpnm</t>
  </si>
  <si>
    <t>MOO Color Picker</t>
  </si>
  <si>
    <t>https://chromewebstore.google.com/detail/ofmgjckcackgocnboajincbpjdmkbifg</t>
  </si>
  <si>
    <t>Cascadr</t>
  </si>
  <si>
    <t>https://chromewebstore.google.com/detail/pjihmfnnfklnilcknhhihhkomnfeoefb</t>
  </si>
  <si>
    <t>Show in File Manager</t>
  </si>
  <si>
    <t>https://chromewebstore.google.com/detail/ajchknafbabadjpbdkcnglcakmiknlge</t>
  </si>
  <si>
    <t>Super Mouse</t>
  </si>
  <si>
    <t>https://chromewebstore.google.com/detail/cokbkfdekagbhjgcbmfocehbmocjmgmk</t>
  </si>
  <si>
    <t>木星加速器-回国追剧听歌</t>
  </si>
  <si>
    <t>https://chromewebstore.google.com/detail/eaphndngbeiabnejnachpmpmkapipihm</t>
  </si>
  <si>
    <t>Hoverzoom Plus for Youtube videos</t>
  </si>
  <si>
    <t>https://chromewebstore.google.com/detail/himebmdddlbemclikfplacbnmjgomlkk</t>
  </si>
  <si>
    <t>Unsplash Free Hi-Resolution Photos Previewer</t>
  </si>
  <si>
    <t>https://chromewebstore.google.com/detail/libmlgomhhohdfldmdppljefhkdbcnci</t>
  </si>
  <si>
    <t>Unicorn Revealer</t>
  </si>
  <si>
    <t>https://chromewebstore.google.com/detail/lmlkphhdlngaicolpmaakfmhplagoaln</t>
  </si>
  <si>
    <t>Button: Apps</t>
  </si>
  <si>
    <t>https://chromewebstore.google.com/detail/lnhjdlekcjjldjbhnnhdehceokficdmo</t>
  </si>
  <si>
    <t>Homestuck Notifier</t>
  </si>
  <si>
    <t>https://chromewebstore.google.com/detail/nclackehnjikcjeijdihkafcefjgnmmi</t>
  </si>
  <si>
    <t>AutoSearch</t>
  </si>
  <si>
    <t>https://chromewebstore.google.com/detail/oopiphpkgmkbppjlmhjeafmnmfgnidci</t>
  </si>
  <si>
    <t>Select filter</t>
  </si>
  <si>
    <t>https://chromewebstore.google.com/detail/pakilipafnfgghkpekpnkbfgjdmodmai</t>
  </si>
  <si>
    <t>Twitter.com Optimized for Chrome</t>
  </si>
  <si>
    <t>https://chromewebstore.google.com/detail/pcjdkchmolbfddhnadplafncfeccjehi</t>
  </si>
  <si>
    <t>Symbols for pasting</t>
  </si>
  <si>
    <t>https://chromewebstore.google.com/detail/pplghaldkjlbeaebchaabadnigijmfbl</t>
  </si>
  <si>
    <t>Sweeps By ShopYourWay</t>
  </si>
  <si>
    <t>https://chromewebstore.google.com/detail/bjojafcmlckaolcdpficjiohhgchcbcp</t>
  </si>
  <si>
    <t>Scrum Poker App</t>
  </si>
  <si>
    <t>https://chromewebstore.google.com/detail/bldokddpppfjgaagcmmmomlmnpjmcmkg</t>
  </si>
  <si>
    <t>Openreview Quicklook</t>
  </si>
  <si>
    <t>https://chromewebstore.google.com/detail/efoabjckcjahofacmgekfhjadpjlmcap</t>
  </si>
  <si>
    <t>Arduino Chrome Sensor Graph</t>
  </si>
  <si>
    <t>https://chromewebstore.google.com/detail/jfdchfmaajlngmheefmlphblannhnmlh</t>
  </si>
  <si>
    <t>Freecycle + trash nothing!</t>
  </si>
  <si>
    <t>https://chromewebstore.google.com/detail/ocdobpohceakpmoidfhhjiiglnpgphnf</t>
  </si>
  <si>
    <t>Chromescape Navigator</t>
  </si>
  <si>
    <t>https://chromewebstore.google.com/detail/ocjjknbofcggmblgmlpfpmhccojaecnp</t>
  </si>
  <si>
    <t>Godville UI+</t>
  </si>
  <si>
    <t>https://chromewebstore.google.com/detail/ojdggcahaahmpphammjempihickghipi</t>
  </si>
  <si>
    <t>RocketLink.io - Track any link you share</t>
  </si>
  <si>
    <t>https://chromewebstore.google.com/detail/olifngmkabgkapkhkpancabcjmockpin</t>
  </si>
  <si>
    <t>Black List Pro</t>
  </si>
  <si>
    <t>https://chromewebstore.google.com/detail/aomkpmjejdlgpppabklnoacegopomlka</t>
  </si>
  <si>
    <t>Cache Buster</t>
  </si>
  <si>
    <t>https://chromewebstore.google.com/detail/ddmncmoalbogclpicdmnhemgbhfapfhc</t>
  </si>
  <si>
    <t>Monster Cards</t>
  </si>
  <si>
    <t>https://chromewebstore.google.com/detail/epbiejjeicckcbackkiieaecponhfdbg</t>
  </si>
  <si>
    <t>csp-disable</t>
  </si>
  <si>
    <t>https://chromewebstore.google.com/detail/hjngkcigmlhefidinfbdnkegocefpjap</t>
  </si>
  <si>
    <t>Star Wars Clone Wars Chronological Disney+</t>
  </si>
  <si>
    <t>https://chromewebstore.google.com/detail/idlphppimakcgpedfjiggllfncjdhafi</t>
  </si>
  <si>
    <t>Browse Instagram as an inspirational board</t>
  </si>
  <si>
    <t>https://chromewebstore.google.com/detail/aggmkhbnakgocpdkcghekgnejbjobifi</t>
  </si>
  <si>
    <t>Selective Image Blocker</t>
  </si>
  <si>
    <t>https://chromewebstore.google.com/detail/bdimdjhcpdbgdnmclfgmlapnpokafhpe</t>
  </si>
  <si>
    <t>jdCaptcha</t>
  </si>
  <si>
    <t>https://chromewebstore.google.com/detail/enlbmhdjeiioekgmgkllpacjpkfpmlpn</t>
  </si>
  <si>
    <t>Wikipedia Plus</t>
  </si>
  <si>
    <t>https://chromewebstore.google.com/detail/fkfdafnifmdahipdpcbpefhjlceippna</t>
  </si>
  <si>
    <t>Reminders Tab</t>
  </si>
  <si>
    <t>https://chromewebstore.google.com/detail/hlalmipkolibhponfnlmlllbgaifkija</t>
  </si>
  <si>
    <t>Like skippelő plugin</t>
  </si>
  <si>
    <t>https://chromewebstore.google.com/detail/mcckdcfjdoojbocjakigmogcaifofmef</t>
  </si>
  <si>
    <t>pinner</t>
  </si>
  <si>
    <t>https://chromewebstore.google.com/detail/nhjpoicdffokejclclfchgbhfjcmnmic</t>
  </si>
  <si>
    <t>EXE Creator for Go Language</t>
  </si>
  <si>
    <t>https://chromewebstore.google.com/detail/kdnjphofldkbdpdpcpoknpdfjighjekb</t>
  </si>
  <si>
    <t>Where's My Video</t>
  </si>
  <si>
    <t>https://chromewebstore.google.com/detail/mnjnjkeobieedmmaindifdaaamnndboo</t>
  </si>
  <si>
    <t>Vocabulary Highlighter</t>
  </si>
  <si>
    <t>https://chromewebstore.google.com/detail/pajikbgjooomggbhdalmlgiimicopmdi</t>
  </si>
  <si>
    <t>devager.eimza</t>
  </si>
  <si>
    <t>https://chromewebstore.google.com/detail/aichhaiboemcllfpjbgebagahdibmpnh</t>
  </si>
  <si>
    <t>Steam Market History Helper</t>
  </si>
  <si>
    <t>https://chromewebstore.google.com/detail/bmbnngnjoagodaidjcmoiadioinjhhfb</t>
  </si>
  <si>
    <t>PARQR</t>
  </si>
  <si>
    <t>https://chromewebstore.google.com/detail/ghpadgbcphnomjfjjpockklhcgahebji</t>
  </si>
  <si>
    <t>Yay! Another Speed dial!</t>
  </si>
  <si>
    <t>https://chromewebstore.google.com/detail/ildbinpaafbhmjbafifhpglifncjhmdp</t>
  </si>
  <si>
    <t>ImageMass - Bulk Images Downloader</t>
  </si>
  <si>
    <t>https://chromewebstore.google.com/detail/ipjappobohplmfjhjcaidnkndoodgjpk</t>
  </si>
  <si>
    <t>LearnDeck subtitles: Learn Chinese via WeTV</t>
  </si>
  <si>
    <t>https://chromewebstore.google.com/detail/kgdbcilceliahlggkengiekkhdjkfgmd</t>
  </si>
  <si>
    <t>Klondike Rise</t>
  </si>
  <si>
    <t>https://chromewebstore.google.com/detail/npafeekdijcbdmpgkelijopcbnhmhglo</t>
  </si>
  <si>
    <t>Pagan — password generator</t>
  </si>
  <si>
    <t>https://chromewebstore.google.com/detail/bhoelabkohelcbnfmnmcljiahdkefdli</t>
  </si>
  <si>
    <t>映画.com Check-in通知</t>
  </si>
  <si>
    <t>https://chromewebstore.google.com/detail/cfcckljlaljpfphabeilbhgilmmeafbg</t>
  </si>
  <si>
    <t>DOM Highlighter</t>
  </si>
  <si>
    <t>https://chromewebstore.google.com/detail/cgmagalnhglnafodhkkojjiaejpdkbho</t>
  </si>
  <si>
    <t>URL Query Decoder</t>
  </si>
  <si>
    <t>https://chromewebstore.google.com/detail/ejimgebkedeogomfckpbkbmoikpcdnce</t>
  </si>
  <si>
    <t>urlNeXT</t>
  </si>
  <si>
    <t>https://chromewebstore.google.com/detail/emepkgfiamgdjilgkacpciojagbolepb</t>
  </si>
  <si>
    <t>股票小助手</t>
  </si>
  <si>
    <t>https://chromewebstore.google.com/detail/fgapjjkffggllllignindphnioliplok</t>
  </si>
  <si>
    <t>Cookie Refresh</t>
  </si>
  <si>
    <t>https://chromewebstore.google.com/detail/gbhdnhlcnhgahhodfhipjigebhddgjke</t>
  </si>
  <si>
    <t>SuperMemo Connector</t>
  </si>
  <si>
    <t>https://chromewebstore.google.com/detail/hcnpikjdiaedadmfkflhilndgailpogj</t>
  </si>
  <si>
    <t>Amazon Warehouse Deals Finder</t>
  </si>
  <si>
    <t>https://chromewebstore.google.com/detail/jhfngpbbcdllkebjmllijaefmejolgpk</t>
  </si>
  <si>
    <t>Dark Mode for Outlook</t>
  </si>
  <si>
    <t>https://chromewebstore.google.com/detail/kjfbefcenipnnpbcbbklcidpjiamlcpl</t>
  </si>
  <si>
    <t>GIFS.com Downloader ß</t>
  </si>
  <si>
    <t>https://chromewebstore.google.com/detail/lkhkeilhpkjliofkappbgdicjlmbgbkn</t>
  </si>
  <si>
    <t>Pinterest Palooza</t>
  </si>
  <si>
    <t>https://chromewebstore.google.com/detail/abbppfcokpiknbdhocmbjnngkkkckepp</t>
  </si>
  <si>
    <t>Oil Price</t>
  </si>
  <si>
    <t>https://chromewebstore.google.com/detail/bchomhcdomfcemjjfkagijhcinpbffan</t>
  </si>
  <si>
    <t>Csgobackpack Helper</t>
  </si>
  <si>
    <t>https://chromewebstore.google.com/detail/cchbgnifmhlbmkekmchaaonbhbhigjjd</t>
  </si>
  <si>
    <t>Meditation Exercises &amp; Breathing Techniques</t>
  </si>
  <si>
    <t>https://chromewebstore.google.com/detail/kkmcklhlchnalgaeahleegkgodhiflgm</t>
  </si>
  <si>
    <t>Video Speed Up (HTML5)</t>
  </si>
  <si>
    <t>https://chromewebstore.google.com/detail/cogjjhnhjoiaopmcfmmckpiaeiinocco</t>
  </si>
  <si>
    <t>Fennec</t>
  </si>
  <si>
    <t>https://chromewebstore.google.com/detail/eincngenkhohbbfpkohipekcmnkfamjp</t>
  </si>
  <si>
    <t>New window without toolbar</t>
  </si>
  <si>
    <t>https://chromewebstore.google.com/detail/epcobhhlenfbjlmooebphgjcgdmbjgnb</t>
  </si>
  <si>
    <t>Помощник для Avito</t>
  </si>
  <si>
    <t>https://chromewebstore.google.com/detail/ianoicddkdmdkamjaepdhgjlaonlodhd</t>
  </si>
  <si>
    <t>Streaming Remote</t>
  </si>
  <si>
    <t>https://chromewebstore.google.com/detail/phenknepgmgjafkipebllabgcjjnnkbg</t>
  </si>
  <si>
    <t>AliExpress Invoice Creator &amp; Waybill Download</t>
  </si>
  <si>
    <t>https://chromewebstore.google.com/detail/dgkpokkbhpejphcgfmmmcfiedkhikfgh</t>
  </si>
  <si>
    <t>FusionPBX SelectToCall</t>
  </si>
  <si>
    <t>https://chromewebstore.google.com/detail/ghcmfikimieoeehcbgbdeegkgmpaihgg</t>
  </si>
  <si>
    <t>海词词典（取词、划词助手）</t>
  </si>
  <si>
    <t>https://chromewebstore.google.com/detail/hkilghidhmepkcebjphfhdcacbbhjcha</t>
  </si>
  <si>
    <t>Reddit DownVoter</t>
  </si>
  <si>
    <t>https://chromewebstore.google.com/detail/oaaobdcikfoafpadmjngnamnoecmpppg</t>
  </si>
  <si>
    <t>Smooth Academia.edu</t>
  </si>
  <si>
    <t>https://chromewebstore.google.com/detail/aeohigfgkmgceofpjhmfmeiembnpobme</t>
  </si>
  <si>
    <t>Markdown File Reader</t>
  </si>
  <si>
    <t>https://chromewebstore.google.com/detail/afcmlpnpmdljjlcpmlcnlokilglejfga</t>
  </si>
  <si>
    <t>C&amp;C -A-N-A-R-C-H-Y- Ultimate Pack</t>
  </si>
  <si>
    <t>https://chromewebstore.google.com/detail/aojpcmmnjojlfbkhgaefchagcballmdj</t>
  </si>
  <si>
    <t>Tumblr 1280</t>
  </si>
  <si>
    <t>https://chromewebstore.google.com/detail/hpcpiffhohmgadgjlejekipdgnahkmhn</t>
  </si>
  <si>
    <t>Dvorak right</t>
  </si>
  <si>
    <t>https://chromewebstore.google.com/detail/ibmblmkjihglholefminaiddohamopnn</t>
  </si>
  <si>
    <t>Anonymous</t>
  </si>
  <si>
    <t>https://chromewebstore.google.com/detail/knbajhliaffgmfpjaogiapomekbioehf</t>
  </si>
  <si>
    <t>ChromeOS Visual</t>
  </si>
  <si>
    <t>https://chromewebstore.google.com/detail/ocbfkejiiffdfjjlhldhmooennlokpnp</t>
  </si>
  <si>
    <t>Safe History</t>
  </si>
  <si>
    <t>https://chromewebstore.google.com/detail/dlkkhffefpkmobphiphbghhhilhoopma</t>
  </si>
  <si>
    <t>HiAccelerate</t>
  </si>
  <si>
    <t>https://chromewebstore.google.com/detail/hfimahjdppepinpohicfibpbgeamlmhh</t>
  </si>
  <si>
    <t>네이버 뉴스 댓글 플러스</t>
  </si>
  <si>
    <t>https://chromewebstore.google.com/detail/mfhniokedjnpbjfhjdnfhiljnidmebjc</t>
  </si>
  <si>
    <t>תוסף המכלול</t>
  </si>
  <si>
    <t>https://chromewebstore.google.com/detail/palkjjlphmcnghoohihjdlhmpkoclidm</t>
  </si>
  <si>
    <t>Redmine Helper</t>
  </si>
  <si>
    <t>https://chromewebstore.google.com/detail/pieialbeacphlakbcihifblpinjpdhlb</t>
  </si>
  <si>
    <t>RSS Reader</t>
  </si>
  <si>
    <t>https://chromewebstore.google.com/detail/dajjempcbjhhdgbkepjmbbbfcaiehmmd</t>
  </si>
  <si>
    <t>Super countdown</t>
  </si>
  <si>
    <t>https://chromewebstore.google.com/detail/dmlflpmehdclkhdpmfajmonhhcdlhibh</t>
  </si>
  <si>
    <t>公主代付小幫手</t>
  </si>
  <si>
    <t>https://chromewebstore.google.com/detail/jeiiokmlakmkkdkoenhffpnmbajippge</t>
  </si>
  <si>
    <t>ktab</t>
  </si>
  <si>
    <t>https://chromewebstore.google.com/detail/mlibmgejgeafgacoflmnkekjigookhhl</t>
  </si>
  <si>
    <t>Github Toc</t>
  </si>
  <si>
    <t>https://chromewebstore.google.com/detail/nalkpgbfaadkpckoadhlkihofnbhfhek</t>
  </si>
  <si>
    <t>AliSuper Plus - AliExpress Image Downloader</t>
  </si>
  <si>
    <t>https://chromewebstore.google.com/detail/pcbkeahacgjckcikibohfhlofpbaegdo</t>
  </si>
  <si>
    <t>Screencap</t>
  </si>
  <si>
    <t>https://chromewebstore.google.com/detail/aniaallgmlgdlefladlfhadglocahllm</t>
  </si>
  <si>
    <t>افزونه کانال تخفیف</t>
  </si>
  <si>
    <t>https://chromewebstore.google.com/detail/aonhigbncjadkdiafahcmaodemkipfpj</t>
  </si>
  <si>
    <t>Temer Golpista</t>
  </si>
  <si>
    <t>https://chromewebstore.google.com/detail/dompoccllcaliphengbfbjihlnjnohae</t>
  </si>
  <si>
    <t>Instant Search for LinkedIn</t>
  </si>
  <si>
    <t>https://chromewebstore.google.com/detail/embpahkgankomlgihkjdjklnfmoablmb</t>
  </si>
  <si>
    <t>Aliexpress marcas</t>
  </si>
  <si>
    <t>https://chromewebstore.google.com/detail/fahdkaomhohfakdnjdcbidacihnhdpag</t>
  </si>
  <si>
    <t>Netvibes Notifier</t>
  </si>
  <si>
    <t>https://chromewebstore.google.com/detail/gaddempjlhhmknkhnhepmpfngekbjleg</t>
  </si>
  <si>
    <t>写真加工.com | 無料の画像編集Webアプリ</t>
  </si>
  <si>
    <t>https://chromewebstore.google.com/detail/kjipmmmmhgfalpbcpdegkooibbceaejg</t>
  </si>
  <si>
    <t>Qlik Sense Console</t>
  </si>
  <si>
    <t>https://chromewebstore.google.com/detail/ljeoadpijoacanhinddngndcalkggkmf</t>
  </si>
  <si>
    <t>Anime Logger</t>
  </si>
  <si>
    <t>https://chromewebstore.google.com/detail/mlmdmhbnfmhkpkkheagddlgpbncbinap</t>
  </si>
  <si>
    <t>Twitter Interactions</t>
  </si>
  <si>
    <t>https://chromewebstore.google.com/detail/nckchkccbhcbbcheiegddadiipoekkah</t>
  </si>
  <si>
    <t>Do Not Disturb</t>
  </si>
  <si>
    <t>https://chromewebstore.google.com/detail/ncpekhjjckjhhilnglgjcgpgapgiggbp</t>
  </si>
  <si>
    <t>XKCD Alt Text</t>
  </si>
  <si>
    <t>https://chromewebstore.google.com/detail/gncnccgkhldnjnmhlmgcghhgbckeobph</t>
  </si>
  <si>
    <t>ALIENG</t>
  </si>
  <si>
    <t>https://chromewebstore.google.com/detail/iheckgdalcgijkcgcdfcpifpphodepnn</t>
  </si>
  <si>
    <t>Skimcast</t>
  </si>
  <si>
    <t>https://chromewebstore.google.com/detail/ccmdndlnhcdglijejfihecppioenfpmh</t>
  </si>
  <si>
    <t>Signature Viewer</t>
  </si>
  <si>
    <t>https://chromewebstore.google.com/detail/fajipgpjjoingnglmfndnookaiebecop</t>
  </si>
  <si>
    <t>Power JoJo</t>
  </si>
  <si>
    <t>https://chromewebstore.google.com/detail/jmbpbefdpfhenpmkomolgmnhnpnbbchj</t>
  </si>
  <si>
    <t>I've a feeling we're not in a Sandbox anymore</t>
  </si>
  <si>
    <t>https://chromewebstore.google.com/detail/kagabgbcemdhfgefjnnpfnhfpednebbk</t>
  </si>
  <si>
    <t>Helppier</t>
  </si>
  <si>
    <t>https://chromewebstore.google.com/detail/komfkgoihfgcnnklcajfojdjjcfigdom</t>
  </si>
  <si>
    <t>Ням находки</t>
  </si>
  <si>
    <t>https://chromewebstore.google.com/detail/mahdbdckklbgglbaoniollkkcacmmdea</t>
  </si>
  <si>
    <t>XSurfLog</t>
  </si>
  <si>
    <t>https://chromewebstore.google.com/detail/mipgaapolfgfbonecakhhacpmafffogo</t>
  </si>
  <si>
    <t>Reddit Video URL Grabber</t>
  </si>
  <si>
    <t>https://chromewebstore.google.com/detail/plpdigadhhbhmljndnmeipfjfohhcjad</t>
  </si>
  <si>
    <t>ScoreSaber Easy Installer</t>
  </si>
  <si>
    <t>https://chromewebstore.google.com/detail/gpghflbiabfangjnelpihcokfmanppgi</t>
  </si>
  <si>
    <t>Double Read</t>
  </si>
  <si>
    <t>https://chromewebstore.google.com/detail/kcacjknamjmflfkgibhnidhhddiaidao</t>
  </si>
  <si>
    <t>Suporte TOTVS</t>
  </si>
  <si>
    <t>https://chromewebstore.google.com/detail/acceemkibcpgddpfjefmgjiaccmcdpdb</t>
  </si>
  <si>
    <t>Cppkies Mod Manager</t>
  </si>
  <si>
    <t>https://chromewebstore.google.com/detail/bjooleocnlcahbnfieoojeijeddfdnfe</t>
  </si>
  <si>
    <t>1click Webcam to Picture</t>
  </si>
  <si>
    <t>https://chromewebstore.google.com/detail/cppldildcdnknnlhamcokaigkpaopdbe</t>
  </si>
  <si>
    <t>eDoC</t>
  </si>
  <si>
    <t>https://chromewebstore.google.com/detail/hcjcddodebcglcolmmcnnpcbhbbgchpk</t>
  </si>
  <si>
    <t>Web.archive.org Auto-Archiver</t>
  </si>
  <si>
    <t>https://chromewebstore.google.com/detail/incoejagnokjhlkjkgpbdbooagggckdg</t>
  </si>
  <si>
    <t>Recent Searches</t>
  </si>
  <si>
    <t>https://chromewebstore.google.com/detail/jobcfphcbjegddipbcennpjnofgpkjfe</t>
  </si>
  <si>
    <t>AdBlock Unicorn</t>
  </si>
  <si>
    <t>https://chromewebstore.google.com/detail/ldjhogknogpdklogdocbicnlpljekejl</t>
  </si>
  <si>
    <t>유튜브 반복 재생 크롬 확장프로그램</t>
  </si>
  <si>
    <t>https://chromewebstore.google.com/detail/llkmokplhmmidnailmlnfcoilkhmkiki</t>
  </si>
  <si>
    <t>One Tap: Job Search Helper</t>
  </si>
  <si>
    <t>https://chromewebstore.google.com/detail/mchdhakjpgbgfcecgihfggmdmlclkgib</t>
  </si>
  <si>
    <t>Markit - Highlighter and Note Taker.</t>
  </si>
  <si>
    <t>https://chromewebstore.google.com/detail/oilpcbohncpdjdadofhbldfmojneciop</t>
  </si>
  <si>
    <t>Close Figma Tab</t>
  </si>
  <si>
    <t>https://chromewebstore.google.com/detail/oonojkdagfgjmempbfipokgjjigkoocj</t>
  </si>
  <si>
    <t>Reminder Plus for YouTube™</t>
  </si>
  <si>
    <t>https://chromewebstore.google.com/detail/djjcljbdcefigahiaaoinifennidmapi</t>
  </si>
  <si>
    <t>InfinityFollow</t>
  </si>
  <si>
    <t>https://chromewebstore.google.com/detail/gldgceachgdhbcdjanalgkkibnjohapa</t>
  </si>
  <si>
    <t>h4ck3r</t>
  </si>
  <si>
    <t>https://chromewebstore.google.com/detail/kmnlfjgamfnhcmpfnmgpiapacncdipad</t>
  </si>
  <si>
    <t>Kulabrands</t>
  </si>
  <si>
    <t>https://chromewebstore.google.com/detail/lbhcpjpfnaflkbnabhnpppjokidnpbih</t>
  </si>
  <si>
    <t>Site Labeler</t>
  </si>
  <si>
    <t>https://chromewebstore.google.com/detail/mdkoanlgchgnkbfjcecafkadgneapali</t>
  </si>
  <si>
    <t>Site Bleacher</t>
  </si>
  <si>
    <t>https://chromewebstore.google.com/detail/mlcfcepfmnjphcdkfbfgokkjodlkmemo</t>
  </si>
  <si>
    <t>BrowserWall</t>
  </si>
  <si>
    <t>https://chromewebstore.google.com/detail/pppjpgngihocgpbiofdhconpbfinimnn</t>
  </si>
  <si>
    <t>Twitch Links</t>
  </si>
  <si>
    <t>https://chromewebstore.google.com/detail/bdabfmaodlcecidafckneiiaodjakoho</t>
  </si>
  <si>
    <t>Manager</t>
  </si>
  <si>
    <t>https://chromewebstore.google.com/detail/fbnblgfdjledfgkfbbcddejlopemmhcn</t>
  </si>
  <si>
    <t>PLATO CALENDAR</t>
  </si>
  <si>
    <t>https://chromewebstore.google.com/detail/odppiocdkdolfcmkjkdjaogdbkahcfck</t>
  </si>
  <si>
    <t>Google Meet Attendance: Participants to CSV</t>
  </si>
  <si>
    <t>https://chromewebstore.google.com/detail/ojekneoedmekheoagiblbpdanchcoaoo</t>
  </si>
  <si>
    <t>https://chromewebstore.google.com/detail/acidanpljleklgoiogphejmiiiakhnel</t>
  </si>
  <si>
    <t>Coursera Progress</t>
  </si>
  <si>
    <t>https://chromewebstore.google.com/detail/ahdbpipoojeoedkjhjmfflbgnlhpheoa</t>
  </si>
  <si>
    <t>PrivacyScreen</t>
  </si>
  <si>
    <t>https://chromewebstore.google.com/detail/bndclkkabaajpgnfimggpjkjbocchjco</t>
  </si>
  <si>
    <t>Window Seat</t>
  </si>
  <si>
    <t>https://chromewebstore.google.com/detail/ffapagmeaendpngophdffbjjcobilago</t>
  </si>
  <si>
    <t>Credit Bracket</t>
  </si>
  <si>
    <t>https://chromewebstore.google.com/detail/ghkkenepdhmbnphekgoccdbmgknkljeb</t>
  </si>
  <si>
    <t>Beach Day | Shell Shockers Theme</t>
  </si>
  <si>
    <t>https://chromewebstore.google.com/detail/iiejoaicifeelebkogojhminengkecao</t>
  </si>
  <si>
    <t>GBF Raid Finder Auto-Copier</t>
  </si>
  <si>
    <t>https://chromewebstore.google.com/detail/iinbdidfpllkdmibmbhfgkdooollcfep</t>
  </si>
  <si>
    <t>swqa-request</t>
  </si>
  <si>
    <t>https://chromewebstore.google.com/detail/ljcfldklachdgiohiobmmcfaogcdohlj</t>
  </si>
  <si>
    <t>Sport Club do Recife</t>
  </si>
  <si>
    <t>https://chromewebstore.google.com/detail/mapcabglfimcakpljgnfikciblinngha</t>
  </si>
  <si>
    <t>Quran Radio</t>
  </si>
  <si>
    <t>https://chromewebstore.google.com/detail/mgahkababiglakgnlbhcalcfagfmbiij</t>
  </si>
  <si>
    <t>Gulp Devtools</t>
  </si>
  <si>
    <t>https://chromewebstore.google.com/detail/ojpmgjhofceebfifeajnjojpokebkkji</t>
  </si>
  <si>
    <t>Electrum Browser Companion</t>
  </si>
  <si>
    <t>https://chromewebstore.google.com/detail/pljgdilmpnfcjmfmnfdlpjodmhiglmlb</t>
  </si>
  <si>
    <t>Social Contact for Livespace CRM</t>
  </si>
  <si>
    <t>https://chromewebstore.google.com/detail/dleebjeddgmiegbcpkfpcmamfiblbijm</t>
  </si>
  <si>
    <t>Simple Youtube Repeater</t>
  </si>
  <si>
    <t>https://chromewebstore.google.com/detail/pbjaladifincbflhpknphchnapmemgnm</t>
  </si>
  <si>
    <t>Bangla-Tangla</t>
  </si>
  <si>
    <t>https://chromewebstore.google.com/detail/adbhljgcighanpkeebnecodhpnidhgfg</t>
  </si>
  <si>
    <t>Red Bubble Product Import</t>
  </si>
  <si>
    <t>https://chromewebstore.google.com/detail/hihimkdiejoifppkbeflopmfkgnbdiec</t>
  </si>
  <si>
    <t>Screen Doodle</t>
  </si>
  <si>
    <t>https://chromewebstore.google.com/detail/ijlbjmbbhgpceiplhgfngkplbbpfpdge</t>
  </si>
  <si>
    <t>https://chromewebstore.google.com/detail/oihjnlgmlpagpafdmegndjahnbkhcfge</t>
  </si>
  <si>
    <t>Coalesce</t>
  </si>
  <si>
    <t>https://chromewebstore.google.com/detail/phlcknmppnmpgnjhjncggkidgkbilndd</t>
  </si>
  <si>
    <t>Jesus Quotes</t>
  </si>
  <si>
    <t>https://chromewebstore.google.com/detail/plbdiohbpbliejbjhdndgcimcepgjnpm</t>
  </si>
  <si>
    <t>Proofpoint Disabler</t>
  </si>
  <si>
    <t>https://chromewebstore.google.com/detail/plfomeoohioccimoghmbgpnihfbeekak</t>
  </si>
  <si>
    <t>SplashReader: Speed Reading with Breaks</t>
  </si>
  <si>
    <t>https://chromewebstore.google.com/detail/poilkhacfacheblaajlfkdclgbpjolmd</t>
  </si>
  <si>
    <t>localhost</t>
  </si>
  <si>
    <t>https://chromewebstore.google.com/detail/akmeopjagninifebigecedjdmmbfmibn</t>
  </si>
  <si>
    <t>Image Extension Fix</t>
  </si>
  <si>
    <t>https://chromewebstore.google.com/detail/bdinnahhocpbhaolpffbceckdfiafffn</t>
  </si>
  <si>
    <t>Figma GitHub</t>
  </si>
  <si>
    <t>https://chromewebstore.google.com/detail/bieeiojdjdkkacfckmaamnbinloppgjf</t>
  </si>
  <si>
    <t>Disable cookies - auto disable popup cookies</t>
  </si>
  <si>
    <t>https://chromewebstore.google.com/detail/icifceekaomdahfoiipifbhbkgbnmicj</t>
  </si>
  <si>
    <t>MemoRISE</t>
  </si>
  <si>
    <t>https://chromewebstore.google.com/detail/jopifgpfoeeeodfdpbmibkidoldcpeco</t>
  </si>
  <si>
    <t>Play With Docker</t>
  </si>
  <si>
    <t>https://chromewebstore.google.com/detail/kibbhpioncdhmamhflnnmfonadknnoan</t>
  </si>
  <si>
    <t>Extension Live Skyyart</t>
  </si>
  <si>
    <t>https://chromewebstore.google.com/detail/kpnomjccnbnihhpembhgccdlcofhjibb</t>
  </si>
  <si>
    <t>WWDChrome</t>
  </si>
  <si>
    <t>https://chromewebstore.google.com/detail/lohmkcogbijdfgphbioenppfnjfdjebp</t>
  </si>
  <si>
    <t>stockindesign</t>
  </si>
  <si>
    <t>https://chromewebstore.google.com/detail/npmecoflnofnegeagppimmobngmfdhhl</t>
  </si>
  <si>
    <t>PR Monitor</t>
  </si>
  <si>
    <t>https://chromewebstore.google.com/detail/pneldbfhblmldbhmkolclpkijgnjcmng</t>
  </si>
  <si>
    <t>Clever Bookmarks</t>
  </si>
  <si>
    <t>https://chromewebstore.google.com/detail/cfjoidodkheihhbijaddfhglagcdhchp</t>
  </si>
  <si>
    <t>Letterboxd Lists Progress</t>
  </si>
  <si>
    <t>https://chromewebstore.google.com/detail/cjpnlmdbmlefonmfkobjpfpmpbaijldn</t>
  </si>
  <si>
    <t>Bitstamp BTC price</t>
  </si>
  <si>
    <t>https://chromewebstore.google.com/detail/dobommehlbkjcjnbmhnnbcphncncjpid</t>
  </si>
  <si>
    <t>PosturePanda</t>
  </si>
  <si>
    <t>https://chromewebstore.google.com/detail/jfcmmaflpnmfpdpfpbklhkhdgimkiogh</t>
  </si>
  <si>
    <t>Solo mode for Google Docs</t>
  </si>
  <si>
    <t>https://chromewebstore.google.com/detail/jialeippmpkpbljcfhglaakoknfiojof</t>
  </si>
  <si>
    <t>딴게이 메모</t>
  </si>
  <si>
    <t>https://chromewebstore.google.com/detail/odimgloihnchgmijalnlkanefghommpp</t>
  </si>
  <si>
    <t>Ultimate Color Picker</t>
  </si>
  <si>
    <t>https://chromewebstore.google.com/detail/pmdfibcbflleichjmjllkklkpkgildkh</t>
  </si>
  <si>
    <t>CoWIN Slot Availablity Notifier</t>
  </si>
  <si>
    <t>https://chromewebstore.google.com/detail/cijfoobajnpgpphocpkdcplfphadeaea</t>
  </si>
  <si>
    <t>twitchEmoji</t>
  </si>
  <si>
    <t>https://chromewebstore.google.com/detail/gllkphpjfmmfknhhiakefhnmklbnmhdm</t>
  </si>
  <si>
    <t>BroadcasterPro</t>
  </si>
  <si>
    <t>https://chromewebstore.google.com/detail/hkpikghhilldnolmkpcikajpjdcfgcop</t>
  </si>
  <si>
    <t>JSView</t>
  </si>
  <si>
    <t>https://chromewebstore.google.com/detail/nmcploolhdjnilphpifheagcogmojdpd</t>
  </si>
  <si>
    <t>USC course watcher</t>
  </si>
  <si>
    <t>https://chromewebstore.google.com/detail/dpkcmpfeohfppbgflelbkemojphgjdhf</t>
  </si>
  <si>
    <t>Firenote: Notes and Todo Lists in New Tab</t>
  </si>
  <si>
    <t>https://chromewebstore.google.com/detail/fffpcpifbaimmmmclpmfhjgbiokbhnea</t>
  </si>
  <si>
    <t>Japanese Emoticons: Kaomoji And Text Faces</t>
  </si>
  <si>
    <t>https://chromewebstore.google.com/detail/gnnkbfjpmnmnclphplfogchgeaeildlc</t>
  </si>
  <si>
    <t>Better Destiny.gg</t>
  </si>
  <si>
    <t>https://chromewebstore.google.com/detail/ilhmkkocekbajiikponcokjdabiipecj</t>
  </si>
  <si>
    <t>https://chromewebstore.google.com/detail/jdpnokacamibfikmngoeoiaadfhlhaea</t>
  </si>
  <si>
    <t>Kanbanello for Trello</t>
  </si>
  <si>
    <t>https://chromewebstore.google.com/detail/onkejpdhplmfiiafhkjjfalenddohccb</t>
  </si>
  <si>
    <t>Save to CaptureSaver</t>
  </si>
  <si>
    <t>https://chromewebstore.google.com/detail/pddlbiopkcimgjfkjlfkophopecpdbai</t>
  </si>
  <si>
    <t>jsFiddle Player</t>
  </si>
  <si>
    <t>https://chromewebstore.google.com/detail/acmoiaipblimhfnjejofmmfjkgpedcpd</t>
  </si>
  <si>
    <t>Startpage — Private Search Engine &amp; New Tab</t>
  </si>
  <si>
    <t>https://chromewebstore.google.com/detail/nfepmeogoknijeenahgdfobjfemdahmo</t>
  </si>
  <si>
    <t>Genusly</t>
  </si>
  <si>
    <t>https://chromewebstore.google.com/detail/nmffepbfehaggnekgkookagkcklaieji</t>
  </si>
  <si>
    <t>9anime App | Watch Anime for Free</t>
  </si>
  <si>
    <t>https://chromewebstore.google.com/detail/ooaojgckeodgdnbfdlecfgkbgaahegle</t>
  </si>
  <si>
    <t>Control Panel Login</t>
  </si>
  <si>
    <t>https://chromewebstore.google.com/detail/bmemoakjblaajdlfbgmlplpbddjpjecc</t>
  </si>
  <si>
    <t>Dinopass 🦕</t>
  </si>
  <si>
    <t>https://chromewebstore.google.com/detail/bnekaigbnpcpfdlmmdehkkjbedfpbadj</t>
  </si>
  <si>
    <t>O-Robot</t>
  </si>
  <si>
    <t>https://chromewebstore.google.com/detail/cidibllgamjkhlpkchjnfhanabejnecl</t>
  </si>
  <si>
    <t>Lightfinder</t>
  </si>
  <si>
    <t>https://chromewebstore.google.com/detail/cifbgbbgjlehgddmhdognpncdjpiepgn</t>
  </si>
  <si>
    <t>Overcast Downloader</t>
  </si>
  <si>
    <t>https://chromewebstore.google.com/detail/dlnepfckckhaaehhcgkakkgnnkhdlhma</t>
  </si>
  <si>
    <t>Copy to Trello</t>
  </si>
  <si>
    <t>https://chromewebstore.google.com/detail/fdaifolckhmjnlkapifnkphgdolgabfb</t>
  </si>
  <si>
    <t>New Tab Apps</t>
  </si>
  <si>
    <t>https://chromewebstore.google.com/detail/iiaadipohcenaagngllohhjehohdcehp</t>
  </si>
  <si>
    <t>Etsy Clickathons</t>
  </si>
  <si>
    <t>https://chromewebstore.google.com/detail/lenbalkolcmmgpoiegdplhkfjljaiiag</t>
  </si>
  <si>
    <t>BMW New Tab Wallpaper</t>
  </si>
  <si>
    <t>https://chromewebstore.google.com/detail/pkjmppjgkieeognifhdpkmcgkiaiioem</t>
  </si>
  <si>
    <t>ING BusinessOnLine komponent</t>
  </si>
  <si>
    <t>https://chromewebstore.google.com/detail/bledfcibpogbpmaijpcohjdkoifeciak</t>
  </si>
  <si>
    <t>硬是要縮</t>
  </si>
  <si>
    <t>https://chromewebstore.google.com/detail/efceaemlnabjahlebbmejdafdmpofgop</t>
  </si>
  <si>
    <t>TLV Parser</t>
  </si>
  <si>
    <t>https://chromewebstore.google.com/detail/iemijfhdlipdpcjfnphcdalpccnkfedb</t>
  </si>
  <si>
    <t>Plurk Savior</t>
  </si>
  <si>
    <t>https://chromewebstore.google.com/detail/kgohcolckgjlahpbhoocahejhpcbbdnj</t>
  </si>
  <si>
    <t>Figma Search</t>
  </si>
  <si>
    <t>https://chromewebstore.google.com/detail/lfofpannpmmeeicgiiacjghmcfgnebbi</t>
  </si>
  <si>
    <t>Проверка уникальности Copylancer</t>
  </si>
  <si>
    <t>https://chromewebstore.google.com/detail/lfoiccenjgkalnhcgbfganoapdfeaeib</t>
  </si>
  <si>
    <t>Hashtagpirate - Instagram like bot</t>
  </si>
  <si>
    <t>https://chromewebstore.google.com/detail/mjehakjobcplgegfdicpmagplbkaineo</t>
  </si>
  <si>
    <t>Reddit Comment Companion</t>
  </si>
  <si>
    <t>https://chromewebstore.google.com/detail/dbcojchbgnoapagipaamdjfdkcmdgjek</t>
  </si>
  <si>
    <t>Kickle Voila</t>
  </si>
  <si>
    <t>https://chromewebstore.google.com/detail/dfnlhmckmnmlabejbjjfmodjmfoimnii</t>
  </si>
  <si>
    <t>Extractor Email V.2020</t>
  </si>
  <si>
    <t>https://chromewebstore.google.com/detail/dpcjebpeapbinnkjcogooeedeebgoido</t>
  </si>
  <si>
    <t>Streak Tracker</t>
  </si>
  <si>
    <t>https://chromewebstore.google.com/detail/fjdnbfpmonlaapmkboaihnaecphjjakd</t>
  </si>
  <si>
    <t>Outbound New Tab</t>
  </si>
  <si>
    <t>https://chromewebstore.google.com/detail/hikodglhajlfmnanaiegolkfdjbencnk</t>
  </si>
  <si>
    <t>WorkFlowy for Coders</t>
  </si>
  <si>
    <t>https://chromewebstore.google.com/detail/hogpngcijkfmbfijfkaapeejhijipddp</t>
  </si>
  <si>
    <t>Google Meet Attendance &amp; Breakout Rooms</t>
  </si>
  <si>
    <t>https://chromewebstore.google.com/detail/ioanfgolggheljoabjhdjnpigeieipol</t>
  </si>
  <si>
    <t>UPPERSAFE</t>
  </si>
  <si>
    <t>https://chromewebstore.google.com/detail/iobkgicmookonkhaijnhoodijfhiljha</t>
  </si>
  <si>
    <t>Open New Tab Here</t>
  </si>
  <si>
    <t>https://chromewebstore.google.com/detail/kpoogeanhkgkbkagbgeibbokbjdbjodb</t>
  </si>
  <si>
    <t>琼斯医生</t>
  </si>
  <si>
    <t>https://chromewebstore.google.com/detail/lggmpimhpmplkengmfmfecohbdbooiem</t>
  </si>
  <si>
    <t>Simple Image Viewer</t>
  </si>
  <si>
    <t>https://chromewebstore.google.com/detail/ohkbjcfpicefkagfejabhddfbmkeiojm</t>
  </si>
  <si>
    <t>Scroll buttons</t>
  </si>
  <si>
    <t>https://chromewebstore.google.com/detail/blkcalljbilnpflcagdojnldcdifnndp</t>
  </si>
  <si>
    <t>1click Paintbrush</t>
  </si>
  <si>
    <t>https://chromewebstore.google.com/detail/ephfokcaimjfldlhakieekmoogekdegf</t>
  </si>
  <si>
    <t>Sims 4 random game generator</t>
  </si>
  <si>
    <t>https://chromewebstore.google.com/detail/kpceegmoghjiacgkllncdimobpcfnhoo</t>
  </si>
  <si>
    <t>Codechef Ranking</t>
  </si>
  <si>
    <t>https://chromewebstore.google.com/detail/oinfhocbmbejhpajcpefdhoifkcdepba</t>
  </si>
  <si>
    <t>Mrtzc | Best Music Search Engine Online</t>
  </si>
  <si>
    <t>https://chromewebstore.google.com/detail/cckkkpbokoogdeeeikjdkfkgdngfjpdm</t>
  </si>
  <si>
    <t>Break Helper</t>
  </si>
  <si>
    <t>https://chromewebstore.google.com/detail/dllmmaniogaffdnagcenlnnlbahmlmld</t>
  </si>
  <si>
    <t>Smart Tab Manager</t>
  </si>
  <si>
    <t>https://chromewebstore.google.com/detail/lahbgnkbojlfaocemjpkjgmdcnmpkfgc</t>
  </si>
  <si>
    <t>ruTanos</t>
  </si>
  <si>
    <t>https://chromewebstore.google.com/detail/lclakbkgdadioimjddglmnoioedafelc</t>
  </si>
  <si>
    <t>Profit Sniper Strategy Finder Pro</t>
  </si>
  <si>
    <t>https://chromewebstore.google.com/detail/opdmehohhkdbnjihfleldcpjenmghobl</t>
  </si>
  <si>
    <t>Binaural Webpage</t>
  </si>
  <si>
    <t>https://chromewebstore.google.com/detail/aegcebaebekmenognkfkamfpinmldpll</t>
  </si>
  <si>
    <t>Plexify</t>
  </si>
  <si>
    <t>https://chromewebstore.google.com/detail/cgckffknepmgikkhnildjodfjobncckg</t>
  </si>
  <si>
    <t>Remove Members Only Posts - Medium</t>
  </si>
  <si>
    <t>https://chromewebstore.google.com/detail/dhlbnhklidocogdehbgocdffpaicihjo</t>
  </si>
  <si>
    <t>AmazonFBA料金シミュレーター ASIN横断検索</t>
  </si>
  <si>
    <t>https://chromewebstore.google.com/detail/eaeejmnfacdjjdgdmijgefaaokfkhihi</t>
  </si>
  <si>
    <t>Kelley Blue Book for Craigslist</t>
  </si>
  <si>
    <t>https://chromewebstore.google.com/detail/fmbbdgpoheokfdcgbpaofghkgbghadod</t>
  </si>
  <si>
    <t>Tabist</t>
  </si>
  <si>
    <t>https://chromewebstore.google.com/detail/hdjegjggiogfkaldbfphfdkpggjemaha</t>
  </si>
  <si>
    <t>Bookmarks to References</t>
  </si>
  <si>
    <t>https://chromewebstore.google.com/detail/aigindmbmcgegjhjnonholgaebnldmln</t>
  </si>
  <si>
    <t>GIF Blocker</t>
  </si>
  <si>
    <t>https://chromewebstore.google.com/detail/bdhijffnjccdajojfpahnjfeladlpefp</t>
  </si>
  <si>
    <t>Managebac Grade Calculator</t>
  </si>
  <si>
    <t>https://chromewebstore.google.com/detail/fhbfhmmifmgcmnhdgjbgmkbaieembhha</t>
  </si>
  <si>
    <t>Google Index Checker - Nexttop.org</t>
  </si>
  <si>
    <t>https://chromewebstore.google.com/detail/gmlnkohmoacknnggklomnmkohdcnjeak</t>
  </si>
  <si>
    <t>Instant Howard The Alien</t>
  </si>
  <si>
    <t>https://chromewebstore.google.com/detail/hpfapdojmefbgndfagcapgboejdnlddl</t>
  </si>
  <si>
    <t>timelimit</t>
  </si>
  <si>
    <t>https://chromewebstore.google.com/detail/ihahdkpgnaoiidnkndhginfpianaindd</t>
  </si>
  <si>
    <t>Tiki Affiliate Link Maker</t>
  </si>
  <si>
    <t>https://chromewebstore.google.com/detail/ilagjaefinhaihnmcmnhfnikaimpapeb</t>
  </si>
  <si>
    <t>Emoji Keyboard 2021 - for Chrome Browser</t>
  </si>
  <si>
    <t>https://chromewebstore.google.com/detail/ingodapckfhiolgmnjdocgfdfhgmokob</t>
  </si>
  <si>
    <t>Seenly</t>
  </si>
  <si>
    <t>https://chromewebstore.google.com/detail/jagapdgjhcbmakebkbilceabfeflnllk</t>
  </si>
  <si>
    <t>https://chromewebstore.google.com/detail/jojafcbgfjjagedlpbpgpnafaedfjclk</t>
  </si>
  <si>
    <t>Slideshow Wallpaper Gadget</t>
  </si>
  <si>
    <t>https://chromewebstore.google.com/detail/jpagnmodhfdmdkmgjcolnnfienejokpo</t>
  </si>
  <si>
    <t>Dad Jokes New Tab</t>
  </si>
  <si>
    <t>https://chromewebstore.google.com/detail/nadkgipbdodikbebedanhfpeedgbgail</t>
  </si>
  <si>
    <t>Bookching</t>
  </si>
  <si>
    <t>https://chromewebstore.google.com/detail/oinkglklklhaloidmggmafgbibhnlidg</t>
  </si>
  <si>
    <t>WebRTC SIP Phone with Click2Dial</t>
  </si>
  <si>
    <t>https://chromewebstore.google.com/detail/pofkcckikkdhiieipefhkaelgnbdkcib</t>
  </si>
  <si>
    <t>ボタン追加 for Amazonから楽天市場</t>
  </si>
  <si>
    <t>https://chromewebstore.google.com/detail/ppjfndcalabkncdafadlfkiilbjceggd</t>
  </si>
  <si>
    <t>KiSSFLOW - Attachments-Download-All</t>
  </si>
  <si>
    <t>https://chromewebstore.google.com/detail/bplpmfnmpdgiodnlpcafealcfbjnffmc</t>
  </si>
  <si>
    <t>UiB Ordbok</t>
  </si>
  <si>
    <t>https://chromewebstore.google.com/detail/caembjifniahacfdkkhdaehanlaebefd</t>
  </si>
  <si>
    <t>读书笔记</t>
  </si>
  <si>
    <t>https://chromewebstore.google.com/detail/cekpldeffalionmgoedldkdnlcbphamp</t>
  </si>
  <si>
    <t>Lone Tab</t>
  </si>
  <si>
    <t>https://chromewebstore.google.com/detail/dlgodcdpmjmeegcakjjldfobmooajhhe</t>
  </si>
  <si>
    <t>Link With Context</t>
  </si>
  <si>
    <t>https://chromewebstore.google.com/detail/ghpdiolckpncfliklbmgiljggbokjban</t>
  </si>
  <si>
    <t>Tweet Translater for Twitter</t>
  </si>
  <si>
    <t>https://chromewebstore.google.com/detail/jdjkeinggenkakinhdoodppfjcggnmlo</t>
  </si>
  <si>
    <t>Mi-SigNature</t>
  </si>
  <si>
    <t>https://chromewebstore.google.com/detail/jhppfdbphdfchpfholhiehcdnbgkfjio</t>
  </si>
  <si>
    <t>webviruscheck Extension</t>
  </si>
  <si>
    <t>https://chromewebstore.google.com/detail/jlmgmdcfeikdeijcnjmkfapchfamjodj</t>
  </si>
  <si>
    <t>Ilias Video Downloader</t>
  </si>
  <si>
    <t>https://chromewebstore.google.com/detail/leenefgjoiioafkijlmlhjjmokoijfmn</t>
  </si>
  <si>
    <t>Sweet二维码生成器</t>
  </si>
  <si>
    <t>https://chromewebstore.google.com/detail/anphjljedkjpfppcialbhbhlpeknhagf</t>
  </si>
  <si>
    <t>Messenger Clean Up</t>
  </si>
  <si>
    <t>https://chromewebstore.google.com/detail/ehlignmalehipfgjncjmngndbgpjehed</t>
  </si>
  <si>
    <t>Tilaa VPS</t>
  </si>
  <si>
    <t>https://chromewebstore.google.com/detail/ibglpalofdjmncnanplfjcapcaakoinb</t>
  </si>
  <si>
    <t>About Chrome Page List</t>
  </si>
  <si>
    <t>https://chromewebstore.google.com/detail/jmjhfnknadodnkbgoahbconhpboioofh</t>
  </si>
  <si>
    <t>Pronto Auto Login</t>
  </si>
  <si>
    <t>https://chromewebstore.google.com/detail/khoooekfjeadpjimigdbbalnbdcbapbm</t>
  </si>
  <si>
    <t>Browser Clock</t>
  </si>
  <si>
    <t>https://chromewebstore.google.com/detail/kjcdpojndfkkmblojbgaohcakjfbmhkm</t>
  </si>
  <si>
    <t>Ketnooi Paid Link Bypasser</t>
  </si>
  <si>
    <t>https://chromewebstore.google.com/detail/lmfmialbcmpnhcdldmonpbmcclhdnaie</t>
  </si>
  <si>
    <t>Humble Pal</t>
  </si>
  <si>
    <t>https://chromewebstore.google.com/detail/ngdpilmbmplccomcgkoggnodcmaomfnj</t>
  </si>
  <si>
    <t>Xframe Assassin</t>
  </si>
  <si>
    <t>https://chromewebstore.google.com/detail/nigpljchmlcjkhbglkdimgaplklombph</t>
  </si>
  <si>
    <t>Chrome Extension for VMware Cloud Director</t>
  </si>
  <si>
    <t>https://chromewebstore.google.com/detail/omhjmmilocdnjgploallbdoicffjnmpl</t>
  </si>
  <si>
    <t>Tile View</t>
  </si>
  <si>
    <t>https://chromewebstore.google.com/detail/ajcjkemninihecbgljahanflndoeggao</t>
  </si>
  <si>
    <t>מחשבון משכנתא - משכנתאון</t>
  </si>
  <si>
    <t>https://chromewebstore.google.com/detail/bkoaabafngkddaofpjomdmembpcblbgk</t>
  </si>
  <si>
    <t>Income Tax Credential Manager</t>
  </si>
  <si>
    <t>https://chromewebstore.google.com/detail/fcoeelnejimjadoffcopbkkcbggfmmfa</t>
  </si>
  <si>
    <t>Polito.it Utility</t>
  </si>
  <si>
    <t>https://chromewebstore.google.com/detail/hglojnclbngnbmijmgdllkkimnoiohig</t>
  </si>
  <si>
    <t>DeCutr</t>
  </si>
  <si>
    <t>https://chromewebstore.google.com/detail/hobkoafajocifjponaoifdnmgdcaehin</t>
  </si>
  <si>
    <t>CheckMyHTTPS</t>
  </si>
  <si>
    <t>https://chromewebstore.google.com/detail/jbnodnfpdcegpnflleanllmiihkinkio</t>
  </si>
  <si>
    <t>马帮卖家中心通用助手</t>
  </si>
  <si>
    <t>https://chromewebstore.google.com/detail/lckkkmepbdjcpfbpcjidlmafmfhfklgh</t>
  </si>
  <si>
    <t>Link</t>
  </si>
  <si>
    <t>https://chromewebstore.google.com/detail/mknemajaeeddmehlbllajcpggnlaaeag</t>
  </si>
  <si>
    <t>ConnectWise Service Ticket Tab Updater</t>
  </si>
  <si>
    <t>https://chromewebstore.google.com/detail/noapiahhhhccobnbmaajnmadmjjaeadg</t>
  </si>
  <si>
    <t>ASO Tools for Google Play Store™</t>
  </si>
  <si>
    <t>https://chromewebstore.google.com/detail/ogbiebalkhkimkogbkofjbfclocdaofg</t>
  </si>
  <si>
    <t>F Business Leads</t>
  </si>
  <si>
    <t>https://chromewebstore.google.com/detail/ondhmbdgfiglnkgddjdkiippodobhjad</t>
  </si>
  <si>
    <t>Priberam.pt right click search</t>
  </si>
  <si>
    <t>https://chromewebstore.google.com/detail/akaeanmingfpniomcfbdjklhnkcfchmm</t>
  </si>
  <si>
    <t>WPADMIN : Wordpress Site Manager</t>
  </si>
  <si>
    <t>https://chromewebstore.google.com/detail/blagblbojfibhijpbaobmcdeanilmmdj</t>
  </si>
  <si>
    <t>github-code-viewer</t>
  </si>
  <si>
    <t>https://chromewebstore.google.com/detail/ecddapgifccgblebfibdgkagfbdagjfn</t>
  </si>
  <si>
    <t>AppMint Lite: HTML5/jQuery Mobile App Builder</t>
  </si>
  <si>
    <t>https://chromewebstore.google.com/detail/imdkdmbnblpapcdidcofglgbjbgaegle</t>
  </si>
  <si>
    <t>BetBotz - yobit.io</t>
  </si>
  <si>
    <t>https://chromewebstore.google.com/detail/oehmhenndanplepahcoagomojffbiooj</t>
  </si>
  <si>
    <t>Open Link on PC</t>
  </si>
  <si>
    <t>https://chromewebstore.google.com/detail/bdnfnkhfbgepokkkkbookefhdfibpnbc</t>
  </si>
  <si>
    <t>https://chromewebstore.google.com/detail/hfggooianhnifmngaedjoiooohhdedim</t>
  </si>
  <si>
    <t>Live Chat Overlay</t>
  </si>
  <si>
    <t>https://chromewebstore.google.com/detail/jpoihkknbjjfhbancpejlbejefpghmnc</t>
  </si>
  <si>
    <t>Kill The Clones</t>
  </si>
  <si>
    <t>https://chromewebstore.google.com/detail/kboomnlecbmbikamlaaeabjacbbadojh</t>
  </si>
  <si>
    <t>DNS lookup - HTTP status</t>
  </si>
  <si>
    <t>https://chromewebstore.google.com/detail/ldofhkbmbgplenhclhekpidbmgecnehb</t>
  </si>
  <si>
    <t>Freebookshub - Download Free eBooks for UK</t>
  </si>
  <si>
    <t>https://chromewebstore.google.com/detail/okkbjbehpablhojbihehiacmkbdfebmp</t>
  </si>
  <si>
    <t>Make ReCaptcha's "I'm not a robot" accurate</t>
  </si>
  <si>
    <t>https://chromewebstore.google.com/detail/olbjmgkbokabjfaelgogjjllpnfjgdoe</t>
  </si>
  <si>
    <t>Recur for Basecamp</t>
  </si>
  <si>
    <t>https://chromewebstore.google.com/detail/plhglaflppbkmegaobkfdhjclakmmpmd</t>
  </si>
  <si>
    <t>Search Forvo</t>
  </si>
  <si>
    <t>https://chromewebstore.google.com/detail/acckhcfpncdacfmhnmipaiheghjlhdjp</t>
  </si>
  <si>
    <t>Offline Epoch Converter</t>
  </si>
  <si>
    <t>https://chromewebstore.google.com/detail/ahgbcbjdcoaijfoeakpnjaghpdndekbg</t>
  </si>
  <si>
    <t>Fallen London Conversion Helper</t>
  </si>
  <si>
    <t>https://chromewebstore.google.com/detail/bajlcoahedhgjfpfgahdfaoeohmjbhfb</t>
  </si>
  <si>
    <t>MyFitnessPal Search Filters</t>
  </si>
  <si>
    <t>https://chromewebstore.google.com/detail/gebbknledcndnnoamiccckbbodbhimde</t>
  </si>
  <si>
    <t>GhostPage</t>
  </si>
  <si>
    <t>https://chromewebstore.google.com/detail/hegpcollkgldlimbhkimijhhhoaicipp</t>
  </si>
  <si>
    <t>Online Webcam Capture</t>
  </si>
  <si>
    <t>https://chromewebstore.google.com/detail/aigghblcdebcjepbepaankbbjkibcncn</t>
  </si>
  <si>
    <t>Shopify Developer Tools</t>
  </si>
  <si>
    <t>https://chromewebstore.google.com/detail/ampfnhkbibnmhgoiaaokkejbajllamfj</t>
  </si>
  <si>
    <t>Hide Youtube Likes/Dislikes</t>
  </si>
  <si>
    <t>https://chromewebstore.google.com/detail/bndphnggikgjkhappgdnhijgnlafnfph</t>
  </si>
  <si>
    <t>Add to Calendar</t>
  </si>
  <si>
    <t>https://chromewebstore.google.com/detail/ciamdnecdjnljmaaoneckkojbdbkmdhe</t>
  </si>
  <si>
    <t>Feedpon</t>
  </si>
  <si>
    <t>https://chromewebstore.google.com/detail/eakhakkpdlepncdbafeaagegpgnjhcij</t>
  </si>
  <si>
    <t>YaTab</t>
  </si>
  <si>
    <t>https://chromewebstore.google.com/detail/fkkfdilehekamhmocmkicmebbhcanobi</t>
  </si>
  <si>
    <t>Awesome Lorem Ipsum Generator &amp; Form Filler</t>
  </si>
  <si>
    <t>https://chromewebstore.google.com/detail/klapbdjmkdbfdboihdcopnlfdemplphc</t>
  </si>
  <si>
    <t>Go to Anghami</t>
  </si>
  <si>
    <t>https://chromewebstore.google.com/detail/dilakjjoblnfllhnlhcpmnpfeblkbajp</t>
  </si>
  <si>
    <t>Nifty Scanner</t>
  </si>
  <si>
    <t>https://chromewebstore.google.com/detail/eoepooeledpjaoehhokhalpmlmjbedhe</t>
  </si>
  <si>
    <t>StreamMania extension</t>
  </si>
  <si>
    <t>https://chromewebstore.google.com/detail/epidbhilfagblclcplbdhfcnhhbehgnd</t>
  </si>
  <si>
    <t>Solary</t>
  </si>
  <si>
    <t>https://chromewebstore.google.com/detail/hcbdbiggklmbnbhhmepnebffpmajnkai</t>
  </si>
  <si>
    <t>Live Bookmarks</t>
  </si>
  <si>
    <t>https://chromewebstore.google.com/detail/ihfolgbjkckclahmpoejnoglilaeenji</t>
  </si>
  <si>
    <t>RecruiterHunt New Tab Page (Beta)</t>
  </si>
  <si>
    <t>https://chromewebstore.google.com/detail/jdojhcokhpkdijmhpdgfmkbflaokjmgn</t>
  </si>
  <si>
    <t>Sources de Confiance</t>
  </si>
  <si>
    <t>https://chromewebstore.google.com/detail/kcogbonnkheeologjkpkclphajgomnjf</t>
  </si>
  <si>
    <t>AcFun-CIP</t>
  </si>
  <si>
    <t>https://chromewebstore.google.com/detail/mhpjihcolfmanjipbiileobmpljepjod</t>
  </si>
  <si>
    <t>open vscode.dev by right click</t>
  </si>
  <si>
    <t>https://chromewebstore.google.com/detail/niipgeipgmcgikcempmopgfaifponeni</t>
  </si>
  <si>
    <t>Surveillance Client</t>
  </si>
  <si>
    <t>https://chromewebstore.google.com/detail/nlhbmonchdkgilbpglpghlokfggebfdk</t>
  </si>
  <si>
    <t>Dictionary.net Extension</t>
  </si>
  <si>
    <t>https://chromewebstore.google.com/detail/pmgahbdihjhjdgnpnapldpddkodhhchn</t>
  </si>
  <si>
    <t>Aniwatch Plus</t>
  </si>
  <si>
    <t>https://chromewebstore.google.com/detail/hgniihpjiioldkafogebpkbaiflmpimb</t>
  </si>
  <si>
    <t>eClass Extension</t>
  </si>
  <si>
    <t>https://chromewebstore.google.com/detail/hjonhidkkghlaifloofeebkchkakglfa</t>
  </si>
  <si>
    <t>离线英汉词典</t>
  </si>
  <si>
    <t>https://chromewebstore.google.com/detail/ndifefelacmidghjaehmhicbchbidhpe</t>
  </si>
  <si>
    <t>Github Sequence Diagrams</t>
  </si>
  <si>
    <t>https://chromewebstore.google.com/detail/okomebddpkofkggafolekknmhookbkcf</t>
  </si>
  <si>
    <t>https://chromewebstore.google.com/detail/aegabhjcjoamaadpaegobifbdodfecil</t>
  </si>
  <si>
    <t>Memory Saver</t>
  </si>
  <si>
    <t>https://chromewebstore.google.com/detail/clfldjhhkpaihbcdbamcdgpiegepodfh</t>
  </si>
  <si>
    <t>API Tester</t>
  </si>
  <si>
    <t>https://chromewebstore.google.com/detail/colfckdffhgmegmaidpianbffeabajll</t>
  </si>
  <si>
    <t>words.</t>
  </si>
  <si>
    <t>https://chromewebstore.google.com/detail/eaabheapbodnjapjjhmgdkkgppadjgnf</t>
  </si>
  <si>
    <t>下载到小米路由器</t>
  </si>
  <si>
    <t>https://chromewebstore.google.com/detail/fndcklhnahjoejfeafoogjdplfgagnmm</t>
  </si>
  <si>
    <t>SHOWROOM Live Player</t>
  </si>
  <si>
    <t>https://chromewebstore.google.com/detail/gcjeljdjmnjhgldhjhomjfacoedjaabg</t>
  </si>
  <si>
    <t>Stopwatch and Counter</t>
  </si>
  <si>
    <t>https://chromewebstore.google.com/detail/iidccgfffeecdihjbmgoedphgmeeolka</t>
  </si>
  <si>
    <t>Utility functions for main add-on</t>
  </si>
  <si>
    <t>https://chromewebstore.google.com/detail/lgjbbgpdcecjcfmmlgpjedodehfeepcg</t>
  </si>
  <si>
    <t>Discord Profile Pic Preview</t>
  </si>
  <si>
    <t>https://chromewebstore.google.com/detail/mpjnbjlbcohfkbdmoffafmdmlokagjek</t>
  </si>
  <si>
    <t>thanks.io</t>
  </si>
  <si>
    <t>https://chromewebstore.google.com/detail/pmghhbcidenacjapeocgagkkaffnbfdd</t>
  </si>
  <si>
    <t>Color Grab</t>
  </si>
  <si>
    <t>https://chromewebstore.google.com/detail/aiamoeimgpbjfhmagepggjdickchgpfd</t>
  </si>
  <si>
    <t>vKappa for VK</t>
  </si>
  <si>
    <t>https://chromewebstore.google.com/detail/cpeddbaihddojignldpdabddpklmmjmj</t>
  </si>
  <si>
    <t>TTY for eforth</t>
  </si>
  <si>
    <t>https://chromewebstore.google.com/detail/dkbgcfcjbajlpblohlndijcdnhkfjcck</t>
  </si>
  <si>
    <t>Cooking Fast 3 Ribs And Pancakes</t>
  </si>
  <si>
    <t>https://chromewebstore.google.com/detail/fgeegfpfgemgobpccccnaflpoipcopja</t>
  </si>
  <si>
    <t>Subtle Scrollbars</t>
  </si>
  <si>
    <t>https://chromewebstore.google.com/detail/iepofmbkhfelkphdhkldbiemijmgcmlc</t>
  </si>
  <si>
    <t>Tyda</t>
  </si>
  <si>
    <t>https://chromewebstore.google.com/detail/jfpknileagbhhhmmkbadkiecgjcbpfpk</t>
  </si>
  <si>
    <t>SiteLauncher Startup Edition</t>
  </si>
  <si>
    <t>https://chromewebstore.google.com/detail/kpkjomcemjimkbmhiobdobpiocgnkgoc</t>
  </si>
  <si>
    <t>Парсер сайтов · мониторинг цен конкурентов</t>
  </si>
  <si>
    <t>https://chromewebstore.google.com/detail/mfhiahbobigkjofkpcbelhaojlcfkiah</t>
  </si>
  <si>
    <t>Fetching Browser History Search</t>
  </si>
  <si>
    <t>https://chromewebstore.google.com/detail/nhogooppmliljkaickdcmdnmaheaicmg</t>
  </si>
  <si>
    <t>https://chromewebstore.google.com/detail/adgbiebneebkejegnebimeflfkofcalj</t>
  </si>
  <si>
    <t>Workbench Enhancer Beta</t>
  </si>
  <si>
    <t>https://chromewebstore.google.com/detail/aeildolmfjhmlbbambcaobkjkhppphod</t>
  </si>
  <si>
    <t>Instaminutes - #1st Meeting Intelligence tool</t>
  </si>
  <si>
    <t>https://chromewebstore.google.com/detail/biejinfobcnfmjjgggmldodnbjppplod</t>
  </si>
  <si>
    <t>QPocket</t>
  </si>
  <si>
    <t>https://chromewebstore.google.com/detail/dhabdofcfmbcogjdnlnjnodicfmaaiej</t>
  </si>
  <si>
    <t>Cadavan - Order Tool</t>
  </si>
  <si>
    <t>https://chromewebstore.google.com/detail/ehdcdancjbfkckpjnpjlakcfililnhkl</t>
  </si>
  <si>
    <t>AutoPhil: Autofill + ChatGPT + OCR</t>
  </si>
  <si>
    <t>https://chromewebstore.google.com/detail/fmceajdookgglbnmeonlcedeoajmchpn</t>
  </si>
  <si>
    <t>Turbo Outliner</t>
  </si>
  <si>
    <t>https://chromewebstore.google.com/detail/iodgmdnioenechbmenajalhpadghigfa</t>
  </si>
  <si>
    <t>Pomowork - Pomodoro® and Todo Assistant</t>
  </si>
  <si>
    <t>https://chromewebstore.google.com/detail/likibnmpifknedmpikkllcfikoknafen</t>
  </si>
  <si>
    <t>Early</t>
  </si>
  <si>
    <t>https://chromewebstore.google.com/detail/llimijeljhcflhcakemjahakijmllgbe</t>
  </si>
  <si>
    <t>Azure DevOps Pull Requests</t>
  </si>
  <si>
    <t>https://chromewebstore.google.com/detail/pbjkodijnlbkbbkjmhgemlpigeaoaken</t>
  </si>
  <si>
    <t>PowerBI Matrix Copy</t>
  </si>
  <si>
    <t>https://chromewebstore.google.com/detail/dnkbidmoaefofeklbalbfncodbfhcpgn</t>
  </si>
  <si>
    <t>Roboeduc App</t>
  </si>
  <si>
    <t>https://chromewebstore.google.com/detail/eimfpbhegdjjclmjalemkpkgngdolccp</t>
  </si>
  <si>
    <t>Youtube™ Shortcuts</t>
  </si>
  <si>
    <t>https://chromewebstore.google.com/detail/fnapinimcdpmgkedhjbfckmpjppnbhba</t>
  </si>
  <si>
    <t>Gunun Hava Durumu</t>
  </si>
  <si>
    <t>https://chromewebstore.google.com/detail/lhiljglgmbfgpamafdpljdplhkfnnboh</t>
  </si>
  <si>
    <t>PowerSwitch</t>
  </si>
  <si>
    <t>https://chromewebstore.google.com/detail/lljbpnomhjlnohbcipjjjmnbncfofobe</t>
  </si>
  <si>
    <t>Thank Mr Skeltal</t>
  </si>
  <si>
    <t>https://chromewebstore.google.com/detail/maaihlnpjfbdfajjbhbpmjpklkodbdca</t>
  </si>
  <si>
    <t>Поиск бесплатных файлов</t>
  </si>
  <si>
    <t>https://chromewebstore.google.com/detail/pkfmefgcldahebkaebdcjlkgijkaebmg</t>
  </si>
  <si>
    <t>Logiciel antispam antivirus Altospam</t>
  </si>
  <si>
    <t>https://chromewebstore.google.com/detail/bmmflkcfgkjchdcgfmdleaekoplpjlgb</t>
  </si>
  <si>
    <t>C-PEN Connect (BT10)</t>
  </si>
  <si>
    <t>https://chromewebstore.google.com/detail/dghlnbdlgkaocplkljohkjdbhpghgboo</t>
  </si>
  <si>
    <t>Sesh</t>
  </si>
  <si>
    <t>https://chromewebstore.google.com/detail/emclpejnhkiogdlimfgipbdfpdcnhhoj</t>
  </si>
  <si>
    <t>GH Plagiarism Check</t>
  </si>
  <si>
    <t>https://chromewebstore.google.com/detail/fbnkdiommanmaggjbppgecgpekigaceb</t>
  </si>
  <si>
    <t>Horse Games</t>
  </si>
  <si>
    <t>https://chromewebstore.google.com/detail/fipaibmadbngajchpclbkjlomacfbicc</t>
  </si>
  <si>
    <t>Right Click to Search eBay</t>
  </si>
  <si>
    <t>https://chromewebstore.google.com/detail/gbpjnlpngmlonccincackjglapdnlckf</t>
  </si>
  <si>
    <t>Teams Call Manager</t>
  </si>
  <si>
    <t>https://chromewebstore.google.com/detail/gmklieclhlmicflemopmbllaldmejnkp</t>
  </si>
  <si>
    <t>Previeweet</t>
  </si>
  <si>
    <t>https://chromewebstore.google.com/detail/ioknjbncflfoefodkjodmddcpahnhkgh</t>
  </si>
  <si>
    <t>Merch Writer for Merch by Amazon</t>
  </si>
  <si>
    <t>https://chromewebstore.google.com/detail/ogkhimnfjdkddagddmckolplacmmhiai</t>
  </si>
  <si>
    <t>Scholar Updates</t>
  </si>
  <si>
    <t>https://chromewebstore.google.com/detail/omcldlkglopofaoiicnhommadfecgdeo</t>
  </si>
  <si>
    <t>Easy NotePad</t>
  </si>
  <si>
    <t>https://chromewebstore.google.com/detail/plpjemecoefaeikldhckbggehnhiokjn</t>
  </si>
  <si>
    <t>Random Filler</t>
  </si>
  <si>
    <t>https://chromewebstore.google.com/detail/clofnhpoigphigpholmoimnmkojlpmjg</t>
  </si>
  <si>
    <t>TabLink</t>
  </si>
  <si>
    <t>https://chromewebstore.google.com/detail/fiomkbglnahplbafedejbebpfnmmpgdj</t>
  </si>
  <si>
    <t>Telegram</t>
  </si>
  <si>
    <t>https://chromewebstore.google.com/detail/jgfpgkknopphgdcaoclnaoecckinkhda</t>
  </si>
  <si>
    <t>Simple ChordPro</t>
  </si>
  <si>
    <t>https://chromewebstore.google.com/detail/negipcmgbepcfhamlpdbkepipeiidkfk</t>
  </si>
  <si>
    <t>Advanced Embedder for YouTube</t>
  </si>
  <si>
    <t>https://chromewebstore.google.com/detail/odifiogjabgjhgkodimeiikghfgpfaoh</t>
  </si>
  <si>
    <t>In-stock Alerts (Beta)</t>
  </si>
  <si>
    <t>https://chromewebstore.google.com/detail/pcdmjenfjbffehpfmmdbkbdbgllpnmac</t>
  </si>
  <si>
    <t>CurrentSong</t>
  </si>
  <si>
    <t>https://chromewebstore.google.com/detail/alanjgmjccmkkpmpejgdhaodfjlmcone</t>
  </si>
  <si>
    <t>my code stock.com</t>
  </si>
  <si>
    <t>https://chromewebstore.google.com/detail/bnlabgojebipbkffbebpecgapkakdikp</t>
  </si>
  <si>
    <t>WebTools</t>
  </si>
  <si>
    <t>https://chromewebstore.google.com/detail/ejnboneedfadhjddmbckhflmpnlcomge</t>
  </si>
  <si>
    <t>ElasticSearch API Search</t>
  </si>
  <si>
    <t>https://chromewebstore.google.com/detail/ghfpifklepifimmmnfggkakdiahccacp</t>
  </si>
  <si>
    <t>Sun &amp; moon times extension</t>
  </si>
  <si>
    <t>https://chromewebstore.google.com/detail/ipijpiahkomdgeglkmndmegpgkfeddaj</t>
  </si>
  <si>
    <t>Ptt X</t>
  </si>
  <si>
    <t>https://chromewebstore.google.com/detail/jcinkpfmclffaehlhmpfbicnkgpanmjo</t>
  </si>
  <si>
    <t>HTML5 Gamepad Detector</t>
  </si>
  <si>
    <t>https://chromewebstore.google.com/detail/kfenghlfdhpjbnmdmbhnhhojdcofilcd</t>
  </si>
  <si>
    <t>Tracy</t>
  </si>
  <si>
    <t>https://chromewebstore.google.com/detail/lcgbimfijafcjjijgjoodgpblgmkckhn</t>
  </si>
  <si>
    <t>Search Best Sellers</t>
  </si>
  <si>
    <t>https://chromewebstore.google.com/detail/mnipkeanijngbipifgacmcjjhkiklddc</t>
  </si>
  <si>
    <t>YouTube Ad skipper 100% Working</t>
  </si>
  <si>
    <t>https://chromewebstore.google.com/detail/ojaledjgjlkpjaebmdphdkcmljibaeen</t>
  </si>
  <si>
    <t>WorkFlowy colorful tags</t>
  </si>
  <si>
    <t>https://chromewebstore.google.com/detail/cmbmkopbnnbhdeknahmdkfkjogdlbdjf</t>
  </si>
  <si>
    <t>Images - All-in-one Internet Search</t>
  </si>
  <si>
    <t>https://chromewebstore.google.com/detail/dhnojfogghcjfmlomjdaohbfldkblfap</t>
  </si>
  <si>
    <t>HoverWord - Chinese to English</t>
  </si>
  <si>
    <t>https://chromewebstore.google.com/detail/fcakhfmaloljamcmhcedibdmbdpihdin</t>
  </si>
  <si>
    <t>Blocked Website Bypass</t>
  </si>
  <si>
    <t>https://chromewebstore.google.com/detail/kmdmcbadibaallgjciaabcimfbdcgaom</t>
  </si>
  <si>
    <t>Live News Cloud</t>
  </si>
  <si>
    <t>https://chromewebstore.google.com/detail/mdpeibincallapdamgmhhpneloaoipii</t>
  </si>
  <si>
    <t>D3 Deconstructor</t>
  </si>
  <si>
    <t>https://chromewebstore.google.com/detail/papagkpjldglcaifeipgcfkhddlefnkk</t>
  </si>
  <si>
    <t>WaterlooWorks Works</t>
  </si>
  <si>
    <t>https://chromewebstore.google.com/detail/plhaoajbhnjfbdkkimekccjpojkphmmp</t>
  </si>
  <si>
    <t>RPN Calculator</t>
  </si>
  <si>
    <t>https://chromewebstore.google.com/detail/dioedokjeinagmkffeoffbiiclofpjgd</t>
  </si>
  <si>
    <t>EasyLoad</t>
  </si>
  <si>
    <t>https://chromewebstore.google.com/detail/eolfdjgkgipepdbbfokjnlohdbdpmafe</t>
  </si>
  <si>
    <t>TcNo Rust Drop Assistant</t>
  </si>
  <si>
    <t>https://chromewebstore.google.com/detail/hflmhkgipblnfcplmdlkcknmenjmnedp</t>
  </si>
  <si>
    <t>TeamLogger</t>
  </si>
  <si>
    <t>https://chromewebstore.google.com/detail/ooajpgmiljldhgplahlcofjljmoibkfh</t>
  </si>
  <si>
    <t>3D Archery Master</t>
  </si>
  <si>
    <t>https://chromewebstore.google.com/detail/pdbloggijnnlfodlddjfaemaegfpdgea</t>
  </si>
  <si>
    <t>Clear Downloads</t>
  </si>
  <si>
    <t>https://chromewebstore.google.com/detail/ddagcmmgpaibmjkiobcgggeiblnjnfkm</t>
  </si>
  <si>
    <t>Autopinner</t>
  </si>
  <si>
    <t>https://chromewebstore.google.com/detail/dnpclnddefebpffecjjfaebhoiekpggj</t>
  </si>
  <si>
    <t>Accessibility monitor</t>
  </si>
  <si>
    <t>https://chromewebstore.google.com/detail/gddplijpjcadnhpnlpkjoppgedpengbo</t>
  </si>
  <si>
    <t>Link Preserver for Trello</t>
  </si>
  <si>
    <t>https://chromewebstore.google.com/detail/kakifckibanjlglpkbnfdichejplgdap</t>
  </si>
  <si>
    <t>Chromemacs</t>
  </si>
  <si>
    <t>https://chromewebstore.google.com/detail/kfdibhbheajeacnkkakomaliggbgndcf</t>
  </si>
  <si>
    <t>Calligraphy Font Generator</t>
  </si>
  <si>
    <t>https://chromewebstore.google.com/detail/lafhdjlbfokddafjkiakhcmgkpnkeagh</t>
  </si>
  <si>
    <t>Book Covid-19 Vaccination Slots.</t>
  </si>
  <si>
    <t>https://chromewebstore.google.com/detail/nbihfiblmebjoppccegmiopkipcknedo</t>
  </si>
  <si>
    <t>URL2QR</t>
  </si>
  <si>
    <t>https://chromewebstore.google.com/detail/nkiecajlaphenndjpfjoeldeljkgpjec</t>
  </si>
  <si>
    <t>Statista4Students</t>
  </si>
  <si>
    <t>https://chromewebstore.google.com/detail/onbipggmljeocamidpecljdkaicfibep</t>
  </si>
  <si>
    <t>Red Labels for Pivotal Tracker</t>
  </si>
  <si>
    <t>https://chromewebstore.google.com/detail/agijkohaieagbidlmjjlajhlkpfoegao</t>
  </si>
  <si>
    <t>Water Glass</t>
  </si>
  <si>
    <t>https://chromewebstore.google.com/detail/cfmnokobeamddnjilinmidbkkdlheghh</t>
  </si>
  <si>
    <t>Easy Tab URL</t>
  </si>
  <si>
    <t>https://chromewebstore.google.com/detail/fccbmnpilngffifjlblcnaaeoahbamfp</t>
  </si>
  <si>
    <t>Ad Density - Measure In a Single Click</t>
  </si>
  <si>
    <t>https://chromewebstore.google.com/detail/mcdomdjmmhkcdhejlgfjmnljkkedogln</t>
  </si>
  <si>
    <t>Bookmark World Clock</t>
  </si>
  <si>
    <t>https://chromewebstore.google.com/detail/mfgdchikohkibmghmbklpiijfakcmlfl</t>
  </si>
  <si>
    <t>TabList Manager</t>
  </si>
  <si>
    <t>https://chromewebstore.google.com/detail/nfldfdiecanfehfklddallboddlhedgh</t>
  </si>
  <si>
    <t>Password Safe Box</t>
  </si>
  <si>
    <t>https://chromewebstore.google.com/detail/njnffblfmpifpannonhbmfiellngpade</t>
  </si>
  <si>
    <t>Symbols Copy and Paste</t>
  </si>
  <si>
    <t>https://chromewebstore.google.com/detail/obbcdbanojflckhlbghdaclhkdemindp</t>
  </si>
  <si>
    <t>Enecuum</t>
  </si>
  <si>
    <t>https://chromewebstore.google.com/detail/oendodccclbjedifljnlkapjejklgekf</t>
  </si>
  <si>
    <t>Cigar Price History and Free Fall Tracker</t>
  </si>
  <si>
    <t>https://chromewebstore.google.com/detail/hjbommnhodlfagkpepengkjokfpanpjj</t>
  </si>
  <si>
    <t>Cato</t>
  </si>
  <si>
    <t>https://chromewebstore.google.com/detail/icphdcfpompgbdikholnedfeidemgobg</t>
  </si>
  <si>
    <t>Do not close browser with last tab</t>
  </si>
  <si>
    <t>https://chromewebstore.google.com/detail/iiolkehjeklhkdphaakkceadenbcdahj</t>
  </si>
  <si>
    <t>Crunchbase Enhancer</t>
  </si>
  <si>
    <t>https://chromewebstore.google.com/detail/kolcdbonbggbngfdehifhfkcboihnnih</t>
  </si>
  <si>
    <t>Always Old Reddit</t>
  </si>
  <si>
    <t>https://chromewebstore.google.com/detail/cencjkmlbgldjkepigaaelkodbfbifba</t>
  </si>
  <si>
    <t>Star Citizen Bulk XPLORer</t>
  </si>
  <si>
    <t>https://chromewebstore.google.com/detail/hhmhabdjafcnejipbcpfdkdhfolfpheo</t>
  </si>
  <si>
    <t>Bitbucket (+ others): absolute commit date</t>
  </si>
  <si>
    <t>https://chromewebstore.google.com/detail/ibmpjnmlhfboaljbechlinicnlpmlgnp</t>
  </si>
  <si>
    <t>FlowTime 1</t>
  </si>
  <si>
    <t>https://chromewebstore.google.com/detail/jgmilfbglekpibpaeflpioddklgajnno</t>
  </si>
  <si>
    <t>清大選課管家</t>
  </si>
  <si>
    <t>https://chromewebstore.google.com/detail/nihfemnmeopfggpfdfjjfjclpimfchlk</t>
  </si>
  <si>
    <t>EasyPan Hand Tool</t>
  </si>
  <si>
    <t>https://chromewebstore.google.com/detail/egcoefibmfbgpclkjljnmnljppfaafio</t>
  </si>
  <si>
    <t>Bookmarks, History, Website DevTools Sidebar</t>
  </si>
  <si>
    <t>https://chromewebstore.google.com/detail/ghcobbkjdobahlopkoohegcbgmnikpaa</t>
  </si>
  <si>
    <t>MyAnimeList Searcher</t>
  </si>
  <si>
    <t>https://chromewebstore.google.com/detail/iajmbllmbjojpoilecapflgebmodnfio</t>
  </si>
  <si>
    <t>Email Scraper</t>
  </si>
  <si>
    <t>https://chromewebstore.google.com/detail/pfickflbfbmpobjaglfcfjcebifakiln</t>
  </si>
  <si>
    <t>10-Second Focus</t>
  </si>
  <si>
    <t>https://chromewebstore.google.com/detail/pknpbhgcekdpigobealnbgjbeaonegad</t>
  </si>
  <si>
    <t>Force HTTPS for all traffic</t>
  </si>
  <si>
    <t>https://chromewebstore.google.com/detail/dpipdndjcofdfhknlfloeokjiooiojoo</t>
  </si>
  <si>
    <t>Daraz Tool</t>
  </si>
  <si>
    <t>https://chromewebstore.google.com/detail/gfengfepgheocmfajdhhjgkodffaemio</t>
  </si>
  <si>
    <t>Make GitHub Great Again</t>
  </si>
  <si>
    <t>https://chromewebstore.google.com/detail/gpejlkhibgecggplgogpbgbdpnhogmhk</t>
  </si>
  <si>
    <t>Discord System-Wide PTT</t>
  </si>
  <si>
    <t>https://chromewebstore.google.com/detail/jlmpdldjipfblopcdkcfccmnmnmiajnb</t>
  </si>
  <si>
    <t>Very Annoying High Pitch Dog Whistle Sound</t>
  </si>
  <si>
    <t>https://chromewebstore.google.com/detail/kaplchpcmcaefdeghnckianhbdecjlmp</t>
  </si>
  <si>
    <t>Kudo Presentation Mode</t>
  </si>
  <si>
    <t>https://chromewebstore.google.com/detail/kcckcfoaiogdeajdbekopnhbepigidgb</t>
  </si>
  <si>
    <t>Task Remainder</t>
  </si>
  <si>
    <t>https://chromewebstore.google.com/detail/kgoaofjpjpekifclaoindlockcngoeed</t>
  </si>
  <si>
    <t>Favicon Generator</t>
  </si>
  <si>
    <t>https://chromewebstore.google.com/detail/mjohncgoeaibcnalddkaneigndiiblnp</t>
  </si>
  <si>
    <t>30s Neck Stretch</t>
  </si>
  <si>
    <t>https://chromewebstore.google.com/detail/pcdcihhemnmdojkkhloildjcoobklnhb</t>
  </si>
  <si>
    <t>How to Work on the Internet</t>
  </si>
  <si>
    <t>https://chromewebstore.google.com/detail/pnkafpodkpnigbkdmplabdcdmfagpibk</t>
  </si>
  <si>
    <t>QRTrans</t>
  </si>
  <si>
    <t>https://chromewebstore.google.com/detail/aljgmbpcdmgelhkanifjjbgdkohoefme</t>
  </si>
  <si>
    <t>Kalendario for Google Calendar™</t>
  </si>
  <si>
    <t>https://chromewebstore.google.com/detail/ccoehijdbponhcemihobmdpaeenmgchg</t>
  </si>
  <si>
    <t>VOXO Quick Dial</t>
  </si>
  <si>
    <t>https://chromewebstore.google.com/detail/ckohnlaiommapdclfdndapcofmkacino</t>
  </si>
  <si>
    <t>WebMoney Advisor</t>
  </si>
  <si>
    <t>https://chromewebstore.google.com/detail/ecnpogknkjmbicoiindidldgedjibfep</t>
  </si>
  <si>
    <t>Contentyze</t>
  </si>
  <si>
    <t>https://chromewebstore.google.com/detail/gpphaggniggaeijgmkaoleflnpflnfdo</t>
  </si>
  <si>
    <t>图书馆代理工具</t>
  </si>
  <si>
    <t>https://chromewebstore.google.com/detail/hjgdojaimecndelgeocadjencgnellfp</t>
  </si>
  <si>
    <t>Text Field</t>
  </si>
  <si>
    <t>https://chromewebstore.google.com/detail/igigbeogifbmkfgbllimpgdaelhilgkj</t>
  </si>
  <si>
    <t>Nested Folders for Google Photos</t>
  </si>
  <si>
    <t>https://chromewebstore.google.com/detail/mehjcgdbdmogjojkhjgmlkalcipmijej</t>
  </si>
  <si>
    <t>Change Background, set custom wallpaper</t>
  </si>
  <si>
    <t>https://chromewebstore.google.com/detail/nnpojipjpkoejmlcpkiedbgjlgikpndl</t>
  </si>
  <si>
    <t>PoD(Simplest Website Blocker, Stay Focused)</t>
  </si>
  <si>
    <t>https://chromewebstore.google.com/detail/mmgclnghbacfjdopkijbanbpnkblbnhp</t>
  </si>
  <si>
    <t>Light JavaScript Playground</t>
  </si>
  <si>
    <t>https://chromewebstore.google.com/detail/dnbhlnmdfibonmpgckakiehcdjppnmjd</t>
  </si>
  <si>
    <t>Webfont Previewer</t>
  </si>
  <si>
    <t>https://chromewebstore.google.com/detail/ehmpabgeehikhdodemjoenbonjkdeopn</t>
  </si>
  <si>
    <t>Google URLS decoder</t>
  </si>
  <si>
    <t>https://chromewebstore.google.com/detail/fccpjkafgoedeodcfoiibmanhjdhhdod</t>
  </si>
  <si>
    <t>twitter プロモーション非表示</t>
  </si>
  <si>
    <t>https://chromewebstore.google.com/detail/hajinknmolbghbepmjdcajndkodbejgb</t>
  </si>
  <si>
    <t>SubDAO</t>
  </si>
  <si>
    <t>https://chromewebstore.google.com/detail/mdjleeiifigofkgmmandpmfejhpaaaee</t>
  </si>
  <si>
    <t>Context Menu Bookmarks</t>
  </si>
  <si>
    <t>https://chromewebstore.google.com/detail/cbdjbceefoomlmgnbhpodmeldoihbaim</t>
  </si>
  <si>
    <t>Movie Search Center New Tab</t>
  </si>
  <si>
    <t>https://chromewebstore.google.com/detail/eapfaoggapmabingclmjigiflhhcedfj</t>
  </si>
  <si>
    <t>Resurrection Gladiatus Script</t>
  </si>
  <si>
    <t>https://chromewebstore.google.com/detail/fhlafpdjfmnemncaeglkalapcajehmhe</t>
  </si>
  <si>
    <t>StarLeaf Scheduler for Google Calendar</t>
  </si>
  <si>
    <t>https://chromewebstore.google.com/detail/lkdjojiegmcnckccpmclhbkfinkedcge</t>
  </si>
  <si>
    <t>Schedule URL [DEV]</t>
  </si>
  <si>
    <t>https://chromewebstore.google.com/detail/cdjfjpoffkbfepobmlegdknkbddecodc</t>
  </si>
  <si>
    <t>DSA: Product &amp; Review Importer</t>
  </si>
  <si>
    <t>https://chromewebstore.google.com/detail/fpgnjacboogigbfnlemfjfeoefijihhd</t>
  </si>
  <si>
    <t>Name Generator Extension</t>
  </si>
  <si>
    <t>https://chromewebstore.google.com/detail/ijdkccjcpjdoibhmmfihppfgpfhjkkch</t>
  </si>
  <si>
    <t>Hide 'Like' Notifications</t>
  </si>
  <si>
    <t>https://chromewebstore.google.com/detail/kbfakkkdllpodegeoggpfcmjabodhpca</t>
  </si>
  <si>
    <t>PopupSound</t>
  </si>
  <si>
    <t>https://chromewebstore.google.com/detail/kjhffdfdniogmdjbgepekhidjbioofia</t>
  </si>
  <si>
    <t>Fortnite Free Vbux</t>
  </si>
  <si>
    <t>https://chromewebstore.google.com/detail/nohcngapdkhdknlekkchkmhcnkkbpdmk</t>
  </si>
  <si>
    <t>Ticket Master Data</t>
  </si>
  <si>
    <t>https://chromewebstore.google.com/detail/pghmiecjdbdaibecngmefbdmglkcboof</t>
  </si>
  <si>
    <t>Trackgo.ru - отслеживание и импорт посылок</t>
  </si>
  <si>
    <t>https://chromewebstore.google.com/detail/amhdmooncdllnoekdgggjhjlfnlbkdei</t>
  </si>
  <si>
    <t>Deepstash - Stash Ideas</t>
  </si>
  <si>
    <t>https://chromewebstore.google.com/detail/delfklcekebhdglimiacenamgoimjedp</t>
  </si>
  <si>
    <t>Prism - Visual Bookmarks</t>
  </si>
  <si>
    <t>https://chromewebstore.google.com/detail/diobhoifomoegojeaaghkfleolkhbipj</t>
  </si>
  <si>
    <t>Recommendation filter for YouTube</t>
  </si>
  <si>
    <t>https://chromewebstore.google.com/detail/eoelfnihmeicibagdaalkdhmmdohcgml</t>
  </si>
  <si>
    <t>VidGrabber</t>
  </si>
  <si>
    <t>https://chromewebstore.google.com/detail/hhnfajcbggahlcegcochjopcogeekljh</t>
  </si>
  <si>
    <t>Button: Open in new Window</t>
  </si>
  <si>
    <t>https://chromewebstore.google.com/detail/jalepliekfbfmbckeiloniladgoldfid</t>
  </si>
  <si>
    <t>Quickview for YouTube</t>
  </si>
  <si>
    <t>https://chromewebstore.google.com/detail/jfocolikmfgljlbblhgpkcjlpehnapkm</t>
  </si>
  <si>
    <t>Quire Anywhere</t>
  </si>
  <si>
    <t>https://chromewebstore.google.com/detail/nojpnnfpfaepolalpokjlblonedknfgf</t>
  </si>
  <si>
    <t>IFrame New Tab</t>
  </si>
  <si>
    <t>https://chromewebstore.google.com/detail/odhjpfjdlmcoajgnphnpnkapienploji</t>
  </si>
  <si>
    <t>Lionel Messi Reactions</t>
  </si>
  <si>
    <t>https://chromewebstore.google.com/detail/lfklaoaoaampgnpbcdhbpdeccmjncina</t>
  </si>
  <si>
    <t>GLPI Reminders</t>
  </si>
  <si>
    <t>https://chromewebstore.google.com/detail/nppohjmfdbpkfmenclcalicmdhmpnfpp</t>
  </si>
  <si>
    <t>Sugarchain Wallet Extension</t>
  </si>
  <si>
    <t>https://chromewebstore.google.com/detail/pgojdfajgcjjpjnbpfaelnpnjocakldb</t>
  </si>
  <si>
    <t>HTML New Tab</t>
  </si>
  <si>
    <t>https://chromewebstore.google.com/detail/ponjalfncfogplhjlmalcbbclbappnaf</t>
  </si>
  <si>
    <t>Dbased - based Dlive</t>
  </si>
  <si>
    <t>https://chromewebstore.google.com/detail/bjnemjdjapmakafpckmbdanhglffgpoc</t>
  </si>
  <si>
    <t>速卖通主图装饰/关联营销工具</t>
  </si>
  <si>
    <t>https://chromewebstore.google.com/detail/cfebnighhmfngiliojpieankfedbgloi</t>
  </si>
  <si>
    <t>apic cors extension</t>
  </si>
  <si>
    <t>https://chromewebstore.google.com/detail/dejjobgejdajdjjhjcindbjcfohoiehn</t>
  </si>
  <si>
    <t>recheck-web Demo</t>
  </si>
  <si>
    <t>https://chromewebstore.google.com/detail/ifbcdobnjihilgldbjeomakdaejhplii</t>
  </si>
  <si>
    <t>JPG to JPEG Converter</t>
  </si>
  <si>
    <t>https://chromewebstore.google.com/detail/kenphjfhfggmidbljbbnfjmeagicjbdh</t>
  </si>
  <si>
    <t>Whats The Expression</t>
  </si>
  <si>
    <t>https://chromewebstore.google.com/detail/lhgkcnjcljlcpopbleiggddjimcaphef</t>
  </si>
  <si>
    <t>Looksee</t>
  </si>
  <si>
    <t>https://chromewebstore.google.com/detail/mbfdhnjobheppodaolenppfegicnhmhp</t>
  </si>
  <si>
    <t>はてなNG</t>
  </si>
  <si>
    <t>https://chromewebstore.google.com/detail/mbgdnfmdelffjdhkdggilmphfdihnmcj</t>
  </si>
  <si>
    <t>Daily Motivation</t>
  </si>
  <si>
    <t>https://chromewebstore.google.com/detail/mmgepjldageingldphdeebmgaemdciio</t>
  </si>
  <si>
    <t>Popout Plus</t>
  </si>
  <si>
    <t>https://chromewebstore.google.com/detail/dfhigdjfidfnbmhockldodfnnaaolplm</t>
  </si>
  <si>
    <t>GitHub Real Names</t>
  </si>
  <si>
    <t>https://chromewebstore.google.com/detail/edfnfekndkopmlejjmlplpceflfldoae</t>
  </si>
  <si>
    <t>GEDmatch MultiFind Plugin</t>
  </si>
  <si>
    <t>https://chromewebstore.google.com/detail/efhmjnajoegmphjiohhkedfejkkeffhe</t>
  </si>
  <si>
    <t>Edit</t>
  </si>
  <si>
    <t>https://chromewebstore.google.com/detail/egbeoffgmdepbefhbiilpkalgnfjbmjg</t>
  </si>
  <si>
    <t>Daily Chess Puzzle</t>
  </si>
  <si>
    <t>https://chromewebstore.google.com/detail/nbccedaochfcpakfdgclnjkdbagniplh</t>
  </si>
  <si>
    <t>节假日日历</t>
  </si>
  <si>
    <t>https://chromewebstore.google.com/detail/nbnocjjjcabknnadklnobhnlnlbgcfnj</t>
  </si>
  <si>
    <t>Waves Enterprise Wallet</t>
  </si>
  <si>
    <t>https://chromewebstore.google.com/detail/nhihjlnjgibefgjhobhcphmnckoogdea</t>
  </si>
  <si>
    <t>FF15 Internet Car Driving</t>
  </si>
  <si>
    <t>https://chromewebstore.google.com/detail/acbomgcfbkgbbomhfclpojgceiglbnhl</t>
  </si>
  <si>
    <t>1 frame back</t>
  </si>
  <si>
    <t>https://chromewebstore.google.com/detail/aonfphdgolcjagpgmlejfpinabbckiio</t>
  </si>
  <si>
    <t>Plug X</t>
  </si>
  <si>
    <t>https://chromewebstore.google.com/detail/effeahbhlcfhmgljedehdfjpkgmachjg</t>
  </si>
  <si>
    <t>Amazon Cart Hider</t>
  </si>
  <si>
    <t>https://chromewebstore.google.com/detail/gacfakhdjblhojjecllgohnjgjikdhgb</t>
  </si>
  <si>
    <t>Mautic Helper</t>
  </si>
  <si>
    <t>https://chromewebstore.google.com/detail/glpjomjkomefedfilfhgoijnfkneifje</t>
  </si>
  <si>
    <t>GreenTerp Extension</t>
  </si>
  <si>
    <t>https://chromewebstore.google.com/detail/jljhicbdjdmlkfllfabjigbaedlphhcn</t>
  </si>
  <si>
    <t>Matlock</t>
  </si>
  <si>
    <t>https://chromewebstore.google.com/detail/mlpgkhbppppangggoealpdcadohcanmf</t>
  </si>
  <si>
    <t>ParsVT Asterisk Connector</t>
  </si>
  <si>
    <t>https://chromewebstore.google.com/detail/oejekcmlccpmnakekbpjcejffnfibado</t>
  </si>
  <si>
    <t>Bugs! for Mac - Plugin for Google Chrome™</t>
  </si>
  <si>
    <t>https://chromewebstore.google.com/detail/oijpbohhmbgkoajncbndffonkoojgbde</t>
  </si>
  <si>
    <t>Multi Messenger WhatsApp GMail Insta</t>
  </si>
  <si>
    <t>https://chromewebstore.google.com/detail/anibbblaeamdcgglangaglnkdeobafpk</t>
  </si>
  <si>
    <t>2Ring Extension for Cisco Finesse v3.5.0</t>
  </si>
  <si>
    <t>https://chromewebstore.google.com/detail/blpekcjocjpcaapokbakkpdgmodcehmd</t>
  </si>
  <si>
    <t>ガジェット2ch</t>
  </si>
  <si>
    <t>https://chromewebstore.google.com/detail/clgllpfjkdamohelagafdabapfkbmjnb</t>
  </si>
  <si>
    <t>AstraX</t>
  </si>
  <si>
    <t>https://chromewebstore.google.com/detail/clicahnjhfeibcmkenkdhajfmpihlbof</t>
  </si>
  <si>
    <t>1000 Bots</t>
  </si>
  <si>
    <t>https://chromewebstore.google.com/detail/ecpdhlloflbgbfjklnpedhiapeckiapa</t>
  </si>
  <si>
    <t>STEM Chronos</t>
  </si>
  <si>
    <t>https://chromewebstore.google.com/detail/gpmmebokjcjjnjkljpjliaepcchkmbda</t>
  </si>
  <si>
    <t>Webka: Photo Frames Editor</t>
  </si>
  <si>
    <t>https://chromewebstore.google.com/detail/jbkijmblapoebmohgplflegpphdbnbdl</t>
  </si>
  <si>
    <t>VietHome - Trang Tab Mới tuyệt vời</t>
  </si>
  <si>
    <t>https://chromewebstore.google.com/detail/mmgdfanogcpmailplabpbfpbjpipkmbo</t>
  </si>
  <si>
    <t>The Coupons App®</t>
  </si>
  <si>
    <t>https://chromewebstore.google.com/detail/nbmahpfopnacpfdbmkfdlpempcdjkmck</t>
  </si>
  <si>
    <t>Northguard Security</t>
  </si>
  <si>
    <t>https://chromewebstore.google.com/detail/nddnfbflpmmehfdabfgcblekmffaiokf</t>
  </si>
  <si>
    <t>Feature Policy Tester DevTools Extension</t>
  </si>
  <si>
    <t>https://chromewebstore.google.com/detail/pchamnkhkeokbpahnocjaeednpbpacop</t>
  </si>
  <si>
    <t>VideoSync Screen Capture</t>
  </si>
  <si>
    <t>https://chromewebstore.google.com/detail/bbnebelkeejofcgifppobddnljclghgn</t>
  </si>
  <si>
    <t>Power Hour</t>
  </si>
  <si>
    <t>https://chromewebstore.google.com/detail/doecnbidkbkagliekcdcmchdnfmacdpm</t>
  </si>
  <si>
    <t>https://chromewebstore.google.com/detail/jcjhfdkgoknpajcmibcodfibkklpmknc</t>
  </si>
  <si>
    <t>TDK Türkçe Sözlük</t>
  </si>
  <si>
    <t>https://chromewebstore.google.com/detail/jnjmpncmhemcbbknebmcpclgmmmjbkcd</t>
  </si>
  <si>
    <t>GeoKrety Toolbox</t>
  </si>
  <si>
    <t>https://chromewebstore.google.com/detail/ldbheajkebdflbjdckojokbfdndkahnl</t>
  </si>
  <si>
    <t>froglogic Squish Integration</t>
  </si>
  <si>
    <t>https://chromewebstore.google.com/detail/mkfebldlkodkmhpdlgigfneaajboegdl</t>
  </si>
  <si>
    <t>Koi Pixiv Extension</t>
  </si>
  <si>
    <t>https://chromewebstore.google.com/detail/oaieodbeeaaamklhaolaphcllihkafpa</t>
  </si>
  <si>
    <t>BetterRBTV</t>
  </si>
  <si>
    <t>https://chromewebstore.google.com/detail/hodhokibkpkmpfgpenceamiahfffabem</t>
  </si>
  <si>
    <t>Steam Popularity Filter</t>
  </si>
  <si>
    <t>https://chromewebstore.google.com/detail/icflgpakhkkjeaefoedcbdbahmjopbdc</t>
  </si>
  <si>
    <t>Post on VK Button</t>
  </si>
  <si>
    <t>https://chromewebstore.google.com/detail/jibhdmmjibghbdidboicahioanhpofbn</t>
  </si>
  <si>
    <t>YouTube Playlist Deleted Tracker</t>
  </si>
  <si>
    <t>https://chromewebstore.google.com/detail/jpciphlnnncgmpdmebmnffmiffncmeoj</t>
  </si>
  <si>
    <t>Messenger Connector | Messenger Toolkit</t>
  </si>
  <si>
    <t>https://chromewebstore.google.com/detail/lbkfekhldbhpmanjgbepioddcbpbcfbo</t>
  </si>
  <si>
    <t>Countdown</t>
  </si>
  <si>
    <t>https://chromewebstore.google.com/detail/liinagkdcgnopnmeodlgmccpiaalbbpa</t>
  </si>
  <si>
    <t>Tealium Event Tracker</t>
  </si>
  <si>
    <t>https://chromewebstore.google.com/detail/nbkmegijepdgaibmjgkbkckmcabkabhc</t>
  </si>
  <si>
    <t>flounder</t>
  </si>
  <si>
    <t>https://chromewebstore.google.com/detail/ncnlhecpjoajcgfdgpgfnkanieakhlcb</t>
  </si>
  <si>
    <t>RGB转Hex</t>
  </si>
  <si>
    <t>https://chromewebstore.google.com/detail/pbbmhedhahomalkbcigoejgllbbopofi</t>
  </si>
  <si>
    <t>WSSE Generator</t>
  </si>
  <si>
    <t>https://chromewebstore.google.com/detail/piadnaffpgcjalpkfmkpgeamkajfeedc</t>
  </si>
  <si>
    <t>Slitherio select server</t>
  </si>
  <si>
    <t>https://chromewebstore.google.com/detail/bieiemldejhpeepmahblpodiifacebnd</t>
  </si>
  <si>
    <t>WeGrabb</t>
  </si>
  <si>
    <t>https://chromewebstore.google.com/detail/dickhbnfhenadgcniknhlcihnkhoecai</t>
  </si>
  <si>
    <t>豆瓣导出助手</t>
  </si>
  <si>
    <t>https://chromewebstore.google.com/detail/epafonmjgndegnblfbkfkdniaflmkioi</t>
  </si>
  <si>
    <t>Sinc - Watch Netflix Together</t>
  </si>
  <si>
    <t>https://chromewebstore.google.com/detail/hpijhaededegbedhfnamnajebmhbdcla</t>
  </si>
  <si>
    <t>Track this!</t>
  </si>
  <si>
    <t>https://chromewebstore.google.com/detail/jigkbfpiflmklapapepfgefgdangijbo</t>
  </si>
  <si>
    <t>Quick Get QR &amp; Short URL</t>
  </si>
  <si>
    <t>https://chromewebstore.google.com/detail/jjoopnaocjjmddfhakebddhnaabiofhe</t>
  </si>
  <si>
    <t>Sanity</t>
  </si>
  <si>
    <t>https://chromewebstore.google.com/detail/jngegpjnningopcmphbohclpgcfocipi</t>
  </si>
  <si>
    <t>ImageX</t>
  </si>
  <si>
    <t>https://chromewebstore.google.com/detail/leebpoidhlfgjiepgjfafdbnlpnpmfod</t>
  </si>
  <si>
    <t>ezView for Desktop Sharing Extension</t>
  </si>
  <si>
    <t>https://chromewebstore.google.com/detail/mcfagipaddidedeajmcppionkanblpie</t>
  </si>
  <si>
    <t>pixiv-download-image-with-name</t>
  </si>
  <si>
    <t>https://chromewebstore.google.com/detail/nlkgkpmmdbibfgbognoefhlnhpbkdefo</t>
  </si>
  <si>
    <t>Simple Share</t>
  </si>
  <si>
    <t>https://chromewebstore.google.com/detail/pogmhkgpgojoolbdonmccgnnmfopelka</t>
  </si>
  <si>
    <t>Lookup In Popup</t>
  </si>
  <si>
    <t>https://chromewebstore.google.com/detail/akaefbhdlppmfdecoakjogglbjgacdhm</t>
  </si>
  <si>
    <t>Sad Face Emoji 😔😟😩😭😖💔 Copy 🅰🅽🅳 Paste</t>
  </si>
  <si>
    <t>https://chromewebstore.google.com/detail/apcmgifpdnhpakoggmocekhmihigllcc</t>
  </si>
  <si>
    <t>Gmail sender favicons (domain icons)</t>
  </si>
  <si>
    <t>https://chromewebstore.google.com/detail/bnnggflmajmfkpdnaagpjmnaaagbpjpd</t>
  </si>
  <si>
    <t>Dialer</t>
  </si>
  <si>
    <t>https://chromewebstore.google.com/detail/cebflmlebmjjbdclelkjbcmepkejmcnp</t>
  </si>
  <si>
    <t>Download to Temp Folder</t>
  </si>
  <si>
    <t>https://chromewebstore.google.com/detail/cmgdgmohnilgoblgjmnklajoedgpenan</t>
  </si>
  <si>
    <t>Css to SCSS or SASS Converter</t>
  </si>
  <si>
    <t>https://chromewebstore.google.com/detail/dmfhnejhgijefokeolmpgielghdplame</t>
  </si>
  <si>
    <t>ePub Viewer</t>
  </si>
  <si>
    <t>https://chromewebstore.google.com/detail/hofephhkknhfjphbcggfdjaohefcfohm</t>
  </si>
  <si>
    <t>Paste n' Go</t>
  </si>
  <si>
    <t>https://chromewebstore.google.com/detail/ichdjcfpibgdoecejabegkfpnbdjhhhf</t>
  </si>
  <si>
    <t>Remove Amazon tag and ref links</t>
  </si>
  <si>
    <t>https://chromewebstore.google.com/detail/idoiiaaneaalcjpokjiaopdcbikfjkgi</t>
  </si>
  <si>
    <t>ِفَاذْكُرُونِي أَذْكُرْكُمْ</t>
  </si>
  <si>
    <t>https://chromewebstore.google.com/detail/jikfjlngciobhhkkbmamhnjckmhmcfje</t>
  </si>
  <si>
    <t>Old Gmail chat</t>
  </si>
  <si>
    <t>https://chromewebstore.google.com/detail/ojpinamipebjamgiknkdehdikemaiegi</t>
  </si>
  <si>
    <t>JustClip Web Clipper</t>
  </si>
  <si>
    <t>https://chromewebstore.google.com/detail/olejfcpiodohggkokfkaecelidkbdpal</t>
  </si>
  <si>
    <t>Keyword Grabber for Amazon Keywords</t>
  </si>
  <si>
    <t>https://chromewebstore.google.com/detail/onkdeianmpjnloefjlmjjofjllkimmdk</t>
  </si>
  <si>
    <t>Link Controller</t>
  </si>
  <si>
    <t>https://chromewebstore.google.com/detail/piphpieodkchnlmjjefbbniabeikafha</t>
  </si>
  <si>
    <t>edX &amp; XueTangX Subtitle Download</t>
  </si>
  <si>
    <t>https://chromewebstore.google.com/detail/adgfnlgphaiikchoamabifhaakkpbcpl</t>
  </si>
  <si>
    <t>Requirify</t>
  </si>
  <si>
    <t>https://chromewebstore.google.com/detail/gajpkncnknlljkhblhllcnnfjpbcmebm</t>
  </si>
  <si>
    <t>WaiverForever Connect</t>
  </si>
  <si>
    <t>https://chromewebstore.google.com/detail/hojbfdlckjamkeacedcejbahgkgagedk</t>
  </si>
  <si>
    <t>Showroom Helper</t>
  </si>
  <si>
    <t>https://chromewebstore.google.com/detail/idfmjdjoikafiimapdkidadjjlfppdma</t>
  </si>
  <si>
    <t>Social Extractor</t>
  </si>
  <si>
    <t>https://chromewebstore.google.com/detail/okngmpienjhpihnacbkkabmepmfkaojc</t>
  </si>
  <si>
    <t>Teleport.video</t>
  </si>
  <si>
    <t>https://chromewebstore.google.com/detail/ppnedjgfgifikffabnchhklloiiioklm</t>
  </si>
  <si>
    <t>Key Master</t>
  </si>
  <si>
    <t>https://chromewebstore.google.com/detail/aealfaceeajkaclbgikjbmndohfadiok</t>
  </si>
  <si>
    <t>Sheepy 網頁複製機</t>
  </si>
  <si>
    <t>https://chromewebstore.google.com/detail/ahcfljhlbjpnbcgpdolhdbnbogddlmnl</t>
  </si>
  <si>
    <t>Flomo API</t>
  </si>
  <si>
    <t>https://chromewebstore.google.com/detail/bliaamgfpeogldcelkmkegfofapaocfn</t>
  </si>
  <si>
    <t>Official GSAP Sniffer</t>
  </si>
  <si>
    <t>https://chromewebstore.google.com/detail/dbcjaehchnikgdjjcehagpcikmlpjefh</t>
  </si>
  <si>
    <t>Copy-to-Trello</t>
  </si>
  <si>
    <t>https://chromewebstore.google.com/detail/eadnohgkalgkbmhiehaonnjekbdfeldi</t>
  </si>
  <si>
    <t>Google Search Images by Exact Size</t>
  </si>
  <si>
    <t>https://chromewebstore.google.com/detail/gikkckcfijodmnfgadbgcknkmcpkecej</t>
  </si>
  <si>
    <t>Ultra Safe Search</t>
  </si>
  <si>
    <t>https://chromewebstore.google.com/detail/hogemhpfbepbbdpfgighdmjbfdpaeein</t>
  </si>
  <si>
    <t>Ainslefy</t>
  </si>
  <si>
    <t>https://chromewebstore.google.com/detail/icmnddchchkigidflpbndpmmjfmnlajl</t>
  </si>
  <si>
    <t>ZenMail</t>
  </si>
  <si>
    <t>https://chromewebstore.google.com/detail/kbhafnckenhchoejjiebccaehcnphgja</t>
  </si>
  <si>
    <t>Image zoom and drag</t>
  </si>
  <si>
    <t>https://chromewebstore.google.com/detail/oehcmjobdahgnbfpbpaeboddkhkfkddi</t>
  </si>
  <si>
    <t>Auto Radio Button Checker</t>
  </si>
  <si>
    <t>https://chromewebstore.google.com/detail/phkflnpejpgehjgficbbikeclfcageic</t>
  </si>
  <si>
    <t>Furia Script</t>
  </si>
  <si>
    <t>https://chromewebstore.google.com/detail/djlpaeoknhjfjpedkniaphkhmnhmcgal</t>
  </si>
  <si>
    <t>Picasso - New Tab Page</t>
  </si>
  <si>
    <t>https://chromewebstore.google.com/detail/dlckklnbefkepkjemodnlbjokaimbedb</t>
  </si>
  <si>
    <t>Công Cụ Đặt Hàng AchinhNgachVN 3</t>
  </si>
  <si>
    <t>https://chromewebstore.google.com/detail/gcjfilpilmofnjgelhjkhjndgnhgchmd</t>
  </si>
  <si>
    <t>Volume Stabilizer</t>
  </si>
  <si>
    <t>https://chromewebstore.google.com/detail/khhoinnlielpfndhpjldbednoefaficf</t>
  </si>
  <si>
    <t>Pushsafer</t>
  </si>
  <si>
    <t>https://chromewebstore.google.com/detail/lhlnaecofifmbdeegoffjohnfknbdeip</t>
  </si>
  <si>
    <t>Omni</t>
  </si>
  <si>
    <t>https://chromewebstore.google.com/detail/mlcoidohpcjfjnknjjggenjccckcgmpn</t>
  </si>
  <si>
    <t>Gist User Script Manager</t>
  </si>
  <si>
    <t>https://chromewebstore.google.com/detail/plpmkifleemfflmlnogdncmhlljcpdab</t>
  </si>
  <si>
    <t>XTag Google Analytics: Record &amp; check UA,GA4</t>
  </si>
  <si>
    <t>https://chromewebstore.google.com/detail/mhenhjfdnnhdfejcbhmpebenecffeolh</t>
  </si>
  <si>
    <t>Chess.com Voice Commentary (improved)</t>
  </si>
  <si>
    <t>https://chromewebstore.google.com/detail/egkebhhogppokoapdkjmbddeagahoifp</t>
  </si>
  <si>
    <t>YouTube Channel IDfier</t>
  </si>
  <si>
    <t>https://chromewebstore.google.com/detail/ggbbeigihjklpoafbfgmkbjmhifplcce</t>
  </si>
  <si>
    <t>Droit au déréférencement</t>
  </si>
  <si>
    <t>https://chromewebstore.google.com/detail/gpbababaddhddlmfhikljljamaikfghf</t>
  </si>
  <si>
    <t>Simplex Search - Direct Download Everything</t>
  </si>
  <si>
    <t>https://chromewebstore.google.com/detail/pjbeoppcjalfpobcfcfcdndbjdoeikkl</t>
  </si>
  <si>
    <t>KBAQ Classical Music Player</t>
  </si>
  <si>
    <t>https://chromewebstore.google.com/detail/ckbmhabdbjkjcboaalpejnemefkjlpin</t>
  </si>
  <si>
    <t>Double-click to...</t>
  </si>
  <si>
    <t>https://chromewebstore.google.com/detail/dnlbjgbbmhedhlijenejbbcnhndkhdnn</t>
  </si>
  <si>
    <t>Lorem Ipsum Checker Tool</t>
  </si>
  <si>
    <t>https://chromewebstore.google.com/detail/fgeiagiofeenlnogiegapddllnkcbgao</t>
  </si>
  <si>
    <t>Mark As Read</t>
  </si>
  <si>
    <t>https://chromewebstore.google.com/detail/hiflhkmicfagennabmnfcnnlpkmidfjj</t>
  </si>
  <si>
    <t>Link Pad</t>
  </si>
  <si>
    <t>https://chromewebstore.google.com/detail/hmpmgenfomdmebiokconplpaelkeejao</t>
  </si>
  <si>
    <t>Right click search in Target</t>
  </si>
  <si>
    <t>https://chromewebstore.google.com/detail/mpoafkdidocmaiheimphkhjoocjcbgei</t>
  </si>
  <si>
    <t>YouTube Distraction Remover</t>
  </si>
  <si>
    <t>https://chromewebstore.google.com/detail/neabcchaoiabjmjmnaljajpjoinhpkln</t>
  </si>
  <si>
    <t>Colonist Dice History</t>
  </si>
  <si>
    <t>https://chromewebstore.google.com/detail/ngmklkcbogmcobhiiglefpljdopgfbpn</t>
  </si>
  <si>
    <t>https://chromewebstore.google.com/detail/odilhboffanddepbhjlehcbdpmoddinj</t>
  </si>
  <si>
    <t>The Great Grouper</t>
  </si>
  <si>
    <t>https://chromewebstore.google.com/detail/pjkamnkpdfckpgjdlpebdnfgiecgfglj</t>
  </si>
  <si>
    <t>Enhance Youtube™ Livestream</t>
  </si>
  <si>
    <t>https://chromewebstore.google.com/detail/plnmldbfapelebnbbpmeofhaokbnhfah</t>
  </si>
  <si>
    <t>Picpic</t>
  </si>
  <si>
    <t>https://chromewebstore.google.com/detail/dikpenocomjknagfbfkonjfapmlkiedj</t>
  </si>
  <si>
    <t>Aliexpress sort by total price with shipping</t>
  </si>
  <si>
    <t>https://chromewebstore.google.com/detail/ekhcclfdfbgbcheceibcdfpofbjdbein</t>
  </si>
  <si>
    <t>Dark Mode Kali</t>
  </si>
  <si>
    <t>https://chromewebstore.google.com/detail/chbdmdapmeflnkgibpgbdcblndooljff</t>
  </si>
  <si>
    <t>Link Icon</t>
  </si>
  <si>
    <t>https://chromewebstore.google.com/detail/cnjfiolbpeihgijepincpfjhigekegab</t>
  </si>
  <si>
    <t>SFDC Query Manager</t>
  </si>
  <si>
    <t>https://chromewebstore.google.com/detail/fajaolmbohlcgfhogpglddfddbdcgeol</t>
  </si>
  <si>
    <t>ReStyle for Allo</t>
  </si>
  <si>
    <t>https://chromewebstore.google.com/detail/fhmcbmpjkemimhcmlcahaocnkgcpjkdf</t>
  </si>
  <si>
    <t>Superhero Dino Game</t>
  </si>
  <si>
    <t>https://chromewebstore.google.com/detail/gmifhfmjkaahaabgeaficgjkihpfeabn</t>
  </si>
  <si>
    <t>poe.trade price fixing</t>
  </si>
  <si>
    <t>https://chromewebstore.google.com/detail/ijlipmjclpchckgkoieeihjmjenjehjk</t>
  </si>
  <si>
    <t>dyslexia simulator</t>
  </si>
  <si>
    <t>https://chromewebstore.google.com/detail/kdgccolojenjijefmdmclodecaeiimkl</t>
  </si>
  <si>
    <t>VRChat Profile</t>
  </si>
  <si>
    <t>https://chromewebstore.google.com/detail/mimooabamaoeldhibjbbmdgndnhdiknh</t>
  </si>
  <si>
    <t>Google Meet Controls</t>
  </si>
  <si>
    <t>https://chromewebstore.google.com/detail/ncebfbcadlnhbfmfglhijjljfhimndil</t>
  </si>
  <si>
    <t>Ghosty</t>
  </si>
  <si>
    <t>https://chromewebstore.google.com/detail/niflkbcabljnoonhlbajmganinkplfpd</t>
  </si>
  <si>
    <t>JS RAM memory consumption : usedJSHeapSize</t>
  </si>
  <si>
    <t>https://chromewebstore.google.com/detail/olnjnghiiigbjdjfnngpmjaghcgpmjkl</t>
  </si>
  <si>
    <t>Time Restart Reloaded</t>
  </si>
  <si>
    <t>https://chromewebstore.google.com/detail/anlebgknmofbanplmaphgacnjddijdjj</t>
  </si>
  <si>
    <t>Rick Rolling Soundboard</t>
  </si>
  <si>
    <t>https://chromewebstore.google.com/detail/ecojgafcjpiocnlfdbcohaegcdohobpj</t>
  </si>
  <si>
    <t>Resolution Zoom</t>
  </si>
  <si>
    <t>https://chromewebstore.google.com/detail/enjjhajnmggdgofagbokhmifgnaophmh</t>
  </si>
  <si>
    <t>Redirect Tab Closer</t>
  </si>
  <si>
    <t>https://chromewebstore.google.com/detail/fdffoepgfafohjnlmdeaekigejifenpd</t>
  </si>
  <si>
    <t>Download Organizer for Google Chrome™</t>
  </si>
  <si>
    <t>https://chromewebstore.google.com/detail/igkbdohlalhjpmoephkoabpdecdagdnc</t>
  </si>
  <si>
    <t>Netflix Tweaks</t>
  </si>
  <si>
    <t>https://chromewebstore.google.com/detail/bdfekokoflbjbmdbpidnaechcechkbbg</t>
  </si>
  <si>
    <t>EasyCRM Whats App API(BETA)</t>
  </si>
  <si>
    <t>https://chromewebstore.google.com/detail/bpammiodibnkhldphbaflnkidmpeaeon</t>
  </si>
  <si>
    <t>Musician's Friend</t>
  </si>
  <si>
    <t>https://chromewebstore.google.com/detail/fjfpahedjlkhedobeiimiaekhiijbagn</t>
  </si>
  <si>
    <t>Access Token Extractor</t>
  </si>
  <si>
    <t>https://chromewebstore.google.com/detail/gfoaliiacaaehpnoiocilhnhbnndmiok</t>
  </si>
  <si>
    <t>Feedly Counter</t>
  </si>
  <si>
    <t>https://chromewebstore.google.com/detail/inafnanoajecodppognidcacbaghfmdd</t>
  </si>
  <si>
    <t>Twitch Bonus Claimer</t>
  </si>
  <si>
    <t>https://chromewebstore.google.com/detail/ipdoelbonfnecijpmlgdmmakmifnicci</t>
  </si>
  <si>
    <t>YouTube Auto Reply</t>
  </si>
  <si>
    <t>https://chromewebstore.google.com/detail/kfkkmpmfofgkfnpiaepanikkeoelnbbf</t>
  </si>
  <si>
    <t>ReRoute</t>
  </si>
  <si>
    <t>https://chromewebstore.google.com/detail/kmegpialdlakejlimkocdcecpjikfhen</t>
  </si>
  <si>
    <t>Cookies一键清除工具</t>
  </si>
  <si>
    <t>https://chromewebstore.google.com/detail/oaddmoajgbicokmobehhmpafhcllepcf</t>
  </si>
  <si>
    <t>https://chromewebstore.google.com/detail/oaelcicjdkdkcioniblhpnanpnhegoad</t>
  </si>
  <si>
    <t>Feature Toggle Extension</t>
  </si>
  <si>
    <t>https://chromewebstore.google.com/detail/oailcamkmclecbdgffdeamkknojkecjm</t>
  </si>
  <si>
    <t>Readly</t>
  </si>
  <si>
    <t>https://chromewebstore.google.com/detail/aflgknnjpkjdoapemodkijpmgclcingn</t>
  </si>
  <si>
    <t>PowerGPA</t>
  </si>
  <si>
    <t>https://chromewebstore.google.com/detail/bdbhephmimagiadamkkipjedljddgncb</t>
  </si>
  <si>
    <t>Previous and Next page keyboard navigation</t>
  </si>
  <si>
    <t>https://chromewebstore.google.com/detail/bgddcngmfadknajipncoemekkikibfhg</t>
  </si>
  <si>
    <t>Supremacy 1914</t>
  </si>
  <si>
    <t>https://chromewebstore.google.com/detail/cmhkipfbmfnfmonimopiekohoobcbjmk</t>
  </si>
  <si>
    <t>https://chromewebstore.google.com/detail/dmkjpfgdjiokimcemagieionmjgadjkg</t>
  </si>
  <si>
    <t>Toxic | Shell Shockers Theme</t>
  </si>
  <si>
    <t>https://chromewebstore.google.com/detail/ihodpbacinandgbjjdjgflbhbipbobam</t>
  </si>
  <si>
    <t>Visual Fashion Finder</t>
  </si>
  <si>
    <t>https://chromewebstore.google.com/detail/iknijibagdnddbokpcndofbolngfcghj</t>
  </si>
  <si>
    <t>Tongji Helper</t>
  </si>
  <si>
    <t>https://chromewebstore.google.com/detail/llpednpgkdbefobnjkkmcoldhjppabdp</t>
  </si>
  <si>
    <t>Eng-Vi Dictionary</t>
  </si>
  <si>
    <t>https://chromewebstore.google.com/detail/nidobgjfikdhjkmdbpppjokehnnfcefb</t>
  </si>
  <si>
    <t>Password Viewer</t>
  </si>
  <si>
    <t>https://chromewebstore.google.com/detail/okoenbnfjolgghkpgpcnogfgfgjbhkkd</t>
  </si>
  <si>
    <t>Bookmarks by Date</t>
  </si>
  <si>
    <t>https://chromewebstore.google.com/detail/pomjhbedidaoemdkgbnbkdioimdefphh</t>
  </si>
  <si>
    <t>Best Proxy Manager</t>
  </si>
  <si>
    <t>https://chromewebstore.google.com/detail/ahnedoddoeoelbaaiccbimdpgnlmdlgc</t>
  </si>
  <si>
    <t>Leads-in-crm</t>
  </si>
  <si>
    <t>https://chromewebstore.google.com/detail/dgnoamldbmmlajkghgdmhnmanjonnjjg</t>
  </si>
  <si>
    <t>Simple Analytics Extension</t>
  </si>
  <si>
    <t>https://chromewebstore.google.com/detail/ehkndchainpkdfpnancgobgfnfjnmmeh</t>
  </si>
  <si>
    <t>PUCMM WIFI Auto Login</t>
  </si>
  <si>
    <t>https://chromewebstore.google.com/detail/geefgfmfmeaohjjamffolfjfekjpcacg</t>
  </si>
  <si>
    <t>15 to 18 Digit ID Converter</t>
  </si>
  <si>
    <t>https://chromewebstore.google.com/detail/hjckmeeoamkjlfljoddpmblkbmbiaigf</t>
  </si>
  <si>
    <t>BitMeeting Screen Sharing</t>
  </si>
  <si>
    <t>https://chromewebstore.google.com/detail/jkihjjibkpmkmkjikbolmpoigbomhomb</t>
  </si>
  <si>
    <t>TVox Click to Call</t>
  </si>
  <si>
    <t>https://chromewebstore.google.com/detail/lcpoakjecdidnegmabgpkjhmbgbakfpd</t>
  </si>
  <si>
    <t>Radioline extension</t>
  </si>
  <si>
    <t>https://chromewebstore.google.com/detail/afapcfoaobcdldlafeoacnpjlnjgnaeg</t>
  </si>
  <si>
    <t>Desenmascara.me FAKE web verification Plugin</t>
  </si>
  <si>
    <t>https://chromewebstore.google.com/detail/egimhkfghkdkffalnjbkeoidpildondf</t>
  </si>
  <si>
    <t>Cooooookies</t>
  </si>
  <si>
    <t>https://chromewebstore.google.com/detail/jajemmdkpanhmmnlddnclnefeplgohah</t>
  </si>
  <si>
    <t>Hover and Copy</t>
  </si>
  <si>
    <t>https://chromewebstore.google.com/detail/moanghbdjdafhoppikcalbkggpnbhhid</t>
  </si>
  <si>
    <t>Virus Cleaner, Computer Speedup Software Free, speed up Chrome browser</t>
  </si>
  <si>
    <t>https://chromewebstore.google.com/detail/olimlaagoemplbakikagdfnhcejamhek</t>
  </si>
  <si>
    <t>JS-Exec</t>
  </si>
  <si>
    <t>https://chromewebstore.google.com/detail/caeimpdeapdimekjkkkggpibnlijlnka</t>
  </si>
  <si>
    <t>CouponX</t>
  </si>
  <si>
    <t>https://chromewebstore.google.com/detail/jeioblfnlhjafmeciefmmoeaaoklmlmh</t>
  </si>
  <si>
    <t>BigBlueButton Screenshare Extension</t>
  </si>
  <si>
    <t>https://chromewebstore.google.com/detail/kflhcogenbenbimiocmfccalpdhcgngg</t>
  </si>
  <si>
    <t>Quannected</t>
  </si>
  <si>
    <t>https://chromewebstore.google.com/detail/majjmbbkgbemgahmpgihhklgbckdhdce</t>
  </si>
  <si>
    <t>Smartiez, Academic Study and Search</t>
  </si>
  <si>
    <t>https://chromewebstore.google.com/detail/mlgbjnpehhfngjopcifmbcdfbacncfap</t>
  </si>
  <si>
    <t>Tuya</t>
  </si>
  <si>
    <t>https://chromewebstore.google.com/detail/mpgcknahnhkphbjahkhpkdpgaipolkgb</t>
  </si>
  <si>
    <t>Codeforce submission status link</t>
  </si>
  <si>
    <t>https://chromewebstore.google.com/detail/pckjjhfnnmonhkfekgnbbdafndfjpjap</t>
  </si>
  <si>
    <t>HackerEarth Challenges Extension</t>
  </si>
  <si>
    <t>https://chromewebstore.google.com/detail/aileihjgpakhkhedejpkpamnhpbnjhoj</t>
  </si>
  <si>
    <t>Chatgun.io - граббер медиакодов ВКонтакте</t>
  </si>
  <si>
    <t>https://chromewebstore.google.com/detail/ambfjegfngakpjckfappcbokegkoghfk</t>
  </si>
  <si>
    <t>Маджента</t>
  </si>
  <si>
    <t>https://chromewebstore.google.com/detail/cpddpjigmffffmkmadafbfddaacckkbb</t>
  </si>
  <si>
    <t>跨贸云ERP采集助手</t>
  </si>
  <si>
    <t>https://chromewebstore.google.com/detail/gheadcedfdipckeikghfagbolhjgaapb</t>
  </si>
  <si>
    <t>Tab for Black Lives Matter</t>
  </si>
  <si>
    <t>https://chromewebstore.google.com/detail/jihfaailcmkcaohhaloniapfpambpbgh</t>
  </si>
  <si>
    <t>Memorize</t>
  </si>
  <si>
    <t>https://chromewebstore.google.com/detail/lcdcimlkaneihfjboiomfiigpcfllbig</t>
  </si>
  <si>
    <t>Ploxia – Free Instagram Bot</t>
  </si>
  <si>
    <t>https://chromewebstore.google.com/detail/lkggefncopjobklggpoepdgmpfdfjlkm</t>
  </si>
  <si>
    <t>Ramz</t>
  </si>
  <si>
    <t>https://chromewebstore.google.com/detail/mkmemciklmkffcpnihapnjkfhpchlodh</t>
  </si>
  <si>
    <t>RSI Star Citizen Status Checker</t>
  </si>
  <si>
    <t>https://chromewebstore.google.com/detail/pjpafklkkifgjbpeinonoelpeckhoaje</t>
  </si>
  <si>
    <t>Terrapin Works Label Printing</t>
  </si>
  <si>
    <t>https://chromewebstore.google.com/detail/hlmhjakokajncnencjkhieokhpkdilfl</t>
  </si>
  <si>
    <t>神龟加速器 - 免费回国加速器</t>
  </si>
  <si>
    <t>https://chromewebstore.google.com/detail/iahfandbphfkbofbkkhkikgjhkfgdhai</t>
  </si>
  <si>
    <t>Bernie PB</t>
  </si>
  <si>
    <t>https://chromewebstore.google.com/detail/ippaapoiolpdkljaeicdcjilfdimgklb</t>
  </si>
  <si>
    <t>Bootstrap 3 Resize Tool</t>
  </si>
  <si>
    <t>https://chromewebstore.google.com/detail/bfbgdbiecfcepelcdmbokphbkoloeimp</t>
  </si>
  <si>
    <t>Tratu-Soha Lookup</t>
  </si>
  <si>
    <t>https://chromewebstore.google.com/detail/cejcamkfmcboeoaplnoeckholcdnfcnb</t>
  </si>
  <si>
    <t>AMAZON.FR - Recherche directe - Direct Search</t>
  </si>
  <si>
    <t>https://chromewebstore.google.com/detail/cnidobammcifdlagbiobgfmkoecfoaib</t>
  </si>
  <si>
    <t>Sierra homework calender</t>
  </si>
  <si>
    <t>https://chromewebstore.google.com/detail/glkopfadnnchjlikendfaaajmdkbbalj</t>
  </si>
  <si>
    <t>Sweet QR Code Maker</t>
  </si>
  <si>
    <t>https://chromewebstore.google.com/detail/hejblflceieoemjadbnlpplaajbneedn</t>
  </si>
  <si>
    <t>Social hub</t>
  </si>
  <si>
    <t>https://chromewebstore.google.com/detail/ilcedokeaoecefkdndkjpodieiamefdm</t>
  </si>
  <si>
    <t>EzyInsights for Chrome</t>
  </si>
  <si>
    <t>https://chromewebstore.google.com/detail/pkbcojdobadeaaokfccfhakpboblbdhd</t>
  </si>
  <si>
    <t>I Love Calcio</t>
  </si>
  <si>
    <t>https://chromewebstore.google.com/detail/aljcdaalmbiafjpicnnloialbbceiljn</t>
  </si>
  <si>
    <t>Công cụ đặt hàng của Chuyenhang365</t>
  </si>
  <si>
    <t>https://chromewebstore.google.com/detail/bhdoamafjclkjalgmndfnpfpfpllopdh</t>
  </si>
  <si>
    <t>Node.js Inspector Manager (NiM)</t>
  </si>
  <si>
    <t>https://chromewebstore.google.com/detail/bnmjajghllhhhgiaeipaibfmnjnponhd</t>
  </si>
  <si>
    <t>https://chromewebstore.google.com/detail/cilgjbakamckjkiebndhokceglicbodi</t>
  </si>
  <si>
    <t>Simple App Launcher</t>
  </si>
  <si>
    <t>https://chromewebstore.google.com/detail/efiapikahogejddbbbcncibamackdmno</t>
  </si>
  <si>
    <t>SAP Mini Launchpad</t>
  </si>
  <si>
    <t>https://chromewebstore.google.com/detail/ekakdgpjkglaghkjgemfefihilpgkbli</t>
  </si>
  <si>
    <t>Player Enhancer for YouTube</t>
  </si>
  <si>
    <t>https://chromewebstore.google.com/detail/enakpddkofoddibleaedgbcpbnpoeond</t>
  </si>
  <si>
    <t>WordCloudIt</t>
  </si>
  <si>
    <t>https://chromewebstore.google.com/detail/eodkflpkbmfkfocinkokegcmmjemmgde</t>
  </si>
  <si>
    <t>Comic Sans Replacer</t>
  </si>
  <si>
    <t>https://chromewebstore.google.com/detail/hogcjpgnoecbkmbamlakaacafkloopbn</t>
  </si>
  <si>
    <t>Clean Timer</t>
  </si>
  <si>
    <t>https://chromewebstore.google.com/detail/jobneimllpaijdidliomlnekgjkjhpfn</t>
  </si>
  <si>
    <t>dideo.ir downloader</t>
  </si>
  <si>
    <t>https://chromewebstore.google.com/detail/klbjilppccpjnpmmdbcebibofmbnogpi</t>
  </si>
  <si>
    <t>Get Cookies file</t>
  </si>
  <si>
    <t>https://chromewebstore.google.com/detail/lhecbjgjgknjminomebnbfcopdfdfmel</t>
  </si>
  <si>
    <t>CFCA CryptoKit.CIMCFinance Extension</t>
  </si>
  <si>
    <t>https://chromewebstore.google.com/detail/lolmkmiaecmddbaldhdhmangbndidpka</t>
  </si>
  <si>
    <t>SpongeWise Flashcard Clipper</t>
  </si>
  <si>
    <t>https://chromewebstore.google.com/detail/paeemhflfemffkcggpldnaofhgmffnlh</t>
  </si>
  <si>
    <t>Hidden Form Finder</t>
  </si>
  <si>
    <t>https://chromewebstore.google.com/detail/adglgkhcpfdcocgekhbkghpajnbgcekd</t>
  </si>
  <si>
    <t>Auto Play</t>
  </si>
  <si>
    <t>https://chromewebstore.google.com/detail/ahenlbboobkcclimcmfmeppgldbnemfh</t>
  </si>
  <si>
    <t>Learn by Osmosis</t>
  </si>
  <si>
    <t>https://chromewebstore.google.com/detail/aoapgplnpgfjgdjkmnklhojkldpihmji</t>
  </si>
  <si>
    <t>QQ music downloader</t>
  </si>
  <si>
    <t>https://chromewebstore.google.com/detail/diipoibplgmlelojkgdpjibgfjgfjkih</t>
  </si>
  <si>
    <t>Web Page Annotator</t>
  </si>
  <si>
    <t>https://chromewebstore.google.com/detail/fceankoalphgakeplaphillmcgmdeckc</t>
  </si>
  <si>
    <t>ProxyGo</t>
  </si>
  <si>
    <t>https://chromewebstore.google.com/detail/fkdpddcmgklcnejajcoafipmlodbgeom</t>
  </si>
  <si>
    <t>Jira Log Time</t>
  </si>
  <si>
    <t>https://chromewebstore.google.com/detail/peboekgeiffcaddndeonkmkledekeegl</t>
  </si>
  <si>
    <t>TechsFound</t>
  </si>
  <si>
    <t>https://chromewebstore.google.com/detail/anbcbibcejpgaohknmjoikdepodjfiac</t>
  </si>
  <si>
    <t>Youtube Video Box</t>
  </si>
  <si>
    <t>https://chromewebstore.google.com/detail/dokdgfodmeaaamnbpbaomjcidljofpio</t>
  </si>
  <si>
    <t>Top Scripture Bible Verse Toolbar</t>
  </si>
  <si>
    <t>https://chromewebstore.google.com/detail/gfnaeiaojgbbcdbmlhgcihofhiblmkmi</t>
  </si>
  <si>
    <t>AliExplore | AliExpress Image Downloader</t>
  </si>
  <si>
    <t>https://chromewebstore.google.com/detail/hhnejkbilifegcpncclnckocdimclape</t>
  </si>
  <si>
    <t>Hatsune Miku Footer</t>
  </si>
  <si>
    <t>https://chromewebstore.google.com/detail/hmfmpbejccdgjaeohanfadencaalkbnd</t>
  </si>
  <si>
    <t>BibTexMe</t>
  </si>
  <si>
    <t>https://chromewebstore.google.com/detail/laicgabamgnpheichgkfgedjnogpmmlc</t>
  </si>
  <si>
    <t>Cookie copier</t>
  </si>
  <si>
    <t>https://chromewebstore.google.com/detail/lhfkmfkjjeilbgfolpcndcbdgbdhbnlk</t>
  </si>
  <si>
    <t>Кто писал в сообщество</t>
  </si>
  <si>
    <t>https://chromewebstore.google.com/detail/namnibpjolgkffcmpnhpjdhogolekkfp</t>
  </si>
  <si>
    <t>NOW Proxy</t>
  </si>
  <si>
    <t>https://chromewebstore.google.com/detail/nkfomneflebeghfjmjnjlepkkamppnaj</t>
  </si>
  <si>
    <t>Pricy - Amazon Price Watch</t>
  </si>
  <si>
    <t>https://chromewebstore.google.com/detail/acaddjpeboeoklpaaiopefoidbijnahb</t>
  </si>
  <si>
    <t>listy.email</t>
  </si>
  <si>
    <t>https://chromewebstore.google.com/detail/aoekkpoenkmdemcheddbmclndonmiplc</t>
  </si>
  <si>
    <t>Chess Opening Explorer</t>
  </si>
  <si>
    <t>https://chromewebstore.google.com/detail/fijncdcfiafomlkmhkhnjnfcaolddoca</t>
  </si>
  <si>
    <t>Daily Horoscope</t>
  </si>
  <si>
    <t>https://chromewebstore.google.com/detail/fnbjpobbemnfhgbhehomehgnpleigdcl</t>
  </si>
  <si>
    <t>https://chromewebstore.google.com/detail/jbhpgmghgghpoobleomkefagoiihmmkn</t>
  </si>
  <si>
    <t>Power Saver</t>
  </si>
  <si>
    <t>https://chromewebstore.google.com/detail/jnbbpclapocmlmdeokcblbdgnhejjiel</t>
  </si>
  <si>
    <t>LiveTags in every eMail</t>
  </si>
  <si>
    <t>https://chromewebstore.google.com/detail/mnpnejdcejcccechaimefcknpkkhlkhd</t>
  </si>
  <si>
    <t>Battle Games</t>
  </si>
  <si>
    <t>https://chromewebstore.google.com/detail/bdkggofegebecpmlidhmfjbbedllocae</t>
  </si>
  <si>
    <t>Tamil Movies Download</t>
  </si>
  <si>
    <t>https://chromewebstore.google.com/detail/bhnjaoemjjpolobopjbnchecajgoefgp</t>
  </si>
  <si>
    <t>GIF Tab</t>
  </si>
  <si>
    <t>https://chromewebstore.google.com/detail/dfcffkjnapandffpkglmnbjfnfdififc</t>
  </si>
  <si>
    <t>B</t>
  </si>
  <si>
    <t>https://chromewebstore.google.com/detail/dkhnigliajfonnhdgdgkcceknciijlhp</t>
  </si>
  <si>
    <t>Toodledo Mobile Site Popup</t>
  </si>
  <si>
    <t>https://chromewebstore.google.com/detail/fdmnpmpggclnmknppdijngajpepkakhe</t>
  </si>
  <si>
    <t>AWS console regions color</t>
  </si>
  <si>
    <t>https://chromewebstore.google.com/detail/gfeaclafcmbiakopneapkbaiifnhbkng</t>
  </si>
  <si>
    <t>showHTML</t>
  </si>
  <si>
    <t>https://chromewebstore.google.com/detail/hpidplbbhlibnefjdbepbinmanddipne</t>
  </si>
  <si>
    <t>Homestuck Keyboard Navigation</t>
  </si>
  <si>
    <t>https://chromewebstore.google.com/detail/icfppdnbakiampejgikedpidpnpcniga</t>
  </si>
  <si>
    <t>Any School Rate My Professors Extension</t>
  </si>
  <si>
    <t>https://chromewebstore.google.com/detail/kkppfcnjkdgeocghmebigakljcpiamge</t>
  </si>
  <si>
    <t>Roadmap</t>
  </si>
  <si>
    <t>https://chromewebstore.google.com/detail/kocnlcjmilagfcojemhbijcjphhlbini</t>
  </si>
  <si>
    <t>https://chromewebstore.google.com/detail/meolldikblbfbekojppimgfjdgjfljkl</t>
  </si>
  <si>
    <t>Jenkins Notifier for Chrome™</t>
  </si>
  <si>
    <t>https://chromewebstore.google.com/detail/mnjbjjllbclkpnebaddhkoonjelmiekm</t>
  </si>
  <si>
    <t>Teams Closer</t>
  </si>
  <si>
    <t>https://chromewebstore.google.com/detail/pdcfmkjjibapckmmkjmomboedjgkahap</t>
  </si>
  <si>
    <t>Hosting</t>
  </si>
  <si>
    <t>https://chromewebstore.google.com/detail/clmgeingkjdcimephgcomgggppnncdfa</t>
  </si>
  <si>
    <t>SplatCheck</t>
  </si>
  <si>
    <t>https://chromewebstore.google.com/detail/ekeoiemflcjdojgbafpelkaanhdbnofl</t>
  </si>
  <si>
    <t>Refresh 'Em All</t>
  </si>
  <si>
    <t>https://chromewebstore.google.com/detail/iaoghbeamaalcgoembjppfekhelajipd</t>
  </si>
  <si>
    <t>Lichess Text To Speech</t>
  </si>
  <si>
    <t>https://chromewebstore.google.com/detail/khmempcacbgfbhkeocpahgcmognoaoeh</t>
  </si>
  <si>
    <t>Convert Column to Comma Separated List (CSV)</t>
  </si>
  <si>
    <t>https://chromewebstore.google.com/detail/kjhpjckadnmiafbailekidjcfhnlocek</t>
  </si>
  <si>
    <t>Majuscules/minuscules</t>
  </si>
  <si>
    <t>https://chromewebstore.google.com/detail/kmdlpnpjmmdjgfeoandcgppokdaknkhm</t>
  </si>
  <si>
    <t>Globe - Your 3D Homepage</t>
  </si>
  <si>
    <t>https://chromewebstore.google.com/detail/ljbepbcfkmbpoleofmfndmfhldomkdlb</t>
  </si>
  <si>
    <t>Big Tech Funding</t>
  </si>
  <si>
    <t>https://chromewebstore.google.com/detail/mmakemefcnfogodnbgdflchnllmfickc</t>
  </si>
  <si>
    <t>v2ex.ext</t>
  </si>
  <si>
    <t>https://chromewebstore.google.com/detail/cibnlngbgpkcmbiilfdeekaojmfhimag</t>
  </si>
  <si>
    <t>Easy Label Print for Amazon</t>
  </si>
  <si>
    <t>https://chromewebstore.google.com/detail/dfolnmgmfdfnlimmfbkmndnlbbonbamg</t>
  </si>
  <si>
    <t>GoodTwitter Beta</t>
  </si>
  <si>
    <t>https://chromewebstore.google.com/detail/ehjbcokpmfbmpjlldihlcbkoakikcomd</t>
  </si>
  <si>
    <t>History Keeper</t>
  </si>
  <si>
    <t>https://chromewebstore.google.com/detail/gebpccdpnkhendljmgniflcjbcopoaag</t>
  </si>
  <si>
    <t>Keyword Hacker</t>
  </si>
  <si>
    <t>https://chromewebstore.google.com/detail/ibbapakgcgmnnlkikmfcgembolalfbpd</t>
  </si>
  <si>
    <t>Shopify 日本語 Japanese</t>
  </si>
  <si>
    <t>https://chromewebstore.google.com/detail/logjaoidoeihjlkmgncnnjfldhdiagac</t>
  </si>
  <si>
    <t>Make Google Search great again</t>
  </si>
  <si>
    <t>https://chromewebstore.google.com/detail/meigofcidjeckljcajpedlihfenjldbi</t>
  </si>
  <si>
    <t>Betting Calculator</t>
  </si>
  <si>
    <t>https://chromewebstore.google.com/detail/ndagckgpgoaokcfcjaicpfhhfllnphcc</t>
  </si>
  <si>
    <t>Instapaper highlights exporter</t>
  </si>
  <si>
    <t>https://chromewebstore.google.com/detail/oiklmlodhebcmaijgmheoafagfhbeohm</t>
  </si>
  <si>
    <t>One Hadith</t>
  </si>
  <si>
    <t>https://chromewebstore.google.com/detail/kjkmpppbjhcllohbcjeclghdfhbcnkfa</t>
  </si>
  <si>
    <t>loop</t>
  </si>
  <si>
    <t>https://chromewebstore.google.com/detail/mpjplegmigckokmkmnbbfgjpepocpngj</t>
  </si>
  <si>
    <t>Countdown to New Year's Day</t>
  </si>
  <si>
    <t>https://chromewebstore.google.com/detail/ooojmllannhkicjegpkfojlloihaklem</t>
  </si>
  <si>
    <t>ChRAM: Simple Browsing Data Cleaner</t>
  </si>
  <si>
    <t>https://chromewebstore.google.com/detail/pogibncdlnomiioielcgkhhgcmhokcma</t>
  </si>
  <si>
    <t>Fudge - Coupons, Deals</t>
  </si>
  <si>
    <t>https://chromewebstore.google.com/detail/elhbemppjhmjcpncnehjckaeldpbibih</t>
  </si>
  <si>
    <t>Recursive</t>
  </si>
  <si>
    <t>https://chromewebstore.google.com/detail/hbgbcmcmpiiciafmolmoapfgegbhbmcc</t>
  </si>
  <si>
    <t>Pixelixe Graphic &amp; Image Editor</t>
  </si>
  <si>
    <t>https://chromewebstore.google.com/detail/hnddfemljlompbmggkablcffmonknpdh</t>
  </si>
  <si>
    <t>Disney Plus Helper</t>
  </si>
  <si>
    <t>https://chromewebstore.google.com/detail/kajgdbpkkikejkaefnmnihalgngmlpkk</t>
  </si>
  <si>
    <t>Coupons Udemy</t>
  </si>
  <si>
    <t>https://chromewebstore.google.com/detail/koopobokkknepbckcpkkgjecnbcjggoi</t>
  </si>
  <si>
    <t>Roughbook: Quick Notes Taking &amp; Productivity</t>
  </si>
  <si>
    <t>https://chromewebstore.google.com/detail/phomkpbjipcgmfpffhkaphddmclefofh</t>
  </si>
  <si>
    <t>Online Stopwatch</t>
  </si>
  <si>
    <t>https://chromewebstore.google.com/detail/cjnjhecplenkojacccgogepfcefljjne</t>
  </si>
  <si>
    <t>ChainX extension</t>
  </si>
  <si>
    <t>https://chromewebstore.google.com/detail/dffjlgnecfafjfmkknpipapcbgajflge</t>
  </si>
  <si>
    <t>AutoMute Incognito</t>
  </si>
  <si>
    <t>https://chromewebstore.google.com/detail/egpmkeedlhphenpnjhlnlaohcmbmmccj</t>
  </si>
  <si>
    <t>Пустая Новая Вкладка</t>
  </si>
  <si>
    <t>https://chromewebstore.google.com/detail/epmgjgnlfnhlnaimcpfdnncenapjhnnn</t>
  </si>
  <si>
    <t>AutoCogs</t>
  </si>
  <si>
    <t>https://chromewebstore.google.com/detail/fkbhbocjkoimpgppjcekleljimakaadg</t>
  </si>
  <si>
    <t>QuickBookmarkToFolder</t>
  </si>
  <si>
    <t>https://chromewebstore.google.com/detail/hkipofckibjiaojbbnhicbeckppnhfnc</t>
  </si>
  <si>
    <t>YouTubeLiveChatFilter</t>
  </si>
  <si>
    <t>https://chromewebstore.google.com/detail/ejjegilfmocklljiilenfhcnfdiccmmh</t>
  </si>
  <si>
    <t>Five Nights at Freddy's</t>
  </si>
  <si>
    <t>https://chromewebstore.google.com/detail/ggnblkcmkokilofcdfjpkeoebmlpggac</t>
  </si>
  <si>
    <t>RottenTomatoes.com Context Menu</t>
  </si>
  <si>
    <t>https://chromewebstore.google.com/detail/hlieiibhcfnbhpnckgkfnigfbekfdlng</t>
  </si>
  <si>
    <t>Ketchup.today</t>
  </si>
  <si>
    <t>https://chromewebstore.google.com/detail/imjgfhhpjekpohdcmkmopebbhlllkoid</t>
  </si>
  <si>
    <t>Blog Comment Killfile</t>
  </si>
  <si>
    <t>https://chromewebstore.google.com/detail/kpoilnkelonbaapoapibddjaojohnpjf</t>
  </si>
  <si>
    <t>ISBN Search</t>
  </si>
  <si>
    <t>https://chromewebstore.google.com/detail/pciedbdeahgjkohjeikjjljdbhbkjeoc</t>
  </si>
  <si>
    <t>Trello Board Snapshot</t>
  </si>
  <si>
    <t>https://chromewebstore.google.com/detail/dgafpbcbieanmcihbjgaicikfchngpff</t>
  </si>
  <si>
    <t>Free Hosting No Ads</t>
  </si>
  <si>
    <t>https://chromewebstore.google.com/detail/hfbehgdommpfnhmpplnhjimedgpjeoek</t>
  </si>
  <si>
    <t>SearchMage</t>
  </si>
  <si>
    <t>https://chromewebstore.google.com/detail/oldjnhaegfgpfjlpmedeehapghiodglc</t>
  </si>
  <si>
    <t>Timezone Clocks</t>
  </si>
  <si>
    <t>https://chromewebstore.google.com/detail/phckpicnefnbafbamoidbemcdlolfoel</t>
  </si>
  <si>
    <t>BaseBall Scoreboard</t>
  </si>
  <si>
    <t>https://chromewebstore.google.com/detail/agadfdkijldlopjlbegiklkfdbmhpecj</t>
  </si>
  <si>
    <t>Search4Moviex</t>
  </si>
  <si>
    <t>https://chromewebstore.google.com/detail/bffaahbohobgjhehdedfijebjkoepakb</t>
  </si>
  <si>
    <t>Gmail Signature</t>
  </si>
  <si>
    <t>https://chromewebstore.google.com/detail/elmklbcniaipadeeelmdfbebbkjohpgg</t>
  </si>
  <si>
    <t>https://chromewebstore.google.com/detail/ibmaldnilecgfffgaieglcpocgdfbllb</t>
  </si>
  <si>
    <t>M1 Plus</t>
  </si>
  <si>
    <t>https://chromewebstore.google.com/detail/jlkeodkodfgihhdmhccagbikbppkpafm</t>
  </si>
  <si>
    <t>Rust Home Page</t>
  </si>
  <si>
    <t>https://chromewebstore.google.com/detail/klblibhmffkgkmbejciehlbkbllpeojg</t>
  </si>
  <si>
    <t>Open Cookie Editor</t>
  </si>
  <si>
    <t>https://chromewebstore.google.com/detail/mhelhppllnfkpaboohnijkfjeclehgab</t>
  </si>
  <si>
    <t>Project Free TV Ad Bypass</t>
  </si>
  <si>
    <t>https://chromewebstore.google.com/detail/modfjcgeknfglkdgckkomdcgokkjaadd</t>
  </si>
  <si>
    <t>Programmatically Proxy Switcher</t>
  </si>
  <si>
    <t>https://chromewebstore.google.com/detail/ojkndfjbadaccafpajlalaablgjhncie</t>
  </si>
  <si>
    <t>No rick-roll</t>
  </si>
  <si>
    <t>https://chromewebstore.google.com/detail/oljmncocnnpghpdnmdffphhcanpgmkok</t>
  </si>
  <si>
    <t>TW Farm Assistant</t>
  </si>
  <si>
    <t>https://chromewebstore.google.com/detail/pdfmicofbncclmklndnedcgedogelgoa</t>
  </si>
  <si>
    <t>Coursera Quiz Printer</t>
  </si>
  <si>
    <t>https://chromewebstore.google.com/detail/pkgbcmdpjlnmngdfjicnkppkkmnaejnm</t>
  </si>
  <si>
    <t>Quicken</t>
  </si>
  <si>
    <t>https://chromewebstore.google.com/detail/bcnfaiaknkbbcmpeedkjjjcdmjlgbafo</t>
  </si>
  <si>
    <t>Google Keep Presentation Mode</t>
  </si>
  <si>
    <t>https://chromewebstore.google.com/detail/bgbaahbnakeoohgbijglamgadoanojbf</t>
  </si>
  <si>
    <t>Snowflake</t>
  </si>
  <si>
    <t>https://chromewebstore.google.com/detail/cghmhcoebaiodpdicjacfllplandkfpa</t>
  </si>
  <si>
    <t>Robux to Euro</t>
  </si>
  <si>
    <t>https://chromewebstore.google.com/detail/fddgnnipkoknfbagbjlhnmljhffjeiml</t>
  </si>
  <si>
    <t>Eventbrite</t>
  </si>
  <si>
    <t>https://chromewebstore.google.com/detail/hhclmcdcogggmcglbakeckakdikccfjn</t>
  </si>
  <si>
    <t>Inspect Device</t>
  </si>
  <si>
    <t>https://chromewebstore.google.com/detail/jhgcdckilemomflfheldfmgaellengja</t>
  </si>
  <si>
    <t>Cabal</t>
  </si>
  <si>
    <t>https://chromewebstore.google.com/detail/jpogcpmioehlanphknchgbpeihakgggh</t>
  </si>
  <si>
    <t>VRooms - Test Figma Designs in VR</t>
  </si>
  <si>
    <t>https://chromewebstore.google.com/detail/ldbggnggfbpbdfigkemaflalpjmkdcgj</t>
  </si>
  <si>
    <t>Starwars Quotes</t>
  </si>
  <si>
    <t>https://chromewebstore.google.com/detail/pbfbmcmonmhbkgejceoenhhcnehocejg</t>
  </si>
  <si>
    <t>CallTouch Detector</t>
  </si>
  <si>
    <t>https://chromewebstore.google.com/detail/alimhdbkpohnkhckgemlhpkpholbjhmg</t>
  </si>
  <si>
    <t>csTimer Sync</t>
  </si>
  <si>
    <t>https://chromewebstore.google.com/detail/bjmjhkbifanmbbiikccdapomhpicglkf</t>
  </si>
  <si>
    <t>Impartus Chrome Extension</t>
  </si>
  <si>
    <t>https://chromewebstore.google.com/detail/clcbfjpbnfmaaaabpoidaoenhfplkbgc</t>
  </si>
  <si>
    <t>Doctor Photo</t>
  </si>
  <si>
    <t>https://chromewebstore.google.com/detail/edlkdhabpmdhijfjakahmbllnjpbpmfo</t>
  </si>
  <si>
    <t>Translatio Cards: Translate - Save - Review</t>
  </si>
  <si>
    <t>https://chromewebstore.google.com/detail/gpdfaeffbkkjkdkinpaghmcflimlhplb</t>
  </si>
  <si>
    <t>Heniek CDA</t>
  </si>
  <si>
    <t>https://chromewebstore.google.com/detail/ikmhgmgphhlodomclpfdeafoboanjklo</t>
  </si>
  <si>
    <t>DBG debugger toolbar [BETA]</t>
  </si>
  <si>
    <t>https://chromewebstore.google.com/detail/jpfjdjkohmopcgecijakgemceodpjpdp</t>
  </si>
  <si>
    <t>Fast Tabs</t>
  </si>
  <si>
    <t>https://chromewebstore.google.com/detail/mdcdhfidonnljhghenlekoinplgcmmmn</t>
  </si>
  <si>
    <t>TorrentCloud torrent Upload</t>
  </si>
  <si>
    <t>https://chromewebstore.google.com/detail/nehcaigoagncnciofipnemkiclelijal</t>
  </si>
  <si>
    <t>Super-Traf.RU</t>
  </si>
  <si>
    <t>https://chromewebstore.google.com/detail/addfifnpmofcnlcgmdimfdnncjeccbpf</t>
  </si>
  <si>
    <t>Tab Finder</t>
  </si>
  <si>
    <t>https://chromewebstore.google.com/detail/akikgmngikhdhecndjkjcacfefdbnnin</t>
  </si>
  <si>
    <t>Tabio</t>
  </si>
  <si>
    <t>https://chromewebstore.google.com/detail/bgbhfmeabcmpjblimfddkeikogidjhao</t>
  </si>
  <si>
    <t>Zeroqode Extension for Bubble!</t>
  </si>
  <si>
    <t>https://chromewebstore.google.com/detail/jhnifiocgcnpjjamkieebmjicmhlpiee</t>
  </si>
  <si>
    <t>360 翻译-右键翻译</t>
  </si>
  <si>
    <t>https://chromewebstore.google.com/detail/ngieeanjalhiihkfajdcfilknhpceopf</t>
  </si>
  <si>
    <t>Traxia Print Plugin</t>
  </si>
  <si>
    <t>https://chromewebstore.google.com/detail/oahefobeogppebdmhlijlagpainfokfh</t>
  </si>
  <si>
    <t>Contact Finder</t>
  </si>
  <si>
    <t>https://chromewebstore.google.com/detail/ojblhihinoemamombhdedkaimgapelka</t>
  </si>
  <si>
    <t>UoA MediaplayerPlus</t>
  </si>
  <si>
    <t>https://chromewebstore.google.com/detail/oohpedaigajmdamiaboobdjijopldlkd</t>
  </si>
  <si>
    <t>KükreyenAslan - Son Dakika</t>
  </si>
  <si>
    <t>https://chromewebstore.google.com/detail/pannmknoidkglggccampoendoeghmhap</t>
  </si>
  <si>
    <t>Seolib Search help</t>
  </si>
  <si>
    <t>https://chromewebstore.google.com/detail/agapebpfpbadohmadpdmopjodhcdlnjm</t>
  </si>
  <si>
    <t>Icon Search</t>
  </si>
  <si>
    <t>https://chromewebstore.google.com/detail/bkijbakibakefmcoobcnfdkfhhbmgiek</t>
  </si>
  <si>
    <t>Date picker extension</t>
  </si>
  <si>
    <t>https://chromewebstore.google.com/detail/dleghnfkndpddppflgfcajfbaejnnoem</t>
  </si>
  <si>
    <t>Twitch - Auto Claim Points(忠誠點數)</t>
  </si>
  <si>
    <t>https://chromewebstore.google.com/detail/gjhoghnlnfbcacnbfagcbfdmjejebaje</t>
  </si>
  <si>
    <t>Create Embeddable Links for Google Photos</t>
  </si>
  <si>
    <t>https://chromewebstore.google.com/detail/hmakijajeinknkeaepeicdejkhdigigh</t>
  </si>
  <si>
    <t>web page preserver</t>
  </si>
  <si>
    <t>https://chromewebstore.google.com/detail/jgelgbfglncabfobkgdpdimbmenbfgdj</t>
  </si>
  <si>
    <t>Save to folder from context menu</t>
  </si>
  <si>
    <t>https://chromewebstore.google.com/detail/pdlkjdlbjjfmlfhijdbdpkilpdoncgdk</t>
  </si>
  <si>
    <t>youtubecheetsheet</t>
  </si>
  <si>
    <t>https://chromewebstore.google.com/detail/cadeafhhbkoobepmjjniknbfnccbacfk</t>
  </si>
  <si>
    <t>Cyborg</t>
  </si>
  <si>
    <t>https://chromewebstore.google.com/detail/fakmngnnndgdelejnopaleecadafplkf</t>
  </si>
  <si>
    <t>re:Scan</t>
  </si>
  <si>
    <t>https://chromewebstore.google.com/detail/fjiopcojjjafjnfgipombdbpjimignpl</t>
  </si>
  <si>
    <t>ВидеоКлип Про</t>
  </si>
  <si>
    <t>https://chromewebstore.google.com/detail/lbopmiffpfobnlaoejnipicckickphka</t>
  </si>
  <si>
    <t>Memrise Button</t>
  </si>
  <si>
    <t>https://chromewebstore.google.com/detail/mahhgdkliaknjffpmocpaglcoljnhodn</t>
  </si>
  <si>
    <t>VAC-BAN.com Add/View</t>
  </si>
  <si>
    <t>https://chromewebstore.google.com/detail/mhnlmghkfmjoodmlfggpedcffnaffkfa</t>
  </si>
  <si>
    <t>ganesh</t>
  </si>
  <si>
    <t>https://chromewebstore.google.com/detail/ndpeceendngnjfcjldcjifnedbncfelj</t>
  </si>
  <si>
    <t>Spreadsheet Shortcuts</t>
  </si>
  <si>
    <t>https://chromewebstore.google.com/detail/niogomcjkbmleicffcajlnfnlgeigafa</t>
  </si>
  <si>
    <t>New Tab Redirect to Apps - Axlg</t>
  </si>
  <si>
    <t>https://chromewebstore.google.com/detail/nkglplbcmeamjpiegkcjhfogcjfggjjp</t>
  </si>
  <si>
    <t>Background Process</t>
  </si>
  <si>
    <t>https://chromewebstore.google.com/detail/alobgnedpnalbocldljnakbbaemakhih</t>
  </si>
  <si>
    <t>HTML Validator</t>
  </si>
  <si>
    <t>https://chromewebstore.google.com/detail/bocbjjpebcmehmadhaiefilfieahhcmo</t>
  </si>
  <si>
    <t>Jeopardy! 30 Second Timer</t>
  </si>
  <si>
    <t>https://chromewebstore.google.com/detail/dmnkmiehcabgdjcpgiedbmiecnpbcehd</t>
  </si>
  <si>
    <t>Limber</t>
  </si>
  <si>
    <t>https://chromewebstore.google.com/detail/kmeibikjccjlfedeklmlfahpfajefjan</t>
  </si>
  <si>
    <t>CRM Science - Admin Assistant</t>
  </si>
  <si>
    <t>https://chromewebstore.google.com/detail/oeinfjphgdddcbnhdalmaboomliefgph</t>
  </si>
  <si>
    <t>PlayThis</t>
  </si>
  <si>
    <t>https://chromewebstore.google.com/detail/adddkaonokkecefokdanjpaamfajogel</t>
  </si>
  <si>
    <t>WPSecurity - WordPress Vulnerability Scanner</t>
  </si>
  <si>
    <t>https://chromewebstore.google.com/detail/fjpcnacjhlajeobikegbgeeelokemgdf</t>
  </si>
  <si>
    <t>Alt-Right Denormalizer</t>
  </si>
  <si>
    <t>https://chromewebstore.google.com/detail/glfmlcifdhfpibfmokbcojfkbgfigeph</t>
  </si>
  <si>
    <t>SVG to GIF Converter</t>
  </si>
  <si>
    <t>https://chromewebstore.google.com/detail/hcohjlndjjikkfmiafbifjboghndpian</t>
  </si>
  <si>
    <t>Amazon Link Shortener</t>
  </si>
  <si>
    <t>https://chromewebstore.google.com/detail/jcelngmdejifnkjgioppgemojfpbkejn</t>
  </si>
  <si>
    <t>FlixSubs - Subtitles Plugin For Netflix</t>
  </si>
  <si>
    <t>https://chromewebstore.google.com/detail/llcjbplmeedpplcgabakfhdikbgmajna</t>
  </si>
  <si>
    <t>copy-base64</t>
  </si>
  <si>
    <t>https://chromewebstore.google.com/detail/obeffifkdkfbpodhaoelcjdljgiapjnl</t>
  </si>
  <si>
    <t>Deadline</t>
  </si>
  <si>
    <t>https://chromewebstore.google.com/detail/ofmmceeclfikkokflnpckaomdaojhpgd</t>
  </si>
  <si>
    <t>PHP Cloud Hosting</t>
  </si>
  <si>
    <t>https://chromewebstore.google.com/detail/ohfhlhjhkmnldjcbkaifnmppnimfolec</t>
  </si>
  <si>
    <t>Stopbleed</t>
  </si>
  <si>
    <t>https://chromewebstore.google.com/detail/okdekadbjjhbnlmldheinccioijofhgc</t>
  </si>
  <si>
    <t>source-map</t>
  </si>
  <si>
    <t>https://chromewebstore.google.com/detail/bgeaeknaoamgljjbckgjkmkelcmpkobk</t>
  </si>
  <si>
    <t>ZemanBlock</t>
  </si>
  <si>
    <t>https://chromewebstore.google.com/detail/dkmkngddjdildamjdkadffknbegcmebg</t>
  </si>
  <si>
    <t>MineBlock</t>
  </si>
  <si>
    <t>https://chromewebstore.google.com/detail/dmcpbelgocmkmgbbpndggbilfljilkgk</t>
  </si>
  <si>
    <t>Twitch Affiliate Sub Icons</t>
  </si>
  <si>
    <t>https://chromewebstore.google.com/detail/eafophjfgcoikfppaofnalpppeckgoed</t>
  </si>
  <si>
    <t>Internet Traffic Signal</t>
  </si>
  <si>
    <t>https://chromewebstore.google.com/detail/effgbafpgcdenijiomikgadejhkdkacj</t>
  </si>
  <si>
    <t>Epitech RoadBlock</t>
  </si>
  <si>
    <t>https://chromewebstore.google.com/detail/foapohjmcdnoijommffjdbefjpakplej</t>
  </si>
  <si>
    <t>Yopmail Helper</t>
  </si>
  <si>
    <t>https://chromewebstore.google.com/detail/hblcpgekfpenakehekkfgoadijffdhne</t>
  </si>
  <si>
    <t>Scrolller Extended</t>
  </si>
  <si>
    <t>https://chromewebstore.google.com/detail/jkhgkkhkokkebajnhmogconodclkopdh</t>
  </si>
  <si>
    <t>Take a note</t>
  </si>
  <si>
    <t>https://chromewebstore.google.com/detail/kfiafdpdemicicjnfadpklcolhjghggp</t>
  </si>
  <si>
    <t>Pewdiepie Subscriptions Counter</t>
  </si>
  <si>
    <t>https://chromewebstore.google.com/detail/leliihmdckgmccamkmgkiikjecbedapi</t>
  </si>
  <si>
    <t>NerdeRegion</t>
  </si>
  <si>
    <t>https://chromewebstore.google.com/detail/lkcampbojgmgobcfinlkgkodlnlpjieb</t>
  </si>
  <si>
    <t>Pintergif</t>
  </si>
  <si>
    <t>https://chromewebstore.google.com/detail/pjhjdjhaadgebfgcaodcoodllgihlmml</t>
  </si>
  <si>
    <t>Annoying Browsing</t>
  </si>
  <si>
    <t>https://chromewebstore.google.com/detail/amocooflhobdfdnlkpdnapkcafolalhh</t>
  </si>
  <si>
    <t>Custom Blogger Extension</t>
  </si>
  <si>
    <t>https://chromewebstore.google.com/detail/edbhcnncibhjdeflaagkbdklifcdklmc</t>
  </si>
  <si>
    <t>PowerSchool PLUS</t>
  </si>
  <si>
    <t>https://chromewebstore.google.com/detail/fccdnjdddfffdbefafflgcmfaelhhmki</t>
  </si>
  <si>
    <t>PlayCanvas Editor Plus</t>
  </si>
  <si>
    <t>https://chromewebstore.google.com/detail/ebedfcjmndjbaboecddbbjjjoleddfap</t>
  </si>
  <si>
    <t>https://chromewebstore.google.com/detail/gicpnnockilhclmgekhdnnjokdmlfhmk</t>
  </si>
  <si>
    <t>FacebookOldLayout</t>
  </si>
  <si>
    <t>https://chromewebstore.google.com/detail/gnklcijclemdlllfmlonfbaoampbiiee</t>
  </si>
  <si>
    <t>PIP Buddy - Your friendly Picture in Picture</t>
  </si>
  <si>
    <t>https://chromewebstore.google.com/detail/jddigbonbobbfkgbebpmpffppmgmnnoa</t>
  </si>
  <si>
    <t>Link to Bookmark</t>
  </si>
  <si>
    <t>https://chromewebstore.google.com/detail/mhdidjpeopgpmlknlinmkplhbgopjegj</t>
  </si>
  <si>
    <t>Search For Geocaches or Trackables</t>
  </si>
  <si>
    <t>https://chromewebstore.google.com/detail/adijfhhnlhbmfohpnhcmjlllfaadmkoo</t>
  </si>
  <si>
    <t>Countdown Ready</t>
  </si>
  <si>
    <t>https://chromewebstore.google.com/detail/dhabdpkoklnemkckhamdjbcchefbcelh</t>
  </si>
  <si>
    <t>Unblock-Us Auto Activator</t>
  </si>
  <si>
    <t>https://chromewebstore.google.com/detail/dmjoccepbcaemodiijjkpenalpicgeaf</t>
  </si>
  <si>
    <t>Voice Drop</t>
  </si>
  <si>
    <t>https://chromewebstore.google.com/detail/fndpfhokbajlpdhegoclkdplgnjehkgp</t>
  </si>
  <si>
    <t>PingPong</t>
  </si>
  <si>
    <t>https://chromewebstore.google.com/detail/ggfgchkboafohghglleifhapohaopffd</t>
  </si>
  <si>
    <t>Webinar Extension</t>
  </si>
  <si>
    <t>https://chromewebstore.google.com/detail/hajhmelhogpbcooljkogbbnjifahpbol</t>
  </si>
  <si>
    <t>Only Browser Recorder</t>
  </si>
  <si>
    <t>https://chromewebstore.google.com/detail/icbjohkhackfonehoaabfijgdlnmbekl</t>
  </si>
  <si>
    <t>CFCA CryptoKit.CRBank Extension</t>
  </si>
  <si>
    <t>https://chromewebstore.google.com/detail/nafjhgipldpldpocnpjkhgocbphlbihb</t>
  </si>
  <si>
    <t>Persistent Highlighter</t>
  </si>
  <si>
    <t>https://chromewebstore.google.com/detail/njeijipoihldmgnelkdhohadaigobeml</t>
  </si>
  <si>
    <t>Heart React for Messenger</t>
  </si>
  <si>
    <t>https://chromewebstore.google.com/detail/ohhhckeljnecaiamhlahbpdccchbofgl</t>
  </si>
  <si>
    <t>TabStash</t>
  </si>
  <si>
    <t>https://chromewebstore.google.com/detail/booibkcgheofaoklpolmjmgaepombmlk</t>
  </si>
  <si>
    <t>Play Open Beta Finder</t>
  </si>
  <si>
    <t>https://chromewebstore.google.com/detail/kekjlppeakkghncgobcelpmghgoomeod</t>
  </si>
  <si>
    <t>Best Games</t>
  </si>
  <si>
    <t>https://chromewebstore.google.com/detail/lpihapijmopppnlkpglljeaeafcodmod</t>
  </si>
  <si>
    <t>Page Speed checker by OptiPic.io</t>
  </si>
  <si>
    <t>https://chromewebstore.google.com/detail/mgbfplgjdafciljiamlggodaojijhikj</t>
  </si>
  <si>
    <t>Meta Reader</t>
  </si>
  <si>
    <t>https://chromewebstore.google.com/detail/bodbimicombkcinchnmcbbhcjjfoookf</t>
  </si>
  <si>
    <t>timee</t>
  </si>
  <si>
    <t>https://chromewebstore.google.com/detail/fcedikhdncpihpklagplnhhapeohoghl</t>
  </si>
  <si>
    <t>Zface - công cụ chuyển đổi SĐT từ UID</t>
  </si>
  <si>
    <t>https://chromewebstore.google.com/detail/haoleoddimagefbabdepgngjgacldhge</t>
  </si>
  <si>
    <t>Picture-in-Picture Plus</t>
  </si>
  <si>
    <t>https://chromewebstore.google.com/detail/hkjdaeehgkbdbpgffjgiahldidifdbgg</t>
  </si>
  <si>
    <t>PreviewImage</t>
  </si>
  <si>
    <t>https://chromewebstore.google.com/detail/hlkaeledkpjicnlipojpgpjgdpcpaloo</t>
  </si>
  <si>
    <t>Forgotten Mods</t>
  </si>
  <si>
    <t>https://chromewebstore.google.com/detail/iejmnlppimjeddnpfiljelhloaelogao</t>
  </si>
  <si>
    <t>Change Website Background</t>
  </si>
  <si>
    <t>https://chromewebstore.google.com/detail/jmcdblanaidgjcgjohndajigiflfajfg</t>
  </si>
  <si>
    <t>Rainbow Tabs</t>
  </si>
  <si>
    <t>https://chromewebstore.google.com/detail/khedhoedfamallgnpngiginbiffemgho</t>
  </si>
  <si>
    <t>MOODLE Exam Solver</t>
  </si>
  <si>
    <t>https://chromewebstore.google.com/detail/ogmonhnolabdebjebfafnhnkemikgaja</t>
  </si>
  <si>
    <t>Inner Peace - Experience Peace In One Click</t>
  </si>
  <si>
    <t>https://chromewebstore.google.com/detail/pldlofnfhngdebbilopnaoeljkmdfpin</t>
  </si>
  <si>
    <t>Funda Extend</t>
  </si>
  <si>
    <t>https://chromewebstore.google.com/detail/bkhbjbkadafdkckdemhkdbdhognhoagj</t>
  </si>
  <si>
    <t>Ethereum (ETH/USD) Price Ticker</t>
  </si>
  <si>
    <t>https://chromewebstore.google.com/detail/dconegbmnkoeccohdkifggkgdhoaedgc</t>
  </si>
  <si>
    <t>豌豆荚直搜</t>
  </si>
  <si>
    <t>https://chromewebstore.google.com/detail/eafahahbkiojhlhllnpajnnpfngkpdfn</t>
  </si>
  <si>
    <t>微软必应英汉字典</t>
  </si>
  <si>
    <t>https://chromewebstore.google.com/detail/eiffgabfpjklnnfmogjiolmgnbelbcjo</t>
  </si>
  <si>
    <t>Chemical Information!</t>
  </si>
  <si>
    <t>https://chromewebstore.google.com/detail/fddoccbkbikfomalnifggoajpghchjcp</t>
  </si>
  <si>
    <t>BYR IP to Location</t>
  </si>
  <si>
    <t>https://chromewebstore.google.com/detail/fkgdjdphlpgcccgfaacjkchmphafhcmd</t>
  </si>
  <si>
    <t>Graph Process</t>
  </si>
  <si>
    <t>https://chromewebstore.google.com/detail/gbinchaafafhenoibdeblkooihlobnjj</t>
  </si>
  <si>
    <t>Hangout Share Plus beta</t>
  </si>
  <si>
    <t>https://chromewebstore.google.com/detail/jfkhnopbajkdbgiboodjidipnepjlkec</t>
  </si>
  <si>
    <t>Short links service</t>
  </si>
  <si>
    <t>https://chromewebstore.google.com/detail/jmahmkpoabpohpganpheikpphdoflmhm</t>
  </si>
  <si>
    <t>Easy Urban Dictionary Lookup</t>
  </si>
  <si>
    <t>https://chromewebstore.google.com/detail/jpnfkdokcadnkpmpfjbblfjjokffpbio</t>
  </si>
  <si>
    <t>Cauta cel mai mic pret</t>
  </si>
  <si>
    <t>https://chromewebstore.google.com/detail/llkokplhejljfclkcffdjaiplkkjcdam</t>
  </si>
  <si>
    <t>Quick Design - Free Online Design Courses</t>
  </si>
  <si>
    <t>https://chromewebstore.google.com/detail/lodfihlkijchmhheemaejbfkjkmaejkk</t>
  </si>
  <si>
    <t>CodeRaven's CryptoBlade Battle Simulator</t>
  </si>
  <si>
    <t>https://chromewebstore.google.com/detail/mgaiocojhlkmnfcckfebjahneekfjbdo</t>
  </si>
  <si>
    <t>G-Recorder</t>
  </si>
  <si>
    <t>https://chromewebstore.google.com/detail/oihlifnmcjcopebppcggkaoicelhkcgk</t>
  </si>
  <si>
    <t>stutter</t>
  </si>
  <si>
    <t>https://chromewebstore.google.com/detail/fbapmaboedchhgjolcnpfgoanbfajchl</t>
  </si>
  <si>
    <t>enhan(t) Note Taking Power Tool</t>
  </si>
  <si>
    <t>https://chromewebstore.google.com/detail/fohcdemnkddkfcbheibnjhnpfliemnfg</t>
  </si>
  <si>
    <t>Pixel-art zoom</t>
  </si>
  <si>
    <t>https://chromewebstore.google.com/detail/hmekkdlabbjicebobdeopkemgofhhafk</t>
  </si>
  <si>
    <t>Statistical Test for Google Analytics</t>
  </si>
  <si>
    <t>https://chromewebstore.google.com/detail/jdijbhedpeoddlmcbooapojknnfkengj</t>
  </si>
  <si>
    <t>blackboard-collab-speed-control</t>
  </si>
  <si>
    <t>https://chromewebstore.google.com/detail/ocacgafaaahoakloknkbaikjmcohmhda</t>
  </si>
  <si>
    <t>Focusmate - Supercharge Your Dashboard</t>
  </si>
  <si>
    <t>https://chromewebstore.google.com/detail/onkknkfidoodkmjaaogphalomhifgdkp</t>
  </si>
  <si>
    <t>Black Screen</t>
  </si>
  <si>
    <t>https://chromewebstore.google.com/detail/fifegcdolpopgankidmhacbffojhidng</t>
  </si>
  <si>
    <t>ElePass - Agency Password Manager</t>
  </si>
  <si>
    <t>https://chromewebstore.google.com/detail/gomipljbnlaiefmaaafjnbcibinefjbp</t>
  </si>
  <si>
    <t>Hockey Canada (French) New Tab</t>
  </si>
  <si>
    <t>https://chromewebstore.google.com/detail/hdkhicoloiohjgogdcehfcnjddnonkhb</t>
  </si>
  <si>
    <t>RMP Extension</t>
  </si>
  <si>
    <t>https://chromewebstore.google.com/detail/ibjeflpimfbfpnpgljhokhjnnamldclo</t>
  </si>
  <si>
    <t>AliExpress Order Extractor</t>
  </si>
  <si>
    <t>https://chromewebstore.google.com/detail/idnfcalokbhljjjlphmknbfpngjgaale</t>
  </si>
  <si>
    <t>Color Grabber</t>
  </si>
  <si>
    <t>https://chromewebstore.google.com/detail/ienonflmjobapflnpjadihcdibodpkjb</t>
  </si>
  <si>
    <t>toCalendar</t>
  </si>
  <si>
    <t>https://chromewebstore.google.com/detail/iffkflhcbfgfcendldlddpgpfbikibjd</t>
  </si>
  <si>
    <t>Origin Requests Only (Firewall)</t>
  </si>
  <si>
    <t>https://chromewebstore.google.com/detail/kadfhmhfoplfpmffcfanpnphhjbilifl</t>
  </si>
  <si>
    <t>AsanaTabs</t>
  </si>
  <si>
    <t>https://chromewebstore.google.com/detail/ldfaccjdcphlaodakclpiomadaakoobd</t>
  </si>
  <si>
    <t>Nureva Screen Share</t>
  </si>
  <si>
    <t>https://chromewebstore.google.com/detail/nakjpadjkbgglmecflakfmapmdnlkeng</t>
  </si>
  <si>
    <t>MealClip</t>
  </si>
  <si>
    <t>https://chromewebstore.google.com/detail/pclgcppjlhbccgpgflbijnhekejnbjmb</t>
  </si>
  <si>
    <t>Goodbye, t.co! - bypass t.co links</t>
  </si>
  <si>
    <t>https://chromewebstore.google.com/detail/amkpabkldfondhfldmecnfjlmjencfbf</t>
  </si>
  <si>
    <t>Google meet attendance downloader &amp; autoadmit</t>
  </si>
  <si>
    <t>https://chromewebstore.google.com/detail/aooohipcpangghmcpkjhcolnagaihglj</t>
  </si>
  <si>
    <t>네이버 중국어 사전</t>
  </si>
  <si>
    <t>https://chromewebstore.google.com/detail/apifmmoplfibicaaddcpeicgkllipflb</t>
  </si>
  <si>
    <t>imazip</t>
  </si>
  <si>
    <t>https://chromewebstore.google.com/detail/bkddmodjbkeffnnpganagafghockmkij</t>
  </si>
  <si>
    <t>Templates</t>
  </si>
  <si>
    <t>https://chromewebstore.google.com/detail/chflkinkknpljaccjdccnogkelagodba</t>
  </si>
  <si>
    <t>Tab Name Changer</t>
  </si>
  <si>
    <t>https://chromewebstore.google.com/detail/eofldjecdkcjhnccphadkomkiebjfdkl</t>
  </si>
  <si>
    <t>Онлайн рерайт, синонимайзер, антиплагиат</t>
  </si>
  <si>
    <t>https://chromewebstore.google.com/detail/eonhcfjonflaaojkfbgaggiolnioboef</t>
  </si>
  <si>
    <t>Unit Convert Selection</t>
  </si>
  <si>
    <t>https://chromewebstore.google.com/detail/ibdppaaieeojldgandjjlmjfbnjiciji</t>
  </si>
  <si>
    <t>#Специи — кэшбэк-сервис от МегаФона</t>
  </si>
  <si>
    <t>https://chromewebstore.google.com/detail/ibfkmjpgbhlbjopdalpbjkajcofgfgem</t>
  </si>
  <si>
    <t>Office redirector</t>
  </si>
  <si>
    <t>https://chromewebstore.google.com/detail/kkjlehpaghmppmkfihgiejaaapgkinai</t>
  </si>
  <si>
    <t>LMUR</t>
  </si>
  <si>
    <t>https://chromewebstore.google.com/detail/ofjdjffkbglgpdikoofpkeniefljookp</t>
  </si>
  <si>
    <t>Auto Admit 2021-06-11T05:41:02.000Z</t>
  </si>
  <si>
    <t>Safe Password Generator 2013-07-08T05:39:32.000Z</t>
  </si>
  <si>
    <t>Kunversion 2020-12-23T19:33:29.000Z</t>
  </si>
  <si>
    <t>Let Live 2017-05-11T19:46:49.000Z</t>
  </si>
  <si>
    <t>LatLong 2019-08-18T20:41:48.000Z</t>
  </si>
  <si>
    <t>Steam Community SteamRep Integration 2013-10-08T17:33:59.000Z</t>
  </si>
  <si>
    <t>SenecaAnswer 2019-03-22T11:38:47.000Z</t>
  </si>
  <si>
    <t>Simple Twitch Giveaways 2018-06-27T13:02:56.000Z</t>
  </si>
  <si>
    <t>One Punch Man Theme 2016-10-06T18:43:03.000Z</t>
  </si>
  <si>
    <t>Cluster - Window &amp; Tab Manager 2019-08-04T16:54:27.000Z</t>
  </si>
  <si>
    <t>https://chromewebstore.google.com/detail/fhbohimaelbohpjbbldcngcnapndodjp</t>
  </si>
  <si>
    <t>Twork 2022-07-05T11:49:13.000Z</t>
  </si>
  <si>
    <t>Sensilet 2023-04-18T08:22:36.000Z</t>
  </si>
  <si>
    <t>AwesomeDrive for Google Drive 2024-11-22T09:24:32.000Z</t>
  </si>
  <si>
    <t>SeatMath: Forms-Friendly Equation Editor 2020-10-19T05:25:00.000Z</t>
  </si>
  <si>
    <t>Radio Player Live 2022-08-25T10:51:04.000Z</t>
  </si>
  <si>
    <t>Paste To VM 2020-01-16T11:53:45.000Z</t>
  </si>
  <si>
    <t>OGP Checker 2014-04-03T13:57:56.000Z</t>
  </si>
  <si>
    <t>Moka简藏 2022-09-29T07:40:29.000Z</t>
  </si>
  <si>
    <t>dinobro 2017-10-16T01:14:24.000Z</t>
  </si>
  <si>
    <t>Happy Wheels and More. 2016-06-10T06:17:54.000Z</t>
  </si>
  <si>
    <t>Balloons for Chrome 2020-11-26T07:25:08.000Z</t>
  </si>
  <si>
    <t>GitHub Stars Tagger 2017-02-13T15:46:56.000Z</t>
  </si>
  <si>
    <t>AcceleReader for Instapaper 2020-01-22T10:45:11.000Z</t>
  </si>
  <si>
    <t>Magoon: Chrome DevTools Theme 2023-01-23T09:35:36.000Z</t>
  </si>
  <si>
    <t>ProxFlow 2021-05-11T13:07:48.000Z</t>
  </si>
  <si>
    <t>Messenger Black: Scheduled Dark Mode 2022-08-07T17:02:27.000Z</t>
  </si>
  <si>
    <t>Steroids for Badoo v.1.5 2019-08-28T02:53:55.000Z</t>
  </si>
  <si>
    <t>Duelingnexus deck exporter 2020-03-25T04:30:24.000Z</t>
  </si>
  <si>
    <t>CrowdWorkers 2019-01-24T21:42:22.000Z</t>
  </si>
  <si>
    <t>Amazon Harvest 2016-06-01T15:49:09.000Z</t>
  </si>
  <si>
    <t>Сайдекс-сканер цен 2020-07-15T06:32:52.000Z</t>
  </si>
  <si>
    <t>Instant Multi Search 2015-08-09T19:39:24.000Z</t>
  </si>
  <si>
    <t>CocoFax - Send &amp; Receive Fax (Free Trial) 2021-07-22T09:25:31.000Z</t>
  </si>
  <si>
    <t>Blue Prism 6.10 Browser Extension 2022-12-07T10:41:56.000Z</t>
  </si>
  <si>
    <t>Gmail Mouse Gestures 2022-03-19T12:55:16.000Z</t>
  </si>
  <si>
    <t>Steep and Cheap Countdown Timer 2018-08-08T22:34:39.000Z</t>
  </si>
  <si>
    <t>AMP Accelerated Mobile Pages Desktop Viewer 2016-02-25T09:11:05.000Z</t>
  </si>
  <si>
    <t>Power Text for Google Chrome™ 2024-07-24T04:31:32.000Z</t>
  </si>
  <si>
    <t>Map Maker Overlay 2016-09-01T08:25:36.000Z</t>
  </si>
  <si>
    <t>Really Good Emails / Capture! 2024-06-19T15:20:26.000Z</t>
  </si>
  <si>
    <t>Fast Page Scroll 2022-09-12T05:05:29.000Z</t>
  </si>
  <si>
    <t>Pinterest Palooza 2016-03-31T12:12:46.000Z</t>
  </si>
  <si>
    <t>Traffic Analyser 2019-01-30T16:23:07.000Z</t>
  </si>
  <si>
    <t>Console Injector 2015-08-21T00:27:01.000Z</t>
  </si>
  <si>
    <t>Funimation Streaming 2015-10-11T00:52:35.000Z</t>
  </si>
  <si>
    <t>Simple mass downloader 2022-12-15T05:08:27.000Z</t>
  </si>
  <si>
    <t>Pandora Download Links 2014-07-30T13:18:07.000Z</t>
  </si>
  <si>
    <t>Find-A-Record 2014-10-29T20:30:13.000Z</t>
  </si>
  <si>
    <t>档案娘助手 2017-09-20T14:25:30.000Z</t>
  </si>
  <si>
    <t>Background changer 2017-10-10T10:16:30.000Z</t>
  </si>
  <si>
    <t>RxJS Devtools 2020-09-08T04:09:07.000Z</t>
  </si>
  <si>
    <t>Clipboard Image</t>
  </si>
  <si>
    <t>Ampliz Sales Buddy 2021-09-02T05:08:53.000Z</t>
  </si>
  <si>
    <t>EvoWars.io Game 2019-03-30T03:24:53.000Z</t>
  </si>
  <si>
    <t>SZTAKI Dictionary Extension 2013-02-28T15:05:49.000Z</t>
  </si>
  <si>
    <t>Pinme 2018-04-09T14:35:17.000Z</t>
  </si>
  <si>
    <t>Single Sign-on Assistant 2024-01-23T05:18:02.000Z</t>
  </si>
  <si>
    <t>AfterShip: track packages of FedEx</t>
  </si>
  <si>
    <t>Recent Download 2018-11-28T07:59:49.000Z</t>
  </si>
  <si>
    <t>Disable Extensions and Apps 2017-09-20T21:21:27.000Z</t>
  </si>
  <si>
    <t>Fiori Doctor 2019-12-09T03:50:15.000Z</t>
  </si>
  <si>
    <t>https://chromewebstore.google.com/detail/cjobgkekcenldbaenikebmbhffhhffef</t>
  </si>
  <si>
    <t>Extractor de entidades 2022-01-30T15:20:30.000Z</t>
  </si>
  <si>
    <t>Wix Free Website builder - Review 2016-07-07T10:49:12.000Z</t>
  </si>
  <si>
    <t>Sutherland Robility Connect 2021-07-20T04:52:49.000Z</t>
  </si>
  <si>
    <t>Dolby Voice 1.1 2015-07-22T12:30:40.000Z</t>
  </si>
  <si>
    <t>FreyaVPN VPN Extension 2021-12-18T08:13:18.000Z</t>
  </si>
  <si>
    <t>ClearVox Nexxt click to call 2020-04-19T16:03:23.000Z</t>
  </si>
  <si>
    <t>Outiiil 2018-05-03T10:54:54.000Z</t>
  </si>
  <si>
    <t>P2P Trademanager 2019-08-09T14:14:37.000Z</t>
  </si>
  <si>
    <t>Fantasy Points Browser Extension 2024-09-09T06:38:30.000Z</t>
  </si>
  <si>
    <t>Multisearch 2015-06-30T22:49:24.000Z</t>
  </si>
  <si>
    <t>Pricy - Amazon Price Watch 2021-01-20T15:12:07.000Z</t>
  </si>
  <si>
    <t>FF15 Internet Car Driving 2014-10-04T09:18:18.000Z</t>
  </si>
  <si>
    <t>Suporte TOTVS 2015-11-17T16:41:31.000Z</t>
  </si>
  <si>
    <t>Search Forvo 2019-06-28T10:04:02.000Z</t>
  </si>
  <si>
    <t>Aliexpress Dropshipping Assistant BigCommerce 2022-08-31T08:27:07.000Z</t>
  </si>
  <si>
    <t>楽天リーベイツ ポイントアシスト 2023-12-18T03:21:24.000Z</t>
  </si>
  <si>
    <t>Oh No You Didn't! 2021-12-15T05:23:13.000Z</t>
  </si>
  <si>
    <t>https://chromewebstore.google.com/detail/bfegaehidkkcfaikpaijcdahnpikhobf</t>
  </si>
  <si>
    <t>二维码小助手 2016-10-14T18:14:30.000Z</t>
  </si>
  <si>
    <t>Chameleon 2017-03-15T21:56:39.000Z</t>
  </si>
  <si>
    <t>Ripple (XRP/BTC) Price Ticker 2020-06-18T06:43:21.000Z</t>
  </si>
  <si>
    <t>Baidu Search 2015-03-09T09:38:11.000Z</t>
  </si>
  <si>
    <t>Free Email Tracker by Saleshandy 2023-01-03T04:55:55.000Z</t>
  </si>
  <si>
    <t>Salesforce Lightning Web Component Extractor 2021-03-13T05:31:54.000Z</t>
  </si>
  <si>
    <t>抖老板·账号管家 2023-09-04T03:46:36.000Z</t>
  </si>
  <si>
    <t>https://chromewebstore.google.com/detail/fakegmdomhmegokfomgmkbopjibonfcp</t>
  </si>
  <si>
    <t>Black and Red Scrollbar 2016-01-15T21:19:29.000Z</t>
  </si>
  <si>
    <t>Cloudy Calculator 2013-07-08T15:24:13.000Z</t>
  </si>
  <si>
    <t>Lucid 2019-10-01T16:27:03.000Z</t>
  </si>
  <si>
    <t>SavvyConnect Express 2019-06-19T00:31:48.000Z</t>
  </si>
  <si>
    <t>YouTube Player Speed Controls 2019-05-02T12:21:21.000Z</t>
  </si>
  <si>
    <t>AngularContext 2016-02-09T13:10:58.000Z</t>
  </si>
  <si>
    <t>Movavi Slideshow Maker 6.6.1 2020-08-25T10:09:13.000Z</t>
  </si>
  <si>
    <t>QR Code Generator 2015-02-04T08:27:02.000Z</t>
  </si>
  <si>
    <t>TempText 2018-04-13T19:11:05.000Z</t>
  </si>
  <si>
    <t>Delivery Availability Checker 2020-04-14T10:20:30.000Z</t>
  </si>
  <si>
    <t>Color Palette Finder 2016-01-08T22:38:32.000Z</t>
  </si>
  <si>
    <t>LeetHub 2022-10-10T07:15:06.000Z</t>
  </si>
  <si>
    <t>Infinite Scroll for Google™ 2017-04-23T19:53:51.000Z</t>
  </si>
  <si>
    <t>Astro Bot 2018-11-05T04:56:05.000Z</t>
  </si>
  <si>
    <t>AdBlock Detector Bypass 2020-10-16T08:39:27.000Z</t>
  </si>
  <si>
    <t>CommentFunnels 2022-07-25T04:47:52.000Z</t>
  </si>
  <si>
    <t>XPS to JPG Converter 2020-05-29T03:39:42.000Z</t>
  </si>
  <si>
    <t>melascrivi.com 2020-11-19T13:10:02.000Z</t>
  </si>
  <si>
    <t>Clay for Chrome 2024-05-20T20:54:54.000Z</t>
  </si>
  <si>
    <t>Kaizen Platform Assistant 2022-05-31T08:39:12.000Z</t>
  </si>
  <si>
    <t>jsFiddle Player 2012-05-15T16:25:44.000Z</t>
  </si>
  <si>
    <t>NetAcad Assessment AutoSolver 2021-02-02T07:53:13.000Z</t>
  </si>
  <si>
    <t>LPEF - Camera Simulator 2013-11-07T18:26:51.000Z</t>
  </si>
  <si>
    <t>Desktop US Weather Radar 2015-07-25T11:10:30.000Z</t>
  </si>
  <si>
    <t>MuteTab 2023-06-26T10:03:47.000Z</t>
  </si>
  <si>
    <t>included-with-xbox-game-pass 2022-11-21T10:17:56.000Z</t>
  </si>
  <si>
    <t>VK Ad Blocker Beta 2016-10-19T06:10:43.000Z</t>
  </si>
  <si>
    <t>Migaku - Legacy 2024-10-24T19:11:04.000Z</t>
  </si>
  <si>
    <t>autoFill 2019-11-06T06:14:05.000Z</t>
  </si>
  <si>
    <t>FreeConference Screen Sharing 2016-07-28T20:43:26.000Z</t>
  </si>
  <si>
    <t>Salesforce Assistant 2022-08-04T10:24:32.000Z</t>
  </si>
  <si>
    <t>Code Pad Text Editor 2020-11-21T08:19:19.000Z</t>
  </si>
  <si>
    <t>OnlyKey Configuration 2022-05-01T12:08:56.000Z</t>
  </si>
  <si>
    <t>Better CDCS 2013-06-18T15:47:05.000Z</t>
  </si>
  <si>
    <t>Settings Button 2013-06-18T03:22:17.000Z</t>
  </si>
  <si>
    <t>Nature Landscapes (New Tab Wallpapers) 2018-01-22T16:49:22.000Z</t>
  </si>
  <si>
    <t>Cursor Sparkles 2017-12-20T18:21:35.000Z</t>
  </si>
  <si>
    <t>Bangla-Tangla 2014-10-14T12:09:22.000Z</t>
  </si>
  <si>
    <t>Running Balance for Chase 2022-05-15T09:22:35.000Z</t>
  </si>
  <si>
    <t>Fine Link Selector 2013-02-06T14:35:53.000Z</t>
  </si>
  <si>
    <t>BidFilter Header Bidding Analysis 2021-09-02T06:40:43.000Z</t>
  </si>
  <si>
    <t>PlayThis 2019-10-07T17:16:45.000Z</t>
  </si>
  <si>
    <t>Super-Traf.RU 2021-03-04T10:18:16.000Z</t>
  </si>
  <si>
    <t>QR Code Creator 2013-09-22T19:43:47.000Z</t>
  </si>
  <si>
    <t>Aliexpress.com - Store info 2023-05-22T21:56:29.000Z</t>
  </si>
  <si>
    <t>Netflix Autoplayer - With System Sleep Timer 2015-06-12T02:17:34.000Z</t>
  </si>
  <si>
    <t>Bankybee 2022-03-23T13:26:27.000Z</t>
  </si>
  <si>
    <t>Core Web Vitals 2020-11-02T04:58:48.000Z</t>
  </si>
  <si>
    <t>Insight Web Helper 2020-03-06T06:33:53.000Z</t>
  </si>
  <si>
    <t>JSON Formatter 格式化 2023-12-26T08:06:35.000Z</t>
  </si>
  <si>
    <t>null 2013-01-17T17:21:51.000Z</t>
  </si>
  <si>
    <t>web.Glitch() 2014-04-24T03:14:56.000Z</t>
  </si>
  <si>
    <t>edX &amp; XueTangX Subtitle Download 2015-01-02T08:04:22.000Z</t>
  </si>
  <si>
    <t>Hidden Form Finder 2014-04-05T21:57:18.000Z</t>
  </si>
  <si>
    <t>EasyFox語音辨識 2015-01-16T03:56:29.000Z</t>
  </si>
  <si>
    <t>Bookmark It 2023-12-08T12:52:55.000Z</t>
  </si>
  <si>
    <t>json to go 2019-09-04T15:43:13.000Z</t>
  </si>
  <si>
    <t>Audio/Video Playback Speed Controller 2022-01-10T16:08:27.000Z</t>
  </si>
  <si>
    <t>FUTBIN 2020-10-01T14:59:47.000Z</t>
  </si>
  <si>
    <t>Search For Geocaches or Trackables 2014-03-07T09:20:21.000Z</t>
  </si>
  <si>
    <t>Cute Food &amp; Drinks Cursor 2021-04-20T04:28:09.000Z</t>
  </si>
  <si>
    <t>Browser History + 2023-06-18T07:39:05.000Z</t>
  </si>
  <si>
    <t>Calendar Block 2016-11-16T15:44:25.000Z</t>
  </si>
  <si>
    <t>FanFiction Organizer 2013-11-17T00:53:31.000Z</t>
  </si>
  <si>
    <t>YouTube Screenshot 2017-01-08T07:46:18.000Z</t>
  </si>
  <si>
    <t>Plex to VLC 2021-07-15T04:29:47.000Z</t>
  </si>
  <si>
    <t>Hide Incognito Mode 2021-07-16T11:53:01.000Z</t>
  </si>
  <si>
    <t>Amazon Command Quickly 2018-08-26T04:04:07.000Z</t>
  </si>
  <si>
    <t>TeslaFi Tesla Token Generator 2021-11-25T11:22:54.000Z</t>
  </si>
  <si>
    <t>Save to 4shared 2014-09-03T09:26:04.000Z</t>
  </si>
  <si>
    <t>Finance41 Extension 2013-06-25T16:06:37.000Z</t>
  </si>
  <si>
    <t>Tablet Gestures 2021-02-08T12:14:41.000Z</t>
  </si>
  <si>
    <t>Trello-Office 2015-03-27T10:40:57.000Z</t>
  </si>
  <si>
    <t>Embark - New Tab Page 2022-09-29T05:08:05.000Z</t>
  </si>
  <si>
    <t>绿色搜索 2016-10-26T00:04:56.000Z</t>
  </si>
  <si>
    <t>Key Master 2018-04-14T22:38:07.000Z</t>
  </si>
  <si>
    <t>MobileCards - Open web pages in mobile view 2019-12-10T14:49:08.000Z</t>
  </si>
  <si>
    <t>실시간 검색어 Keyworld 2021-09-30T04:49:59.000Z</t>
  </si>
  <si>
    <t>Fake news detector 2017-10-23T02:33:56.000Z</t>
  </si>
  <si>
    <t>Crunchyroll Full Screen</t>
  </si>
  <si>
    <t>Power Camera 2016-02-25T16:09:23.000Z</t>
  </si>
  <si>
    <t>Remove Helvetica Neue 2015-10-17T09:28:01.000Z</t>
  </si>
  <si>
    <t>JSON live editor 2019-03-08T14:01:39.000Z</t>
  </si>
  <si>
    <t>Smart card access extension 2018-07-02T10:07:20.000Z</t>
  </si>
  <si>
    <t>Downloader for Reddit™ 2021-02-08T14:20:18.000Z</t>
  </si>
  <si>
    <t>Animated Gif Capture 2021-10-30T04:01:38.000Z</t>
  </si>
  <si>
    <t>Alice Keeler SlideShot 2016-12-15T23:17:23.000Z</t>
  </si>
  <si>
    <t>Fix Copy Link Address 2021-01-31T07:43:06.000Z</t>
  </si>
  <si>
    <t>FIFA22 Home Page 2021-09-22T13:53:55.000Z</t>
  </si>
  <si>
    <t>Neopets Shop Highlighter 2021-03-28T16:43:15.000Z</t>
  </si>
  <si>
    <t>Beautiful &amp; Customizable New Tab Page Openoox 2016-09-22T07:58:38.000Z</t>
  </si>
  <si>
    <t>Serial Monitor 2016-06-03T12:39:57.000Z</t>
  </si>
  <si>
    <t>Binaural Webpage 2021-07-19T09:24:02.000Z</t>
  </si>
  <si>
    <t>Sortify 2019-11-04T08:47:36.000Z</t>
  </si>
  <si>
    <t>EdScratch en français 2021-10-03T07:57:00.000Z</t>
  </si>
  <si>
    <t>Workbench Enhancer Beta 2022-08-19T04:07:18.000Z</t>
  </si>
  <si>
    <t>CSS Feature Toggles 2020-02-27T11:06:59.000Z</t>
  </si>
  <si>
    <t>Magnetar 2023-06-22T19:21:55.000Z</t>
  </si>
  <si>
    <t>zvTabs(Close left side tabs) 2021-07-09T03:52:49.000Z</t>
  </si>
  <si>
    <t>Blackboard Learn Exam Printing 2015-12-15T08:01:21.000Z</t>
  </si>
  <si>
    <t>Brainer Research &amp; Bookmark 2021-06-02T04:13:32.000Z</t>
  </si>
  <si>
    <t>Vision Translate - Smart highlight translator 2019-12-14T16:03:35.000Z</t>
  </si>
  <si>
    <t>Accents &amp; Diacritics for Gmail 2015-07-04T23:37:46.000Z</t>
  </si>
  <si>
    <t>Simple On Page SEO 2019-07-11T02:37:25.000Z</t>
  </si>
  <si>
    <t>Beşiktaş JK Anasayfa 2020-07-27T17:06:34.000Z</t>
  </si>
  <si>
    <t>YouTube WATCHED. Classic View 2022-01-30T05:35:36.000Z</t>
  </si>
  <si>
    <t>Photo Editor 2017-04-19T15:59:01.000Z</t>
  </si>
  <si>
    <t>Pro Mode for YouTube Video Editor 2016-12-08T17:29:13.000Z</t>
  </si>
  <si>
    <t>Smooth Academia.edu 2021-05-19T11:09:04.000Z</t>
  </si>
  <si>
    <t>Ответы к UzTest.ru - UzTest+ 2020-08-24T10:55:25.000Z</t>
  </si>
  <si>
    <t>System Information 2014-12-22T04:40:12.000Z</t>
  </si>
  <si>
    <t>Pause page 2021-11-23T13:41:43.000Z</t>
  </si>
  <si>
    <t>Alix for Chrome 2017-03-27T14:51:57.000Z</t>
  </si>
  <si>
    <t>MBS Retriever 2024-01-12T04:38:45.000Z</t>
  </si>
  <si>
    <t>Radioline extension 2014-09-29T09:13:55.000Z</t>
  </si>
  <si>
    <t>Online Tools by 10015.io 2021-03-14T10:18:16.000Z</t>
  </si>
  <si>
    <t>Colorblind - Dalton for Google Chrome 2018-01-30T13:25:18.000Z</t>
  </si>
  <si>
    <t>Amazon Rank Chrome Extension 2016-03-09T16:47:03.000Z</t>
  </si>
  <si>
    <t>Vyou Box 2021-10-19T10:04:31.000Z</t>
  </si>
  <si>
    <t>Markdown File Reader 2013-12-27T12:12:06.000Z</t>
  </si>
  <si>
    <t>Base64 Encoder/Decoder 2020-12-17T13:15:46.000Z</t>
  </si>
  <si>
    <t>Sidebarr - chatgpt</t>
  </si>
  <si>
    <t>Key Jump keyboard navigation 2021-12-29T11:51:08.000Z</t>
  </si>
  <si>
    <t>Diki 2019-04-07T07:21:40.000Z</t>
  </si>
  <si>
    <t>EJDic Script for Kindle Cloud Reader 2013-09-16T10:13:18.000Z</t>
  </si>
  <si>
    <t>Change Webpage Fonts 2020-01-24T14:49:36.000Z</t>
  </si>
  <si>
    <t>Download Images 2020-10-09T11:41:44.000Z</t>
  </si>
  <si>
    <t>Peach 2021-03-11T23:20:20.000Z</t>
  </si>
  <si>
    <t>Naruto 2021 Wallpapers and New Tab 2020-12-09T12:14:58.000Z</t>
  </si>
  <si>
    <t>Gmeet Recording plugin 2020-05-09T07:48:01.000Z</t>
  </si>
  <si>
    <t>PTT Web Enhanced 2022-09-14T17:05:19.000Z</t>
  </si>
  <si>
    <t>Article Word Counter 2021-12-01T07:51:24.000Z</t>
  </si>
  <si>
    <t>Diarios anónimos: Clarín</t>
  </si>
  <si>
    <t>Percent Change Calculator 2014-02-09T18:41:54.000Z</t>
  </si>
  <si>
    <t>Readly 2021-05-13T12:39:11.000Z</t>
  </si>
  <si>
    <t>Google Meet Microphone 2022-11-11T04:50:38.000Z</t>
  </si>
  <si>
    <t>Gmail POP3 Fetcher 2015-11-02T03:13:10.000Z</t>
  </si>
  <si>
    <t>Close All Tabs On Left 2018-04-20T17:25:49.000Z</t>
  </si>
  <si>
    <t>VSCO Viewer 2018-04-23T02:34:21.000Z</t>
  </si>
  <si>
    <t>Slack++ 2019-08-09T16:04:05.000Z</t>
  </si>
  <si>
    <t>qwertySeq() 2021-03-12T06:49:39.000Z</t>
  </si>
  <si>
    <t>Video Poker 2013-10-12T20:45:58.000Z</t>
  </si>
  <si>
    <t>Page Reader 2020-03-04T06:25:05.000Z</t>
  </si>
  <si>
    <t>smallseotools for chrome 2021-03-25T08:57:48.000Z</t>
  </si>
  <si>
    <t>Refined Bitbucket 2021-11-04T15:22:20.000Z</t>
  </si>
  <si>
    <t>Delicious Bookmark Bar Sync 1.1 2016-09-22T22:08:51.000Z</t>
  </si>
  <si>
    <t>BaseBall Scoreboard 2018-08-31T05:47:46.000Z</t>
  </si>
  <si>
    <t>Seolib Search help 2022-05-16T19:32:52.000Z</t>
  </si>
  <si>
    <t>Website IP 2016-04-25T11:07:48.000Z</t>
  </si>
  <si>
    <t>KidStart Savings Prompt 2023-09-22T12:26:10.000Z</t>
  </si>
  <si>
    <t>eBesucher Addon 2023-02-15T16:10:54.000Z</t>
  </si>
  <si>
    <t>Linguee Context Menu 2019-05-01T13:36:11.000Z</t>
  </si>
  <si>
    <t>Mailcastr - Email tracker for free. 2021-12-15T09:58:51.000Z</t>
  </si>
  <si>
    <t>Trello To-do Notes 2020-12-12T09:13:26.000Z</t>
  </si>
  <si>
    <t>Livestorm Screensharing 2016-10-19T13:08:08.000Z</t>
  </si>
  <si>
    <t>Synthetics Formatter for Selenium IDE 2020-08-17T08:50:00.000Z</t>
  </si>
  <si>
    <t>Change Colors 2022-08-23T04:34:10.000Z</t>
  </si>
  <si>
    <t>exocad webview 2022-06-29T12:53:21.000Z</t>
  </si>
  <si>
    <t>TELL.WTF - style your text 2019-06-12T08:51:51.000Z</t>
  </si>
  <si>
    <t>START.xyz 2022-07-28T07:35:13.000Z</t>
  </si>
  <si>
    <t>ScreenClipBeta: Screenshot</t>
  </si>
  <si>
    <t>Page Monitor Pro 2019-04-16T11:32:41.000Z</t>
  </si>
  <si>
    <t>Vertical Twitch 2021-05-22T06:34:24.000Z</t>
  </si>
  <si>
    <t>Just a Clock - the Hours 2020-11-19T05:08:51.000Z</t>
  </si>
  <si>
    <t>Browse Instagram as an inspirational board 2023-10-15T19:55:45.000Z</t>
  </si>
  <si>
    <t>Website scripting 2022-03-10T18:12:45.000Z</t>
  </si>
  <si>
    <t>Reddit Video Linker 2021-12-11T05:01:09.000Z</t>
  </si>
  <si>
    <t>FEV Tutor Screen Share 2022-03-17T11:03:35.000Z</t>
  </si>
  <si>
    <t>Caret-T 2022-08-09T14:49:38.000Z</t>
  </si>
  <si>
    <t>Red Labels for Pivotal Tracker 2020-02-29T10:04:13.000Z</t>
  </si>
  <si>
    <t>Dark Skin For Crunchyroll 2020-08-10T09:04:26.000Z</t>
  </si>
  <si>
    <t>WebScrapper for developers - Free - Remotal 2020-07-15T07:49:01.000Z</t>
  </si>
  <si>
    <t>Yandex Music Downloader 2021-07-06T07:25:38.000Z</t>
  </si>
  <si>
    <t>Prodeus 2022-05-19T09:27:47.000Z</t>
  </si>
  <si>
    <t>Green Mahjong 2019-09-10T10:02:18.000Z</t>
  </si>
  <si>
    <t>Artlist Assistant 2022-10-13T06:02:01.000Z</t>
  </si>
  <si>
    <t>Sites Dimmer - sharp brightness reduction 2021-02-14T17:43:24.000Z</t>
  </si>
  <si>
    <t>Codopen 2019-10-19T18:58:59.000Z</t>
  </si>
  <si>
    <t>HTTP Header Spy 2018-09-26T14:14:44.000Z</t>
  </si>
  <si>
    <t>Sveriges Radio Spelare 2016-02-28T20:28:53.000Z</t>
  </si>
  <si>
    <t>CFCA CryptoKit.QYWJ Extension 2021-10-24T12:03:02.000Z</t>
  </si>
  <si>
    <t>ShowIp 2012-05-19T14:48:24.000Z</t>
  </si>
  <si>
    <t>Content Blocker 2023-05-20T04:41:41.000Z</t>
  </si>
  <si>
    <t>KONTESTS 2019-09-12T10:18:52.000Z</t>
  </si>
  <si>
    <t>Drink Water Reminder 2021-02-17T04:12:44.000Z</t>
  </si>
  <si>
    <t>WebP</t>
  </si>
  <si>
    <t>Logitech Unifying for Chrome 2015-02-09T15:04:32.000Z</t>
  </si>
  <si>
    <t>Dev Tools 2021-05-04T02:57:35.000Z</t>
  </si>
  <si>
    <t>Chris Burkard Photography 2020-08-12T09:46:50.000Z</t>
  </si>
  <si>
    <t>Connection Forwarder 2017-11-09T09:28:07.000Z</t>
  </si>
  <si>
    <t>ImageCap - image download and capture 2021-05-11T18:58:51.000Z</t>
  </si>
  <si>
    <t>Blue Button | the webpage X-ray 2021-06-08T08:32:24.000Z</t>
  </si>
  <si>
    <t>Web Boost - Wait Less</t>
  </si>
  <si>
    <t>ETH Ticker | Ethereum Ticker | Token Ticker 2023-05-30T10:21:39.000Z</t>
  </si>
  <si>
    <t>LM Note Generator For ESPN Fantasy Football 2021-09-05T10:50:46.000Z</t>
  </si>
  <si>
    <t>Sheepy 網頁複製機 2015-12-19T11:05:24.000Z</t>
  </si>
  <si>
    <t>eID Chrome OS 2023-05-05T09:29:53.000Z</t>
  </si>
  <si>
    <t>StrongVPN - The Fastest Proxy Extension 2020-12-08T12:10:27.000Z</t>
  </si>
  <si>
    <t>Coursera Progress 2013-06-02T14:41:12.000Z</t>
  </si>
  <si>
    <t>Quote reply for Chat 2021-05-23T02:24:07.000Z</t>
  </si>
  <si>
    <t>Auto Play 2015-10-29T03:21:11.000Z</t>
  </si>
  <si>
    <t>Video Color Enhancer 2020-05-19T05:29:29.000Z</t>
  </si>
  <si>
    <t>Offline Epoch Converter 2018-01-27T12:05:42.000Z</t>
  </si>
  <si>
    <t>Export Selective Bookmarks 2019-06-19T18:12:56.000Z</t>
  </si>
  <si>
    <t>Unicode 2015-05-29T12:49:40.000Z</t>
  </si>
  <si>
    <t>Dictionary of Numbers 2017-08-02T16:37:40.000Z</t>
  </si>
  <si>
    <t>20-20 3D Viewer for Ideal Spaces 2014-12-09T15:49:32.000Z</t>
  </si>
  <si>
    <t>广告屏蔽+页面元素隐藏助手 2018-01-27T14:23:07.000Z</t>
  </si>
  <si>
    <t>Clip To Dynalist 2017-05-04T17:42:02.000Z</t>
  </si>
  <si>
    <t>Playir: Mobile Game &amp; App Creator 2015-04-24T18:40:38.000Z</t>
  </si>
  <si>
    <t>Pomello 2016-09-22T14:18:30.000Z</t>
  </si>
  <si>
    <t>The Great Suspender (notrack) 2023-10-27T03:52:43.000Z</t>
  </si>
  <si>
    <t>时间戳转化 2022-01-04T08:31:50.000Z</t>
  </si>
  <si>
    <t>有道词典右键查询 2014-02-15T05:35:16.000Z</t>
  </si>
  <si>
    <t>Free OmniGraffle (.graffle) Viewer 2020-11-12T23:40:26.000Z</t>
  </si>
  <si>
    <t>mattermost-chrome-badge 2016-03-18T14:30:55.000Z</t>
  </si>
  <si>
    <t>Bookmark beautifier 2017-06-10T22:17:52.000Z</t>
  </si>
  <si>
    <t>Best Proxy Manager 2020-01-08T04:04:53.000Z</t>
  </si>
  <si>
    <t>AutoClaim - CodeCrack 2020-05-09T06:50:48.000Z</t>
  </si>
  <si>
    <t>ContentBlockHelper 2022-05-16T04:22:37.000Z</t>
  </si>
  <si>
    <t>NoteFlix 2022-05-09T22:18:35.000Z</t>
  </si>
  <si>
    <t>Chat with Justin Bieber 2014-11-30T16:18:38.000Z</t>
  </si>
  <si>
    <t>Salesforce SObject2Apex code generator 2016-12-13T11:50:47.000Z</t>
  </si>
  <si>
    <t>Batch Link Downloader 2020-05-20T16:59:10.000Z</t>
  </si>
  <si>
    <t>Color Grab 2018-07-06T19:59:40.000Z</t>
  </si>
  <si>
    <t>Synchrolator 2024-02-15T10:43:03.000Z</t>
  </si>
  <si>
    <t>Arcelik Smart TV Browser Emulator 2021-06-03T06:05:12.000Z</t>
  </si>
  <si>
    <t>Link Checker 2015-02-18T03:30:09.000Z</t>
  </si>
  <si>
    <t>Toca Life World Wallpapers New Tab 2021-04-07T13:30:27.000Z</t>
  </si>
  <si>
    <t>Fluminense Football Club 2021-01-09T08:52:59.000Z</t>
  </si>
  <si>
    <t>Expedia 2020-10-06T03:28:22.000Z</t>
  </si>
  <si>
    <t>Buy Localized - Made in USA filter on Amazon 2021-01-01T03:25:31.000Z</t>
  </si>
  <si>
    <t>devager.eimza 2018-03-03T06:43:16.000Z</t>
  </si>
  <si>
    <t>Fabasoft Folio 2020 2020-05-28T05:28:00.000Z</t>
  </si>
  <si>
    <t>Twitter Auto Refresh 2021-02-22T08:01:01.000Z</t>
  </si>
  <si>
    <t>Watch UK TV 2018-01-30T17:10:12.000Z</t>
  </si>
  <si>
    <t>Jelly Party 2021-09-16T04:09:22.000Z</t>
  </si>
  <si>
    <t>Meteonova 2018-03-26T09:56:21.000Z</t>
  </si>
  <si>
    <t>Virtual Hosts 2015-10-29T12:27:55.000Z</t>
  </si>
  <si>
    <t>Screensharing 2018-10-25T11:06:13.000Z</t>
  </si>
  <si>
    <t>WebSafe 2022-10-13T09:36:19.000Z</t>
  </si>
  <si>
    <t>IMDb HD Movie Torrents 2020-04-02T10:11:32.000Z</t>
  </si>
  <si>
    <t>VK Wallpaper 2019-05-01T08:43:21.000Z</t>
  </si>
  <si>
    <t>Online Webcam Capture 2019-03-25T06:31:38.000Z</t>
  </si>
  <si>
    <t>Bookmarks to References 2016-12-22T17:56:42.000Z</t>
  </si>
  <si>
    <t>CFCA CertEnrollment.NBCB Extension 2020-06-23T00:28:01.000Z</t>
  </si>
  <si>
    <t>萌典 moedict 2014-01-28T19:11:47.000Z</t>
  </si>
  <si>
    <t>SimAquarium Extension 2014-02-12T07:02:08.000Z</t>
  </si>
  <si>
    <t>YouTube Focus Mode 2020-06-28T02:54:36.000Z</t>
  </si>
  <si>
    <t>Przelewy24 2021-11-16T08:45:57.000Z</t>
  </si>
  <si>
    <t>Export Strava to TCX 2019-01-21T00:03:06.000Z</t>
  </si>
  <si>
    <t>Leap Terra Wallet 2023-03-04T10:20:09.000Z</t>
  </si>
  <si>
    <t>NoIndex</t>
  </si>
  <si>
    <t>Quick Drive 2019-07-15T07:27:27.000Z</t>
  </si>
  <si>
    <t>craigslist pop for power users 2017-02-07T18:27:51.000Z</t>
  </si>
  <si>
    <t>AODocs – Legacy Smartbar for Google Workspace 2024-09-11T09:02:35.000Z</t>
  </si>
  <si>
    <t>Loadr - Daily Links 2022-08-03T07:20:59.000Z</t>
  </si>
  <si>
    <t>RaspberryCast 2015-12-16T21:18:27.000Z</t>
  </si>
  <si>
    <t>memeticon 2015-03-19T00:30:58.000Z</t>
  </si>
  <si>
    <t>HackerEarth Challenges Extension 2016-08-25T13:21:11.000Z</t>
  </si>
  <si>
    <t>Таргет культиватор - помошник для ВКонтакте 2020-10-15T21:58:48.000Z</t>
  </si>
  <si>
    <t>Simple Tab Renamer 2022-06-02T05:16:22.000Z</t>
  </si>
  <si>
    <t>ezpp! 2021-03-23T21:21:57.000Z</t>
  </si>
  <si>
    <t>Smart Notes 2020-06-29T10:04:11.000Z</t>
  </si>
  <si>
    <t>aguse popup tool 2016-12-16T23:20:45.000Z</t>
  </si>
  <si>
    <t>Tabbie 2017-03-19T21:06:50.000Z</t>
  </si>
  <si>
    <t>Image Color Picker - find colors from image 2020-07-08T03:39:10.000Z</t>
  </si>
  <si>
    <t>Blur It Out 2019-09-27T09:50:29.000Z</t>
  </si>
  <si>
    <t>The Last Sunday: reminder of life rushing by 2016-09-03T05:08:34.000Z</t>
  </si>
  <si>
    <t>Surf Extension 2021-02-21T02:44:36.000Z</t>
  </si>
  <si>
    <t>Remove Youtube Hotkeys 2019-03-15T19:39:12.000Z</t>
  </si>
  <si>
    <t>Microsoft Outlook 2023-11-08T12:13:23.000Z</t>
  </si>
  <si>
    <t>Simple QR Generator 2017-01-01T05:53:26.000Z</t>
  </si>
  <si>
    <t>Vtiger for Gmail 2024-03-03T07:22:03.000Z</t>
  </si>
  <si>
    <t>Extension for D1NMH Native Messaging Host 2022-06-16T05:24:17.000Z</t>
  </si>
  <si>
    <t>Font Style 2013-07-13T17:57:42.000Z</t>
  </si>
  <si>
    <t>Show in File Manager 2022-02-24T04:12:08.000Z</t>
  </si>
  <si>
    <t>Tile View 2019-01-30T19:52:42.000Z</t>
  </si>
  <si>
    <t>晨羽影视vip视频解析 2020-02-19T16:13:41.000Z</t>
  </si>
  <si>
    <t>Reddit New Comments Highlighter 2018-02-17T04:07:29.000Z</t>
  </si>
  <si>
    <t>New Tab Random Quote 2020-08-24T13:16:18.000Z</t>
  </si>
  <si>
    <t>Uploads Only for Youtube™ 2013-01-30T23:25:34.000Z</t>
  </si>
  <si>
    <t>IMDB-RARBG 2020-12-11T07:53:23.000Z</t>
  </si>
  <si>
    <t>System Info 2019-07-26T07:12:37.000Z</t>
  </si>
  <si>
    <t>WebRank Whois Lookup 2013-04-27T15:01:22.000Z</t>
  </si>
  <si>
    <t>Your Graphic Designer 2023-10-26T04:52:40.000Z</t>
  </si>
  <si>
    <t>Anki 划词制卡助手 2018-06-24T12:18:53.000Z</t>
  </si>
  <si>
    <t>Looty! Stash search for Path of Exile 2022-04-13T10:35:12.000Z</t>
  </si>
  <si>
    <t>CloudSearch 2022-03-22T07:54:33.000Z</t>
  </si>
  <si>
    <t>Detektor dezinformačných webov 2024-04-14T16:55:46.000Z</t>
  </si>
  <si>
    <t>ShinySearch 2013-12-17T22:13:57.000Z</t>
  </si>
  <si>
    <t>動畫瘋 Plus 2018-12-06T07:13:07.000Z</t>
  </si>
  <si>
    <t>ReachUC Complete 2023-11-07T04:17:49.000Z</t>
  </si>
  <si>
    <t>屏幕调整助手 2018-01-30T08:20:27.000Z</t>
  </si>
  <si>
    <t>DashOne 2022-05-23T00:21:52.000Z</t>
  </si>
  <si>
    <t>Kool Karaoke Tone Off 2019-10-24T08:02:42.000Z</t>
  </si>
  <si>
    <t>Reelia - Screen Recorder &amp; Editor 2022-05-07T10:43:39.000Z</t>
  </si>
  <si>
    <t>MyRW :: My text ReWriter 2016-06-17T00:55:07.000Z</t>
  </si>
  <si>
    <t>Element Text Selector 2018-05-27T15:53:08.000Z</t>
  </si>
  <si>
    <t>PhotoMania 2015-11-19T08:10:42.000Z</t>
  </si>
  <si>
    <t>One Click Playcus Flash Games 2019-07-24T14:12:22.000Z</t>
  </si>
  <si>
    <t>Blending Scrollbar 2020-09-12T05:07:05.000Z</t>
  </si>
  <si>
    <t>Explore nearby places for Airbnb 2016-02-23T09:05:44.000Z</t>
  </si>
  <si>
    <t>Fabasoft Folio 2017 2021-04-14T11:12:53.000Z</t>
  </si>
  <si>
    <t>Nimo.tv Plus 2022-03-05T07:51:55.000Z</t>
  </si>
  <si>
    <t>Ad blocker 2021-09-13T05:07:35.000Z</t>
  </si>
  <si>
    <t>Pinnacle Grade Calculator 2020-12-05T06:19:41.000Z</t>
  </si>
  <si>
    <t>World Clocks 2015-02-22T12:14:42.000Z</t>
  </si>
  <si>
    <t>Movavi ScreenShot Chrome Extension 2021-03-10T06:47:27.000Z</t>
  </si>
  <si>
    <t>FLST Chrome 2024-07-15T05:53:33.000Z</t>
  </si>
  <si>
    <t>Vookmark - Easy video bookmarking 2021-06-02T05:34:20.000Z</t>
  </si>
  <si>
    <t>Web Injector 2019-03-08T14:06:53.000Z</t>
  </si>
  <si>
    <t>Priberam.pt right click search 2013-04-11T13:48:00.000Z</t>
  </si>
  <si>
    <t>Lookup In Popup 2021-05-19T13:51:01.000Z</t>
  </si>
  <si>
    <t>BlocketZoom 2015-05-10T12:30:06.000Z</t>
  </si>
  <si>
    <t>Browser Cast - Phone remote 4 your PC browser 2019-03-08T14:06:54.000Z</t>
  </si>
  <si>
    <t>Panopto Plus 2020-11-06T14:01:46.000Z</t>
  </si>
  <si>
    <t>Habboon Automatic Flash Acceptance 2020-09-01T13:21:33.000Z</t>
  </si>
  <si>
    <t>POM Builder – Auto-generate CSS/XPath Locator 2021-03-27T06:15:42.000Z</t>
  </si>
  <si>
    <t>Employee Home 2023-10-26T08:03:24.000Z</t>
  </si>
  <si>
    <t>Retruster Phishing Protection 2018-07-17T13:16:09.000Z</t>
  </si>
  <si>
    <t>Sawab &amp; Inspiration 2015-06-25T08:47:19.000Z</t>
  </si>
  <si>
    <t>Jiotv Live Streaming IPL</t>
  </si>
  <si>
    <t>YT Thumbnail Downloader 2020-05-09T14:07:11.000Z</t>
  </si>
  <si>
    <t>Photo Downloader 2023-07-20T10:08:20.000Z</t>
  </si>
  <si>
    <t>chatworkリンクメーカー 2018-04-20T09:36:55.000Z</t>
  </si>
  <si>
    <t>Fresh Hotel Automatic Flash Acceptance 2019-07-06T06:06:07.000Z</t>
  </si>
  <si>
    <t>Simple Site Blocker 2023-06-25T10:13:55.000Z</t>
  </si>
  <si>
    <t>Graspable Math Sidebar 2020-10-16T06:03:31.000Z</t>
  </si>
  <si>
    <t>EasyIQ IdP – Odsherred Kommune 2023-12-04T12:08:36.000Z</t>
  </si>
  <si>
    <t>Tab Finder 2019-12-31T03:08:27.000Z</t>
  </si>
  <si>
    <t>YouTube Live Chat Enhancement 2019-07-06T00:20:16.000Z</t>
  </si>
  <si>
    <t>Media Hint 2020-03-03T07:10:27.000Z</t>
  </si>
  <si>
    <t>Hotel Canary 2018-02-26T05:22:25.000Z</t>
  </si>
  <si>
    <t>Lo-Fi Radio 2024-04-02T05:12:25.000Z</t>
  </si>
  <si>
    <t>RiperVPN 2021-10-20T06:27:28.000Z</t>
  </si>
  <si>
    <t>Twitch Channel Points Auto Redeem 2020-12-24T07:31:49.000Z</t>
  </si>
  <si>
    <t>Remarkerbe 2013-07-21T10:45:24.000Z</t>
  </si>
  <si>
    <t>Ad Review Toolbar BETA (by Google) 2013-02-06T19:18:56.000Z</t>
  </si>
  <si>
    <t>Simple Ruler 2021-12-29T04:27:17.000Z</t>
  </si>
  <si>
    <t>localhost 2018-09-19T19:58:54.000Z</t>
  </si>
  <si>
    <t>Re:format Gmail inline replies 2022-01-10T09:03:55.000Z</t>
  </si>
  <si>
    <t>Secure screen sharing 2019-05-16T22:00:39.000Z</t>
  </si>
  <si>
    <t>Auto Refresh Plus | Old version 2020-12-20T04:02:11.000Z</t>
  </si>
  <si>
    <t>Enable Screen Sharing - V1 2021-11-30T08:24:16.000Z</t>
  </si>
  <si>
    <t>Audio Equalizer 2021-08-21T06:23:38.000Z</t>
  </si>
  <si>
    <t>JMX Enhancer | Auto-Correlation for JMeter 2020-05-26T00:17:17.000Z</t>
  </si>
  <si>
    <t>Hulu Random Episode Button 2019-06-17T22:51:24.000Z</t>
  </si>
  <si>
    <t>Download Button 2018-09-11T04:35:29.000Z</t>
  </si>
  <si>
    <t>CurrentSong 2021-04-05T09:50:41.000Z</t>
  </si>
  <si>
    <t>Find That Font: Font Finder 2021-04-07T04:55:30.000Z</t>
  </si>
  <si>
    <t>Công Cụ Đặt Hàng Alibao.vn 2020-05-26T07:13:20.000Z</t>
  </si>
  <si>
    <t>DOM Treemap 2021-06-30T04:31:12.000Z</t>
  </si>
  <si>
    <t>HCOS - Hide Chrome Omnibox Suggestions 2020-11-24T07:39:52.000Z</t>
  </si>
  <si>
    <t>[DEPRECATED] List Layouts for Trello 2023-10-31T07:53:46.000Z</t>
  </si>
  <si>
    <t>Musixmatch Lyrics Watermark Remover 2018-12-24T17:06:14.000Z</t>
  </si>
  <si>
    <t>Selector Finder 2021-07-22T10:55:34.000Z</t>
  </si>
  <si>
    <t>Dr.Web Link Checker 2022-07-19T07:23:57.000Z</t>
  </si>
  <si>
    <t>Smartsheet Chrome App 2015-01-07T22:35:31.000Z</t>
  </si>
  <si>
    <t>Snake in Popup 2020-05-11T04:09:35.000Z</t>
  </si>
  <si>
    <t>Permanent Inspect Element 2020-08-11T06:29:39.000Z</t>
  </si>
  <si>
    <t>ニコニコ最前面コメント 2015-01-27T16:21:30.000Z</t>
  </si>
  <si>
    <t>ADS Wallet 2023-01-16T19:05:17.000Z</t>
  </si>
  <si>
    <t>IndieGala Helper 2021-03-26T05:26:35.000Z</t>
  </si>
  <si>
    <t>eBaylistpro 2017-11-10T04:53:54.000Z</t>
  </si>
  <si>
    <t>Motivation 2024-01-22T09:06:54.000Z</t>
  </si>
  <si>
    <t>CallTouch Detector 2021-09-30T14:15:07.000Z</t>
  </si>
  <si>
    <t>I Love Calcio 2013-07-25T10:55:20.000Z</t>
  </si>
  <si>
    <t>QRTrans 2013-05-27T13:59:34.000Z</t>
  </si>
  <si>
    <t>Tジャンパー 2015-12-19T08:13:10.000Z</t>
  </si>
  <si>
    <t>SpeakIt! - Text to speech for Chrome 2020-04-11T14:51:15.000Z</t>
  </si>
  <si>
    <t>TIM Screen Share 2018-04-04T13:57:14.000Z</t>
  </si>
  <si>
    <t>kaomojiBoard 2017-07-20T21:08:14.000Z</t>
  </si>
  <si>
    <t>Tab reopen key on incognito mode 2024-08-12T11:07:47.000Z</t>
  </si>
  <si>
    <t>Mainichi Tango 2021-07-11T06:03:22.000Z</t>
  </si>
  <si>
    <t>FavIdenticon for Google Docs 2018-10-01T16:16:29.000Z</t>
  </si>
  <si>
    <t>Hello雅黑 2016-04-01T14:43:19.000Z</t>
  </si>
  <si>
    <t>Spotless 2020-03-16T04:25:44.000Z</t>
  </si>
  <si>
    <t>Seva: The Search Engine For Good 2022-11-16T07:55:18.000Z</t>
  </si>
  <si>
    <t>Новинки аудиокниг онлайн в браузере 2022-12-26T04:42:37.000Z</t>
  </si>
  <si>
    <t>Snippit 2021-07-22T12:30:46.000Z</t>
  </si>
  <si>
    <t>PlanPlus Online 2020-10-29T10:15:05.000Z</t>
  </si>
  <si>
    <t>Cookie-Cleaner 2016-06-03T15:19:12.000Z</t>
  </si>
  <si>
    <t>Background Process 2017-09-11T02:41:47.000Z</t>
  </si>
  <si>
    <t>Zoho Screen Sharing 2019-08-26T09:10:56.000Z</t>
  </si>
  <si>
    <t>Web Page Sticky Notes 2024-03-20T09:40:28.000Z</t>
  </si>
  <si>
    <t>Canvas Dark Mode 2022-04-30T13:29:23.000Z</t>
  </si>
  <si>
    <t>Leadeasy - Pesquisa de empresas 2024-01-12T14:52:35.000Z</t>
  </si>
  <si>
    <t>Article Rewriter for Chrome 2018-09-05T09:46:49.000Z</t>
  </si>
  <si>
    <t>send2boox 2023-04-17T09:38:16.000Z</t>
  </si>
  <si>
    <t>Grepper 2024-02-08T05:37:46.000Z</t>
  </si>
  <si>
    <t>Givenio 2019-10-01T11:25:08.000Z</t>
  </si>
  <si>
    <t>IHS Highlighting 2021-10-07T03:59:51.000Z</t>
  </si>
  <si>
    <t>Save Participants (Google Meet &amp; MS Teams) 2021-02-19T12:35:47.000Z</t>
  </si>
  <si>
    <t>Hotkeys for vk.com 2018-10-22T06:36:51.000Z</t>
  </si>
  <si>
    <t>Chatgun.io - граббер медиакодов ВКонтакте 2022-10-16T06:11:37.000Z</t>
  </si>
  <si>
    <t>Import Aliexpress Products to Woocommerce 2023-07-13T03:10:07.000Z</t>
  </si>
  <si>
    <t>AutomaticXpathGenerator 2021-06-21T06:33:16.000Z</t>
  </si>
  <si>
    <t>Smart Calendar Event Plus 2019-03-27T06:39:20.000Z</t>
  </si>
  <si>
    <t>The 15-Minute SEO Audit 2020-08-20T04:00:36.000Z</t>
  </si>
  <si>
    <t>Add to photos 2021-01-08T13:03:03.000Z</t>
  </si>
  <si>
    <t>UROverview 2018-12-28T13:46:26.000Z</t>
  </si>
  <si>
    <t>Purse: Shop with Bitcoin (Beta) 2021-11-03T06:12:27.000Z</t>
  </si>
  <si>
    <t>MouseZoom 2015-08-30T21:45:14.000Z</t>
  </si>
  <si>
    <t>Black and White 2015-03-09T23:57:52.000Z</t>
  </si>
  <si>
    <t>ZIG Scroll Bar (Green Wider Version) 2015-07-31T08:29:42.000Z</t>
  </si>
  <si>
    <t>Xpress Sign-On Extension(NH-XSO 7.1.2) 2020-12-11T11:18:01.000Z</t>
  </si>
  <si>
    <t>Crunchyroll Dark Mode + UI Upgrade 2021-07-29T03:08:34.000Z</t>
  </si>
  <si>
    <t>Status Monitor for Google Wifi &amp; OnHub 2019-01-31T03:32:39.000Z</t>
  </si>
  <si>
    <t>ROBLOX Forums+ 2014-08-31T04:50:42.000Z</t>
  </si>
  <si>
    <t>Torry 2021-06-30T09:08:12.000Z</t>
  </si>
  <si>
    <t>AdFighter- Faster</t>
  </si>
  <si>
    <t>SEO Analysis &amp; Backlink Analysis by 500apps 2022-12-07T07:46:15.000Z</t>
  </si>
  <si>
    <t>Scientific Calculator 2017-09-20T10:05:11.000Z</t>
  </si>
  <si>
    <t>Maximize All Windows 2024-08-28T07:27:48.000Z</t>
  </si>
  <si>
    <t>Trackgo.ru - отслеживание и импорт посылок 2020-10-15T11:38:02.000Z</t>
  </si>
  <si>
    <t>CacheList 2020-06-21T05:33:40.000Z</t>
  </si>
  <si>
    <t>Salesforce Lightning Queue Refresher 2022-02-10T00:45:23.000Z</t>
  </si>
  <si>
    <t>EverSQL integrations: MySQL/PG Monitoring 2022-09-14T11:49:29.000Z</t>
  </si>
  <si>
    <t>Repost-Toggle for Soundcloud 2016-02-20T13:18:34.000Z</t>
  </si>
  <si>
    <t>Collage 2021-10-26T09:33:51.000Z</t>
  </si>
  <si>
    <t>Autodesk fusion360 learnings expander 2015-11-04T12:16:26.000Z</t>
  </si>
  <si>
    <t>싸이월드 백업v 2019-11-03T01:17:38.000Z</t>
  </si>
  <si>
    <t>Goodbye</t>
  </si>
  <si>
    <t>Draft 2013-03-27T20:37:12.000Z</t>
  </si>
  <si>
    <t>Best Free Maps 2021-07-25T07:16:01.000Z</t>
  </si>
  <si>
    <t>GS Downloads Settings 2015-03-30T15:56:56.000Z</t>
  </si>
  <si>
    <t>sysPass-Browser 2022-04-07T13:00:18.000Z</t>
  </si>
  <si>
    <t>蔚蓝主页 2021-12-23T06:49:33.000Z</t>
  </si>
  <si>
    <t>Tab Hibernate 2017-10-07T17:40:49.000Z</t>
  </si>
  <si>
    <t>Chrome Key Event Tester 2015-02-11T18:20:24.000Z</t>
  </si>
  <si>
    <t>资源链接批量提取器 2020-05-21T04:51:04.000Z</t>
  </si>
  <si>
    <t>API Trace 2019-07-16T15:20:01.000Z</t>
  </si>
  <si>
    <t>Az Mask 2021-08-08T11:41:22.000Z</t>
  </si>
  <si>
    <t>Annoying Browsing 2016-12-18T21:38:35.000Z</t>
  </si>
  <si>
    <t>Homestuck POV Cam 2018-06-04T14:09:13.000Z</t>
  </si>
  <si>
    <t>Siteimprove Browser Extension 2021-04-20T08:17:19.000Z</t>
  </si>
  <si>
    <t>.تبدیل به حالت موبایلی (ZEKH.ir) 2021-06-29T02:47:13.000Z</t>
  </si>
  <si>
    <t>Shopify Developer Tools 2020-05-08T17:29:28.000Z</t>
  </si>
  <si>
    <t>OVC - One Video Control 2022-01-18T05:13:14.000Z</t>
  </si>
  <si>
    <t>Citationsy - Cite Websites and Papers 2021-03-25T05:25:21.000Z</t>
  </si>
  <si>
    <t>TechsFound 2021-05-24T10:06:51.000Z</t>
  </si>
  <si>
    <t>Chrome Currency Converter 2021-11-18T08:00:58.000Z</t>
  </si>
  <si>
    <t>Чистый VK 2017-04-23T10:56:44.000Z</t>
  </si>
  <si>
    <t>txtReplace 2015-03-10T03:49:02.000Z</t>
  </si>
  <si>
    <t>Tabtter UserStreamsHelper 2017-02-17T03:47:39.000Z</t>
  </si>
  <si>
    <t>VK Menu 2016-06-09T19:25:33.000Z</t>
  </si>
  <si>
    <t>Neutral Face Emoji Tools 2024-10-14T03:46:27.000Z</t>
  </si>
  <si>
    <t>Elink - Bookmark Manager 2021-07-27T13:22:56.000Z</t>
  </si>
  <si>
    <t>Dropified 2017-03-17T21:56:55.000Z</t>
  </si>
  <si>
    <t>Bit Player Launcher 2016-02-04T18:08:31.000Z</t>
  </si>
  <si>
    <t>FrameTube 2013-09-26T18:25:15.000Z</t>
  </si>
  <si>
    <t>Copy Cat 2020-06-02T06:43:36.000Z</t>
  </si>
  <si>
    <t>WikiTube 2015-04-30T23:25:20.000Z</t>
  </si>
  <si>
    <t>My Templates 2016-11-29T18:09:16.000Z</t>
  </si>
  <si>
    <t>Syjonizer 2020-02-06T19:27:08.000Z</t>
  </si>
  <si>
    <t>Chrome Managed Data Cleanup 2019-05-29T17:57:54.000Z</t>
  </si>
  <si>
    <t>List Builder for Twitter 2017-04-03T22:42:05.000Z</t>
  </si>
  <si>
    <t>Search Youtube 2021-07-26T10:52:44.000Z</t>
  </si>
  <si>
    <t>Ghilbi Inspired Lofi Radio 2019-07-12T16:33:07.000Z</t>
  </si>
  <si>
    <t>Screencap 2021-01-14T11:03:25.000Z</t>
  </si>
  <si>
    <t>Multi Messenger WhatsApp GMail Insta 2021-02-24T04:30:28.000Z</t>
  </si>
  <si>
    <t>CFCA CryptoKit.csgmall Extension 2021-12-16T09:06:22.000Z</t>
  </si>
  <si>
    <t>Kingsquare HTML Validator 2012-08-28T07:37:06.000Z</t>
  </si>
  <si>
    <t>Basecamp Extension 2017-03-13T12:05:57.000Z</t>
  </si>
  <si>
    <t>Time Restart Reloaded 2019-09-24T11:23:39.000Z</t>
  </si>
  <si>
    <t>九章刷题小助手 2019-06-27T13:09:10.000Z</t>
  </si>
  <si>
    <t>Safari Books Download 2018-12-28T05:58:55.000Z</t>
  </si>
  <si>
    <t>Media Saver for Instagram 2018-02-08T04:21:20.000Z</t>
  </si>
  <si>
    <t>Save Code 2021-06-22T19:00:36.000Z</t>
  </si>
  <si>
    <t>Meow Met 2016-03-16T15:33:14.000Z</t>
  </si>
  <si>
    <t>Black New Tab Page 2017-05-02T02:05:39.000Z</t>
  </si>
  <si>
    <t>NewPage Georgia 2021-03-10T07:43:26.000Z</t>
  </si>
  <si>
    <t>Gate Calculator 2023-04-15T12:12:59.000Z</t>
  </si>
  <si>
    <t>Sweet二维码生成器 2015-08-12T05:42:46.000Z</t>
  </si>
  <si>
    <t>AZcaptcha automatic captcha solver 2019-06-08T16:02:50.000Z</t>
  </si>
  <si>
    <t>Aliplugin Pro 2021-07-20T12:13:39.000Z</t>
  </si>
  <si>
    <t>MouseHunt HornTracker for Chrome 2017-12-15T15:43:36.000Z</t>
  </si>
  <si>
    <t>Learn by Osmosis 2022-03-30T05:42:20.000Z</t>
  </si>
  <si>
    <t>Simply Tabs Saver 2013-02-05T07:27:11.000Z</t>
  </si>
  <si>
    <t>Jitsi Desktop Streamer for meet.viseven.com 2017-05-17T14:49:21.000Z</t>
  </si>
  <si>
    <t>Loop 2019-12-10T00:24:45.000Z</t>
  </si>
  <si>
    <t>Chrome Note 2015-07-26T10:50:17.000Z</t>
  </si>
  <si>
    <t>Task Time Counter 2017-02-13T23:10:36.000Z</t>
  </si>
  <si>
    <t>taba11y 2022-09-28T05:20:34.000Z</t>
  </si>
  <si>
    <t>FontScanner - Scan for font family names 2021-02-04T19:32:54.000Z</t>
  </si>
  <si>
    <t>Salesforce inspector 2022-12-22T07:46:38.000Z</t>
  </si>
  <si>
    <t>Keyboard Privacy 2019-11-01T00:04:23.000Z</t>
  </si>
  <si>
    <t>JSON Lint Pro 2015-12-09T16:01:01.000Z</t>
  </si>
  <si>
    <t>listy.email 2021-03-04T08:08:54.000Z</t>
  </si>
  <si>
    <t>xPath To CSS Selector 2022-01-24T07:58:59.000Z</t>
  </si>
  <si>
    <t>Tab Thumbnails 2016-01-06T02:37:42.000Z</t>
  </si>
  <si>
    <t>QQ空间导出助手 2023-02-25T07:06:45.000Z</t>
  </si>
  <si>
    <t>Tools for Amazon's Mechanical Turk 2018-03-23T18:59:29.000Z</t>
  </si>
  <si>
    <t>bilibili图床 2020-05-05T05:22:08.000Z</t>
  </si>
  <si>
    <t>Taco 2019-09-16T19:25:59.000Z</t>
  </si>
  <si>
    <t>smartKey Shortcuts 2015-05-05T09:52:05.000Z</t>
  </si>
  <si>
    <t>Sleep Timer 2021-02-03T07:09:54.000Z</t>
  </si>
  <si>
    <t>Shell Shockers Unblocked 2021-04-09T09:23:58.000Z</t>
  </si>
  <si>
    <t>眼不见心不烦（新浪微博） 2017-10-07T03:17:42.000Z</t>
  </si>
  <si>
    <t>JewishMusic Stream 2022-05-13T06:07:16.000Z</t>
  </si>
  <si>
    <t>Roll20 Colourise 2015-03-12T11:20:13.000Z</t>
  </si>
  <si>
    <t>Modern 2023-05-27T07:41:07.000Z</t>
  </si>
  <si>
    <t>Drik Panchang 2019-01-29T10:54:03.000Z</t>
  </si>
  <si>
    <t>What Font - find font 2021-02-22T07:50:19.000Z</t>
  </si>
  <si>
    <t>EdShot 2020-06-29T09:09:05.000Z</t>
  </si>
  <si>
    <t>Vtiger Enrich 2023-03-03T03:12:40.000Z</t>
  </si>
  <si>
    <t>Auto-complete 2017-01-03T18:04:04.000Z</t>
  </si>
  <si>
    <t>HD Camera Feed in Video Calls 2020-09-25T11:51:37.000Z</t>
  </si>
  <si>
    <t>ESPN Tempo Free Box 2024-07-09T06:42:06.000Z</t>
  </si>
  <si>
    <t>C&amp;C -A-N-A-R-C-H-Y- Ultimate Pack 2016-03-28T15:39:54.000Z</t>
  </si>
  <si>
    <t>淘客助手 2020-10-22T11:49:39.000Z</t>
  </si>
  <si>
    <t>Caption.Ed 2024-01-10T05:03:50.000Z</t>
  </si>
  <si>
    <t>Extereo Audio Player 2022-03-17T03:34:34.000Z</t>
  </si>
  <si>
    <t>RootsSearch 2021-03-07T06:15:31.000Z</t>
  </si>
  <si>
    <t>Canvas Quiz Printer 2021-05-15T21:50:16.000Z</t>
  </si>
  <si>
    <t>Plurk-Smile 2015-10-24T06:12:58.000Z</t>
  </si>
  <si>
    <t>Faceit Customizer 2015-04-04T17:51:25.000Z</t>
  </si>
  <si>
    <t>Black List Pro 2020-01-13T23:10:29.000Z</t>
  </si>
  <si>
    <t>Merchlytics 2019-04-01T15:02:25.000Z</t>
  </si>
  <si>
    <t>眺览 TillGlance 2024-02-26T04:47:49.000Z</t>
  </si>
  <si>
    <t>Zend Debugger Extension 2015-07-12T13:21:04.000Z</t>
  </si>
  <si>
    <t>Fanpage Karma 2022-01-04T14:56:44.000Z</t>
  </si>
  <si>
    <t>Shift Click Image Extractor 2023-01-30T04:05:59.000Z</t>
  </si>
  <si>
    <t>1 frame back 2021-10-27T09:09:05.000Z</t>
  </si>
  <si>
    <t>Meet Kicker 🦶 2021-05-24T04:28:42.000Z</t>
  </si>
  <si>
    <t>Enable all disabled buttons and inputs 2016-08-14T15:08:23.000Z</t>
  </si>
  <si>
    <t>افزونه کانال تخفیف 2020-10-08T06:12:21.000Z</t>
  </si>
  <si>
    <t>Amazon Prime Search 2014-02-23T16:55:15.000Z</t>
  </si>
  <si>
    <t>Mandarin + Cantonese Dictionary 2024-12-05T04:24:16.000Z</t>
  </si>
  <si>
    <t>KEXP Streaming Player (Listener Developed) 2014-12-03T08:49:58.000Z</t>
  </si>
  <si>
    <t>Google meet attendance downloader &amp; autoadmit 2021-07-06T04:32:54.000Z</t>
  </si>
  <si>
    <t>OSX Resizer 2012-08-22T05:54:34.000Z</t>
  </si>
  <si>
    <t>PB - доступ из RU 2021-06-17T14:18:58.000Z</t>
  </si>
  <si>
    <t>My Social Media Custom Theme 2017-04-15T07:20:52.000Z</t>
  </si>
  <si>
    <t>Element to Figma 2020-12-13T10:56:08.000Z</t>
  </si>
  <si>
    <t>Pinukim - חיפוש סרטים וסדרות 2022-02-27T11:13:11.000Z</t>
  </si>
  <si>
    <t>PaperSpan 2020-10-28T06:14:04.000Z</t>
  </si>
  <si>
    <t>Soundbounce 2015-08-19T22:38:34.000Z</t>
  </si>
  <si>
    <t>Developer's Download Helper 2021-06-03T02:58:28.000Z</t>
  </si>
  <si>
    <t>Sad Face Emoji 😔😟😩😭😖💔 Copy 🅰🅽🅳 Paste 2021-02-24T08:18:56.000Z</t>
  </si>
  <si>
    <t>Boeing Flight Simulator 3D 2020-01-16T21:11:15.000Z</t>
  </si>
  <si>
    <t>AMZ Radar — Amazon price tracker for shopping 2022-10-07T09:45:40.000Z</t>
  </si>
  <si>
    <t>Link Scraper 2021-02-22T10:01:09.000Z</t>
  </si>
  <si>
    <t>Smart ATG Dynamo 2015-06-26T14:01:19.000Z</t>
  </si>
  <si>
    <t>STERN.DE 2014-05-20T07:30:45.000Z</t>
  </si>
  <si>
    <t>ClearBrowserData 2013-02-23T18:27:54.000Z</t>
  </si>
  <si>
    <t>English to Any Language Dictionary | BDWord 2021-06-01T05:09:33.000Z</t>
  </si>
  <si>
    <t>Wake-On-Lan (WOL) 2019-12-27T12:40:13.000Z</t>
  </si>
  <si>
    <t>Easy Amaregna 2014-03-12T15:50:55.000Z</t>
  </si>
  <si>
    <t>Azimuth: Download Facebook 360° Photos 2020-06-06T05:16:18.000Z</t>
  </si>
  <si>
    <t>Printerest 2018-01-16T12:10:05.000Z</t>
  </si>
  <si>
    <t>BeFunky Photo Editor 2022-08-24T07:49:42.000Z</t>
  </si>
  <si>
    <t>Shortlink 2017-12-04T03:21:18.000Z</t>
  </si>
  <si>
    <t>Notifier for Trello 2018-01-18T14:59:32.000Z</t>
  </si>
  <si>
    <t>Wise Search 2019-09-30T04:27:30.000Z</t>
  </si>
  <si>
    <t>React VT 2017-09-08T19:52:53.000Z</t>
  </si>
  <si>
    <t>CPS Test 2021-05-31T05:28:15.000Z</t>
  </si>
  <si>
    <t>네이버 중국어 사전 2020-03-29T02:10:54.000Z</t>
  </si>
  <si>
    <t>Stop Watching Youtube 2019-06-18T08:39:53.000Z</t>
  </si>
  <si>
    <t>חיפוש פינוקים 2022-02-13T05:37:31.000Z</t>
  </si>
  <si>
    <t>Blue Prism 6.9 Browser Extension 2022-12-06T12:38:11.000Z</t>
  </si>
  <si>
    <t>Bookmark Icon 2016-12-17T19:35:15.000Z</t>
  </si>
  <si>
    <t>FutaKuro 2023-12-08T04:44:45.000Z</t>
  </si>
  <si>
    <t>Alpheios Reading Tools 2021-04-04T11:26:59.000Z</t>
  </si>
  <si>
    <t>Track Me Not 2015-03-25T01:59:25.000Z</t>
  </si>
  <si>
    <t>Reminders 2018-05-06T11:00:41.000Z</t>
  </si>
  <si>
    <t>Enhancer for Google Map Maker™ 2014-10-13T05:40:35.000Z</t>
  </si>
  <si>
    <t>VinCue 2024-08-01T16:19:44.000Z</t>
  </si>
  <si>
    <t>Cloud To Butt Plus 2014-07-24T05:21:15.000Z</t>
  </si>
  <si>
    <t>Page Filter Effects 2022-02-13T05:26:23.000Z</t>
  </si>
  <si>
    <t>CWallet 2022-04-06T04:03:29.000Z</t>
  </si>
  <si>
    <t>GPS Link 2019-07-21T20:05:58.000Z</t>
  </si>
  <si>
    <t>miniGestures 2014-03-19T23:05:12.000Z</t>
  </si>
  <si>
    <t>GitHub Repository Size 2020-06-26T13:04:34.000Z</t>
  </si>
  <si>
    <t>Better Tumblr Video 2018-09-24T04:23:49.000Z</t>
  </si>
  <si>
    <t>Mind maps 2020-05-02T12:04:04.000Z</t>
  </si>
  <si>
    <t>Web Portal v2 2019-01-18T09:20:46.000Z</t>
  </si>
  <si>
    <t>二维码网址 2013-03-19T17:08:02.000Z</t>
  </si>
  <si>
    <t>Fluig extension 2015-03-25T18:09:02.000Z</t>
  </si>
  <si>
    <t>Google Classroom Grades Filter 2023-03-07T05:51:10.000Z</t>
  </si>
  <si>
    <t>Cafi Certificado A3 2018-09-22T17:59:11.000Z</t>
  </si>
  <si>
    <t>KeePassX on rollApp 2018-03-28T08:29:24.000Z</t>
  </si>
  <si>
    <t>Demon Slayer Tanjiro Wallpapers New Tab 2021-07-06T04:54:23.000Z</t>
  </si>
  <si>
    <t>Salesforce Case Notifier 2017-07-08T14:52:08.000Z</t>
  </si>
  <si>
    <t>HCPSS Canvas Assignment Extension 2021-09-06T13:01:37.000Z</t>
  </si>
  <si>
    <t>Luminous: JavaScript events blocker 2019-09-14T17:12:53.000Z</t>
  </si>
  <si>
    <t>WUTemp extension 2016-03-16T21:52:24.000Z</t>
  </si>
  <si>
    <t>Portent's SEO Page Review 2019-11-12T15:26:55.000Z</t>
  </si>
  <si>
    <t>Pop-up Videos 2021-01-16T11:35:02.000Z</t>
  </si>
  <si>
    <t>Statistics 24 2021-01-15T18:20:46.000Z</t>
  </si>
  <si>
    <t>Maze Generator Game 2019-08-06T03:55:05.000Z</t>
  </si>
  <si>
    <t>MuStat - How much is your website worth ? 2015-09-11T00:41:38.000Z</t>
  </si>
  <si>
    <t>Monkey Wrench 2014-08-21T13:23:45.000Z</t>
  </si>
  <si>
    <t>StrikeThrough for Gmail 2018-12-03T09:27:10.000Z</t>
  </si>
  <si>
    <t>PoE Bulk Trade - Buy All 2020-08-27T09:01:07.000Z</t>
  </si>
  <si>
    <t>Trufflehog 2021-09-21T05:03:26.000Z</t>
  </si>
  <si>
    <t>UARTool 2019-03-08T14:11:48.000Z</t>
  </si>
  <si>
    <t>Coder's Calendar 2019-04-06T14:15:05.000Z</t>
  </si>
  <si>
    <t>HigherContrastForGoogleMaps 2013-09-26T05:48:33.000Z</t>
  </si>
  <si>
    <t>Rot13 2017-01-09T00:35:44.000Z</t>
  </si>
  <si>
    <t>Chat Overlay for Youtube</t>
  </si>
  <si>
    <t>複数検索ツール 2021-08-25T09:19:57.000Z</t>
  </si>
  <si>
    <t>Earls Browser 2019-08-19T01:39:46.000Z</t>
  </si>
  <si>
    <t>Remu 2020-12-17T12:27:47.000Z</t>
  </si>
  <si>
    <t>Fallen London Conversion Helper 2021-03-02T09:46:30.000Z</t>
  </si>
  <si>
    <t>Show External IP 2015-08-31T13:35:43.000Z</t>
  </si>
  <si>
    <t>ESPN Private League Key API 2019-09-11T01:48:05.000Z</t>
  </si>
  <si>
    <t>Chart Nerd Extension 2020-06-13T05:17:16.000Z</t>
  </si>
  <si>
    <t>Easy Search 2019-05-27T10:28:06.000Z</t>
  </si>
  <si>
    <t>Pesticide for Chrome 2021-11-09T05:45:19.000Z</t>
  </si>
  <si>
    <t>PepperSale: Coupons</t>
  </si>
  <si>
    <t>小窗口视频 by c4r 2021-02-01T15:16:00.000Z</t>
  </si>
  <si>
    <t>Dimensions 2024-09-17T07:22:42.000Z</t>
  </si>
  <si>
    <t>WME Validator 2024-01-27T05:20:52.000Z</t>
  </si>
  <si>
    <t>TINYpulse 2019-08-23T06:53:31.000Z</t>
  </si>
  <si>
    <t>IRI Climate and Society Map Room 2013-10-09T21:23:27.000Z</t>
  </si>
  <si>
    <t>Hacker News Enhancement Suite 2023-01-02T03:53:11.000Z</t>
  </si>
  <si>
    <t>IwillriL - Unnoficial Pocket Client 2024-07-16T01:28:07.000Z</t>
  </si>
  <si>
    <t>Image Tool 2013-12-01T18:31:19.000Z</t>
  </si>
  <si>
    <t>Slither Sessions 2017-05-17T09:58:03.000Z</t>
  </si>
  <si>
    <t>Center Google Search Results 2020-04-11T02:09:20.000Z</t>
  </si>
  <si>
    <t>uBO-Scope 2018-06-09T11:09:30.000Z</t>
  </si>
  <si>
    <t>Think Exam 2019-01-23T09:25:42.000Z</t>
  </si>
  <si>
    <t>Weekdone - Plan and share your weekly tasks 2019-08-15T07:00:21.000Z</t>
  </si>
  <si>
    <t>plusrente Cashback Radar 2020-03-02T13:11:08.000Z</t>
  </si>
  <si>
    <t>صححها 2020-03-10T05:52:50.000Z</t>
  </si>
  <si>
    <t>Validity 2022-11-07T08:53:28.000Z</t>
  </si>
  <si>
    <t>Multicopy 2021-04-04T16:41:27.000Z</t>
  </si>
  <si>
    <t>Pan(w)achrome 2018-12-21T11:17:39.000Z</t>
  </si>
  <si>
    <t>Reverse Youtube 2021-03-05T05:13:37.000Z</t>
  </si>
  <si>
    <t>OpenVoice for Google Calendar 2020-01-22T16:07:47.000Z</t>
  </si>
  <si>
    <t>FastStunnel VPN 2021-07-01T10:51:41.000Z</t>
  </si>
  <si>
    <t>1Player for 网易云音乐 2021-02-04T20:35:05.000Z</t>
  </si>
  <si>
    <t>Select and Dial 2016-09-06T14:29:45.000Z</t>
  </si>
  <si>
    <t>Spanish Translator 2021-01-05T09:14:52.000Z</t>
  </si>
  <si>
    <t>TradingViewBridgeMT5 2021-01-04T12:19:46.000Z</t>
  </si>
  <si>
    <t>OneWallet Kratos Mainnet 2021-11-23T10:46:53.000Z</t>
  </si>
  <si>
    <t>Page Refresher 2021-08-09T04:59:16.000Z</t>
  </si>
  <si>
    <t>VideoSync Screen Capture 2017-08-17T12:54:22.000Z</t>
  </si>
  <si>
    <t>Online Countdown 2015-03-13T13:50:15.000Z</t>
  </si>
  <si>
    <t>Measure 2017-04-16T22:57:04.000Z</t>
  </si>
  <si>
    <t>JSON Formatter 2022-01-28T06:15:44.000Z</t>
  </si>
  <si>
    <t>ChromeDash 2016-12-13T02:12:37.000Z</t>
  </si>
  <si>
    <t>Whereby 2021-11-10T15:43:22.000Z</t>
  </si>
  <si>
    <t>YouTube Search Bar 2021-01-14T06:59:04.000Z</t>
  </si>
  <si>
    <t>YouTubeTimeMemo 2020-02-27T07:14:32.000Z</t>
  </si>
  <si>
    <t>過去ページチェッカー 2016-05-11T10:16:53.000Z</t>
  </si>
  <si>
    <t>Slava Russian Dictionary 2019-05-28T05:55:12.000Z</t>
  </si>
  <si>
    <t>AMZ India Profit 2021-09-09T15:07:50.000Z</t>
  </si>
  <si>
    <t>Blurry - Blur unwanted content 2020-09-27T06:56:37.000Z</t>
  </si>
  <si>
    <t>Px Downloader 2020-12-03T05:33:52.000Z</t>
  </si>
  <si>
    <t>Asan ID token signing 2015-10-01T12:42:50.000Z</t>
  </si>
  <si>
    <t>Regex Search 2019-03-04T06:32:59.000Z</t>
  </si>
  <si>
    <t>Snap Note 2015-09-11T12:19:01.000Z</t>
  </si>
  <si>
    <t>FastAccess Face Recognition Web Login 2014-02-27T01:10:45.000Z</t>
  </si>
  <si>
    <t>FEPWeb CMS Digital Signature Extension 2024-12-03T23:58:51.000Z</t>
  </si>
  <si>
    <t>Sexy Undo Close Tab 2018-06-07T16:18:31.000Z</t>
  </si>
  <si>
    <t>Hypershoot - Inspiration that stays 2018-10-08T11:09:21.000Z</t>
  </si>
  <si>
    <t>有道欧路词典生词本高亮 2020-06-16T03:28:59.000Z</t>
  </si>
  <si>
    <t>Twitch Emotes for Rabb.it 2017-07-12T21:30:08.000Z</t>
  </si>
  <si>
    <t>Classgap Screensharing 2019-11-29T13:11:23.000Z</t>
  </si>
  <si>
    <t>Oil Price 2015-12-12T15:55:13.000Z</t>
  </si>
  <si>
    <t>Cookies Quick Achieve 2021-03-18T13:16:02.000Z</t>
  </si>
  <si>
    <t>Youtube Live Chat : Troll Starver 2018-05-22T07:42:03.000Z</t>
  </si>
  <si>
    <t>Extensions Manager 2018-01-18T15:06:21.000Z</t>
  </si>
  <si>
    <t>Vbukit Chromecast Browser Plugin 2013-09-17T22:45:48.000Z</t>
  </si>
  <si>
    <t>Netflix Viewing Stats 2022-04-11T06:31:20.000Z</t>
  </si>
  <si>
    <t>Hevvo Flash Enabler 2020-09-02T08:55:19.000Z</t>
  </si>
  <si>
    <t>Secure Unfollow for Instagram 2019-12-09T13:47:58.000Z</t>
  </si>
  <si>
    <t>TabuLater - Save Open Tabs With One Click 2018-06-28T07:14:42.000Z</t>
  </si>
  <si>
    <t>Awesome Button Bar 2016-09-22T22:07:32.000Z</t>
  </si>
  <si>
    <t>PagerDuty Notifier 2020-06-03T03:58:18.000Z</t>
  </si>
  <si>
    <t>Quicken 2014-05-21T18:50:39.000Z</t>
  </si>
  <si>
    <t>Filter Affinity 2023-11-01T06:35:45.000Z</t>
  </si>
  <si>
    <t>Twitter Video Download 2023-12-27T14:47:03.000Z</t>
  </si>
  <si>
    <t>Multiaccount 2022-01-12T13:07:05.000Z</t>
  </si>
  <si>
    <t>1-2-3 Kupovina s Idealno.rs 2021-05-19T09:47:07.000Z</t>
  </si>
  <si>
    <t>Hycon Lite Client 2019-05-08T09:38:02.000Z</t>
  </si>
  <si>
    <t>Paint Tool for Web 2022-01-26T04:27:17.000Z</t>
  </si>
  <si>
    <t>Beach Wallpapers 2018-01-29T03:51:09.000Z</t>
  </si>
  <si>
    <t>Twitch Links 2022-07-15T10:11:58.000Z</t>
  </si>
  <si>
    <t>RescueTime for Chrome and Chrome OS 2020-05-29T12:09:21.000Z</t>
  </si>
  <si>
    <t>Accesstrade 2021-07-19T09:58:06.000Z</t>
  </si>
  <si>
    <t>PowerGPA 2018-12-18T01:22:53.000Z</t>
  </si>
  <si>
    <t>Privacy Screen and Security Blur 2020-11-24T07:42:40.000Z</t>
  </si>
  <si>
    <t>Awesome Print Button 2020-12-08T14:27:38.000Z</t>
  </si>
  <si>
    <t>Youtube subscriptions 2021-02-15T05:33:56.000Z</t>
  </si>
  <si>
    <t>Geneanet 2022-12-06T06:10:22.000Z</t>
  </si>
  <si>
    <t>Ecommerce Tally eVanik 2020-03-20T08:03:24.000Z</t>
  </si>
  <si>
    <t>Quick Tab 2020-06-30T08:14:57.000Z</t>
  </si>
  <si>
    <t>Robinhood Reports 2021-02-16T09:56:18.000Z</t>
  </si>
  <si>
    <t>Netflix Tweaks 2018-12-17T20:43:01.000Z</t>
  </si>
  <si>
    <t>Link Drop 2021-12-24T04:31:40.000Z</t>
  </si>
  <si>
    <t>Хранитель сюрпризов 2017-02-16T10:50:56.000Z</t>
  </si>
  <si>
    <t>wbimgfix 2021-07-02T06:39:14.000Z</t>
  </si>
  <si>
    <t>GIF Blocker 2022-05-28T11:45:58.000Z</t>
  </si>
  <si>
    <t>Restricted Mode: On 2019-05-07T13:17:17.000Z</t>
  </si>
  <si>
    <t>AB Tasty 2023-10-13T13:59:11.000Z</t>
  </si>
  <si>
    <t>Netfix (Netflix Ratings) 2018-02-27T22:05:59.000Z</t>
  </si>
  <si>
    <t>Selective Image Blocker 2020-11-19T11:00:04.000Z</t>
  </si>
  <si>
    <t>Image Extension Fix 2017-06-03T12:36:33.000Z</t>
  </si>
  <si>
    <t>Nyan Cat Progress Bar for YouTube™ 2017-03-26T19:37:24.000Z</t>
  </si>
  <si>
    <t>Skribbl.io Letter Counter 2020-05-03T23:07:13.000Z</t>
  </si>
  <si>
    <t>AppFq 2017-10-31T19:40:12.000Z</t>
  </si>
  <si>
    <t>Hangfire Job Filter 2017-10-28T21:47:26.000Z</t>
  </si>
  <si>
    <t>Visio Viewer Free Online 2021-05-13T07:55:38.000Z</t>
  </si>
  <si>
    <t>Zistemo extension 2024-12-10T10:58:05.000Z</t>
  </si>
  <si>
    <t>Battle Games 2018-11-28T07:29:43.000Z</t>
  </si>
  <si>
    <t>Alpia Web Search 2022-01-27T11:27:40.000Z</t>
  </si>
  <si>
    <t>百度广告屏蔽 2021-12-24T09:17:27.000Z</t>
  </si>
  <si>
    <t>RSA SecurID Code Generator 2021-01-08T23:30:48.000Z</t>
  </si>
  <si>
    <t>YourTV Chrome extension 2019-05-09T08:21:32.000Z</t>
  </si>
  <si>
    <t>LightCast 2 2020-01-23T10:01:54.000Z</t>
  </si>
  <si>
    <t>Open Link on PC 2019-01-15T16:27:18.000Z</t>
  </si>
  <si>
    <t>Sherpa RPA 2024-09-17T06:41:59.000Z</t>
  </si>
  <si>
    <t>World View Wallpaper Launcher 2018-09-14T00:55:48.000Z</t>
  </si>
  <si>
    <t>ZoomEye Tools 2022-01-18T03:30:32.000Z</t>
  </si>
  <si>
    <t>Web Design Project Online Marketplace 2015-11-26T02:40:56.000Z</t>
  </si>
  <si>
    <t>HTML Hierarchy Visualizer 2016-09-13T21:10:35.000Z</t>
  </si>
  <si>
    <t>Blank New Tab 2018-09-26T21:07:48.000Z</t>
  </si>
  <si>
    <t>Prank 'em 2020-11-27T12:03:51.000Z</t>
  </si>
  <si>
    <t>miniGestures [Reloaded] 2015-12-02T00:28:04.000Z</t>
  </si>
  <si>
    <t>Infobase 2022-08-19T17:39:13.000Z</t>
  </si>
  <si>
    <t>TunnelBear Blocker 2018-12-17T15:49:59.000Z</t>
  </si>
  <si>
    <t>XSS 2022-01-31T04:54:44.000Z</t>
  </si>
  <si>
    <t>NASA Astronomy Picture of the Day 2020-06-04T11:31:17.000Z</t>
  </si>
  <si>
    <t>Webcam Preview 2017-07-07T14:11:10.000Z</t>
  </si>
  <si>
    <t>Easy-Watch for YouTube 2023-07-25T12:57:18.000Z</t>
  </si>
  <si>
    <t>[name] 2021-10-22T05:34:14.000Z</t>
  </si>
  <si>
    <t>Chromagochi 2023-09-10T09:56:34.000Z</t>
  </si>
  <si>
    <t>FUTBIN Updater 2020-10-03T14:36:11.000Z</t>
  </si>
  <si>
    <t>Squarespace Help Toolbar 2015-07-28T15:57:03.000Z</t>
  </si>
  <si>
    <t>SmartVault Browser Extension 2018-08-10T15:34:53.000Z</t>
  </si>
  <si>
    <t>JavaScript-Java Bridge 2020-06-18T03:17:47.000Z</t>
  </si>
  <si>
    <t>WhatColor 2022-09-08T11:16:28.000Z</t>
  </si>
  <si>
    <t>Netflix™ Search 2023-01-02T04:46:29.000Z</t>
  </si>
  <si>
    <t>Notifications DM Instagram 2020-04-27T09:23:55.000Z</t>
  </si>
  <si>
    <t>UOC Notifier 2022-06-13T03:58:36.000Z</t>
  </si>
  <si>
    <t>OctoHR 2022-12-09T13:16:56.000Z</t>
  </si>
  <si>
    <t>LaTeX in Discord 2020-09-05T10:51:48.000Z</t>
  </si>
  <si>
    <t>Tanke Insights 2023-05-24T04:55:27.000Z</t>
  </si>
  <si>
    <t>Cisco Dialer (Beta) 2015-12-01T15:28:33.000Z</t>
  </si>
  <si>
    <t>Window Sizer 2015-03-23T06:25:57.000Z</t>
  </si>
  <si>
    <t>Tidy Bookmarks 2017-02-15T10:09:24.000Z</t>
  </si>
  <si>
    <t>Mail My Tabs 2024-07-05T10:43:00.000Z</t>
  </si>
  <si>
    <t>Chrome LCT 2016-10-26T04:35:49.000Z</t>
  </si>
  <si>
    <t>Popular Bookmarks 2012-06-20T05:48:33.000Z</t>
  </si>
  <si>
    <t>Twitter Print Styles 2023-07-02T23:41:24.000Z</t>
  </si>
  <si>
    <t>Baseball Star 2021-04-14T08:04:50.000Z</t>
  </si>
  <si>
    <t>Noot Noot 2016-10-27T02:14:14.000Z</t>
  </si>
  <si>
    <t>Color Picker Pro 2013-12-30T07:43:25.000Z</t>
  </si>
  <si>
    <t>Fotor Photo Editor 2016-07-08T07:40:28.000Z</t>
  </si>
  <si>
    <t>Bootstrap 3 Resize Tool 2015-07-12T09:08:22.000Z</t>
  </si>
  <si>
    <t>Seventeen: Carat Central Kpop 2023-04-25T04:49:39.000Z</t>
  </si>
  <si>
    <t>Alpha Browser 2.0 2019-07-02T03:50:21.000Z</t>
  </si>
  <si>
    <t>ChromeOverlay 2019-12-24T08:03:03.000Z</t>
  </si>
  <si>
    <t>eXtract Snippet 2016-04-20T13:06:38.000Z</t>
  </si>
  <si>
    <t>Visited 2015-06-17T12:58:14.000Z</t>
  </si>
  <si>
    <t>Injector 2019-03-09T23:32:06.000Z</t>
  </si>
  <si>
    <t>Watch Later 2017-04-30T06:08:55.000Z</t>
  </si>
  <si>
    <t>Gismeteo 2018-03-29T11:50:15.000Z</t>
  </si>
  <si>
    <t>Canvas+ 2024-10-03T19:57:19.000Z</t>
  </si>
  <si>
    <t>Search4Moviex 2020-05-07T04:20:04.000Z</t>
  </si>
  <si>
    <t>Bookface Companion 2023-05-18T04:40:28.000Z</t>
  </si>
  <si>
    <t>Sound and video fixes for Facebook 2020-05-07T10:24:53.000Z</t>
  </si>
  <si>
    <t>Request Interceptor 2023-10-23T09:14:52.000Z</t>
  </si>
  <si>
    <t>Bitmoji 2022-01-21T06:57:57.000Z</t>
  </si>
  <si>
    <t>Ctrl-Z Reopen Closed Tab 2014-10-24T19:36:17.000Z</t>
  </si>
  <si>
    <t>Mouse Pointer Double 2015-02-13T12:06:26.000Z</t>
  </si>
  <si>
    <t>kbs.im 2021-12-29T07:04:55.000Z</t>
  </si>
  <si>
    <t>Simple YouTube Loop 2017-09-07T09:27:16.000Z</t>
  </si>
  <si>
    <t>Tab DJ 2021-07-27T05:31:36.000Z</t>
  </si>
  <si>
    <t>Simple Image Resizer 2017-03-21T09:09:28.000Z</t>
  </si>
  <si>
    <t>圖片裁切搜尋 2014-08-13T05:54:37.000Z</t>
  </si>
  <si>
    <t>OhBridge 2021-02-11T06:19:35.000Z</t>
  </si>
  <si>
    <t>Remembering our Ancestors 2023-10-01T20:55:51.000Z</t>
  </si>
  <si>
    <t>8D 2018-11-21T15:47:29.000Z</t>
  </si>
  <si>
    <t>Uncompress Archive Files 2020-06-03T04:12:21.000Z</t>
  </si>
  <si>
    <t>myViewBoard extension 2022-06-28T12:22:42.000Z</t>
  </si>
  <si>
    <t>Real-Time Tab Sync 2021-06-15T12:18:03.000Z</t>
  </si>
  <si>
    <t>FUT Sniping Bot 2024-09-22T03:53:29.000Z</t>
  </si>
  <si>
    <t>Video Styler (brightness and more) 2021-05-02T23:04:40.000Z</t>
  </si>
  <si>
    <t>HoduDial 2023-05-30T11:16:36.000Z</t>
  </si>
  <si>
    <t>Incognitify 2020-05-29T14:22:29.000Z</t>
  </si>
  <si>
    <t>Hubstaff for Chromebook 2024-03-07T17:16:50.000Z</t>
  </si>
  <si>
    <t>Fast-eInvoice Token Signing 2021-07-29T13:41:38.000Z</t>
  </si>
  <si>
    <t>Scratch 3 Developer Tools 2020-06-08T10:06:20.000Z</t>
  </si>
  <si>
    <t>Allow Clipboard 2017-05-25T21:07:11.000Z</t>
  </si>
  <si>
    <t>Google Keep Presentation Mode 2018-03-16T09:44:09.000Z</t>
  </si>
  <si>
    <t>Tabio 2018-08-21T01:29:41.000Z</t>
  </si>
  <si>
    <t>TuBeast 2020-10-08T13:27:00.000Z</t>
  </si>
  <si>
    <t>Open Random Bookmarks 2020-03-06T07:29:08.000Z</t>
  </si>
  <si>
    <t>Salvini-Blocker 2019-11-25T05:25:39.000Z</t>
  </si>
  <si>
    <t>Chrome Presentation Mode 2018-10-26T21:34:04.000Z</t>
  </si>
  <si>
    <t>Previous and Next page keyboard navigation 2016-04-10T21:47:45.000Z</t>
  </si>
  <si>
    <t>Bitcoin Price Ticker 2024-02-02T06:07:06.000Z</t>
  </si>
  <si>
    <t>YouTube Zoomer 2020-08-23T12:27:40.000Z</t>
  </si>
  <si>
    <t>低調碼增強版 2022-07-12T07:19:28.000Z</t>
  </si>
  <si>
    <t>Wordpress Style Editor 2015-01-27T22:35:42.000Z</t>
  </si>
  <si>
    <t>source-map 2020-04-16T06:57:21.000Z</t>
  </si>
  <si>
    <t>Serenade for Chrome 2021-09-02T19:11:26.000Z</t>
  </si>
  <si>
    <t>No Redirect 2020-03-04T17:04:38.000Z</t>
  </si>
  <si>
    <t>LUMES 20-20-20 2020-04-11T15:31:40.000Z</t>
  </si>
  <si>
    <t>SAPUI5 control Bindings Viewer 2016-04-06T03:28:58.000Z</t>
  </si>
  <si>
    <t>Asuka.IO Whois - Domain Name Lookup Tool 2017-08-26T09:00:49.000Z</t>
  </si>
  <si>
    <t>Save All Tab URLs 2024-05-20T07:35:33.000Z</t>
  </si>
  <si>
    <t>Stencil 2022-02-23T04:29:04.000Z</t>
  </si>
  <si>
    <t>CryptoTicker by Coinigy 2017-07-12T18:07:18.000Z</t>
  </si>
  <si>
    <t>Ecto Wallet 2024-01-30T06:34:01.000Z</t>
  </si>
  <si>
    <t>Notifications for Twitch 2020-12-12T05:30:10.000Z</t>
  </si>
  <si>
    <t>Web Clipper for Trello 2016-06-19T17:27:39.000Z</t>
  </si>
  <si>
    <t>有道词典Chrome划词插件 2015-07-18T02:43:07.000Z</t>
  </si>
  <si>
    <t>Conferences i/o Live Content Slides 2021-02-10T06:29:24.000Z</t>
  </si>
  <si>
    <t>ReproNow: Capture Screen + Network 2020-11-28T09:33:13.000Z</t>
  </si>
  <si>
    <t>Online Alarm Clock 2015-03-13T13:25:05.000Z</t>
  </si>
  <si>
    <t>Block Unenroll 2020-12-14T21:20:51.000Z</t>
  </si>
  <si>
    <t>Chat Translator v.2.0 2018-03-05T14:00:13.000Z</t>
  </si>
  <si>
    <t>Local-CORS 2019-08-06T19:08:18.000Z</t>
  </si>
  <si>
    <t>IG Speed 2021-04-05T06:13:08.000Z</t>
  </si>
  <si>
    <t>Опубликовать ВКонтакте (vk.com) 2016-05-21T23:30:28.000Z</t>
  </si>
  <si>
    <t>Dark Night Mode 2020-06-15T14:20:05.000Z</t>
  </si>
  <si>
    <t>Adobe Creative Cloud 2023-09-25T11:30:01.000Z</t>
  </si>
  <si>
    <t>Quiz Master for Google Meet 2022-07-19T04:13:21.000Z</t>
  </si>
  <si>
    <t>Aliexpress Coupons 2022-03-26T04:03:44.000Z</t>
  </si>
  <si>
    <t>Chromite Butler 2021-06-16T17:29:44.000Z</t>
  </si>
  <si>
    <t>Show password 2018-12-30T22:26:27.000Z</t>
  </si>
  <si>
    <t>CloudWatch Synthetics Recorder 2020-11-02T11:17:31.000Z</t>
  </si>
  <si>
    <t>Công cụ đặt hàng của Chuyenhang365 2023-08-09T07:03:08.000Z</t>
  </si>
  <si>
    <t>Bolsonaro replace 2022-10-31T08:05:04.000Z</t>
  </si>
  <si>
    <t>History AutoDelete 2017-08-16T18:09:10.000Z</t>
  </si>
  <si>
    <t>Skip shorte.st ads 2020-05-21T10:29:56.000Z</t>
  </si>
  <si>
    <t>Dr.Protect: Secure Search 2019-05-13T00:15:47.000Z</t>
  </si>
  <si>
    <t>Material Design Theme for Chrome Devtools 2016-12-30T20:35:33.000Z</t>
  </si>
  <si>
    <t>Stats Checker for Google Analytics™ 2017-02-20T11:34:39.000Z</t>
  </si>
  <si>
    <t>image-picker 2022-02-28T08:22:37.000Z</t>
  </si>
  <si>
    <t>Compass SCSS Editor 2013-08-13T04:42:30.000Z</t>
  </si>
  <si>
    <t>Open local Link 2022-08-20T09:47:01.000Z</t>
  </si>
  <si>
    <t>Tictok Downloader Assistant 2022-02-01T23:50:40.000Z</t>
  </si>
  <si>
    <t>Quran Player 2014-08-20T03:34:19.000Z</t>
  </si>
  <si>
    <t>每氪净化 2022-02-16T01:37:35.000Z</t>
  </si>
  <si>
    <t>Admiral Sucks! 2021-01-20T04:03:04.000Z</t>
  </si>
  <si>
    <t>יואל גבע 2022-01-27T06:47:00.000Z</t>
  </si>
  <si>
    <t>Nope 2 Overlays 2019-12-03T09:09:34.000Z</t>
  </si>
  <si>
    <t>GujaratiLexicon Lookup 2022-09-19T07:47:20.000Z</t>
  </si>
  <si>
    <t>AO3 Enhancement Suite 2021-06-07T04:30:00.000Z</t>
  </si>
  <si>
    <t>Org Header for Salesforce® 2018-05-29T22:04:35.000Z</t>
  </si>
  <si>
    <t>Tamil Movies Download 2020-12-01T06:39:31.000Z</t>
  </si>
  <si>
    <t>Clicker 2019-04-09T00:03:23.000Z</t>
  </si>
  <si>
    <t>TSU GPA Simulator 2018-05-03T06:03:49.000Z</t>
  </si>
  <si>
    <t>Pagan — password generator 2015-03-12T06:55:27.000Z</t>
  </si>
  <si>
    <t>Moyennes myGES 2021-11-23T23:05:01.000Z</t>
  </si>
  <si>
    <t>SplitUp! - Tab manager 2021-03-08T09:03:46.000Z</t>
  </si>
  <si>
    <t>Alternate Player for Twitch.tv 2024-06-16T12:05:48.000Z</t>
  </si>
  <si>
    <t>Coolpc Search 2020-05-26T08:26:46.000Z</t>
  </si>
  <si>
    <t>Mario Kart Countdown 2019-11-07T08:03:10.000Z</t>
  </si>
  <si>
    <t>reflect. - a mindful website blocker 2022-03-14T06:53:17.000Z</t>
  </si>
  <si>
    <t>Bottomline PT-X SmartCard Extension 2025-01-02T11:46:28.000Z</t>
  </si>
  <si>
    <t>Palettab 2015-08-21T12:38:41.000Z</t>
  </si>
  <si>
    <t>Twitter Extended 2018-06-06T14:42:22.000Z</t>
  </si>
  <si>
    <t>Figma GitHub 2018-05-08T17:32:44.000Z</t>
  </si>
  <si>
    <t>Fallen London Goat Farmer's Extension 2019-08-07T15:09:53.000Z</t>
  </si>
  <si>
    <t>Slitherio select server 2020-07-28T09:58:39.000Z</t>
  </si>
  <si>
    <t>Instaminutes - #1st Meeting Intelligence tool 2023-09-07T09:04:44.000Z</t>
  </si>
  <si>
    <t>Swagger Inspector Extension 2019-01-03T16:46:43.000Z</t>
  </si>
  <si>
    <t>JabRef Browser Extension 2022-02-17T13:34:21.000Z</t>
  </si>
  <si>
    <t>Sesse Analysis 2018-11-11T15:53:22.000Z</t>
  </si>
  <si>
    <t>RMS (Run My Script) - Script runner 2024-01-15T08:04:20.000Z</t>
  </si>
  <si>
    <t>Admin Tools 2012-12-01T08:02:47.000Z</t>
  </si>
  <si>
    <t>ABTasty 2016-02-22T16:29:47.000Z</t>
  </si>
  <si>
    <t>Proxy + Free VPN DEEPRISM 2023-03-16T04:07:38.000Z</t>
  </si>
  <si>
    <t>Touch VPN - Secure and unlimited VPN proxy 2023-09-27T06:03:45.000Z</t>
  </si>
  <si>
    <t>YouTube Repeat 2015-10-09T03:27:17.000Z</t>
  </si>
  <si>
    <t>Colorpeek 2022-06-04T08:06:39.000Z</t>
  </si>
  <si>
    <t>Auto Copy 2022-01-09T16:33:45.000Z</t>
  </si>
  <si>
    <t>GPTrue or False 2019-11-21T21:59:53.000Z</t>
  </si>
  <si>
    <t>TFT Trade Extension 2024-12-18T10:09:22.000Z</t>
  </si>
  <si>
    <t>Button: Extensions 2016-04-21T06:34:47.000Z</t>
  </si>
  <si>
    <t>Ribbet Photo Editor 2018-03-21T02:05:28.000Z</t>
  </si>
  <si>
    <t>StraTistiX with aRPEe Score for Strava 2016-02-28T20:39:09.000Z</t>
  </si>
  <si>
    <t>CopyComments for Classroom 2020-11-12T10:24:52.000Z</t>
  </si>
  <si>
    <t>Friday Night Funkin Cursor 2021-06-10T10:32:03.000Z</t>
  </si>
  <si>
    <t>DTU Course Analyzer 2025-01-03T15:54:43.000Z</t>
  </si>
  <si>
    <t>Pix to pix (Pixel perfect by Ymatuhin) 2014-04-07T15:50:28.000Z</t>
  </si>
  <si>
    <t>小黑盒 Batch Download Image 2020-07-03T05:58:24.000Z</t>
  </si>
  <si>
    <t>MindManager Snap 2021-12-08T03:13:13.000Z</t>
  </si>
  <si>
    <t>News Tab 2021-02-24T09:56:40.000Z</t>
  </si>
  <si>
    <t>Whats This? 2019-12-21T05:35:14.000Z</t>
  </si>
  <si>
    <t>Todo List 2013-11-04T15:47:42.000Z</t>
  </si>
  <si>
    <t>رسمیو | Rasmio 2020-07-23T12:37:20.000Z</t>
  </si>
  <si>
    <t>YouTube Chapter Editor 2023-02-28T03:15:32.000Z</t>
  </si>
  <si>
    <t>Youtube Image Downloader 2017-12-27T13:04:10.000Z</t>
  </si>
  <si>
    <t>Pulse by Zerodha 2021-04-10T05:08:07.000Z</t>
  </si>
  <si>
    <t>Ads.txt Checker 2019-10-02T16:02:54.000Z</t>
  </si>
  <si>
    <t>Copernic Desktop Search Connector 2018-05-04T13:26:26.000Z</t>
  </si>
  <si>
    <t>FACEIT HELPER 2017-10-23T12:45:05.000Z</t>
  </si>
  <si>
    <t>Oliv.AI - Your AI Sales Copilot 2024-05-30T06:19:21.000Z</t>
  </si>
  <si>
    <t>Savelist 2020-06-09T11:30:11.000Z</t>
  </si>
  <si>
    <t>Video Downloader Plus 2021-06-30T11:57:25.000Z</t>
  </si>
  <si>
    <t>ResponseTime Monitor 2020-03-15T11:16:49.000Z</t>
  </si>
  <si>
    <t>CFCA CryptoKit.CRCC Extension 2019-11-26T03:15:41.000Z</t>
  </si>
  <si>
    <t>Clickjacking Test 2013-08-05T18:21:06.000Z</t>
  </si>
  <si>
    <t>Pomodoro timer 2017-04-22T11:28:28.000Z</t>
  </si>
  <si>
    <t>ConfluxPortal 2021-12-22T06:29:22.000Z</t>
  </si>
  <si>
    <t>What we do here is go back (iDubbbzTV) 2017-11-06T05:01:31.000Z</t>
  </si>
  <si>
    <t>Rumola - bypass CAPTCHA 2022-06-09T06:04:19.000Z</t>
  </si>
  <si>
    <t>Jolt Select Dial PBX 2022-09-01T07:47:06.000Z</t>
  </si>
  <si>
    <t>Thinlabs Kiosk 2022-08-30T05:56:08.000Z</t>
  </si>
  <si>
    <t>Webtrends Optimize® Editing Tools 2024-01-20T05:30:05.000Z</t>
  </si>
  <si>
    <t>HashFair 2017-08-10T12:37:19.000Z</t>
  </si>
  <si>
    <t>дневник ру 2018-12-18T09:54:28.000Z</t>
  </si>
  <si>
    <t>DomainFlag 2022-08-13T04:43:02.000Z</t>
  </si>
  <si>
    <t>First Paint &amp; Page Load Time 2017-11-18T07:18:18.000Z</t>
  </si>
  <si>
    <t>The Pirate Bay torrent search 2016-10-03T20:35:54.000Z</t>
  </si>
  <si>
    <t>Time Blocker 2016-12-31T16:04:57.000Z</t>
  </si>
  <si>
    <t>JoinTabs 2012-09-26T17:03:35.000Z</t>
  </si>
  <si>
    <t>csTimer Sync 2020-04-21T16:13:52.000Z</t>
  </si>
  <si>
    <t>BPM Tapper 2016-11-15T17:27:01.000Z</t>
  </si>
  <si>
    <t>OOXML Tools 2018-08-29T10:31:33.000Z</t>
  </si>
  <si>
    <t>Dbased - based Dlive 2020-10-06T01:54:33.000Z</t>
  </si>
  <si>
    <t>Canvas Quiz Solution Remover 2021-05-04T09:26:18.000Z</t>
  </si>
  <si>
    <t>Sweeps By ShopYourWay 2014-10-28T21:04:12.000Z</t>
  </si>
  <si>
    <t>Cppkies Mod Manager 2021-02-15T04:05:24.000Z</t>
  </si>
  <si>
    <t>Padloc 2023-03-07T10:58:37.000Z</t>
  </si>
  <si>
    <t>ChronoMouse 2021-04-22T13:09:49.000Z</t>
  </si>
  <si>
    <t>IndexedDB cleaner 2013-06-26T04:46:06.000Z</t>
  </si>
  <si>
    <t>Find Selector 2021-06-16T06:45:09.000Z</t>
  </si>
  <si>
    <t>RokuKast 2019-11-13T09:20:25.000Z</t>
  </si>
  <si>
    <t>Piwaa 2021-09-03T10:02:30.000Z</t>
  </si>
  <si>
    <t>imazip 2015-01-13T16:31:17.000Z</t>
  </si>
  <si>
    <t>Polisis 2022-08-12T05:32:01.000Z</t>
  </si>
  <si>
    <t>痞客邦 PIXNET 2014-06-06T09:41:38.000Z</t>
  </si>
  <si>
    <t>Launchpage 2020-11-19T12:02:24.000Z</t>
  </si>
  <si>
    <t>Plain Text Linker 2023-06-26T09:25:07.000Z</t>
  </si>
  <si>
    <t>Plataforma de Assinaturas 2021-10-13T05:09:55.000Z</t>
  </si>
  <si>
    <t>Softdreams công cụ ký điện tử 2020-05-27T04:26:25.000Z</t>
  </si>
  <si>
    <t>Funda Extend 2019-07-04T10:05:58.000Z</t>
  </si>
  <si>
    <t>Excavator launcher 2016-12-05T17:59:33.000Z</t>
  </si>
  <si>
    <t>SFMC OBJECT FINDER 2020-02-01T02:51:56.000Z</t>
  </si>
  <si>
    <t>Night Mode 2022-06-07T06:55:50.000Z</t>
  </si>
  <si>
    <t>Icon Search 2018-10-10T19:24:05.000Z</t>
  </si>
  <si>
    <t>Double-click Image Downloader 2023-06-26T09:21:40.000Z</t>
  </si>
  <si>
    <t>القرآن الكريم 2023-10-20T14:25:32.000Z</t>
  </si>
  <si>
    <t>Circle Screenshot 2022-07-07T04:57:59.000Z</t>
  </si>
  <si>
    <t>MetaWallet 2023-12-04T10:31:36.000Z</t>
  </si>
  <si>
    <t>Social Champ 2024-03-20T05:47:30.000Z</t>
  </si>
  <si>
    <t>NiftySplit 2013-12-15T13:37:52.000Z</t>
  </si>
  <si>
    <t>Get Link 2019-09-17T10:53:21.000Z</t>
  </si>
  <si>
    <t>Fast Page Load 2021-07-03T03:11:29.000Z</t>
  </si>
  <si>
    <t>מחשבון משכנתא - משכנתאון 2019-12-25T07:49:37.000Z</t>
  </si>
  <si>
    <t>BTS Bangtan Boys 2021 New Tab 2021-07-06T11:01:33.000Z</t>
  </si>
  <si>
    <t>La Bulle Elix 2021-12-07T15:11:54.000Z</t>
  </si>
  <si>
    <t>Insert Blurb 2023-11-08T13:05:44.000Z</t>
  </si>
  <si>
    <t>Fast Bookmark 2019-03-08T14:21:41.000Z</t>
  </si>
  <si>
    <t>TabZolo 2013-08-09T18:19:59.000Z</t>
  </si>
  <si>
    <t>Ads Link Skipper 2020-10-15T18:41:24.000Z</t>
  </si>
  <si>
    <t>Canvas to Quizlet 2019-02-28T19:20:34.000Z</t>
  </si>
  <si>
    <t>Lehen hitza euskaraz 2017-05-30T10:33:06.000Z</t>
  </si>
  <si>
    <t>StreetEasy Plus 2023-07-10T00:56:33.000Z</t>
  </si>
  <si>
    <t>WPADMIN : Wordpress Site Manager 2019-03-08T14:21:43.000Z</t>
  </si>
  <si>
    <t>TT Downloader 2020-11-06T14:17:18.000Z</t>
  </si>
  <si>
    <t>MultiFile Converter 2021-12-11T09:36:07.000Z</t>
  </si>
  <si>
    <t>SellerDost - Free Daraz Product Hunting Tool 2021-07-20T07:23:01.000Z</t>
  </si>
  <si>
    <t>Picture-in-Picture 2020-03-01T07:10:45.000Z</t>
  </si>
  <si>
    <t>Google Translate Right Click 2020-07-14T06:28:58.000Z</t>
  </si>
  <si>
    <t>ReadFast powered by Spritz 2021-04-19T02:39:16.000Z</t>
  </si>
  <si>
    <t>Attributes Replacer 2019-03-08T14:21:48.000Z</t>
  </si>
  <si>
    <t>Mobdro Instalar Gratis 2020-02-05T17:18:32.000Z</t>
  </si>
  <si>
    <t>ArtSocket ♥ Fine Art Photography 2016-06-18T17:49:52.000Z</t>
  </si>
  <si>
    <t>Calc 2021-07-28T05:29:16.000Z</t>
  </si>
  <si>
    <t>ESI Stylish 2019-03-08T14:21:49.000Z</t>
  </si>
  <si>
    <t>Google Docs Quick Create 2020-05-10T05:11:20.000Z</t>
  </si>
  <si>
    <t>Dreamwidth Tools 2018-09-26T14:17:27.000Z</t>
  </si>
  <si>
    <t>Scrum Poker App 2021-06-03T06:46:15.000Z</t>
  </si>
  <si>
    <t>ING BusinessOnLine komponent 2014-06-10T10:09:23.000Z</t>
  </si>
  <si>
    <t>FDVT: Social Network Data Valuation Tool 2021-11-11T12:45:30.000Z</t>
  </si>
  <si>
    <t>Overlay Remover Auto 2019-06-29T00:05:11.000Z</t>
  </si>
  <si>
    <t>Pretty Gherkin 2018-01-25T14:05:31.000Z</t>
  </si>
  <si>
    <t>Espruino Web IDE 2020-10-23T14:27:02.000Z</t>
  </si>
  <si>
    <t>behind! 2022-04-16T03:31:33.000Z</t>
  </si>
  <si>
    <t>CrossBrowserTesting Local Connection 2019-10-28T19:06:55.000Z</t>
  </si>
  <si>
    <t>Flomo API 2021-01-17T05:03:49.000Z</t>
  </si>
  <si>
    <t>National Address 2022-01-22T08:22:40.000Z</t>
  </si>
  <si>
    <t>Trends Everywhere - Never miss a trend 2020-09-13T06:19:06.000Z</t>
  </si>
  <si>
    <t>Nitro Type stats on race page viewer 2021-11-18T00:37:41.000Z</t>
  </si>
  <si>
    <t>Photo resize compress and Zip 2017-10-03T02:55:58.000Z</t>
  </si>
  <si>
    <t>FlikoverTwo 2023-03-23T10:45:45.000Z</t>
  </si>
  <si>
    <t>New Tab Startup Quotes 2015-07-10T09:54:36.000Z</t>
  </si>
  <si>
    <t>Scroll buttons 2018-06-17T07:16:11.000Z</t>
  </si>
  <si>
    <t>Kite 3.0 Full Width Zerodha Trading Platform 2019-01-12T11:05:33.000Z</t>
  </si>
  <si>
    <t>Omnivore 2024-03-08T07:08:22.000Z</t>
  </si>
  <si>
    <t>VietLunar - Lunar Calendar for Vietnam 2014-09-29T11:17:56.000Z</t>
  </si>
  <si>
    <t>CSS Gradient Inspector 2014-10-01T18:57:35.000Z</t>
  </si>
  <si>
    <t>品聘插件 2023-09-08T10:48:14.000Z</t>
  </si>
  <si>
    <t>#Clicky for Slack 2018-12-27T10:44:19.000Z</t>
  </si>
  <si>
    <t>Ａｅｓｔｈｅｔｉｃ Ｗｉｄｔｈ 2018-02-28T16:05:19.000Z</t>
  </si>
  <si>
    <t>UMich Lecture Downloader 2018-12-03T03:10:51.000Z</t>
  </si>
  <si>
    <t>FlyView for SharePoint and Office 365 Sites 2020-05-29T09:43:07.000Z</t>
  </si>
  <si>
    <t>Toolbar Clock CE-7 2015-10-19T17:17:09.000Z</t>
  </si>
  <si>
    <t>Jdict Dictionary 2022-09-15T05:45:35.000Z</t>
  </si>
  <si>
    <t>BackLink Mass Ping 2014-03-25T01:11:42.000Z</t>
  </si>
  <si>
    <t>tabby 2020-09-07T13:51:59.000Z</t>
  </si>
  <si>
    <t>WheresApp 2020-02-20T12:03:38.000Z</t>
  </si>
  <si>
    <t>2Ring Extension for Cisco Finesse v3.5.0 2021-05-20T07:28:33.000Z</t>
  </si>
  <si>
    <t>frienddl.io - score keeper 2024-05-19T11:17:40.000Z</t>
  </si>
  <si>
    <t>True Love Calculator 2020-12-15T04:44:44.000Z</t>
  </si>
  <si>
    <t>eq8 2023-08-28T11:17:47.000Z</t>
  </si>
  <si>
    <t>Советник Дрома 2022-08-10T14:43:13.000Z</t>
  </si>
  <si>
    <t>Steam Market History Helper 2023-08-30T00:33:28.000Z</t>
  </si>
  <si>
    <t>AO3 First Tag Search 2020-11-16T15:17:02.000Z</t>
  </si>
  <si>
    <t>閲覧履歴ポップアップ検索 2013-10-30T08:52:47.000Z</t>
  </si>
  <si>
    <t>Culture Cloud 2020-09-30T04:56:43.000Z</t>
  </si>
  <si>
    <t>PrizeRebel - Online Paid Surveys for Money 2021-05-06T08:22:23.000Z</t>
  </si>
  <si>
    <t>Control Panel Login 2015-06-11T16:38:02.000Z</t>
  </si>
  <si>
    <t>TikBuddy: TikTok Analytics Online Toolkit 2024-12-17T11:01:34.000Z</t>
  </si>
  <si>
    <t>Textify 2020-05-16T04:08:34.000Z</t>
  </si>
  <si>
    <t>Clean Calculator Extension 2015-01-21T02:34:28.000Z</t>
  </si>
  <si>
    <t>Minimalist for Everything 2020-05-22T08:44:17.000Z</t>
  </si>
  <si>
    <t>MYKI Password Manager &amp; Authenticator 2022-03-02T08:17:39.000Z</t>
  </si>
  <si>
    <t>Mute Notifications 2019-12-20T19:34:12.000Z</t>
  </si>
  <si>
    <t>Helper for Google Calendar™ 2023-11-11T11:03:51.000Z</t>
  </si>
  <si>
    <t>Meeting Translator 2021-03-23T20:07:19.000Z</t>
  </si>
  <si>
    <t>Plugin Desk 2023-09-28T15:51:18.000Z</t>
  </si>
  <si>
    <t>MercadoLibre Más Vendidos 2020-11-27T12:32:40.000Z</t>
  </si>
  <si>
    <t>Ant.com antmarks addon 2021-03-25T11:35:59.000Z</t>
  </si>
  <si>
    <t>Website Whitelist 2023-09-07T03:42:43.000Z</t>
  </si>
  <si>
    <t>Cashgoback.pl 2021-12-10T22:26:41.000Z</t>
  </si>
  <si>
    <t>Logiciel antispam antivirus Altospam 2017-11-30T18:10:37.000Z</t>
  </si>
  <si>
    <t>Klay_Printer 2017-02-15T16:55:30.000Z</t>
  </si>
  <si>
    <t>SRM Autofill Feedback 2021-05-15T10:25:35.000Z</t>
  </si>
  <si>
    <t>Open Tabs In Foreground 2023-03-25T08:02:13.000Z</t>
  </si>
  <si>
    <t>BibItNow! 2022-04-17T09:26:24.000Z</t>
  </si>
  <si>
    <t>Emotes Everywhere 2020-07-28T06:36:21.000Z</t>
  </si>
  <si>
    <t>Hashtagify 2018-05-13T11:37:30.000Z</t>
  </si>
  <si>
    <t>Queria Toolbar for Google Chrome™ 2020-11-19T11:28:23.000Z</t>
  </si>
  <si>
    <t>QbitTorrent Client 2021-03-14T23:53:35.000Z</t>
  </si>
  <si>
    <t>QR creator 2021-06-03T11:03:22.000Z</t>
  </si>
  <si>
    <t>Chorus for HCL Verse 2021-07-01T07:42:06.000Z</t>
  </si>
  <si>
    <t>Narwallets 2022-01-16T15:35:48.000Z</t>
  </si>
  <si>
    <t>Life Counter 2016-01-01T02:19:24.000Z</t>
  </si>
  <si>
    <t>JSTorrent Helper extension 2016-10-14T03:10:11.000Z</t>
  </si>
  <si>
    <t>Block Ads for Social Network 2023-10-26T09:56:43.000Z</t>
  </si>
  <si>
    <t>Iframe Detector 2018-12-11T04:15:35.000Z</t>
  </si>
  <si>
    <t>PrivacyScreen 2018-05-02T12:36:00.000Z</t>
  </si>
  <si>
    <t>F1 TV Playback Controls 2021-01-05T09:05:58.000Z</t>
  </si>
  <si>
    <t>Hide Youtube Likes/Dislikes 2023-05-09T01:10:55.000Z</t>
  </si>
  <si>
    <t>MTG Prices by MTGGoldfish 2017-02-17T19:08:25.000Z</t>
  </si>
  <si>
    <t>Dinopass 🦕 2021-03-20T14:13:32.000Z</t>
  </si>
  <si>
    <t>Betsy 2021-07-08T04:41:30.000Z</t>
  </si>
  <si>
    <t>Add-ons for Evernote Web App 2020-11-20T03:54:57.000Z</t>
  </si>
  <si>
    <t>Stickers Packer 2023-06-09T18:18:43.000Z</t>
  </si>
  <si>
    <t>Front Rush Gmail Interactions 2023-12-01T20:49:13.000Z</t>
  </si>
  <si>
    <t>Email Finder 2021-08-20T10:42:36.000Z</t>
  </si>
  <si>
    <t>Proxy Switchy Auto 2023-10-17T09:29:10.000Z</t>
  </si>
  <si>
    <t>Thieve AliExpress Tools 2024-05-29T05:59:25.000Z</t>
  </si>
  <si>
    <t>Upnet 2022-09-30T13:10:44.000Z</t>
  </si>
  <si>
    <t>VeeeVPN - #1 VPN Proxy Extension for Chrome 2023-01-10T03:59:31.000Z</t>
  </si>
  <si>
    <t>Muunship.com 2023-03-10T04:21:21.000Z</t>
  </si>
  <si>
    <t>Floating Video Player 2018-02-08T01:33:19.000Z</t>
  </si>
  <si>
    <t>Blue Prism 6.10.2 Browser Extension 2022-12-06T12:34:16.000Z</t>
  </si>
  <si>
    <t>Freshmarketer-A/B Testing &amp; Heatmap Software 2021-05-18T06:33:41.000Z</t>
  </si>
  <si>
    <t>CSS Diff 2016-04-20T19:10:01.000Z</t>
  </si>
  <si>
    <t>my code stock.com 2014-03-04T11:37:08.000Z</t>
  </si>
  <si>
    <t>Node.js Inspector Manager (NiM) 2017-04-28T17:13:56.000Z</t>
  </si>
  <si>
    <t>Gmail sender favicons (domain icons) 2017-03-11T09:18:04.000Z</t>
  </si>
  <si>
    <t>Switchmark 2017-09-28T22:20:50.000Z</t>
  </si>
  <si>
    <t>Default Account for Google™ products 2022-10-14T06:01:36.000Z</t>
  </si>
  <si>
    <t>Web Risk Info 2022-01-07T22:08:44.000Z</t>
  </si>
  <si>
    <t>TL;DR - Article Summarizer 2014-11-05T13:08:42.000Z</t>
  </si>
  <si>
    <t>Адаптер Рутокен Web Плагин 2015-11-27T11:15:34.000Z</t>
  </si>
  <si>
    <t>Surveillance Client NVR 2017-02-07T03:35:02.000Z</t>
  </si>
  <si>
    <t>Edge Translate 2023-08-21T10:52:59.000Z</t>
  </si>
  <si>
    <t>Rainbowify 2016-05-24T08:56:30.000Z</t>
  </si>
  <si>
    <t>HTML Validator 2018-03-15T19:39:55.000Z</t>
  </si>
  <si>
    <t>Adisyo Sipariş Kontrol 2023-03-30T02:16:40.000Z</t>
  </si>
  <si>
    <t>Rain sound 2015-02-24T01:00:44.000Z</t>
  </si>
  <si>
    <t>CS.Money Antiscam 2022-06-10T12:56:58.000Z</t>
  </si>
  <si>
    <t>HTML Prank 2020-01-30T16:49:03.000Z</t>
  </si>
  <si>
    <t>Highlight tool 2024-06-11T10:41:01.000Z</t>
  </si>
  <si>
    <t>XDCPay 2023-12-15T06:07:23.000Z</t>
  </si>
  <si>
    <t>Meta Reader 2017-03-07T15:51:44.000Z</t>
  </si>
  <si>
    <t>Robux to USD 2019-02-11T01:36:19.000Z</t>
  </si>
  <si>
    <t>打骨折-淘宝优惠券 天猫优惠券领取 2020-05-23T14:43:34.000Z</t>
  </si>
  <si>
    <t>HTTP to HTTPS 2019-01-26T16:03:42.000Z</t>
  </si>
  <si>
    <t>TSOW - The Settlers Online Widget 2017-11-03T18:40:35.000Z</t>
  </si>
  <si>
    <t>Online Video Converter 2021-07-01T10:58:43.000Z</t>
  </si>
  <si>
    <t>No Bitcoin miners 2017-09-29T20:08:53.000Z</t>
  </si>
  <si>
    <t>painter for workflowy.com 2013-05-11T19:21:02.000Z</t>
  </si>
  <si>
    <t>NetMarks - Bookmarks menu 2018-11-25T03:14:59.000Z</t>
  </si>
  <si>
    <t>Styler 2020-08-25T06:18:09.000Z</t>
  </si>
  <si>
    <t>轻舟加速器 - 一键免费回国 2021-08-02T13:04:44.000Z</t>
  </si>
  <si>
    <t>SafeBrowser 2015-07-18T10:55:22.000Z</t>
  </si>
  <si>
    <t>Twitch Server Checker 2019-12-20T13:33:05.000Z</t>
  </si>
  <si>
    <t>Twitch KappaPaster9000 2015-08-14T11:02:51.000Z</t>
  </si>
  <si>
    <t>Tumblr Safe Mode Bypass 2019-01-01T18:12:25.000Z</t>
  </si>
  <si>
    <t>DAT Bootcamp Biology 2022-01-22T04:12:41.000Z</t>
  </si>
  <si>
    <t>YouTube With Friends 2021-03-14T09:35:07.000Z</t>
  </si>
  <si>
    <t>Premium.to Linkload 2014-06-15T14:58:40.000Z</t>
  </si>
  <si>
    <t>YouSpot 2020-05-31T05:46:45.000Z</t>
  </si>
  <si>
    <t>New Tab to Tasks 2013-07-05T02:34:53.000Z</t>
  </si>
  <si>
    <t>Cookie Cutter GDPR Auto-Deny (en) 2024-11-19T09:46:43.000Z</t>
  </si>
  <si>
    <t>IP Camera Picture Browser 2017-09-19T21:01:57.000Z</t>
  </si>
  <si>
    <t>Upset your friends  - Set with friends hack 2021-03-24T11:23:16.000Z</t>
  </si>
  <si>
    <t>Skynet 2016-07-28T19:56:14.000Z</t>
  </si>
  <si>
    <t>DevTools Theme: Zero Dark Matrix 2019-10-03T17:16:30.000Z</t>
  </si>
  <si>
    <t>Inception Button 2013-04-05T21:57:54.000Z</t>
  </si>
  <si>
    <t>Free OCR extract text from ActiveTab 2021-06-19T07:24:40.000Z</t>
  </si>
  <si>
    <t>YouTube Turbo Button 2019-09-30T01:43:58.000Z</t>
  </si>
  <si>
    <t>Talk Time for Google Meet 2021-03-09T15:10:28.000Z</t>
  </si>
  <si>
    <t>Last.fm Manual Scrobbler 2014-06-22T05:16:06.000Z</t>
  </si>
  <si>
    <t>Udemy Subtitle Translator with Custom Style 2021-03-03T12:34:09.000Z</t>
  </si>
  <si>
    <t>TabStash 2020-05-23T22:33:12.000Z</t>
  </si>
  <si>
    <t>BlockWallet 2024-11-03T04:32:51.000Z</t>
  </si>
  <si>
    <t>sodaG 2016-03-12T00:02:27.000Z</t>
  </si>
  <si>
    <t>EasyCRM Whats App API(BETA) 2019-07-22T11:36:01.000Z</t>
  </si>
  <si>
    <t>Meteor MiniMongo Explorer 2019-03-03T22:24:46.000Z</t>
  </si>
  <si>
    <t>Angry Study Helper 2020-08-31T07:50:29.000Z</t>
  </si>
  <si>
    <t>Weather Buddy 2017-02-12T01:02:51.000Z</t>
  </si>
  <si>
    <t>podStation Podcast Player 2024-05-31T09:31:37.000Z</t>
  </si>
  <si>
    <t>Auto-Convert CSV to XLSX 2021-01-11T12:53:37.000Z</t>
  </si>
  <si>
    <t>瀏覽器閱讀輔助外掛Chinese Learning 2024-09-23T12:32:50.000Z</t>
  </si>
  <si>
    <t>Interval Timer 2020-06-28T07:16:10.000Z</t>
  </si>
  <si>
    <t>Untrusted Types for DevTools 2021-10-12T18:06:53.000Z</t>
  </si>
  <si>
    <t>Chrome Regex Search 2019-01-24T07:42:19.000Z</t>
  </si>
  <si>
    <t>Foxtrick 2016-06-04T16:37:37.000Z</t>
  </si>
  <si>
    <t>Voz Living 2020-01-14T16:56:38.000Z</t>
  </si>
  <si>
    <t>WordPress theme and plugins detector 2017 2017-09-26T07:25:40.000Z</t>
  </si>
  <si>
    <t>Word count 2013-09-04T15:47:43.000Z</t>
  </si>
  <si>
    <t>Old Gmail Emoji 2015-12-25T10:02:29.000Z</t>
  </si>
  <si>
    <t>Dryft 2021-04-16T08:10:00.000Z</t>
  </si>
  <si>
    <t>Deadname-B-Gon 2020-02-29T10:30:45.000Z</t>
  </si>
  <si>
    <t>Sports Heads Football 2019-04-06T07:29:41.000Z</t>
  </si>
  <si>
    <t>贴吧签到助手 2022-01-13T10:48:45.000Z</t>
  </si>
  <si>
    <t>Local Cache 2018-01-02T00:05:48.000Z</t>
  </si>
  <si>
    <t>Twitch Giveaways 2021-02-07T14:25:15.000Z</t>
  </si>
  <si>
    <t>Reddit Link Opener 2022-05-27T04:57:30.000Z</t>
  </si>
  <si>
    <t>KiSSFLOW - Attachments-Download-All 2014-12-11T11:10:16.000Z</t>
  </si>
  <si>
    <t>Daily Links 2022-02-17T05:03:51.000Z</t>
  </si>
  <si>
    <t>RemotePC Scheduler 2021-09-22T06:45:57.000Z</t>
  </si>
  <si>
    <t>Grabr - Global Shopping &amp; Delivery 2020-03-30T08:22:33.000Z</t>
  </si>
  <si>
    <t>Google Meet Attendance 2020-08-03T13:05:39.000Z</t>
  </si>
  <si>
    <t>Temporary Bookmarks 2015-10-09T02:49:09.000Z</t>
  </si>
  <si>
    <t>Faceit pick map assistant 2021-07-07T04:32:05.000Z</t>
  </si>
  <si>
    <t>TabToPopup 2022-04-18T06:27:24.000Z</t>
  </si>
  <si>
    <t>PM for Trello 2021-09-07T09:19:29.000Z</t>
  </si>
  <si>
    <t>Mute Tabs By Url 2019-02-14T07:03:04.000Z</t>
  </si>
  <si>
    <t>Rediff.com - India's leading portal 2014-09-24T04:55:07.000Z</t>
  </si>
  <si>
    <t>JAvascript based Database Editor 2019-03-08T14:24:52.000Z</t>
  </si>
  <si>
    <t>Text Toolkit : (AIO Text Tools) 2020-08-04T08:16:05.000Z</t>
  </si>
  <si>
    <t>HushFind 2020-12-01T05:57:55.000Z</t>
  </si>
  <si>
    <t>闪耀色彩异步脚本 2022-06-11T11:55:05.000Z</t>
  </si>
  <si>
    <t>reCAPTCHA Autoclick 2017-12-29T06:45:54.000Z</t>
  </si>
  <si>
    <t>Focused Reader Extension 2019-09-11T00:04:35.000Z</t>
  </si>
  <si>
    <t>Type Upside Down 2015-04-10T01:58:40.000Z</t>
  </si>
  <si>
    <t>Fast Forward Cookie Clicker 2013-09-19T23:57:05.000Z</t>
  </si>
  <si>
    <t>Flash Master 2013-11-13T04:55:13.000Z</t>
  </si>
  <si>
    <t>HASHIGO! - Learning Japanese with Netflix 2021-09-29T12:13:03.000Z</t>
  </si>
  <si>
    <t>AFS Prime 2023-01-13T14:54:18.000Z</t>
  </si>
  <si>
    <t>ScreenplaySubs - Netflix with Screenplays 2020-08-31T11:35:13.000Z</t>
  </si>
  <si>
    <t>youtubecheetsheet 2018-01-01T10:11:27.000Z</t>
  </si>
  <si>
    <t>SonicBit 2022-07-23T05:44:17.000Z</t>
  </si>
  <si>
    <t>JS-Exec 2019-03-08T14:25:09.000Z</t>
  </si>
  <si>
    <t>UiB Ordbok 2017-01-24T15:46:24.000Z</t>
  </si>
  <si>
    <t>Codenames Assistant 2020-12-30T23:44:21.000Z</t>
  </si>
  <si>
    <t>Byteline Web Scraper 2024-05-31T10:18:00.000Z</t>
  </si>
  <si>
    <t>Disable HTML5 Autoplay (Reloaded) 2023-08-04T07:43:58.000Z</t>
  </si>
  <si>
    <t>CF World Standings 2020-04-02T08:02:59.000Z</t>
  </si>
  <si>
    <t>Boost Nine Pro Extension 2021-07-08T03:24:12.000Z</t>
  </si>
  <si>
    <t>Find My Bookmarks: Search Your Bookmarks 2019-04-11T15:29:11.000Z</t>
  </si>
  <si>
    <t>CorityLayout+ 2021-05-12T05:29:35.000Z</t>
  </si>
  <si>
    <t>Cleanflight - Blackbox Explorer 2016-12-23T03:46:14.000Z</t>
  </si>
  <si>
    <t>Slitherio Bot 2020-08-19T06:29:28.000Z</t>
  </si>
  <si>
    <t>Easync Product ID Grab Tool for Drop Shipping 2023-07-06T10:05:06.000Z</t>
  </si>
  <si>
    <t>MySQL Console 2014-11-17T00:19:40.000Z</t>
  </si>
  <si>
    <t>Video Looper 2021-03-09T09:09:39.000Z</t>
  </si>
  <si>
    <t>WordPress Tutorials WPCompendium 2016-11-08T05:46:16.000Z</t>
  </si>
  <si>
    <t>Youtube popup blocker 2020-09-09T11:44:39.000Z</t>
  </si>
  <si>
    <t>Helpjuice 2017-12-21T21:25:48.000Z</t>
  </si>
  <si>
    <t>Save to Pocket (mini) 2014-08-08T16:15:27.000Z</t>
  </si>
  <si>
    <t>PreWrap 2025-01-06T04:37:59.000Z</t>
  </si>
  <si>
    <t>Uniface Anywhere 2019-02-08T14:51:18.000Z</t>
  </si>
  <si>
    <t>Drive Webcam</t>
  </si>
  <si>
    <t>Get Styles 2016-04-14T07:31:51.000Z</t>
  </si>
  <si>
    <t>Post Editor for Google+™ 2016-03-12T17:28:52.000Z</t>
  </si>
  <si>
    <t>Netflix 1080p 2021-12-20T03:21:11.000Z</t>
  </si>
  <si>
    <t>SSHY-selainlaajennus 2022-09-16T07:14:57.000Z</t>
  </si>
  <si>
    <t>Universal Social Wishlist | Wishtack 2016-10-09T13:38:25.000Z</t>
  </si>
  <si>
    <t>iNikolayev 2019-09-03T01:05:11.000Z</t>
  </si>
  <si>
    <t>Copy URL+ 2020-08-06T08:48:43.000Z</t>
  </si>
  <si>
    <t>WebSocket Tester 2016-03-12T14:45:35.000Z</t>
  </si>
  <si>
    <t>Color Dropper 2021-08-25T05:07:51.000Z</t>
  </si>
  <si>
    <t>Take Selfie 2013-10-02T13:39:30.000Z</t>
  </si>
  <si>
    <t>WebSocket King Client 2021-01-12T22:17:29.000Z</t>
  </si>
  <si>
    <t>Trendstastic 2020-08-27T11:18:09.000Z</t>
  </si>
  <si>
    <t>PushAll 2023-04-26T07:57:34.000Z</t>
  </si>
  <si>
    <t>Youtube Blocker 2020-07-12T05:32:22.000Z</t>
  </si>
  <si>
    <t>Context Menu Bookmarks 2015-05-12T22:08:24.000Z</t>
  </si>
  <si>
    <t>Chrome Snake 2018-03-09T11:13:40.000Z</t>
  </si>
  <si>
    <t>Stop Tracking Me on Reddit 2016-08-06T11:21:47.000Z</t>
  </si>
  <si>
    <t>github.expandinizr 2020-07-24T11:52:51.000Z</t>
  </si>
  <si>
    <t>TikTok Volume 2021-01-07T10:01:56.000Z</t>
  </si>
  <si>
    <t>BrickPal 2023-02-25T00:31:17.000Z</t>
  </si>
  <si>
    <t>Get Traffic To Your Blog 2016-04-17T01:16:56.000Z</t>
  </si>
  <si>
    <t>Separate Window 2019-04-07T07:26:45.000Z</t>
  </si>
  <si>
    <t>Trackerless Magnet URI 2019-01-23T01:35:27.000Z</t>
  </si>
  <si>
    <t>Web Archive Viewer 2018-10-08T09:13:57.000Z</t>
  </si>
  <si>
    <t>Timebox++ 2017-07-25T21:40:34.000Z</t>
  </si>
  <si>
    <t>돌려돌려 돌림판 2017-04-25T04:42:22.000Z</t>
  </si>
  <si>
    <t>Private Bookmarks 2013-12-18T01:33:41.000Z</t>
  </si>
  <si>
    <t>TeX All the Things 2021-11-29T03:57:58.000Z</t>
  </si>
  <si>
    <t>ShopeeCookies 2017-01-26T13:41:51.000Z</t>
  </si>
  <si>
    <t>Taobao Search Translator 2020-03-25T05:17:35.000Z</t>
  </si>
  <si>
    <t>Click to Call CTI for CRM 2024-03-20T09:49:23.000Z</t>
  </si>
  <si>
    <t>QU Studio 2023-01-27T08:57:00.000Z</t>
  </si>
  <si>
    <t>Markup - Web Markups &amp; Highlighter 2022-11-15T12:41:20.000Z</t>
  </si>
  <si>
    <t>Bishop Vulnerability Scanner 2019-01-20T18:16:44.000Z</t>
  </si>
  <si>
    <t>楽天市場 ジャンル別ランキング チェッカー 2013-07-23T14:59:23.000Z</t>
  </si>
  <si>
    <t>YouTube Video Player 2020-02-29T12:41:05.000Z</t>
  </si>
  <si>
    <t>Toggl Button for Custom Websites 2015-07-15T01:03:10.000Z</t>
  </si>
  <si>
    <t>Công Cụ Đặt Hàng Của Nhập Hàng Quốc Tế 2021-11-24T09:45:54.000Z</t>
  </si>
  <si>
    <t>Google Meet Mirror / Flip Camera 2020-11-05T05:04:06.000Z</t>
  </si>
  <si>
    <t>Axel Springer Blocker (ASB) - Redux Edtion 2019-03-30T14:19:09.000Z</t>
  </si>
  <si>
    <t>Python Compiler Editor 2018-10-22T01:26:45.000Z</t>
  </si>
  <si>
    <t>Apiary Browser Extension 2019-05-25T14:37:17.000Z</t>
  </si>
  <si>
    <t>AdjusTimer 2024-01-23T08:32:14.000Z</t>
  </si>
  <si>
    <t>この拡張はいかがでしたか？ 2017-11-04T00:44:59.000Z</t>
  </si>
  <si>
    <t>Tenhou English UI 2020-05-01T10:47:01.000Z</t>
  </si>
  <si>
    <t>Panorama Viewer 2018-11-29T06:40:42.000Z</t>
  </si>
  <si>
    <t>ripple 2016-04-09T02:18:24.000Z</t>
  </si>
  <si>
    <t>efTwo (F2) - Advanced Find on Page 2019-03-08T14:27:15.000Z</t>
  </si>
  <si>
    <t>Cookie Monitor 2014-12-26T06:05:32.000Z</t>
  </si>
  <si>
    <t>KDP SEO BOT 2019-08-21T00:19:29.000Z</t>
  </si>
  <si>
    <t>Copy all links and image links to CSV or JSON 2018-05-10T06:32:34.000Z</t>
  </si>
  <si>
    <t>Download'em All 2016-09-27T02:47:18.000Z</t>
  </si>
  <si>
    <t>Covfefe 2018-07-27T17:06:19.000Z</t>
  </si>
  <si>
    <t>Deadname Remover 2022-12-13T14:57:54.000Z</t>
  </si>
  <si>
    <t>Text to Speech 2019-10-27T09:27:20.000Z</t>
  </si>
  <si>
    <t>Trello Export Excel Suite 2019-03-08T14:27:36.000Z</t>
  </si>
  <si>
    <t>Trump Kittens 2019-06-24T10:56:18.000Z</t>
  </si>
  <si>
    <t>FreeSMUG Updater for Chromium (Mac) 2018-08-16T02:52:56.000Z</t>
  </si>
  <si>
    <t>HN Special - An addition to Hacker News 2022-10-05T06:08:29.000Z</t>
  </si>
  <si>
    <t>Csgobackpack Helper 2015-09-18T19:47:13.000Z</t>
  </si>
  <si>
    <t>i-search Automation2021 2021-09-18T05:00:12.000Z</t>
  </si>
  <si>
    <t>DevTools Theme: Just Black 2022-10-08T09:59:49.000Z</t>
  </si>
  <si>
    <t>Mindful Browsing 2021-01-30T11:26:47.000Z</t>
  </si>
  <si>
    <t>Funnelyzer - Easily analyze eCommerce data 2023-07-04T03:30:02.000Z</t>
  </si>
  <si>
    <t>Open Spotify Desktop App 2021-01-12T10:11:59.000Z</t>
  </si>
  <si>
    <t>Nudity Filter 2017-11-01T20:47:04.000Z</t>
  </si>
  <si>
    <t>greybeard devtools theme 2014-12-17T16:32:56.000Z</t>
  </si>
  <si>
    <t>Mrtzc | Best Music Search Engine Online 2016-03-03T20:20:43.000Z</t>
  </si>
  <si>
    <t>CTabs 2021-08-20T12:12:37.000Z</t>
  </si>
  <si>
    <t>Salesforce Security 2021-03-03T12:42:08.000Z</t>
  </si>
  <si>
    <t>Skimcast 2016-09-15T21:10:27.000Z</t>
  </si>
  <si>
    <t>Follow Feed | Feedly 2019-04-12T21:55:57.000Z</t>
  </si>
  <si>
    <t>Jeux gratuits - The-JeuxFlash.com 2017-11-12T04:32:59.000Z</t>
  </si>
  <si>
    <t>EGANY Tools 2024-07-01T04:58:47.000Z</t>
  </si>
  <si>
    <t>Kalendario for Google Calendar™ 2022-04-25T05:08:28.000Z</t>
  </si>
  <si>
    <t>Time Doctor Classic Chrome Extension 2024-10-04T05:37:37.000Z</t>
  </si>
  <si>
    <t>VNCtalk Desktop Streamer 2019-01-14T11:54:40.000Z</t>
  </si>
  <si>
    <t>Highlight Links 2020-12-20T05:05:16.000Z</t>
  </si>
  <si>
    <t>Color Palette 2016-07-16T06:28:59.000Z</t>
  </si>
  <si>
    <t>Starsucks 2015-12-29T05:48:25.000Z</t>
  </si>
  <si>
    <t>Chrome Litchi Virtual Mission 2019-06-29T14:04:37.000Z</t>
  </si>
  <si>
    <t>Auction Fan 2016-08-09T07:02:32.000Z</t>
  </si>
  <si>
    <t>Gmail automatic BCC me by 010Pixel 2017-05-22T03:54:16.000Z</t>
  </si>
  <si>
    <t>Cleanbrowser 2019-02-14T09:01:38.000Z</t>
  </si>
  <si>
    <t>Flip That Tab 2016-05-29T05:30:54.000Z</t>
  </si>
  <si>
    <t>CFCA CryptoKit.SDRCB Extension 2020-09-16T04:13:13.000Z</t>
  </si>
  <si>
    <t>Flying Unicorn 2017-12-14T17:26:22.000Z</t>
  </si>
  <si>
    <t>South China Morning Clearance 2013-07-15T18:17:12.000Z</t>
  </si>
  <si>
    <t>Domkit 2017-07-22T17:40:46.000Z</t>
  </si>
  <si>
    <t>Frameless for Instagram 2019-12-06T03:29:46.000Z</t>
  </si>
  <si>
    <t>HTML Heading Highlighter 2018-10-15T10:10:53.000Z</t>
  </si>
  <si>
    <t>X-notifier (for Gmail™</t>
  </si>
  <si>
    <t>CSS remove and combine 2014-02-03T10:41:47.000Z</t>
  </si>
  <si>
    <t>Solitaire Social Flash Allow 2019-07-11T02:29:14.000Z</t>
  </si>
  <si>
    <t>Transnote - Video Notes for YouTube 2020-06-06T09:22:26.000Z</t>
  </si>
  <si>
    <t>유튜브 노래방 기계 - YouTube Karaoke Toolkit 2022-02-10T06:43:07.000Z</t>
  </si>
  <si>
    <t>Dev Tools for SharePoint 2019-06-21T16:03:08.000Z</t>
  </si>
  <si>
    <t>Octo微博相册批量下载 2021-02-07T07:19:13.000Z</t>
  </si>
  <si>
    <t>Chrono 2014-05-05T12:30:06.000Z</t>
  </si>
  <si>
    <t>Schedule URL [DEV] 2021-02-16T03:56:48.000Z</t>
  </si>
  <si>
    <t>SumThing 2021-11-26T04:14:04.000Z</t>
  </si>
  <si>
    <t>Strava Plus 2016-09-08T16:48:30.000Z</t>
  </si>
  <si>
    <t>Simple Autofill 2014-07-25T14:51:39.000Z</t>
  </si>
  <si>
    <t>JsCIN: JavaScript based Chinese Input Methods 2024-11-13T13:50:02.000Z</t>
  </si>
  <si>
    <t>Local Audio Player 2019-06-20T20:17:22.000Z</t>
  </si>
  <si>
    <t>Thinreports Editor 2017-11-20T11:12:54.000Z</t>
  </si>
  <si>
    <t>RSS Feed Reader 2015-03-06T15:02:08.000Z</t>
  </si>
  <si>
    <t>ChocoChip - Cookie Manager 2013-01-21T06:21:40.000Z</t>
  </si>
  <si>
    <t>Web Go Board 2022-03-25T08:00:39.000Z</t>
  </si>
  <si>
    <t>Transmitter for Transmission 2017-12-06T17:29:01.000Z</t>
  </si>
  <si>
    <t>Link Preview Sidebar 2020-12-31T04:40:59.000Z</t>
  </si>
  <si>
    <t>Auto-Register 2019-11-15T13:05:41.000Z</t>
  </si>
  <si>
    <t>Tradutor Rapido/Facil 2017-04-07T17:58:26.000Z</t>
  </si>
  <si>
    <t>Aternity Web Activity Creator 2020-07-07T08:46:19.000Z</t>
  </si>
  <si>
    <t>VIT Go 2018-12-05T14:10:00.000Z</t>
  </si>
  <si>
    <t>Переглядач коментарів zno.osvita.ua 2021-05-20T22:40:28.000Z</t>
  </si>
  <si>
    <t>Hitmarkers 2016-04-02T04:00:49.000Z</t>
  </si>
  <si>
    <t>沙拉查词-聚合词典划词翻译 2021-10-21T08:18:34.000Z</t>
  </si>
  <si>
    <t>Task Timer 2019-09-02T06:59:28.000Z</t>
  </si>
  <si>
    <t>CodeWeavers User-Agent Helper 2018-08-10T18:56:47.000Z</t>
  </si>
  <si>
    <t>Scholar H-Index Calculator for Google Chrome™ 2021-04-07T09:41:07.000Z</t>
  </si>
  <si>
    <t>Search Plus 2016-02-07T09:44:55.000Z</t>
  </si>
  <si>
    <t>Sample IME for IME extension API 2013-11-13T05:52:44.000Z</t>
  </si>
  <si>
    <t>Videojs Webextension 2016-07-18T16:39:39.000Z</t>
  </si>
  <si>
    <t>Dialer 2019-10-06T19:15:10.000Z</t>
  </si>
  <si>
    <t>Twitterのキーボードショートカットを無効化するやつ 2024-05-25T06:56:38.000Z</t>
  </si>
  <si>
    <t>The Pirate Bay unblocker 2014-12-01T18:01:18.000Z</t>
  </si>
  <si>
    <t>AlarmDJ - Online Alarm Clock 2019-03-19T18:53:23.000Z</t>
  </si>
  <si>
    <t>8-Ball Pool 2018-06-19T16:18:09.000Z</t>
  </si>
  <si>
    <t>Google Keep Encryptor 2022-03-25T11:16:06.000Z</t>
  </si>
  <si>
    <t>ImageQuilts 2015-05-22T22:30:30.000Z</t>
  </si>
  <si>
    <t>LibShield Chrome Client 2022-03-09T00:25:17.000Z</t>
  </si>
  <si>
    <t>LeetCode Reminder 2020-05-25T04:20:02.000Z</t>
  </si>
  <si>
    <t>UTC Time Now 2023-08-31T06:27:08.000Z</t>
  </si>
  <si>
    <t>Simple URL Copy 2020-07-05T06:42:20.000Z</t>
  </si>
  <si>
    <t>Loola TV 2021-03-18T10:47:49.000Z</t>
  </si>
  <si>
    <t>Tab Aligner 2017-06-09T22:09:18.000Z</t>
  </si>
  <si>
    <t>VK Styles - Themes for vk.com 2024-02-02T05:57:59.000Z</t>
  </si>
  <si>
    <t>Tel Linker 2019-02-05T22:08:32.000Z</t>
  </si>
  <si>
    <t>Affixa - Gmail (TM) Draft Display 2019-01-06T05:10:40.000Z</t>
  </si>
  <si>
    <t>Skribbl Helper 2020-06-08T05:10:44.000Z</t>
  </si>
  <si>
    <t>I'm not robot captcha clicker 2022-06-15T04:19:40.000Z</t>
  </si>
  <si>
    <t>VK Photo Saver 2020-06-27T06:02:31.000Z</t>
  </si>
  <si>
    <t>Tratu-Soha Lookup 2021-05-20T07:10:32.000Z</t>
  </si>
  <si>
    <t>Twitter Unfollow Unfollowers 2017-11-09T19:34:05.000Z</t>
  </si>
  <si>
    <t>AIS Multimonitor Extension 2021-12-13T03:55:30.000Z</t>
  </si>
  <si>
    <t>SimpleTabOrder 2021-06-13T10:30:22.000Z</t>
  </si>
  <si>
    <t>Apollo Tracing 2022-06-03T06:44:31.000Z</t>
  </si>
  <si>
    <t>Magister Auto-Login 2020-09-24T11:58:59.000Z</t>
  </si>
  <si>
    <t>Form Text Counter Badge 2016-06-05T08:45:03.000Z</t>
  </si>
  <si>
    <t>读书笔记 2017-09-28T07:40:06.000Z</t>
  </si>
  <si>
    <t>Simple Image Rotator 2022-08-03T15:47:04.000Z</t>
  </si>
  <si>
    <t>Главред 2017-03-29T04:19:24.000Z</t>
  </si>
  <si>
    <t>Document template finder 2020-12-10T11:50:17.000Z</t>
  </si>
  <si>
    <t>Equation Finder 2019-03-08T14:28:57.000Z</t>
  </si>
  <si>
    <t>Always Old Reddit 2019-09-17T00:46:05.000Z</t>
  </si>
  <si>
    <t>Redmine Notification 2019-03-08T14:28:58.000Z</t>
  </si>
  <si>
    <t>Amazon Product Analyzer 2020-10-31T03:43:06.000Z</t>
  </si>
  <si>
    <t>AutoShopee Kit 2024-12-06T05:12:33.000Z</t>
  </si>
  <si>
    <t>Horizon Collaborate Guest Client 2021-07-31T06:19:30.000Z</t>
  </si>
  <si>
    <t>Military Pride Extension 2021-09-14T13:55:14.000Z</t>
  </si>
  <si>
    <t>Formalizr 2019-04-14T05:56:01.000Z</t>
  </si>
  <si>
    <t>Block Service Workers 2022-08-08T10:10:57.000Z</t>
  </si>
  <si>
    <t>Open Tabs 2017-06-22T20:10:26.000Z</t>
  </si>
  <si>
    <t>TF2 Trading Enhanced 2018-11-10T21:18:16.000Z</t>
  </si>
  <si>
    <t>Goobric Web App Launcher 2015-11-07T03:23:29.000Z</t>
  </si>
  <si>
    <t>网盘助手 2020-11-28T04:57:34.000Z</t>
  </si>
  <si>
    <t>USO  Chrome  Extension 2022-12-28T08:40:07.000Z</t>
  </si>
  <si>
    <t>JSON Formatter 2022-06-18T10:13:04.000Z</t>
  </si>
  <si>
    <t>FixPlay 2021-06-28T07:46:03.000Z</t>
  </si>
  <si>
    <t>Integromat Customizable Extension 2022-01-27T05:45:58.000Z</t>
  </si>
  <si>
    <t>Copy Link With Title 2021-08-25T14:37:02.000Z</t>
  </si>
  <si>
    <t>Expedia Member Only Deals 2016-10-25T16:56:11.000Z</t>
  </si>
  <si>
    <t>映画.com Check-in通知 2021-04-01T07:17:45.000Z</t>
  </si>
  <si>
    <t>WME-JunctionAngle 2017-08-21T11:34:06.000Z</t>
  </si>
  <si>
    <t>1click Edit page 2018-06-17T19:34:19.000Z</t>
  </si>
  <si>
    <t>速卖通店铺装修助手 2024-05-18T08:38:45.000Z</t>
  </si>
  <si>
    <t>Celestia IDE 2016-06-07T07:02:32.000Z</t>
  </si>
  <si>
    <t>plugCubed 2017-12-18T10:24:01.000Z</t>
  </si>
  <si>
    <t>Tokenizator 2015-04-20T00:58:21.000Z</t>
  </si>
  <si>
    <t>SalesLoft Connect - Legacy 2024-07-09T04:39:15.000Z</t>
  </si>
  <si>
    <t>FIFA 18 FB 2019-02-01T11:29:54.000Z</t>
  </si>
  <si>
    <t>Auto Form Filler 2020-07-02T12:43:18.000Z</t>
  </si>
  <si>
    <t>Version Check for Drupal 2017-01-21T18:44:46.000Z</t>
  </si>
  <si>
    <t>Ocean &amp; Beach Wallpapers New Tab 2021-05-06T07:45:35.000Z</t>
  </si>
  <si>
    <t>YouTweak for YouTube™ - Subscription Manager 2016-09-20T20:07:53.000Z</t>
  </si>
  <si>
    <t>Outline Redirect 2020-04-29T12:51:07.000Z</t>
  </si>
  <si>
    <t>Social Blade 2024-08-09T01:40:00.000Z</t>
  </si>
  <si>
    <t>Clip To WorkFlowy 2020-09-10T05:43:48.000Z</t>
  </si>
  <si>
    <t>Salesforce UI Improver 2018-09-28T19:59:08.000Z</t>
  </si>
  <si>
    <t>Drive Slideshow 2014-04-06T04:29:02.000Z</t>
  </si>
  <si>
    <t>Extension Youtube Player 2020-07-01T05:43:15.000Z</t>
  </si>
  <si>
    <t>Clever Bookmarks 2013-12-26T02:13:40.000Z</t>
  </si>
  <si>
    <t>OpenSwitchMaps 2024-05-19T11:54:37.000Z</t>
  </si>
  <si>
    <t>Scribe 2017-02-21T11:51:05.000Z</t>
  </si>
  <si>
    <t>Seasonvar 2017-04-21T18:59:22.000Z</t>
  </si>
  <si>
    <t>Soundcraft UI Midi Control 2021-02-05T09:21:01.000Z</t>
  </si>
  <si>
    <t>Quick source viewer 2021-06-05T07:53:20.000Z</t>
  </si>
  <si>
    <t>DoubleSubs 2024-01-11T23:07:42.000Z</t>
  </si>
  <si>
    <t>Header Inject 2022-04-11T18:01:44.000Z</t>
  </si>
  <si>
    <t>Truth or Dare 2015-06-12T00:04:49.000Z</t>
  </si>
  <si>
    <t>Water Glass 2018-06-06T20:04:40.000Z</t>
  </si>
  <si>
    <t>Google Calendar Time Spent 2021-11-12T04:38:34.000Z</t>
  </si>
  <si>
    <t>Location Guard 2022-03-19T05:54:37.000Z</t>
  </si>
  <si>
    <t>Camera360网页版 2013-05-22T06:49:54.000Z</t>
  </si>
  <si>
    <t>Tab Count 2016-01-17T10:04:37.000Z</t>
  </si>
  <si>
    <t>Easy Window Resize 2021-03-27T06:26:22.000Z</t>
  </si>
  <si>
    <t>Robinhood History Downloader &amp; Analyzer 2023-08-16T11:08:24.000Z</t>
  </si>
  <si>
    <t>Unblock Sites 2017-10-08T11:30:41.000Z</t>
  </si>
  <si>
    <t>ForcePIP 2020-03-25T02:58:34.000Z</t>
  </si>
  <si>
    <t>Wells Fargo - Autofocus login 2015-09-21T09:25:27.000Z</t>
  </si>
  <si>
    <t>Photo Mapper 2013-05-30T11:42:50.000Z</t>
  </si>
  <si>
    <t>Slid: AI-powered Video Note-taking App 2024-12-26T08:29:26.000Z</t>
  </si>
  <si>
    <t>Library Detector 2025-01-08T12:15:02.000Z</t>
  </si>
  <si>
    <t>New Tab Manager 2018-01-16T11:28:32.000Z</t>
  </si>
  <si>
    <t>Challenge Hunt 2016-02-12T20:49:31.000Z</t>
  </si>
  <si>
    <t>Plexify 2016-05-14T02:50:09.000Z</t>
  </si>
  <si>
    <t>Duplicate bookmarks remover 2020-11-17T12:43:29.000Z</t>
  </si>
  <si>
    <t>Unalengua IPA Translator 2021-11-08T14:41:36.000Z</t>
  </si>
  <si>
    <t>Youtube Clip Builder 2017-02-17T11:12:58.000Z</t>
  </si>
  <si>
    <t>Headerbid Expert 2020-04-11T00:02:32.000Z</t>
  </si>
  <si>
    <t>HBO Max/Go Shortcuts 2020-08-03T10:47:09.000Z</t>
  </si>
  <si>
    <t>Melvor Idle Combat Simulator Reloaded 2022-07-06T14:58:21.000Z</t>
  </si>
  <si>
    <t>Slack Desktop Notifications Visibility Helper 2015-05-27T06:37:21.000Z</t>
  </si>
  <si>
    <t>Snowflake 2017-01-27T00:15:05.000Z</t>
  </si>
  <si>
    <t>Messenger - Theme Selector 2019-10-11T12:36:45.000Z</t>
  </si>
  <si>
    <t>IMTLazarusv16 2024-12-17T08:07:42.000Z</t>
  </si>
  <si>
    <t>Syntaxtic! 2019-12-28T00:02:39.000Z</t>
  </si>
  <si>
    <t>DownAlbum 2020-07-28T08:23:14.000Z</t>
  </si>
  <si>
    <t>Autochecker Antispam &amp; Checkbox Tool 2018-07-07T09:10:28.000Z</t>
  </si>
  <si>
    <t>Sideview Plus: Multitask w/o Second Monitor 2023-07-25T14:02:33.000Z</t>
  </si>
  <si>
    <t>award.flights 2020-01-03T02:23:29.000Z</t>
  </si>
  <si>
    <t>Dr.eye 翻譯 2015-07-05T10:17:42.000Z</t>
  </si>
  <si>
    <t>Click Scheduler Pro 2019-05-03T00:02:53.000Z</t>
  </si>
  <si>
    <t>NewTab Adapter 2020-08-10T06:16:37.000Z</t>
  </si>
  <si>
    <t>DOM Highlighter 2019-09-04T18:49:52.000Z</t>
  </si>
  <si>
    <t>NOVA - нова начална страница 2019-03-08T14:30:37.000Z</t>
  </si>
  <si>
    <t>Safe Surf 2021-04-24T06:24:50.000Z</t>
  </si>
  <si>
    <t>Strict Workflow 2014-05-30T05:48:26.000Z</t>
  </si>
  <si>
    <t>Whoer VPN 2023-02-11T05:47:11.000Z</t>
  </si>
  <si>
    <t>GitHub Math Display 2022-03-25T10:37:28.000Z</t>
  </si>
  <si>
    <t>Ping 2015-09-15T07:23:00.000Z</t>
  </si>
  <si>
    <t>JSON pathfinder 2016-10-31T19:57:27.000Z</t>
  </si>
  <si>
    <t>Gentech - Browser Tools 2022-12-30T04:33:17.000Z</t>
  </si>
  <si>
    <t>PubMed Genius 2014-04-02T04:48:58.000Z</t>
  </si>
  <si>
    <t>Assistant RGAA 2022-02-15T05:14:26.000Z</t>
  </si>
  <si>
    <t>Minesweeper 2018-11-25T21:11:23.000Z</t>
  </si>
  <si>
    <t>DJSON. JSON Viewer &amp; Formatter 2019-03-23T13:26:43.000Z</t>
  </si>
  <si>
    <t>Youtube caption indicator 2017-10-08T13:53:01.000Z</t>
  </si>
  <si>
    <t>FandangoSEO Extension 2020-05-18T04:24:03.000Z</t>
  </si>
  <si>
    <t>Group Your Tabs 2015-02-15T14:55:30.000Z</t>
  </si>
  <si>
    <t>Animal Crossing Cursor 2021-08-04T06:38:19.000Z</t>
  </si>
  <si>
    <t>Dark Mode Kali 2023-04-04T12:36:50.000Z</t>
  </si>
  <si>
    <t>QIWI Бонус 2020-10-29T07:47:27.000Z</t>
  </si>
  <si>
    <t>Gmail™ Notifier 2024-06-26T06:16:26.000Z</t>
  </si>
  <si>
    <t>WordReference Translator 2018-02-10T02:04:26.000Z</t>
  </si>
  <si>
    <t>GoinCN回国加速器 - 海外华人穿梭回国免费加速解锁追剧听歌限制 2022-01-19T02:05:28.000Z</t>
  </si>
  <si>
    <t>KAA Menhera 2022-01-28T03:50:17.000Z</t>
  </si>
  <si>
    <t>Browserling - Cross-browser testing 2018-08-31T05:03:28.000Z</t>
  </si>
  <si>
    <t>Templates 2021-07-10T18:21:01.000Z</t>
  </si>
  <si>
    <t>Glose Education Web Clipper 2020-12-09T10:51:00.000Z</t>
  </si>
  <si>
    <t>CommonKey 2022-10-04T06:25:06.000Z</t>
  </si>
  <si>
    <t>GeForce NOW Unlocker 2020-09-01T11:19:47.000Z</t>
  </si>
  <si>
    <t>有道词典划词扩展2023 2025-01-06T07:48:42.000Z</t>
  </si>
  <si>
    <t>Quick Search 2022-05-08T06:12:10.000Z</t>
  </si>
  <si>
    <t>Hola Video Accelerator 2018-07-26T13:25:28.000Z</t>
  </si>
  <si>
    <t>Comment bot for IG 2022-06-04T17:45:43.000Z</t>
  </si>
  <si>
    <t>VK Messages Visual Statistics 2021-11-23T10:26:29.000Z</t>
  </si>
  <si>
    <t>Evergreen Notes (for Notion) 2021-11-12T04:24:28.000Z</t>
  </si>
  <si>
    <t>IMDb Hide Episode Spoilers 2018-02-28T17:01:29.000Z</t>
  </si>
  <si>
    <t>Dice Roller 2021-07-03T13:43:53.000Z</t>
  </si>
  <si>
    <t>Maximize Flash 2014-04-24T13:51:20.000Z</t>
  </si>
  <si>
    <t>TexAu Chrome Extension 2024-03-06T13:33:46.000Z</t>
  </si>
  <si>
    <t>Scroll To Top Button 2023-02-09T15:06:02.000Z</t>
  </si>
  <si>
    <t>Bonsai Time Tracker 2023-07-19T05:40:30.000Z</t>
  </si>
  <si>
    <t>Advanced Google Search 2020-01-08T01:33:37.000Z</t>
  </si>
  <si>
    <t>Pushbullet 2023-03-25T20:45:50.000Z</t>
  </si>
  <si>
    <t>Transcription Helper 2012-08-14T15:03:55.000Z</t>
  </si>
  <si>
    <t>Black Box Content Hider 2017-02-07T14:13:55.000Z</t>
  </si>
  <si>
    <t>Notepad++ on rollApp 2018-03-28T08:19:46.000Z</t>
  </si>
  <si>
    <t>PDF Book Translator 2021-11-10T05:46:31.000Z</t>
  </si>
  <si>
    <t>99Stalker 2023-09-29T04:02:25.000Z</t>
  </si>
  <si>
    <t>Bitbns Extension 2021-05-08T22:42:16.000Z</t>
  </si>
  <si>
    <t>Skipper - Music Mode for YouTube™ 2021-09-07T07:21:02.000Z</t>
  </si>
  <si>
    <t>WQRI Recorder 2021-09-24T04:41:53.000Z</t>
  </si>
  <si>
    <t>Textarea Cache 2022-07-12T07:09:09.000Z</t>
  </si>
  <si>
    <t>Add to Calendar 2019-03-13T14:11:13.000Z</t>
  </si>
  <si>
    <t>Downloader for Instagram™ 2020-12-01T07:42:15.000Z</t>
  </si>
  <si>
    <t>Aternity Web Activity Creator 2.0 2022-08-02T07:18:24.000Z</t>
  </si>
  <si>
    <t>v2ex.ext 2015-05-18T15:00:28.000Z</t>
  </si>
  <si>
    <t>Unique Tabs 2015-06-10T14:46:39.000Z</t>
  </si>
  <si>
    <t>MeetDonna - Ads Collector 2023-05-10T10:01:53.000Z</t>
  </si>
  <si>
    <t>Slides Reveal 2020-09-12T05:38:47.000Z</t>
  </si>
  <si>
    <t>Emojiboard: Emoji Keyboard 2020-05-25T04:18:45.000Z</t>
  </si>
  <si>
    <t>ng-inspect for AngularJS 2020-05-28T14:20:51.000Z</t>
  </si>
  <si>
    <t>O-Robot 2022-04-17T06:45:37.000Z</t>
  </si>
  <si>
    <t>SEO on SERPs 2022-04-17T09:12:35.000Z</t>
  </si>
  <si>
    <t>Mindful (Beta) 2016-12-29T07:35:08.000Z</t>
  </si>
  <si>
    <t>LiveReload++ 2017-01-09T14:37:09.000Z</t>
  </si>
  <si>
    <t>Kissflow for Gmail 2022-06-22T07:26:58.000Z</t>
  </si>
  <si>
    <t>Block keys to kiosk mode 2019-02-21T05:37:44.000Z</t>
  </si>
  <si>
    <t>Lightfinder 2018-03-17T15:46:37.000Z</t>
  </si>
  <si>
    <t>Win7 Scrollbars 2014-01-27T06:15:13.000Z</t>
  </si>
  <si>
    <t>SocialBook Checker 2023-10-09T15:30:00.000Z</t>
  </si>
  <si>
    <t>System Performance 2014-12-21T23:38:43.000Z</t>
  </si>
  <si>
    <t>CSS Extractor (Extracts style &amp; media rules) 2016-05-15T13:24:40.000Z</t>
  </si>
  <si>
    <t>Newsletter Creator for Gmail - Flashissue 2022-09-13T09:47:15.000Z</t>
  </si>
  <si>
    <t>LeafWallet - Easy to use EOS wallet 2020-07-30T08:51:32.000Z</t>
  </si>
  <si>
    <t>Password Revealer 2015-11-16T15:10:59.000Z</t>
  </si>
  <si>
    <t>Giant Bomb QoL 2023-09-21T01:02:48.000Z</t>
  </si>
  <si>
    <t>CoWIN Slot Availablity Notifier 2021-05-27T12:38:20.000Z</t>
  </si>
  <si>
    <t>Free Email And Social Extractor - Growth Hunt 2020-08-14T06:55:23.000Z</t>
  </si>
  <si>
    <t>Dark Mode 2022-01-23T05:23:46.000Z</t>
  </si>
  <si>
    <t>Yet Another Jenkins Notifier 2016-11-16T15:12:01.000Z</t>
  </si>
  <si>
    <t>Korean IME with Romanization Tool 2020-01-15T08:02:56.000Z</t>
  </si>
  <si>
    <t>SteamGuard Authorizator 2022-06-14T12:41:17.000Z</t>
  </si>
  <si>
    <t>OneNote Online 2016-10-04T19:12:35.000Z</t>
  </si>
  <si>
    <t>Open in Google Maps 2015-02-18T16:22:41.000Z</t>
  </si>
  <si>
    <t>telify 2020-03-05T05:18:04.000Z</t>
  </si>
  <si>
    <t>Gmail 'Expand all' keyboard shortcut 2014-09-07T13:49:18.000Z</t>
  </si>
  <si>
    <t>reminDO 2016-01-26T15:14:06.000Z</t>
  </si>
  <si>
    <t>360 Degree Extension 2017-08-31T15:28:55.000Z</t>
  </si>
  <si>
    <t>Zorbi - Flashcards from PDFs and Notion 2022-03-06T09:21:26.000Z</t>
  </si>
  <si>
    <t>CRN Automation 2018-04-07T23:19:28.000Z</t>
  </si>
  <si>
    <t>ScreenPad extension for Online Video Player 2019-02-27T08:11:27.000Z</t>
  </si>
  <si>
    <t>Cambly Enhancement Suite 2021-08-07T08:58:08.000Z</t>
  </si>
  <si>
    <t>MRsec Exe Blocker 2017-07-05T12:00:40.000Z</t>
  </si>
  <si>
    <t>PochtaPlugin Adapter 2022-11-17T05:43:16.000Z</t>
  </si>
  <si>
    <t>Save Turtle Tab 2024-05-21T12:25:15.000Z</t>
  </si>
  <si>
    <t>No More Duplicates 2020-03-27T23:33:06.000Z</t>
  </si>
  <si>
    <t>Mail Checker for Outlook 2021-03-22T06:14:25.000Z</t>
  </si>
  <si>
    <t>ORC Text Snap 2022-09-17T12:35:21.000Z</t>
  </si>
  <si>
    <t>FxPro - Forex Tools for traders 2020-02-13T16:44:50.000Z</t>
  </si>
  <si>
    <t>CoinMarketCap Enhanced 2018-06-28T13:33:29.000Z</t>
  </si>
  <si>
    <t>Google Search Ads Highlighter 2022-07-20T04:30:06.000Z</t>
  </si>
  <si>
    <t>Disable Adding People for Google Meet™ 2020-12-09T06:41:25.000Z</t>
  </si>
  <si>
    <t>DROPSEEK - Product Sourcing app for Shopify 2022-06-29T04:18:24.000Z</t>
  </si>
  <si>
    <t>StockTrack.ca plugin 2021-03-09T20:19:01.000Z</t>
  </si>
  <si>
    <t>LeadMine Prospector 2020-12-26T14:42:13.000Z</t>
  </si>
  <si>
    <t>QiWallet 2023-08-19T08:02:29.000Z</t>
  </si>
  <si>
    <t>ニコニコ除ニコレポ 2019-01-07T13:53:15.000Z</t>
  </si>
  <si>
    <t>Our Forest — Plant trees with your browser 2022-06-23T06:08:16.000Z</t>
  </si>
  <si>
    <t>Query String Values 2013-07-13T09:25:02.000Z</t>
  </si>
  <si>
    <t>Tesla VIN finder 2020-06-12T11:47:48.000Z</t>
  </si>
  <si>
    <t>PDF Converted - Convert Documents 2019-05-29T04:11:29.000Z</t>
  </si>
  <si>
    <t>Share with Facebook</t>
  </si>
  <si>
    <t>URL Reader 2020-07-21T07:04:09.000Z</t>
  </si>
  <si>
    <t>Free Website Builder 2020-07-28T11:20:45.000Z</t>
  </si>
  <si>
    <t>Webseite in PDF</t>
  </si>
  <si>
    <t>Awesome History Button 2020-12-08T10:54:43.000Z</t>
  </si>
  <si>
    <t>Better Image Scaling 2017-10-13T11:06:53.000Z</t>
  </si>
  <si>
    <t>Kodi online XBMC Media Center 2020-03-08T07:49:25.000Z</t>
  </si>
  <si>
    <t>Chat Icon Notifier for Google Chat™ 2017-02-10T00:54:58.000Z</t>
  </si>
  <si>
    <t>Fancy Letters Generator 2020-08-27T12:31:45.000Z</t>
  </si>
  <si>
    <t>testhelp 2021-01-11T06:09:21.000Z</t>
  </si>
  <si>
    <t>MultiRow TweetDeck 2020-03-31T14:42:26.000Z</t>
  </si>
  <si>
    <t>Sentieo Web Clipper 2022-10-31T08:54:02.000Z</t>
  </si>
  <si>
    <t>Quick Calculator 2017-05-08T23:30:47.000Z</t>
  </si>
  <si>
    <t>Gantt for Trello | by Placker.com 2021-04-07T08:17:13.000Z</t>
  </si>
  <si>
    <t>Online Stopwatch 2015-03-13T14:00:28.000Z</t>
  </si>
  <si>
    <t>Proofread Bot 2020-06-06T04:28:12.000Z</t>
  </si>
  <si>
    <t>Hulu PIP 2021-07-07T11:12:40.000Z</t>
  </si>
  <si>
    <t>Tetrys 2024-12-09T11:30:49.000Z</t>
  </si>
  <si>
    <t>Window Positioner 2014-07-01T15:25:11.000Z</t>
  </si>
  <si>
    <t>uBlock Origin 2025-01-02T08:03:32.000Z</t>
  </si>
  <si>
    <t>Robotman 2017-05-13T03:30:31.000Z</t>
  </si>
  <si>
    <t>蹊径Color 2021-04-13T08:08:17.000Z</t>
  </si>
  <si>
    <t>Letterboxd Lists Progress 2018-11-14T14:44:36.000Z</t>
  </si>
  <si>
    <t>Reload CSS 2020-11-22T10:32:07.000Z</t>
  </si>
  <si>
    <t>Youtube Orange 2016-02-27T21:17:54.000Z</t>
  </si>
  <si>
    <t>KBAQ Classical Music Player 2022-07-16T06:36:57.000Z</t>
  </si>
  <si>
    <t>Binge! 2015-06-21T00:14:04.000Z</t>
  </si>
  <si>
    <t>Fullscreen Slideshow 2013-12-01T19:32:00.000Z</t>
  </si>
  <si>
    <t>One Click Salesforce Login 2019-08-04T20:13:40.000Z</t>
  </si>
  <si>
    <t>New Tab with chrome apps 2021-03-25T01:29:33.000Z</t>
  </si>
  <si>
    <t>Google Play Music Tab Close Alarm 2015-05-13T19:14:16.000Z</t>
  </si>
  <si>
    <t>Speak Any Text 2017-05-25T14:38:07.000Z</t>
  </si>
  <si>
    <t>Do Not Track 2012-05-23T17:07:38.000Z</t>
  </si>
  <si>
    <t>Finitimus 2015-03-11T09:24:38.000Z</t>
  </si>
  <si>
    <t>Random Number Generator 2021-03-20T15:02:50.000Z</t>
  </si>
  <si>
    <t>Discord Easy Share Free 2017-01-02T10:32:12.000Z</t>
  </si>
  <si>
    <t>17Track Search 2016-03-16T00:08:37.000Z</t>
  </si>
  <si>
    <t>Tarot Arcana of the Day 2021-04-13T13:19:32.000Z</t>
  </si>
  <si>
    <t>PoE Impact Trading 2021-11-16T15:35:07.000Z</t>
  </si>
  <si>
    <t>OwO 2017-10-12T05:11:49.000Z</t>
  </si>
  <si>
    <t>Admin UI Tweaks for Canvas 2015-03-26T18:48:57.000Z</t>
  </si>
  <si>
    <t>Radio Javan Player 2013-01-17T06:39:41.000Z</t>
  </si>
  <si>
    <t>Readable Font 2019-01-02T00:17:47.000Z</t>
  </si>
  <si>
    <t>Notable 2020-08-23T10:47:00.000Z</t>
  </si>
  <si>
    <t>No Mouse Wheel Zoom 2021-05-06T11:39:53.000Z</t>
  </si>
  <si>
    <t>DPlus Party - Disney Plus Watch Party 2021-04-12T02:03:50.000Z</t>
  </si>
  <si>
    <t>Dark Mode 2023-03-02T10:20:58.000Z</t>
  </si>
  <si>
    <t>Omoguru - The Easiest Way to Read 2022-02-01T08:03:17.000Z</t>
  </si>
  <si>
    <t>恢复最近关闭的标签（列表） 2020-01-21T07:13:54.000Z</t>
  </si>
  <si>
    <t>Read Pro 2019-06-10T01:09:23.000Z</t>
  </si>
  <si>
    <t>SendMe Telegram 2022-06-27T13:37:23.000Z</t>
  </si>
  <si>
    <t>不要擋住 Imgur 啦！ 2019-08-29T11:42:34.000Z</t>
  </si>
  <si>
    <t>The Daily Show's President Florida Man Plugin 2019-11-11T16:04:15.000Z</t>
  </si>
  <si>
    <t>ZeroWiki 2019-02-12T08:18:22.000Z</t>
  </si>
  <si>
    <t>Animalese - Animal Crossing speak 2019-12-02T18:25:58.000Z</t>
  </si>
  <si>
    <t>auto-resume downloads 2018-08-25T05:37:56.000Z</t>
  </si>
  <si>
    <t>Clear Website Session 2022-02-13T05:03:06.000Z</t>
  </si>
  <si>
    <t>Salesforce1 Simulator 2016-05-11T02:13:24.000Z</t>
  </si>
  <si>
    <t>Garmin Metric Share 2015-01-16T22:25:27.000Z</t>
  </si>
  <si>
    <t>Google Translate to Sinhala Non-Unicode 2022-04-02T07:43:45.000Z</t>
  </si>
  <si>
    <t>VOXO Quick Dial 2020-12-16T02:24:17.000Z</t>
  </si>
  <si>
    <t>App for Skp Web 2017-09-11T11:12:02.000Z</t>
  </si>
  <si>
    <t>BloomTech Job Tracker 2022-04-24T05:06:54.000Z</t>
  </si>
  <si>
    <t>WebGL Texture Monitor 2020-11-19T04:04:04.000Z</t>
  </si>
  <si>
    <t>Git-Browser 2013-11-18T21:13:14.000Z</t>
  </si>
  <si>
    <t>Easy Image Control 2021-04-13T10:37:17.000Z</t>
  </si>
  <si>
    <t>Save to OneDrive 2020-02-05T06:21:22.000Z</t>
  </si>
  <si>
    <t>500px Photo New Tab - Inspiration 2015-05-15T16:21:41.000Z</t>
  </si>
  <si>
    <t>UI Build Assistant 2020-04-11T16:04:04.000Z</t>
  </si>
  <si>
    <t>Cookies Exporter 2021-07-15T04:06:51.000Z</t>
  </si>
  <si>
    <t>Impartus Chrome Extension 2022-01-05T09:42:35.000Z</t>
  </si>
  <si>
    <t>ShiftReader - Speed Read the Web 2022-06-08T04:04:49.000Z</t>
  </si>
  <si>
    <t>Gas Now Notifier 2020-12-29T04:36:22.000Z</t>
  </si>
  <si>
    <t>Custom colors for desmos 2021-12-08T05:01:33.000Z</t>
  </si>
  <si>
    <t>Backup and Restore Tabs 2014-10-03T12:30:34.000Z</t>
  </si>
  <si>
    <t>Twitter Media Assist 2024-08-09T06:01:09.000Z</t>
  </si>
  <si>
    <t>S-Cashback-Radar 2021-12-16T11:53:12.000Z</t>
  </si>
  <si>
    <t>Mailflow for Gmail 2023-03-08T09:31:50.000Z</t>
  </si>
  <si>
    <t>Tablight 2015-01-21T10:12:30.000Z</t>
  </si>
  <si>
    <t>CardGenerator - Credit Card Generator Tool 2021-12-23T13:44:13.000Z</t>
  </si>
  <si>
    <t>Memory Saver 2019-10-21T10:57:55.000Z</t>
  </si>
  <si>
    <t>JSHookTool 2021-12-20T07:47:39.000Z</t>
  </si>
  <si>
    <t>Reference App 2013-01-19T13:45:40.000Z</t>
  </si>
  <si>
    <t>ガジェット2ch 2013-08-31T13:42:37.000Z</t>
  </si>
  <si>
    <t>EasyIQ IdP – Fredensborg Kommune 2023-12-04T11:25:18.000Z</t>
  </si>
  <si>
    <t>Evernote Shortcuts 2018-08-12T12:02:19.000Z</t>
  </si>
  <si>
    <t>AstraX 2023-08-16T15:15:28.000Z</t>
  </si>
  <si>
    <t>Amazon Publisher Studio Extension Beta 2015-07-30T13:19:04.000Z</t>
  </si>
  <si>
    <t>Pop-out Youtube 2018-06-23T17:30:21.000Z</t>
  </si>
  <si>
    <t>TAOBAOEXPRESS Order Tool 2024-10-18T18:16:18.000Z</t>
  </si>
  <si>
    <t>The Daily Kitten 2014-08-04T13:31:54.000Z</t>
  </si>
  <si>
    <t>CFCA CryptoKit.JDH Extension 2021-06-11T13:50:13.000Z</t>
  </si>
  <si>
    <t>Proxxy 2020-10-21T09:42:46.000Z</t>
  </si>
  <si>
    <t>Math Equations Editor / Latex Editor 2019-04-01T07:43:48.000Z</t>
  </si>
  <si>
    <t>Auto Refresho 2017-09-10T14:59:06.000Z</t>
  </si>
  <si>
    <t>Unix Timestamp Converter 2021-12-23T04:49:55.000Z</t>
  </si>
  <si>
    <t>Better Search For Github 2016-06-19T10:21:12.000Z</t>
  </si>
  <si>
    <t>Fiverr Workspace 2022-02-03T19:08:54.000Z</t>
  </si>
  <si>
    <t>JW Video subtitle download 2023-02-06T06:01:36.000Z</t>
  </si>
  <si>
    <t>Dolby Voice 1.3 2017-06-06T09:01:23.000Z</t>
  </si>
  <si>
    <t>Scratch Device Plugin Helper 2015-10-08T21:24:38.000Z</t>
  </si>
  <si>
    <t>gulper.io 2021-01-01T12:22:58.000Z</t>
  </si>
  <si>
    <t>Hosting 2013-07-09T13:47:20.000Z</t>
  </si>
  <si>
    <t>Seller-Pulse Chrome Extension 2018-03-06T11:51:43.000Z</t>
  </si>
  <si>
    <t>Shortcut Forwarding Tool 2020-08-10T06:10:39.000Z</t>
  </si>
  <si>
    <t>Nexthink toolbox 2023-06-02T10:41:03.000Z</t>
  </si>
  <si>
    <t>Random Filler 2014-11-01T20:59:09.000Z</t>
  </si>
  <si>
    <t>Universal script runner 2019-03-27T13:57:19.000Z</t>
  </si>
  <si>
    <t>The Piratebay Forwarder 2013-01-06T19:16:16.000Z</t>
  </si>
  <si>
    <t>Disable Automatic Gain Control 2021-01-10T03:24:13.000Z</t>
  </si>
  <si>
    <t>Open with JDownloader 2020-12-23T09:31:43.000Z</t>
  </si>
  <si>
    <t>SQLite Reader 2020-03-31T12:09:01.000Z</t>
  </si>
  <si>
    <t>Tumblr Tag 2023-06-25T17:41:29.000Z</t>
  </si>
  <si>
    <t>Chirr App 2020-10-31T10:17:17.000Z</t>
  </si>
  <si>
    <t>WorkFlowy colorful tags 2014-12-13T11:53:28.000Z</t>
  </si>
  <si>
    <t>Descarga Masiva Facturas XML CFDI SAT México 2018-12-05T00:03:19.000Z</t>
  </si>
  <si>
    <t>uberAgent MV2 2024-08-24T05:34:56.000Z</t>
  </si>
  <si>
    <t>Plutonium Mirror 2021-09-12T04:57:51.000Z</t>
  </si>
  <si>
    <t>Hell Play! Alert 2020-06-19T09:55:14.000Z</t>
  </si>
  <si>
    <t>jQuery Unique Selector 2015-09-21T12:58:46.000Z</t>
  </si>
  <si>
    <t>Chromebook Simulator 2017-04-18T18:00:38.000Z</t>
  </si>
  <si>
    <t>Roblox Multi Accounts 2021-02-18T18:34:54.000Z</t>
  </si>
  <si>
    <t>Gif Delayer 2015-03-04T00:55:49.000Z</t>
  </si>
  <si>
    <t>Better BTTV 2022-09-29T21:32:30.000Z</t>
  </si>
  <si>
    <t>Context Menu for Google Translate (To Arabic) 2014-01-28T12:40:00.000Z</t>
  </si>
  <si>
    <t>Download to Temp Folder 2016-01-21T21:08:52.000Z</t>
  </si>
  <si>
    <t>MerchTools 2021-03-03T09:27:10.000Z</t>
  </si>
  <si>
    <t>Torrent Clipper 2021-03-07T10:30:05.000Z</t>
  </si>
  <si>
    <t>Supremacy 1914 2018-01-29T16:51:03.000Z</t>
  </si>
  <si>
    <t>Online Timer 2015-03-13T14:00:32.000Z</t>
  </si>
  <si>
    <t>Timer 2020-02-01T17:25:01.000Z</t>
  </si>
  <si>
    <t>AdDetector 2015-06-17T18:12:01.000Z</t>
  </si>
  <si>
    <t>Online Seller Addon 2024-10-04T19:20:45.000Z</t>
  </si>
  <si>
    <t>MindZip · Remember everything you learn 2019-03-22T07:18:24.000Z</t>
  </si>
  <si>
    <t>Deezer Control 2024-06-03T05:06:52.000Z</t>
  </si>
  <si>
    <t>TimeDoser 2015-10-09T11:06:01.000Z</t>
  </si>
  <si>
    <t>CRM Integrator for hosted telephony 2022-09-30T11:30:51.000Z</t>
  </si>
  <si>
    <t>Google Meet Attendance Downloader 2021-11-06T04:55:36.000Z</t>
  </si>
  <si>
    <t>WebCache 2017-09-14T08:09:35.000Z</t>
  </si>
  <si>
    <t>Free Rider Dark 2020-08-12T07:18:26.000Z</t>
  </si>
  <si>
    <t>Google Map 2 Ingress Intel Map 2015-07-28T03:30:15.000Z</t>
  </si>
  <si>
    <t>Cookie Watch 2022-10-29T07:12:38.000Z</t>
  </si>
  <si>
    <t>JoomPlace 2013-03-15T09:29:44.000Z</t>
  </si>
  <si>
    <t>NetSupport DNA Agent 2024-03-04T16:02:03.000Z</t>
  </si>
  <si>
    <t>buylow 2021-03-10T20:49:45.000Z</t>
  </si>
  <si>
    <t>Codeforces Practice Tracker 2020-06-10T12:39:05.000Z</t>
  </si>
  <si>
    <t>Contacts+ for Gmail 2024-02-13T05:19:38.000Z</t>
  </si>
  <si>
    <t>HP Instant Support 2012-12-12T17:29:25.000Z</t>
  </si>
  <si>
    <t>Bootlint This Page 2014-12-01T19:27:57.000Z</t>
  </si>
  <si>
    <t>Classroom Redirector 2018-09-24T00:00:51.000Z</t>
  </si>
  <si>
    <t>URL to QR code converter 2017-02-22T08:08:14.000Z</t>
  </si>
  <si>
    <t>GloboPlay TV 2021-01-26T15:52:06.000Z</t>
  </si>
  <si>
    <t>Multiple Selection 2017-02-05T22:06:54.000Z</t>
  </si>
  <si>
    <t>Bib Bypasser 2023-10-11T05:46:59.000Z</t>
  </si>
  <si>
    <t>WorkFlowy Images 2016-07-24T13:44:53.000Z</t>
  </si>
  <si>
    <t>Gloria 2024-07-30T03:32:55.000Z</t>
  </si>
  <si>
    <t>Sleepless in System 2016-05-29T17:23:53.000Z</t>
  </si>
  <si>
    <t>Cloudopt  AdBlocker 2020-12-28T10:36:50.000Z</t>
  </si>
  <si>
    <t>Night mode for Aliexpress 2020-04-07T05:32:33.000Z</t>
  </si>
  <si>
    <t>Breath 2016-01-07T19:35:04.000Z</t>
  </si>
  <si>
    <t>Font Changer 2021-02-04T11:57:51.000Z</t>
  </si>
  <si>
    <t>Unix timestamp to readable date/time 2020-01-05T09:56:10.000Z</t>
  </si>
  <si>
    <t>Myanmar Unicode Font Converter 2019-03-27T00:03:04.000Z</t>
  </si>
  <si>
    <t>Single click Flash games access 2019-08-01T11:11:49.000Z</t>
  </si>
  <si>
    <t>Auto Page Opener 2022-06-27T11:03:30.000Z</t>
  </si>
  <si>
    <t>Dota 2 Stream Browser 2019-08-28T06:07:47.000Z</t>
  </si>
  <si>
    <t>AMAZON.FR - Recherche directe - Direct Search 2013-05-08T23:52:59.000Z</t>
  </si>
  <si>
    <t>Playify 2019-08-29T19:40:34.000Z</t>
  </si>
  <si>
    <t>AssetView Web filter extension 2018-09-27T04:46:29.000Z</t>
  </si>
  <si>
    <t>Google Meet Default Account 2021-06-21T05:06:43.000Z</t>
  </si>
  <si>
    <t>Link Icon 2014-10-13T07:51:47.000Z</t>
  </si>
  <si>
    <t>Spy Drop - Fiyat Takip 2020-12-09T11:27:05.000Z</t>
  </si>
  <si>
    <t>Pathmatics Explorer 2024-01-17T19:14:12.000Z</t>
  </si>
  <si>
    <t>I'm Feeling Lucky 2020-10-09T11:22:37.000Z</t>
  </si>
  <si>
    <t>OCG - Saving Ocean Life 2020-05-17T05:09:47.000Z</t>
  </si>
  <si>
    <t>Cocos Creator Devtool 2019-06-21T11:18:22.000Z</t>
  </si>
  <si>
    <t>Website to QR code 2018-01-16T00:55:28.000Z</t>
  </si>
  <si>
    <t>Blackpink Kpop Wallpapers New Tab 2021-01-07T14:49:26.000Z</t>
  </si>
  <si>
    <t>Responsive CV: Resume Maker from LinkedIn 2020-11-09T05:48:02.000Z</t>
  </si>
  <si>
    <t>Nasdaq 2021-08-31T08:24:40.000Z</t>
  </si>
  <si>
    <t>jetzt 2014-08-27T03:47:34.000Z</t>
  </si>
  <si>
    <t>Passify 2020-07-02T16:12:18.000Z</t>
  </si>
  <si>
    <t>diagrams.net and draw.io Importer 2021-03-31T20:58:07.000Z</t>
  </si>
  <si>
    <t>Image Downloader 2023-11-26T05:27:36.000Z</t>
  </si>
  <si>
    <t>Enjoy Learning Languages 2021-06-01T05:30:32.000Z</t>
  </si>
  <si>
    <t>CLUT: Cycle Last Used Tabs 2022-06-26T05:19:36.000Z</t>
  </si>
  <si>
    <t>Desprotetor.com - Desprotetor de links 2018-04-25T05:53:50.000Z</t>
  </si>
  <si>
    <t>py3redirect 2021-05-10T00:53:14.000Z</t>
  </si>
  <si>
    <t>Btools 2022-09-19T05:39:45.000Z</t>
  </si>
  <si>
    <t>CONNECTIX Desktop sharing 2015-07-08T03:19:51.000Z</t>
  </si>
  <si>
    <t>Briefcase Extension By Seller Locker 2019-06-25T02:51:16.000Z</t>
  </si>
  <si>
    <t>Pixlr Editor (Unofficial) 2016-12-26T17:19:39.000Z</t>
  </si>
  <si>
    <t>SameVolume for Youtube™ 2020-12-22T05:34:11.000Z</t>
  </si>
  <si>
    <t>Script Runner Pro 2020-06-02T07:27:28.000Z</t>
  </si>
  <si>
    <t>Netflix Rate 2015-04-17T00:06:35.000Z</t>
  </si>
  <si>
    <t>Optotax Assistant 2020-11-02T13:32:19.000Z</t>
  </si>
  <si>
    <t>JusProg Browser Extension 2022-07-05T10:39:54.000Z</t>
  </si>
  <si>
    <t>ManageByStats: Extension 2023-08-03T07:27:27.000Z</t>
  </si>
  <si>
    <t>Video Speed Up (HTML5) 2024-12-02T10:34:10.000Z</t>
  </si>
  <si>
    <t>English to Bengali Dictionary | BDWord 2021-06-01T05:09:35.000Z</t>
  </si>
  <si>
    <t>Web Search Navigator 2023-05-29T12:04:45.000Z</t>
  </si>
  <si>
    <t>Blurry Blur Sensitive Infos</t>
  </si>
  <si>
    <t>Reveal 2020-03-03T06:51:00.000Z</t>
  </si>
  <si>
    <t>Plex bulk downloader 2021-01-28T06:56:43.000Z</t>
  </si>
  <si>
    <t>LibertyBear 2021-09-28T04:46:28.000Z</t>
  </si>
  <si>
    <t>CNRTL - CNRTL.fr 2013-06-15T18:02:42.000Z</t>
  </si>
  <si>
    <t>Super Mouse 2017-10-08T22:20:56.000Z</t>
  </si>
  <si>
    <t>Autoscroll 2013-04-27T14:24:17.000Z</t>
  </si>
  <si>
    <t>Portico 2020-12-21T19:18:35.000Z</t>
  </si>
  <si>
    <t>Webinar Ninja 2016-06-30T04:06:45.000Z</t>
  </si>
  <si>
    <t>API Tester 2015-12-11T10:39:44.000Z</t>
  </si>
  <si>
    <t>Motivational New Tab 2017-12-21T05:12:24.000Z</t>
  </si>
  <si>
    <t>Gmail message ID finder 2021-03-30T10:30:46.000Z</t>
  </si>
  <si>
    <t>CFCA CertEnrollment.COFCO Extension 2020-08-07T09:45:25.000Z</t>
  </si>
  <si>
    <t>Bookmark Lock 2019-01-10T03:34:32.000Z</t>
  </si>
  <si>
    <t>ShippingCart Shop Assist 2024-07-30T06:34:01.000Z</t>
  </si>
  <si>
    <t>D365 F&amp;O Task Recorder Screenshots and Video 2022-01-24T07:11:15.000Z</t>
  </si>
  <si>
    <t>ランデ・イント 2016-12-10T19:16:19.000Z</t>
  </si>
  <si>
    <t>Tabbed Postman - REST Client 2020-09-25T05:17:39.000Z</t>
  </si>
  <si>
    <t>Firma con token 2018-12-10T17:34:46.000Z</t>
  </si>
  <si>
    <t>ShuffleFlix - Netflix Random Episode Button 2019-06-16T19:47:46.000Z</t>
  </si>
  <si>
    <t>Salty Finder 2024-06-24T07:12:25.000Z</t>
  </si>
  <si>
    <t>Max Contact Agent Extension 2020-03-04T10:46:00.000Z</t>
  </si>
  <si>
    <t>Amazon Scraper - Trial Version 2021-01-26T06:23:36.000Z</t>
  </si>
  <si>
    <t>Touch &amp; Clean 2018-08-27T12:23:59.000Z</t>
  </si>
  <si>
    <t>Mopon | موپن 2022-04-06T06:21:10.000Z</t>
  </si>
  <si>
    <t>SlitherPlus - Zoom</t>
  </si>
  <si>
    <t>20-20 3D Viewer for Virtual Studio 2014-02-12T20:15:25.000Z</t>
  </si>
  <si>
    <t>Email templates for Gmail 2021-07-11T09:44:21.000Z</t>
  </si>
  <si>
    <t>HTML5 Audio Tag Sound Effects 2018-01-25T10:00:40.000Z</t>
  </si>
  <si>
    <t>Sonarr Connect 2016-01-19T14:05:06.000Z</t>
  </si>
  <si>
    <t>RIP - GasNow 2021-11-06T08:52:12.000Z</t>
  </si>
  <si>
    <t>TikTok Volume Buddy 2020-09-02T09:36:49.000Z</t>
  </si>
  <si>
    <t>Маджента 2023-12-04T05:51:04.000Z</t>
  </si>
  <si>
    <t>Journey: Diary</t>
  </si>
  <si>
    <t>Type-ahead-find 2021-11-23T05:36:46.000Z</t>
  </si>
  <si>
    <t>vKappa for VK 2016-11-25T16:35:16.000Z</t>
  </si>
  <si>
    <t>Prod — Block Distractions. Reach your Goals 2024-06-25T12:53:21.000Z</t>
  </si>
  <si>
    <t>Synology Note Station 2017-12-06T03:26:23.000Z</t>
  </si>
  <si>
    <t>TraeloYa.com 2023-12-05T14:42:31.000Z</t>
  </si>
  <si>
    <t>VoxReader - Text to Speech 2022-02-09T09:02:36.000Z</t>
  </si>
  <si>
    <t>Image-Toolbar 2020-02-11T22:38:54.000Z</t>
  </si>
  <si>
    <t>Netfix 2015-01-30T08:32:43.000Z</t>
  </si>
  <si>
    <t>Free Email Tracking for Gmail - Mailalert 2019-03-07T16:30:40.000Z</t>
  </si>
  <si>
    <t>PSChrome 2014-10-30T16:46:39.000Z</t>
  </si>
  <si>
    <t>Thesaurus.net Extension 2015-08-18T10:28:25.000Z</t>
  </si>
  <si>
    <t>Сохранение историй ВК. Анонимно. 2022-10-17T20:13:11.000Z</t>
  </si>
  <si>
    <t>ConvertToPdf 2020-07-17T07:29:47.000Z</t>
  </si>
  <si>
    <t>Travian Launch Tool (2018) 2018-12-05T02:49:05.000Z</t>
  </si>
  <si>
    <t>sneak-peak 2015-03-17T16:50:57.000Z</t>
  </si>
  <si>
    <t>Angular Gauntlets 2021-05-06T04:11:43.000Z</t>
  </si>
  <si>
    <t>Action Games 2019-10-20T16:46:04.000Z</t>
  </si>
  <si>
    <t>WMS Map Viewer on line 2017-09-12T07:29:55.000Z</t>
  </si>
  <si>
    <t>Popuplike-window Translator 2014-09-22T10:36:07.000Z</t>
  </si>
  <si>
    <t>Auto Incognito Mode 2024-08-14T09:02:09.000Z</t>
  </si>
  <si>
    <t>디씨 자동짤방 2021-07-11T03:57:19.000Z</t>
  </si>
  <si>
    <t>Twitter One Click Block 2021-08-16T03:16:49.000Z</t>
  </si>
  <si>
    <t>Diccionario de la RAE 2016-02-02T10:50:26.000Z</t>
  </si>
  <si>
    <t>Helium 10 Seller Assistant 2023-01-12T16:03:35.000Z</t>
  </si>
  <si>
    <t>Open in new tab 2020-05-21T17:36:39.000Z</t>
  </si>
  <si>
    <t>iMacros for Chrome 2023-12-03T05:02:57.000Z</t>
  </si>
  <si>
    <t>smaxer 2022-07-26T09:53:48.000Z</t>
  </si>
  <si>
    <t>PiPControl - Picture-in-Picture Control 2019-02-14T08:03:13.000Z</t>
  </si>
  <si>
    <t>Cloud Gaming Lister 2023-08-30T10:14:00.000Z</t>
  </si>
  <si>
    <t>Cooking Converter 2013-06-22T08:11:38.000Z</t>
  </si>
  <si>
    <t>SnapGuide 2021-02-08T16:50:43.000Z</t>
  </si>
  <si>
    <t>Skoletube 2022-01-06T19:53:27.000Z</t>
  </si>
  <si>
    <t>Clock 2019-03-12T16:37:36.000Z</t>
  </si>
  <si>
    <t>Later - Save Images for Instagram 2020-09-01T08:07:13.000Z</t>
  </si>
  <si>
    <t>1click Webcam to Picture 2018-06-17T19:12:55.000Z</t>
  </si>
  <si>
    <t>Harry Potter Quotes 2019-06-16T04:45:36.000Z</t>
  </si>
  <si>
    <t>REST Client APIsHub 2020-06-21T12:53:34.000Z</t>
  </si>
  <si>
    <t>HTML Editor 2013-07-10T20:55:09.000Z</t>
  </si>
  <si>
    <t>Formik Devtools 2022-08-01T07:09:49.000Z</t>
  </si>
  <si>
    <t>多瑙影院去广告 Dnvod Ad Remover 2017-04-20T21:59:30.000Z</t>
  </si>
  <si>
    <t>LeetCode Buddy 2020-11-03T09:46:58.000Z</t>
  </si>
  <si>
    <t>Cookies Blocker 2018-08-14T23:18:59.000Z</t>
  </si>
  <si>
    <t>KeePassHttp-Connector 2018-02-15T04:17:20.000Z</t>
  </si>
  <si>
    <t>Color Contrast Analyzer 2014-08-25T16:55:26.000Z</t>
  </si>
  <si>
    <t>Super Smash Flash 2 2021-04-16T07:46:37.000Z</t>
  </si>
  <si>
    <t>Uppercase Converter 2016-07-22T01:05:41.000Z</t>
  </si>
  <si>
    <t>TikTok Analytics 2020-12-24T07:48:36.000Z</t>
  </si>
  <si>
    <t>Schedule Builder Export 2020-06-15T09:23:12.000Z</t>
  </si>
  <si>
    <t>Fix Lightshot 2018-02-20T17:53:17.000Z</t>
  </si>
  <si>
    <t>Радио 2017-12-29T19:31:22.000Z</t>
  </si>
  <si>
    <t>Cupcake 2019-07-26T19:38:47.000Z</t>
  </si>
  <si>
    <t>FLVCD Helper 2018-09-19T07:53:29.000Z</t>
  </si>
  <si>
    <t>RSS Reader 2022-06-24T12:25:04.000Z</t>
  </si>
  <si>
    <t>Power BI Real-Time Slideshow 2023-09-13T09:58:28.000Z</t>
  </si>
  <si>
    <t>Tabsbook закладки и экспресс панель 2019-12-24T11:32:26.000Z</t>
  </si>
  <si>
    <t>Trello Card Printer 2019-06-08T20:16:45.000Z</t>
  </si>
  <si>
    <t>我的右键 2020-12-23T09:55:10.000Z</t>
  </si>
  <si>
    <t>MBC mini 2014-05-16T07:01:47.000Z</t>
  </si>
  <si>
    <t>Http User-Agent Switcher 2022-06-21T05:51:34.000Z</t>
  </si>
  <si>
    <t>Center images 2016-08-25T09:18:29.000Z</t>
  </si>
  <si>
    <t>勺子 2016-08-11T03:31:18.000Z</t>
  </si>
  <si>
    <t>MD-Staff Verification Print &amp; Upload 2021-06-09T05:44:42.000Z</t>
  </si>
  <si>
    <t>Enhanced Google Analytics Annotations 2021-01-28T05:56:54.000Z</t>
  </si>
  <si>
    <t>OAuth Flows 2019-01-28T08:02:35.000Z</t>
  </si>
  <si>
    <t>Pandora Listener 2013-01-10T05:51:58.000Z</t>
  </si>
  <si>
    <t>KeyWords 2024-11-04T04:07:44.000Z</t>
  </si>
  <si>
    <t>ExportThisCookie 2023-04-16T06:43:42.000Z</t>
  </si>
  <si>
    <t>Minimal New Page 2017-08-01T04:33:45.000Z</t>
  </si>
  <si>
    <t>阻擋廣告 for YouTube™ 2019-10-29T13:15:39.000Z</t>
  </si>
  <si>
    <t>Simple Night Mode 2016-12-06T14:14:06.000Z</t>
  </si>
  <si>
    <t>Secure Password Generator 2018-10-08T04:29:49.000Z</t>
  </si>
  <si>
    <t>VoiSmart Social Chat 2016-12-13T14:59:59.000Z</t>
  </si>
  <si>
    <t>Tarjomak 2019-01-14T17:38:43.000Z</t>
  </si>
  <si>
    <t>Official GSAP Sniffer 2021-07-09T06:10:00.000Z</t>
  </si>
  <si>
    <t>Love O'Clock 2017-12-03T15:14:10.000Z</t>
  </si>
  <si>
    <t>Reddit Comment Companion 2019-03-08T14:42:03.000Z</t>
  </si>
  <si>
    <t>Backdrop Chrome 2024-02-22T14:36:49.000Z</t>
  </si>
  <si>
    <t>Ubiq 2022-05-19T08:30:29.000Z</t>
  </si>
  <si>
    <t>Simple RAM Info 2015-12-27T22:58:27.000Z</t>
  </si>
  <si>
    <t>KDP Sales Notifications 2021-05-04T11:24:39.000Z</t>
  </si>
  <si>
    <t>Google Image Search 2016-04-04T13:50:00.000Z</t>
  </si>
  <si>
    <t>HACG Helper 2017-08-31T14:49:10.000Z</t>
  </si>
  <si>
    <t>電商印單小幫手 2020-04-15T13:49:12.000Z</t>
  </si>
  <si>
    <t>Excavator 2016-12-05T14:30:48.000Z</t>
  </si>
  <si>
    <t>jQuery Debugger 2013-05-12T21:40:10.000Z</t>
  </si>
  <si>
    <t>SageSure Flash Enabler 2019-10-23T16:21:30.000Z</t>
  </si>
  <si>
    <t>code runner 2021-11-17T12:17:00.000Z</t>
  </si>
  <si>
    <t>CFCA CertEnrollment.CZCB Extension 2020-09-26T03:51:55.000Z</t>
  </si>
  <si>
    <t>UnBlur Quora 2020-09-14T03:44:33.000Z</t>
  </si>
  <si>
    <t>Chrome Auto Scroll 2015-11-22T23:10:12.000Z</t>
  </si>
  <si>
    <t>Rainbow JSON Formatter 2020-12-02T12:58:52.000Z</t>
  </si>
  <si>
    <t>vPause - vk.com player hotkeys 2020-03-28T06:59:44.000Z</t>
  </si>
  <si>
    <t>chinese pinyin 2014-08-04T15:30:51.000Z</t>
  </si>
  <si>
    <t>Image Uploader 2014-05-28T02:15:32.000Z</t>
  </si>
  <si>
    <t>Facebook Demetricator 2019-07-24T02:37:05.000Z</t>
  </si>
  <si>
    <t>Free Online Games - Play-on-line.co.uk 2018-02-28T15:52:16.000Z</t>
  </si>
  <si>
    <t>YouTool - 移除廣告 For YouTube、LiTV線上影視 2021-07-03T09:54:34.000Z</t>
  </si>
  <si>
    <t>无忧府超级VPN 2022-08-16T10:58:23.000Z</t>
  </si>
  <si>
    <t>Chess game 2021-11-02T12:44:31.000Z</t>
  </si>
  <si>
    <t>Email Finder 2024-10-31T05:40:57.000Z</t>
  </si>
  <si>
    <t>Tab Restore 2020-02-25T10:23:26.000Z</t>
  </si>
  <si>
    <t>WIKI 2. Wikipedia Republished 2021-08-14T06:32:26.000Z</t>
  </si>
  <si>
    <t>Export Qlik Sense QMC tables as CSV 2020-12-25T04:21:57.000Z</t>
  </si>
  <si>
    <t>Hikaru and GothamChess Tell You to MOVE 2021-10-08T03:21:11.000Z</t>
  </si>
  <si>
    <t>Loginext 2019-12-10T03:07:50.000Z</t>
  </si>
  <si>
    <t>Daraz Toolkit 2022-05-09T09:05:56.000Z</t>
  </si>
  <si>
    <t>Twitter Timer 2020-03-30T00:03:16.000Z</t>
  </si>
  <si>
    <t>Manga Downloader 2021-08-29T05:42:53.000Z</t>
  </si>
  <si>
    <t>KeepUp 2015-01-09T00:22:47.000Z</t>
  </si>
  <si>
    <t>Google Meet - Auto Meeting Notes 2020-12-04T14:00:39.000Z</t>
  </si>
  <si>
    <t>e-Comments 2021-11-23T01:29:16.000Z</t>
  </si>
  <si>
    <t>Salesforce.com Quick Login As 2019-06-28T01:28:18.000Z</t>
  </si>
  <si>
    <t>Wattpad Read Mode 2021-09-05T14:51:39.000Z</t>
  </si>
  <si>
    <t>Deny Google Meet Join Requests 2020-10-23T12:16:37.000Z</t>
  </si>
  <si>
    <t>ActivCast Sender 2020-09-20T05:18:59.000Z</t>
  </si>
  <si>
    <t>Recruiter Wand 2021-09-09T13:45:00.000Z</t>
  </si>
  <si>
    <t>Technology Backgrounds 2023-12-13T06:46:06.000Z</t>
  </si>
  <si>
    <t>Firma con token 2018-07-27T18:36:58.000Z</t>
  </si>
  <si>
    <t>Edit Webpage 2019-10-03T09:50:29.000Z</t>
  </si>
  <si>
    <t>Peoples Gamez Gift Exchange 2019-06-16T21:01:55.000Z</t>
  </si>
  <si>
    <t>Shutterfly Exporter 2019-10-05T17:04:26.000Z</t>
  </si>
  <si>
    <t>GraphiTabs 2020-01-31T08:59:31.000Z</t>
  </si>
  <si>
    <t>Salesforce Show Api Name 2021-03-28T12:46:23.000Z</t>
  </si>
  <si>
    <t>Copy Element ID 2019-04-22T15:41:07.000Z</t>
  </si>
  <si>
    <t>Route zezo.org 2019-05-01T18:12:05.000Z</t>
  </si>
  <si>
    <t>WinTask x64 2019-10-03T09:17:08.000Z</t>
  </si>
  <si>
    <t>Gmail POP3 Auto Refresh 2022-06-15T04:23:59.000Z</t>
  </si>
  <si>
    <t>Google search results shortcuts 2022-01-20T04:22:17.000Z</t>
  </si>
  <si>
    <t>Steel Monkey 2020-12-04T04:14:18.000Z</t>
  </si>
  <si>
    <t>Prayer Times 2017-01-08T23:12:40.000Z</t>
  </si>
  <si>
    <t>Anime/Cartoon Direct Link Extension. 2016-06-10T06:18:07.000Z</t>
  </si>
  <si>
    <t>FontARA 2023-05-07T03:46:30.000Z</t>
  </si>
  <si>
    <t>German Umlauts (US alt) 2020-11-19T04:02:33.000Z</t>
  </si>
  <si>
    <t>Template 2017-10-17T15:46:51.000Z</t>
  </si>
  <si>
    <t>Toolbox 2014-01-27T06:49:11.000Z</t>
  </si>
  <si>
    <t>Youtube Speed Controller 2020-07-09T03:45:30.000Z</t>
  </si>
  <si>
    <t>Mobile Browser Simulator UserAgent Switcher 2015-02-27T20:02:11.000Z</t>
  </si>
  <si>
    <t>Automatic 4K/HD for Youtube 2023-05-06T04:55:40.000Z</t>
  </si>
  <si>
    <t>Not yet</t>
  </si>
  <si>
    <t>Subscriptions Grid For YouTube™ 2016-07-15T09:37:53.000Z</t>
  </si>
  <si>
    <t>Logo Turtle Graphics 2021-06-09T14:20:11.000Z</t>
  </si>
  <si>
    <t>Net Usage Extension 2016-09-26T03:00:28.000Z</t>
  </si>
  <si>
    <t>Youtube to Google Music 2016-10-05T05:17:32.000Z</t>
  </si>
  <si>
    <t>Ethereum (ETH/USD) Price Ticker 2020-03-20T09:44:56.000Z</t>
  </si>
  <si>
    <t>Netfencer Porn Block 2021-06-07T00:00:31.000Z</t>
  </si>
  <si>
    <t>HTML5 Form validation remover 2017-07-22T17:43:45.000Z</t>
  </si>
  <si>
    <t>Block &amp; Focus 2021-03-21T15:01:55.000Z</t>
  </si>
  <si>
    <t>Reservio - Scheduling &amp; Online Booking 2016-05-20T10:56:41.000Z</t>
  </si>
  <si>
    <t>Card Numbers for Trello 2014-08-28T13:32:41.000Z</t>
  </si>
  <si>
    <t>zShare 2023-09-20T15:48:39.000Z</t>
  </si>
  <si>
    <t>Clear Downloads 2015-01-09T10:29:40.000Z</t>
  </si>
  <si>
    <t>Farmville Flash Helper 2020-07-03T06:43:23.000Z</t>
  </si>
  <si>
    <t>FFS MSDN in English 2022-11-07T10:50:35.000Z</t>
  </si>
  <si>
    <t>Twitter Timeline Auto Update 2018-07-28T22:34:02.000Z</t>
  </si>
  <si>
    <t>Custom JavaScript for Websites 2 2023-02-20T08:04:46.000Z</t>
  </si>
  <si>
    <t>Word to PDF Converter Pro 2019-09-23T19:47:04.000Z</t>
  </si>
  <si>
    <t>Cool Addicting Math Games 2017-02-19T01:43:45.000Z</t>
  </si>
  <si>
    <t>迅雷快捷 2015-12-14T09:49:56.000Z</t>
  </si>
  <si>
    <t>Instant Smart Quotes 2022-09-12T10:56:46.000Z</t>
  </si>
  <si>
    <t>Task Timer Pro 2015-10-28T06:35:29.000Z</t>
  </si>
  <si>
    <t>chatwork helper 2018-09-15T08:15:20.000Z</t>
  </si>
  <si>
    <t>חיפוש שירים 2022-02-04T06:44:06.000Z</t>
  </si>
  <si>
    <t>MultiLinks Shortcut 2015-07-02T05:57:24.000Z</t>
  </si>
  <si>
    <t>Smart Tab Saver 2024-11-01T07:07:16.000Z</t>
  </si>
  <si>
    <t>Web Strike 2014-11-15T10:52:10.000Z</t>
  </si>
  <si>
    <t>NFTinit.com - NFT Rarity &amp; Ranking Sniper 2023-10-20T07:02:52.000Z</t>
  </si>
  <si>
    <t>Touch &amp; Drag Scroller 2015-12-02T08:10:30.000Z</t>
  </si>
  <si>
    <t>WizardIQ - A.I Amazon FBA Product Analyzer 2024-04-11T10:12:16.000Z</t>
  </si>
  <si>
    <t>Vkontakte Stats 2017-01-07T13:03:55.000Z</t>
  </si>
  <si>
    <t>SdbNavigator 2022-08-16T07:07:57.000Z</t>
  </si>
  <si>
    <t>BareBones MIDI Player 2020-12-22T04:26:34.000Z</t>
  </si>
  <si>
    <t>Laravel TestTools 2018-06-27T08:53:31.000Z</t>
  </si>
  <si>
    <t>ContextSearch web-ext 2024-04-24T03:53:10.000Z</t>
  </si>
  <si>
    <t>pickasin - The ASIN tool for Amazon™ 2019-07-01T10:39:39.000Z</t>
  </si>
  <si>
    <t>Tab Hibernation 2018-04-21T11:17:20.000Z</t>
  </si>
  <si>
    <t>Idioms and Phrases 2021-11-29T12:49:04.000Z</t>
  </si>
  <si>
    <t>Wheebox RPaaS 2023-02-17T09:40:48.000Z</t>
  </si>
  <si>
    <t>Cache Buster 2018-08-10T06:00:48.000Z</t>
  </si>
  <si>
    <t>StudEaz for Google Classroom 2021-03-04T12:22:08.000Z</t>
  </si>
  <si>
    <t>ComfyFlix 2020-05-28T05:09:22.000Z</t>
  </si>
  <si>
    <t>Test My Speed Pro 2019-05-28T10:01:57.000Z</t>
  </si>
  <si>
    <t>Toggle Fullscreen 2020-09-18T08:32:18.000Z</t>
  </si>
  <si>
    <t>有道词典Chrome插件添加生词本 2017-11-23T07:49:08.000Z</t>
  </si>
  <si>
    <t>ReaderTools 2019-08-16T02:45:11.000Z</t>
  </si>
  <si>
    <t>Roblox Video Search 2020-07-07T04:38:57.000Z</t>
  </si>
  <si>
    <t>Clipboard Inserter 2018-12-06T19:32:04.000Z</t>
  </si>
  <si>
    <t>Backpack Assistant 2018-05-03T08:26:18.000Z</t>
  </si>
  <si>
    <t>QueryParam 2021-04-26T01:02:25.000Z</t>
  </si>
  <si>
    <t>refresh-it 2013-06-22T02:27:44.000Z</t>
  </si>
  <si>
    <t>Zikr 2017-04-21T23:56:02.000Z</t>
  </si>
  <si>
    <t>Speed Up Browsing 2016-05-04T23:13:02.000Z</t>
  </si>
  <si>
    <t>Opt Out - send GDPR and CCPA data requests 2021-07-16T10:18:31.000Z</t>
  </si>
  <si>
    <t>TurboVPB 2020-11-19T23:22:21.000Z</t>
  </si>
  <si>
    <t>Cisco Dialer 2015-04-11T15:41:06.000Z</t>
  </si>
  <si>
    <t>Copymessage 2023-12-13T12:20:50.000Z</t>
  </si>
  <si>
    <t>Easy Accent Marks 2021-02-14T10:29:36.000Z</t>
  </si>
  <si>
    <t>The Price Geek 2013-05-10T04:58:40.000Z</t>
  </si>
  <si>
    <t>CFCA CertEnrollment.QZCCBank Extension 2021-01-30T06:21:48.000Z</t>
  </si>
  <si>
    <t>Learning Languages with Texts in your Content 2025-01-10T18:01:18.000Z</t>
  </si>
  <si>
    <t>Tabs Backup &amp; Restore 2012-11-14T23:32:46.000Z</t>
  </si>
  <si>
    <t>SOQL Extractor and Analyzer for SalesForce 2019-04-15T22:51:24.000Z</t>
  </si>
  <si>
    <t>SEOTOBO Extension 2021-05-26T11:14:19.000Z</t>
  </si>
  <si>
    <t>Givaways App - Sorteios Grátis no Instagram 2022-02-26T18:46:35.000Z</t>
  </si>
  <si>
    <t>apic cors extension 2022-09-10T04:21:07.000Z</t>
  </si>
  <si>
    <t>Pokemon Wallpapers HD New Tab Page 2019-12-04T03:34:28.000Z</t>
  </si>
  <si>
    <t>RPA Automation Extension 2023-08-21T11:40:34.000Z</t>
  </si>
  <si>
    <t>Grey Scrollbar with buttons 2014-04-12T19:26:15.000Z</t>
  </si>
  <si>
    <t>Deepstash - Stash Ideas 2021-04-13T02:24:22.000Z</t>
  </si>
  <si>
    <t>Markdown New Tab 2019-07-24T20:09:01.000Z</t>
  </si>
  <si>
    <t>Unicode Keyboard 2016-12-28T02:09:20.000Z</t>
  </si>
  <si>
    <t>wireframify 2017-01-22T11:43:59.000Z</t>
  </si>
  <si>
    <t>Symfony2 Profiler shortcut 2015-08-19T11:20:09.000Z</t>
  </si>
  <si>
    <t>YAAW for Chrome 2020-05-26T06:20:13.000Z</t>
  </si>
  <si>
    <t>OnlyFans Toolkit 2024-03-14T11:34:43.000Z</t>
  </si>
  <si>
    <t>WiFi speedtest &amp; Internet Connection Test 2024-04-02T06:05:18.000Z</t>
  </si>
  <si>
    <t>GitHub Search 2012-11-19T21:19:59.000Z</t>
  </si>
  <si>
    <t>Apple Shooter 2017-11-15T04:10:09.000Z</t>
  </si>
  <si>
    <t>Youglish Video Search 2019-05-18T02:28:28.000Z</t>
  </si>
  <si>
    <t>Krunker.io Alien Blaster 2019-03-09T23:02:20.000Z</t>
  </si>
  <si>
    <t>Spell Bee 2019-03-08T10:21:55.000Z</t>
  </si>
  <si>
    <t>GIF Tab 2017-10-07T01:32:01.000Z</t>
  </si>
  <si>
    <t>MiniPlay 2021-03-16T03:46:54.000Z</t>
  </si>
  <si>
    <t>ソーシャルゲームPCブラウザ 2014-02-03T05:13:02.000Z</t>
  </si>
  <si>
    <t>IP Address Information by IPinfo.io 2021-11-11T04:45:53.000Z</t>
  </si>
  <si>
    <t>Thoughtful Tab 2018-07-19T16:24:51.000Z</t>
  </si>
  <si>
    <t>香港股票追蹤 (Hong Kong Stock Tracker) 2022-01-26T06:41:32.000Z</t>
  </si>
  <si>
    <t>Todoist New Tab 2019-03-14T17:20:22.000Z</t>
  </si>
  <si>
    <t>Swap My Cookies 2020-11-21T16:52:09.000Z</t>
  </si>
  <si>
    <t>ChainX extension 2020-06-23T09:51:32.000Z</t>
  </si>
  <si>
    <t>Out of the Sandbox Content Creator 2020-01-13T00:04:57.000Z</t>
  </si>
  <si>
    <t>Red Cloud Lakota Keyboard 2020-10-21T09:58:42.000Z</t>
  </si>
  <si>
    <t>Indian Newspapers 2015-12-24T11:48:45.000Z</t>
  </si>
  <si>
    <t>Trilium Web Clipper 2022-11-01T18:21:22.000Z</t>
  </si>
  <si>
    <t>Popout Plus 2019-04-01T02:00:29.000Z</t>
  </si>
  <si>
    <t>Flight Search 2018-12-17T15:36:07.000Z</t>
  </si>
  <si>
    <t>GO-Global 2015-01-29T21:28:42.000Z</t>
  </si>
  <si>
    <t>Ecriture·Inclusive·Facile — e·i·f 2023-04-04T14:00:57.000Z</t>
  </si>
  <si>
    <t>Tabbie : easy tab viewer 2018-10-03T15:48:50.000Z</t>
  </si>
  <si>
    <t>Hit It Rich! Beacon 2017-10-04T19:14:13.000Z</t>
  </si>
  <si>
    <t>デッキ分布図つくるマシーン 2023-10-27T09:21:00.000Z</t>
  </si>
  <si>
    <t>Corobizar - Alerte Live 2022-03-02T22:42:50.000Z</t>
  </si>
  <si>
    <t>QR Code Generator 2013-10-30T02:21:18.000Z</t>
  </si>
  <si>
    <t>Basaas Extension 2021-12-09T12:03:13.000Z</t>
  </si>
  <si>
    <t>Launchpad for iCloud 2016-10-22T11:44:41.000Z</t>
  </si>
  <si>
    <t>Kickle Voila 2021-02-10T10:48:43.000Z</t>
  </si>
  <si>
    <t>Google Meet Attendance &amp; Engagement 2021-08-31T20:57:18.000Z</t>
  </si>
  <si>
    <t>Easy Label Print for Amazon 2018-01-25T15:36:12.000Z</t>
  </si>
  <si>
    <t>Who.is Lookup 2017-01-16T10:45:45.000Z</t>
  </si>
  <si>
    <t>DotChat 2021-02-07T06:11:08.000Z</t>
  </si>
  <si>
    <t>WhenX: Mark Linkedin Profiles with notes 2024-11-26T06:05:34.000Z</t>
  </si>
  <si>
    <t>Trello Board Snapshot 2015-01-20T20:27:16.000Z</t>
  </si>
  <si>
    <t>Site SEO Analysis 2013-09-03T16:16:37.000Z</t>
  </si>
  <si>
    <t>AdBlocker by Trustnav 2023-01-10T04:15:14.000Z</t>
  </si>
  <si>
    <t>Turtl 2019-02-08T12:49:37.000Z</t>
  </si>
  <si>
    <t>Ping Pong Pro 2019-09-28T09:19:25.000Z</t>
  </si>
  <si>
    <t>RuTracker 2020-12-15T04:54:13.000Z</t>
  </si>
  <si>
    <t>Reddit Enhancements Lite (RELite) 2016-08-05T08:02:03.000Z</t>
  </si>
  <si>
    <t>English to Urdu &amp; Urdu to English Translation 2020-09-14T05:19:03.000Z</t>
  </si>
  <si>
    <t>LingvoTV 2021-01-04T09:41:04.000Z</t>
  </si>
  <si>
    <t>Wayback Images 2017-11-28T09:02:20.000Z</t>
  </si>
  <si>
    <t>Notion Slides by Wunderpresentation 2021-10-04T11:19:12.000Z</t>
  </si>
  <si>
    <t>Netflix Toggle English Subtitles 2019-07-20T17:21:17.000Z</t>
  </si>
  <si>
    <t>Zhongzhong: An improved Chinese Dictionary 2023-02-27T05:25:14.000Z</t>
  </si>
  <si>
    <t>Singing Carrots 2020-11-23T16:41:11.000Z</t>
  </si>
  <si>
    <t>PLATO Highlighter 2021-09-09T16:53:31.000Z</t>
  </si>
  <si>
    <t>Ultidash - New Tab 2021-09-09T09:28:57.000Z</t>
  </si>
  <si>
    <t>C-PEN Connect (BT10) 2022-02-22T12:28:02.000Z</t>
  </si>
  <si>
    <t>Block Reddit 2014-12-18T09:01:15.000Z</t>
  </si>
  <si>
    <t>TCMB Döviz Kurları Excel 2022-01-06T04:08:07.000Z</t>
  </si>
  <si>
    <t>FossaGuard: Encrypt Gmail with S/MIME 2021-05-16T17:15:34.000Z</t>
  </si>
  <si>
    <t>YouTube Comment Exporter 2016-05-23T19:39:25.000Z</t>
  </si>
  <si>
    <t>Multi Sözlük 2021-04-28T16:07:44.000Z</t>
  </si>
  <si>
    <t>Sourcegraph 2023-12-13T04:35:48.000Z</t>
  </si>
  <si>
    <t>e621 Subscriptions 2024-11-24T02:31:16.000Z</t>
  </si>
  <si>
    <t>Awesome Bookmarks Button 2020-12-03T03:26:22.000Z</t>
  </si>
  <si>
    <t>AliExpress Invoice Creator &amp; Waybill Download 2021-07-27T12:15:28.000Z</t>
  </si>
  <si>
    <t>Pin Tab 2019-04-26T01:35:17.000Z</t>
  </si>
  <si>
    <t>키즈노트에서 사진/동영상 다운로드 받기 2020-01-23T11:47:05.000Z</t>
  </si>
  <si>
    <t>History Blacklist 2020-01-21T20:20:31.000Z</t>
  </si>
  <si>
    <t>Tidy Sidebar 2017-02-15T10:09:35.000Z</t>
  </si>
  <si>
    <t>Tinker Chrome 2015-03-29T15:11:42.000Z</t>
  </si>
  <si>
    <t>System Information 2014-10-17T12:48:58.000Z</t>
  </si>
  <si>
    <t>Photos Direct Link 2020-08-31T16:44:18.000Z</t>
  </si>
  <si>
    <t>Trellists: Trello Lists Master 2020-06-03T07:55:18.000Z</t>
  </si>
  <si>
    <t>Technion Plus 2024-02-13T04:37:18.000Z</t>
  </si>
  <si>
    <t>Leads-in-crm 2018-03-14T04:32:48.000Z</t>
  </si>
  <si>
    <t>wasavi 2019-03-08T14:47:58.000Z</t>
  </si>
  <si>
    <t>CheaperThan. Amazon 2021-12-21T10:56:22.000Z</t>
  </si>
  <si>
    <t>Windows Remix ClickOnce Helper 2020-06-28T11:08:32.000Z</t>
  </si>
  <si>
    <t>RunQuestRun 2021-07-14T07:55:35.000Z</t>
  </si>
  <si>
    <t>QPocket 2020-08-01T12:48:23.000Z</t>
  </si>
  <si>
    <t>Countdown Ready 2018-06-15T04:56:06.000Z</t>
  </si>
  <si>
    <t>PasteEnabler 2021-06-10T03:16:06.000Z</t>
  </si>
  <si>
    <t>EasyIQ IdP – Ringkøbing-Skjern Kommune 2023-12-04T11:52:25.000Z</t>
  </si>
  <si>
    <t>LostFilm.TV - официальный плагин 2021-10-21T05:10:43.000Z</t>
  </si>
  <si>
    <t>Segmentify 2020-11-04T06:32:17.000Z</t>
  </si>
  <si>
    <t>Steam Market History Plus 2016-05-23T01:25:54.000Z</t>
  </si>
  <si>
    <t>Verticalize Rotate 90 degrees 2022-11-19T05:33:09.000Z</t>
  </si>
  <si>
    <t>Ancestry Match Downloader 2019-06-15T04:14:06.000Z</t>
  </si>
  <si>
    <t>Dreditor 2018-01-29T18:18:32.000Z</t>
  </si>
  <si>
    <t>Image Downloader 2018-09-29T14:03:16.000Z</t>
  </si>
  <si>
    <t>Shop Assistant 2022-12-06T06:31:26.000Z</t>
  </si>
  <si>
    <t>StumbleUponAwesome 2022-01-31T04:38:22.000Z</t>
  </si>
  <si>
    <t>PocketInformant Web 2023-10-03T05:40:58.000Z</t>
  </si>
  <si>
    <t>DarazScout - Daraz Product Hunting Extentsion 2021-02-08T12:01:18.000Z</t>
  </si>
  <si>
    <t>Save Tabs 2020-09-20T06:13:04.000Z</t>
  </si>
  <si>
    <t>Microsoft Teams Screen sharing 2018-12-13T18:41:32.000Z</t>
  </si>
  <si>
    <t>FoE - Helper &amp; Tools 2021-04-02T15:47:39.000Z</t>
  </si>
  <si>
    <t>Vim 2014-06-20T01:02:44.000Z</t>
  </si>
  <si>
    <t>Paste On Screen 2018-09-04T19:05:55.000Z</t>
  </si>
  <si>
    <t>washing machine 2017-02-04T03:32:59.000Z</t>
  </si>
  <si>
    <t>Assinatura Digital para Navegador - BRy 2022-05-19T22:20:34.000Z</t>
  </si>
  <si>
    <t>Zulu - Bookmarks Reimagined 2022-07-31T10:38:49.000Z</t>
  </si>
  <si>
    <t>Night Walk 2023-10-01T21:45:44.000Z</t>
  </si>
  <si>
    <t>Recoil Dev Tools 2020-08-27T05:32:21.000Z</t>
  </si>
  <si>
    <t>GLaDOS 2020-08-02T11:46:58.000Z</t>
  </si>
  <si>
    <t>Plagly - Plagiarism Checker Tool 2022-11-20T02:14:03.000Z</t>
  </si>
  <si>
    <t>Java Cloud Hosting 2013-04-05T13:35:38.000Z</t>
  </si>
  <si>
    <t>Hilton ResSmart Click to Dial 2024-06-07T11:55:06.000Z</t>
  </si>
  <si>
    <t>Company Information in Google 2021-05-23T18:59:08.000Z</t>
  </si>
  <si>
    <t>Remove Members Only Posts - Medium 2018-05-17T01:40:05.000Z</t>
  </si>
  <si>
    <t>uLearn - Online Proctoring Tool 2024-05-15T04:54:28.000Z</t>
  </si>
  <si>
    <t>Planet Protector 2019-01-19T13:10:15.000Z</t>
  </si>
  <si>
    <t>Images - All-in-one Internet Search 2016-07-03T01:04:17.000Z</t>
  </si>
  <si>
    <t>Lemoney Cash Back 2022-03-05T03:15:22.000Z</t>
  </si>
  <si>
    <t>NBA League Pass Auto Login 2013-11-25T22:11:20.000Z</t>
  </si>
  <si>
    <t>ePub Creator 2019-04-26T16:02:58.000Z</t>
  </si>
  <si>
    <t>Unitrans 2022-07-25T06:18:47.000Z</t>
  </si>
  <si>
    <t>Keyword Modifier 2018-04-06T02:56:57.000Z</t>
  </si>
  <si>
    <t>UoL Coursera Grades 2021-08-23T13:21:45.000Z</t>
  </si>
  <si>
    <t>YouTube Subscriptions Exporter 2023-05-11T11:58:26.000Z</t>
  </si>
  <si>
    <t>Background Notification Sound 2018-10-08T05:21:37.000Z</t>
  </si>
  <si>
    <t>高校课程表 2020-12-24T06:08:38.000Z</t>
  </si>
  <si>
    <t>Seguralta Services Auto Login 2022-06-01T08:20:12.000Z</t>
  </si>
  <si>
    <t>Screen Size 2013-07-30T15:13:26.000Z</t>
  </si>
  <si>
    <t>ignore X-Frame-Options 2014-03-01T10:40:30.000Z</t>
  </si>
  <si>
    <t>Cookie Profile Switcher 2020-09-25T10:30:11.000Z</t>
  </si>
  <si>
    <t>WeGrabb 2021-03-16T03:31:35.000Z</t>
  </si>
  <si>
    <t>Kitten Block 2018-09-08T13:54:56.000Z</t>
  </si>
  <si>
    <t>Vocabulary.com Enhancer 2019-06-11T00:03:08.000Z</t>
  </si>
  <si>
    <t>Logalty ClickOnce 2022-06-30T11:36:21.000Z</t>
  </si>
  <si>
    <t>Emmet LiveStyle 2017-03-14T14:17:43.000Z</t>
  </si>
  <si>
    <t>Onion VPN with Speed Control 2023-01-19T05:43:23.000Z</t>
  </si>
  <si>
    <t>Manchester United News tracker 2019-09-03T22:10:48.000Z</t>
  </si>
  <si>
    <t>Tabtics 2015-12-24T11:39:05.000Z</t>
  </si>
  <si>
    <t>Cog - System Info Viewer 2018-06-19T08:14:32.000Z</t>
  </si>
  <si>
    <t>Text-to-Speech Highlighter 2022-12-20T09:11:44.000Z</t>
  </si>
  <si>
    <t>Discord Bot Client 2021-01-30T09:45:07.000Z</t>
  </si>
  <si>
    <t>Skin Filter 2017-11-05T19:15:35.000Z</t>
  </si>
  <si>
    <t>Fortnite - New tab - Current item shop 2019-04-26T20:03:13.000Z</t>
  </si>
  <si>
    <t>Save SVG as PNG 2018-08-22T15:14:21.000Z</t>
  </si>
  <si>
    <t>Shift-JIS memo 2020-03-09T11:07:57.000Z</t>
  </si>
  <si>
    <t>GitHub Writer 2024-04-12T05:36:02.000Z</t>
  </si>
  <si>
    <t>QQ music downloader 2021-03-31T05:33:35.000Z</t>
  </si>
  <si>
    <t>Petal Cite Web Importer 2024-01-23T05:01:38.000Z</t>
  </si>
  <si>
    <t>Volume Controller 2017-03-06T20:38:57.000Z</t>
  </si>
  <si>
    <t>T21 HLS Scrubber 2017-10-23T19:21:42.000Z</t>
  </si>
  <si>
    <t>Picpic 2016-05-03T08:27:04.000Z</t>
  </si>
  <si>
    <t>Go to Anghami 2020-06-07T15:38:31.000Z</t>
  </si>
  <si>
    <t>New tabs to the front 2018-06-11T19:17:47.000Z</t>
  </si>
  <si>
    <t>NetSupport Manager Client 2020-08-12T03:55:02.000Z</t>
  </si>
  <si>
    <t>Torrentz direct search 2016-05-24T17:11:06.000Z</t>
  </si>
  <si>
    <t>Video Playback Extension 2021-02-16T06:42:33.000Z</t>
  </si>
  <si>
    <t>梦想网页资源下载器 2021-01-23T07:16:01.000Z</t>
  </si>
  <si>
    <t>店雷达-1688跨境选品工具和数据分析运营插件 2024-12-31T06:58:04.000Z</t>
  </si>
  <si>
    <t>Convert Google Doc to Gmail draft by cloudHQ 2020-05-11T04:26:11.000Z</t>
  </si>
  <si>
    <t>Pokemon Showdown Player Ratings 2017-01-25T06:31:42.000Z</t>
  </si>
  <si>
    <t>Prism - Visual Bookmarks 2020-06-02T01:13:46.000Z</t>
  </si>
  <si>
    <t>RPN Calculator 2017-10-04T15:52:53.000Z</t>
  </si>
  <si>
    <t>Pomotasking: Tasks lists with Pomodoro Timer 2017-10-15T16:59:13.000Z</t>
  </si>
  <si>
    <t>Tab Closer for Zoom 2022-06-21T14:37:44.000Z</t>
  </si>
  <si>
    <t>Save my Tabs 2017-03-13T15:57:08.000Z</t>
  </si>
  <si>
    <t>Link Text Color 2015-11-20T13:54:00.000Z</t>
  </si>
  <si>
    <t>Word Replacer II 2019-09-01T01:45:40.000Z</t>
  </si>
  <si>
    <t>RTF Viewer 2020-06-01T09:35:36.000Z</t>
  </si>
  <si>
    <t>glink 2020-09-07T11:13:21.000Z</t>
  </si>
  <si>
    <t>Parallax IDE 2023-01-10T08:37:59.000Z</t>
  </si>
  <si>
    <t>Unblock iQiyi - Free and unlimited 2019-10-22T08:42:26.000Z</t>
  </si>
  <si>
    <t>Remote Play 2021-03-05T13:38:55.000Z</t>
  </si>
  <si>
    <t>Page to wireframe 2020-03-25T13:24:28.000Z</t>
  </si>
  <si>
    <t>YouTube Window Player 2018-09-11T15:41:09.000Z</t>
  </si>
  <si>
    <t>High Contrast 2024-05-23T16:16:59.000Z</t>
  </si>
  <si>
    <t>Always Autocomplete 2013-07-01T05:55:33.000Z</t>
  </si>
  <si>
    <t>strava-map-switcher 2023-06-19T05:28:32.000Z</t>
  </si>
  <si>
    <t>One Click Image Downloader 2021-10-11T05:19:36.000Z</t>
  </si>
  <si>
    <t>Copy All Urls 2021-06-02T06:31:03.000Z</t>
  </si>
  <si>
    <t>CFCA CertEnrollment.CNCE Extension 2021-10-29T07:28:25.000Z</t>
  </si>
  <si>
    <t>Video Fullscreen 2019-06-16T02:13:58.000Z</t>
  </si>
  <si>
    <t>Lucidchart Diagrams - Desktop 2019-03-08T14:51:10.000Z</t>
  </si>
  <si>
    <t>Rubrika 2019-09-21T08:35:28.000Z</t>
  </si>
  <si>
    <t>New Tab Notepad 2015-03-11T04:00:47.000Z</t>
  </si>
  <si>
    <t>click2speech 2023-02-22T00:07:20.000Z</t>
  </si>
  <si>
    <t>Performance-Analyser 2020-12-10T04:35:27.000Z</t>
  </si>
  <si>
    <t>Applet2Object 2013-06-16T11:39:25.000Z</t>
  </si>
  <si>
    <t>synccit for reddit 2019-08-13T03:30:42.000Z</t>
  </si>
  <si>
    <t>MLP Cashback BonusRadar 2021-03-13T12:16:31.000Z</t>
  </si>
  <si>
    <t>Wildfire 2020-05-17T09:13:53.000Z</t>
  </si>
  <si>
    <t>MuteTab B E T A 2020-02-25T12:15:16.000Z</t>
  </si>
  <si>
    <t>Reminder Plus for YouTube™ 2022-06-11T11:18:54.000Z</t>
  </si>
  <si>
    <t>ExpandCart AliExpress Integration 2024-02-16T10:09:06.000Z</t>
  </si>
  <si>
    <t>Furia Script 2016-05-03T14:35:38.000Z</t>
  </si>
  <si>
    <t>Meet Scheduler 2022-08-16T09:17:54.000Z</t>
  </si>
  <si>
    <t>Moodboard 2019-03-26T06:15:40.000Z</t>
  </si>
  <si>
    <t>HackBar 2020-06-15T06:40:31.000Z</t>
  </si>
  <si>
    <t>JiraRTL 2021-07-23T03:42:39.000Z</t>
  </si>
  <si>
    <t>Paper To Audio 2022-05-23T09:50:54.000Z</t>
  </si>
  <si>
    <t>Talk and Comment - Voice notes anywhere 2020-06-01T16:06:51.000Z</t>
  </si>
  <si>
    <t>SlabWatch - Show eBay Best Offer Prices 2021-04-18T09:38:44.000Z</t>
  </si>
  <si>
    <t>Hatena::Notify 2019-12-24T10:06:13.000Z</t>
  </si>
  <si>
    <t>Polarr Photo Editor 2019-11-23T03:46:40.000Z</t>
  </si>
  <si>
    <t>CroxyProxy Free Web Proxy Lite 2024-06-09T09:22:13.000Z</t>
  </si>
  <si>
    <t>FreshPortlet — NetSuite Portlet Refresher 2023-04-25T00:09:03.000Z</t>
  </si>
  <si>
    <t>Superposition helper 2022-07-12T06:01:57.000Z</t>
  </si>
  <si>
    <t>Babu Background RGB Color 2022-11-19T03:46:19.000Z</t>
  </si>
  <si>
    <t>Look Up Wikipedia</t>
  </si>
  <si>
    <t>Giphy Tabs 2021-04-07T12:04:05.000Z</t>
  </si>
  <si>
    <t>Free Mind Map Creator 2019-04-05T06:44:20.000Z</t>
  </si>
  <si>
    <t>Web Screen Capture 2015-12-29T18:27:37.000Z</t>
  </si>
  <si>
    <t>TTY for eforth 2014-01-11T03:48:15.000Z</t>
  </si>
  <si>
    <t>Bookmark My Tabs 2013-07-24T12:27:27.000Z</t>
  </si>
  <si>
    <t>De-Mainstream YouTube™ 2020-03-28T22:41:21.000Z</t>
  </si>
  <si>
    <t>GeText 2021-05-24T02:17:31.000Z</t>
  </si>
  <si>
    <t>it is i the frenchiest fry meme from tumblr 2016-11-08T06:50:26.000Z</t>
  </si>
  <si>
    <t>Cyano Wallet 2022-03-09T12:03:00.000Z</t>
  </si>
  <si>
    <t>Better PopUp Blocker 2 2020-08-20T05:52:26.000Z</t>
  </si>
  <si>
    <t>Chrome OS Wallpapers 2013-05-24T08:47:07.000Z</t>
  </si>
  <si>
    <t>BVB-Home 2015-11-23T22:00:15.000Z</t>
  </si>
  <si>
    <t>parg.co URL shortener 2021-04-20T13:27:21.000Z</t>
  </si>
  <si>
    <t>Dastine 2017-02-01T12:09:32.000Z</t>
  </si>
  <si>
    <t>Meet Mute 2021-06-02T23:24:45.000Z</t>
  </si>
  <si>
    <t>NetSuite Scripted Records 2022-10-11T06:11:22.000Z</t>
  </si>
  <si>
    <t>B 2018-01-12T19:38:05.000Z</t>
  </si>
  <si>
    <t>Dragon Medical Web Extension 2020-07-18T05:05:05.000Z</t>
  </si>
  <si>
    <t>Sitemap Parser 2020-09-03T03:39:42.000Z</t>
  </si>
  <si>
    <t>Gumtree AU 2013-09-19T06:02:58.000Z</t>
  </si>
  <si>
    <t>Clean calculator 2014-09-06T20:17:06.000Z</t>
  </si>
  <si>
    <t>Github Comment Tracker 2018-08-02T04:45:04.000Z</t>
  </si>
  <si>
    <t>Twitter Block Chain 2019-05-20T13:53:15.000Z</t>
  </si>
  <si>
    <t>MZ Extension (powered by Luminus) 2019-11-29T10:37:20.000Z</t>
  </si>
  <si>
    <t>ZemanBlock 2020-12-29T11:05:49.000Z</t>
  </si>
  <si>
    <t>Pinyinizer 2017-04-30T11:22:27.000Z</t>
  </si>
  <si>
    <t>Chrome Calculator 2016-03-05T11:38:23.000Z</t>
  </si>
  <si>
    <t>Gismeteo Tab 2021-10-13T08:23:28.000Z</t>
  </si>
  <si>
    <t>Tamindir.com 2015-09-15T16:00:54.000Z</t>
  </si>
  <si>
    <t>Cached link 2015-06-23T11:26:41.000Z</t>
  </si>
  <si>
    <t>Remove Screenshare Notification for Hangouts™ 2015-12-07T21:12:45.000Z</t>
  </si>
  <si>
    <t>다음지도 드래그 검색 2014-05-21T07:24:17.000Z</t>
  </si>
  <si>
    <t>Win the Day 2018-01-30T14:22:15.000Z</t>
  </si>
  <si>
    <t>Resizing App 2020-05-19T18:06:13.000Z</t>
  </si>
  <si>
    <t>Tooltip dictionary - 툴팁 영한사전 2022-04-14T08:57:46.000Z</t>
  </si>
  <si>
    <t>Intention - Stop Mindless Browsing 2021-02-10T16:21:06.000Z</t>
  </si>
  <si>
    <t>«Такском-Сертификаты» 2015-08-05T08:18:51.000Z</t>
  </si>
  <si>
    <t>Refind 2021-08-15T11:57:14.000Z</t>
  </si>
  <si>
    <t>HTML Tree Generator 2015-08-20T22:07:52.000Z</t>
  </si>
  <si>
    <t>OneOptimize AdBlock 2024-03-13T11:57:47.000Z</t>
  </si>
  <si>
    <t>Salesforce Change Set Turbo 2017-09-12T22:17:07.000Z</t>
  </si>
  <si>
    <t>Picasso - New Tab Page 2020-11-19T12:55:39.000Z</t>
  </si>
  <si>
    <t>DPI Calculator 2014-01-23T04:05:44.000Z</t>
  </si>
  <si>
    <t>Social Contact for Livespace CRM 2023-06-07T12:15:14.000Z</t>
  </si>
  <si>
    <t>Webspotter Technology Checker &amp; Email lookup 2019-09-18T15:50:04.000Z</t>
  </si>
  <si>
    <t>Date picker extension 2016-04-13T14:44:35.000Z</t>
  </si>
  <si>
    <t>Bookmanager Stockchecker 2018-10-12T00:26:33.000Z</t>
  </si>
  <si>
    <t>Convertiser Editor 2021-06-07T18:06:26.000Z</t>
  </si>
  <si>
    <t>Tab Roulette 2013-08-30T08:54:31.000Z</t>
  </si>
  <si>
    <t>Sumo 2019-12-04T09:56:53.000Z</t>
  </si>
  <si>
    <t>Millennials Begone! 2013-11-26T22:31:21.000Z</t>
  </si>
  <si>
    <t>Lone Tab 2021-07-30T08:57:40.000Z</t>
  </si>
  <si>
    <t>Screen Share for StarLeaf Click-to-Call 2016-11-03T14:44:40.000Z</t>
  </si>
  <si>
    <t>Letterboxd Movie Assistant 2019-01-14T00:09:46.000Z</t>
  </si>
  <si>
    <t>Lasso Bookmark Manager 2020-10-15T17:04:34.000Z</t>
  </si>
  <si>
    <t>Qikipedia 2023-02-02T04:41:30.000Z</t>
  </si>
  <si>
    <t>Walmart for Chrome 2012-09-17T22:43:04.000Z</t>
  </si>
  <si>
    <t>WebSMS 2020-10-31T06:45:46.000Z</t>
  </si>
  <si>
    <t>Safe History 2016-02-28T02:04:20.000Z</t>
  </si>
  <si>
    <t>Revolver - Tabs 2024-08-03T03:52:55.000Z</t>
  </si>
  <si>
    <t>Highlight Color 2015-09-30T14:04:04.000Z</t>
  </si>
  <si>
    <t>超级下单 2017-02-06T09:09:27.000Z</t>
  </si>
  <si>
    <t>Do a barrel roll ! 2016-05-11T13:29:32.000Z</t>
  </si>
  <si>
    <t>Break Helper 2018-09-26T18:06:32.000Z</t>
  </si>
  <si>
    <t>HTML/URL to PDF with pdfmatrix.com 2022-11-27T09:52:36.000Z</t>
  </si>
  <si>
    <t>My Dictionary 2021-03-09T05:55:45.000Z</t>
  </si>
  <si>
    <t>Set Discord Activity 2021-07-02T07:45:21.000Z</t>
  </si>
  <si>
    <t>Snovasys chrome listener 2022-07-01T06:12:59.000Z</t>
  </si>
  <si>
    <t>Overcast Downloader 2016-11-20T08:16:03.000Z</t>
  </si>
  <si>
    <t>Blogely content marketing software 2021-12-11T09:27:50.000Z</t>
  </si>
  <si>
    <t>Sky map 2018-07-18T14:57:50.000Z</t>
  </si>
  <si>
    <t>Radio-en-Direct.com 2019-09-02T12:26:33.000Z</t>
  </si>
  <si>
    <t>ICBC Chrome Extension from Tendyron 2018-04-19T08:46:39.000Z</t>
  </si>
  <si>
    <t>Sibnet BetterPlayer 2021-05-04T07:04:48.000Z</t>
  </si>
  <si>
    <t>Upsales 2024-09-10T07:31:45.000Z</t>
  </si>
  <si>
    <t>OneTab 2017-11-22T12:07:47.000Z</t>
  </si>
  <si>
    <t>ContentStudio - Social Media Scheduler 2024-03-21T08:33:37.000Z</t>
  </si>
  <si>
    <t>Goatarize for Chrome 2017-04-05T16:14:46.000Z</t>
  </si>
  <si>
    <t>Opened or Not - Free Email Tracker 2022-12-28T11:00:27.000Z</t>
  </si>
  <si>
    <t>Watch Party 2020-04-14T00:39:27.000Z</t>
  </si>
  <si>
    <t>Mortality 2021-08-01T23:35:46.000Z</t>
  </si>
  <si>
    <t>MineBlock 2017-09-30T15:40:49.000Z</t>
  </si>
  <si>
    <t>Opens external links in a new tab 2015-08-21T12:13:32.000Z</t>
  </si>
  <si>
    <t>Copy DOM Content 2016-04-24T18:23:20.000Z</t>
  </si>
  <si>
    <t>Hulu Easy Pop Out 2014-03-21T23:36:00.000Z</t>
  </si>
  <si>
    <t>VTOP 2.0 for VIT Bhopal 2021-09-08T22:30:44.000Z</t>
  </si>
  <si>
    <t>MegaIndex Bar 2013-08-08T19:41:30.000Z</t>
  </si>
  <si>
    <t>EasyBlogCommenting 2016-06-15T09:43:24.000Z</t>
  </si>
  <si>
    <t>Css to SCSS or SASS Converter 2018-11-05T05:49:37.000Z</t>
  </si>
  <si>
    <t>Auto Scroller 2019-07-16T12:47:29.000Z</t>
  </si>
  <si>
    <t>HubX (by Neambo) 2019-06-27T12:15:23.000Z</t>
  </si>
  <si>
    <t>网易云音乐辅助 2016-10-09T09:32:01.000Z</t>
  </si>
  <si>
    <t>Confetti Cannon! 2020-11-18T04:13:18.000Z</t>
  </si>
  <si>
    <t>Official QPR Homepage 2020-07-19T09:48:07.000Z</t>
  </si>
  <si>
    <t>Disable Scrolling 2020-06-13T13:30:35.000Z</t>
  </si>
  <si>
    <t>Direct URL to QR Code 2021-04-29T03:13:52.000Z</t>
  </si>
  <si>
    <t>Unblock-Us Auto Activator 2014-08-11T07:28:00.000Z</t>
  </si>
  <si>
    <t>BBB Screenshare Extension 2019-01-04T03:03:33.000Z</t>
  </si>
  <si>
    <t>OnlinePBX 2016-05-31T07:28:02.000Z</t>
  </si>
  <si>
    <t>ChromeDuino 2019-03-08T14:54:33.000Z</t>
  </si>
  <si>
    <t>SVG Screenshot 2020-04-09T00:02:26.000Z</t>
  </si>
  <si>
    <t>Brawl Stars Cursor 2021-04-15T10:21:24.000Z</t>
  </si>
  <si>
    <t>Super countdown 2013-02-21T12:11:00.000Z</t>
  </si>
  <si>
    <t>FATREL - NoFollow Link Highlighter 2022-06-01T09:19:52.000Z</t>
  </si>
  <si>
    <t>CSS3 Generator 2023-02-06T04:27:48.000Z</t>
  </si>
  <si>
    <t>Zoho Annotator 2024-07-13T04:58:39.000Z</t>
  </si>
  <si>
    <t>Dizu 2021-11-08T07:18:26.000Z</t>
  </si>
  <si>
    <t>Save tabs as HTML 2021-11-30T08:13:30.000Z</t>
  </si>
  <si>
    <t>Jeopardy! 30 Second Timer 2016-03-18T17:28:56.000Z</t>
  </si>
  <si>
    <t>Streamus ByPasser 2023-02-09T06:49:00.000Z</t>
  </si>
  <si>
    <t>BurnerX 2020-08-28T09:32:36.000Z</t>
  </si>
  <si>
    <t>Stop Mod Reposts 2022-02-01T03:59:11.000Z</t>
  </si>
  <si>
    <t>Проверка почты I.UA 2019-11-05T20:32:20.000Z</t>
  </si>
  <si>
    <t>Ship.Cars Loadboard Extension 2024-10-02T13:17:53.000Z</t>
  </si>
  <si>
    <t>Inspector for Google Maps JavaScript API 2014-06-25T15:04:55.000Z</t>
  </si>
  <si>
    <t>SoloTodo 2018-06-05T21:55:38.000Z</t>
  </si>
  <si>
    <t>Session Share 2018-12-09T16:02:35.000Z</t>
  </si>
  <si>
    <t>Tildes Tulkotājs 2013-08-12T13:43:00.000Z</t>
  </si>
  <si>
    <t>Light JavaScript Playground 2014-01-30T12:13:17.000Z</t>
  </si>
  <si>
    <t>Wallpaper HD 2015-07-06T11:02:34.000Z</t>
  </si>
  <si>
    <t>Sorting Social 2020-07-29T05:34:03.000Z</t>
  </si>
  <si>
    <t>YTMusic random album 2019-10-08T10:41:07.000Z</t>
  </si>
  <si>
    <t>Download Videos from NaverTV 2018-10-20T13:04:15.000Z</t>
  </si>
  <si>
    <t>Sitespeed Report 2017-01-02T01:12:03.000Z</t>
  </si>
  <si>
    <t>People Finder 2020-10-26T05:18:48.000Z</t>
  </si>
  <si>
    <t>ayaya's Bookmark Tree 2023-07-18T13:02:44.000Z</t>
  </si>
  <si>
    <t>Grammer Ungooder 2016-03-29T03:53:50.000Z</t>
  </si>
  <si>
    <t>台服隊友檢閱插件 2024-05-25T08:58:44.000Z</t>
  </si>
  <si>
    <t>Download My Youtube Subscriptions 2017-04-18T01:18:11.000Z</t>
  </si>
  <si>
    <t>Smart Tab Mute 2016-07-24T14:49:27.000Z</t>
  </si>
  <si>
    <t>Music Meal: Audio Player &amp; Playlist Streamer 2020-06-16T12:18:57.000Z</t>
  </si>
  <si>
    <t>PwdHash port 2021-07-14T07:49:34.000Z</t>
  </si>
  <si>
    <t>World Clock 2020-11-28T16:52:45.000Z</t>
  </si>
  <si>
    <t>ETH Gas Price 2024-04-30T10:46:26.000Z</t>
  </si>
  <si>
    <t>Bluhell Firewall 2020-10-12T09:50:50.000Z</t>
  </si>
  <si>
    <t>Getflix Region Switcher 2016-04-10T05:51:56.000Z</t>
  </si>
  <si>
    <t>Komponenta pro aplikaci MEP 2023-06-20T07:11:44.000Z</t>
  </si>
  <si>
    <t>Remove Google Redirection 2017-11-17T09:17:17.000Z</t>
  </si>
  <si>
    <t>TwitterImageDownloader 2020-01-28T13:13:47.000Z</t>
  </si>
  <si>
    <t>Per Tab Zoom 2025-01-07T12:37:39.000Z</t>
  </si>
  <si>
    <t>Galaxy Patrol 2019-01-30T13:42:48.000Z</t>
  </si>
  <si>
    <t>CSV Reader 2022-09-06T13:15:12.000Z</t>
  </si>
  <si>
    <t>Askmebuy Easy Buy and Sent 2022-10-05T07:48:13.000Z</t>
  </si>
  <si>
    <t>Empty New Tab 2018-02-06T12:10:34.000Z</t>
  </si>
  <si>
    <t>Auto-switch to Latest Tweets for Twitter 2019-07-28T00:17:14.000Z</t>
  </si>
  <si>
    <t>WASender Free Plugin 2022-09-03T04:53:44.000Z</t>
  </si>
  <si>
    <t>PowerBI Matrix Copy 2019-01-26T09:26:17.000Z</t>
  </si>
  <si>
    <t>Steward Plus 2021-01-08T04:30:05.000Z</t>
  </si>
  <si>
    <t>PDF Translator 2023-01-27T09:15:28.000Z</t>
  </si>
  <si>
    <t>易集书签收藏工具 2022-04-04T10:48:48.000Z</t>
  </si>
  <si>
    <t>Double-click to... 2015-10-13T12:42:42.000Z</t>
  </si>
  <si>
    <t>Right Click Email for Gmail 2016-12-29T05:42:02.000Z</t>
  </si>
  <si>
    <t>强悍搜索 2021-12-14T04:56:06.000Z</t>
  </si>
  <si>
    <t>Reddit Deduplicator 2021-05-25T06:29:45.000Z</t>
  </si>
  <si>
    <t>Extension Player for Spotify 2020-12-10T11:02:44.000Z</t>
  </si>
  <si>
    <t>Ecom Radar 2022-06-13T05:57:20.000Z</t>
  </si>
  <si>
    <t>TAYL - Let me read that for you 2019-04-06T07:32:07.000Z</t>
  </si>
  <si>
    <t>Просмотр мобильных версии страниц 2021-12-22T10:50:27.000Z</t>
  </si>
  <si>
    <t>ABC JS-CSS Injector 2023-02-09T06:17:01.000Z</t>
  </si>
  <si>
    <t>Merch Advanced Analytics 2021-09-11T10:15:18.000Z</t>
  </si>
  <si>
    <t>读了吗·稍后 2019-03-08T14:56:17.000Z</t>
  </si>
  <si>
    <t>Autopinner 2022-08-12T04:30:08.000Z</t>
  </si>
  <si>
    <t>VASCO Smart Card Reader Extension 2015-05-28T12:55:28.000Z</t>
  </si>
  <si>
    <t>Multiple Search and Highlight 2022-03-06T07:52:06.000Z</t>
  </si>
  <si>
    <t>FOFA Pro View 2022-07-05T04:14:49.000Z</t>
  </si>
  <si>
    <t>Email My Students 2020-06-15T04:00:52.000Z</t>
  </si>
  <si>
    <t>Bitstamp BTC price 2023-09-19T20:32:29.000Z</t>
  </si>
  <si>
    <t>Smart Saver 2020-04-15T12:38:06.000Z</t>
  </si>
  <si>
    <t>Moto Key 2018-01-15T10:05:54.000Z</t>
  </si>
  <si>
    <t>Agorapulse 2022-01-28T17:47:00.000Z</t>
  </si>
  <si>
    <t>Export to Markdown 2019-06-12T12:25:46.000Z</t>
  </si>
  <si>
    <t>Snipit - organize</t>
  </si>
  <si>
    <t>Power Hour 2020-05-22T20:57:11.000Z</t>
  </si>
  <si>
    <t>Restart Browser 2019-09-24T11:46:33.000Z</t>
  </si>
  <si>
    <t>Custom Hotkeys 2017-07-19T22:13:13.000Z</t>
  </si>
  <si>
    <t>Undirect 2018-12-04T10:15:54.000Z</t>
  </si>
  <si>
    <t>WebDataStats — CMS Сhecker 2020-11-19T14:00:04.000Z</t>
  </si>
  <si>
    <t>FCiencias x MisProfesores 2021-04-10T06:52:00.000Z</t>
  </si>
  <si>
    <t>BWNT - New Tab 2018-03-20T15:55:34.000Z</t>
  </si>
  <si>
    <t>Ayar Font Tool 2016-03-29T06:57:16.000Z</t>
  </si>
  <si>
    <t>CircleLoop 2021-10-17T08:13:20.000Z</t>
  </si>
  <si>
    <t>抓猫 2020-08-11T03:09:36.000Z</t>
  </si>
  <si>
    <t>Pushline: PC/Mac Desktop Notifications 2015-02-05T16:50:16.000Z</t>
  </si>
  <si>
    <t>Save to FileCloud 2018-01-03T21:22:12.000Z</t>
  </si>
  <si>
    <t>Bookmarks Reorderer 2016-01-29T21:54:35.000Z</t>
  </si>
  <si>
    <t>Healthy Browsing 2019-04-11T13:02:11.000Z</t>
  </si>
  <si>
    <t>Youtube Video Box 2021-07-06T06:00:25.000Z</t>
  </si>
  <si>
    <t>Sprinter 2016-10-20T18:13:36.000Z</t>
  </si>
  <si>
    <t>FBReader on rollApp 2018-03-28T08:34:38.000Z</t>
  </si>
  <si>
    <t>Toktogi: A Korean-English Popup Dictionary 2021-05-19T05:18:35.000Z</t>
  </si>
  <si>
    <t>Temer Golpista 2016-09-03T22:08:08.000Z</t>
  </si>
  <si>
    <t>Flip this 2023-05-30T13:12:31.000Z</t>
  </si>
  <si>
    <t>Magnet Collector 2017-01-28T04:57:10.000Z</t>
  </si>
  <si>
    <t>PlayStation Store Plus 2019-01-03T06:42:23.000Z</t>
  </si>
  <si>
    <t>Spacebar Counter 2022-04-26T07:59:03.000Z</t>
  </si>
  <si>
    <t>Analytics Inspector 2022-09-25T06:03:01.000Z</t>
  </si>
  <si>
    <t>Jaybe - Save every time you shop 2022-06-08T06:40:39.000Z</t>
  </si>
  <si>
    <t>Assay - the URL Inspection tools 2020-08-16T04:29:30.000Z</t>
  </si>
  <si>
    <t>Forex Market Hours 2019-05-10T02:48:33.000Z</t>
  </si>
  <si>
    <t>URL Group Manager 2020-07-04T10:38:22.000Z</t>
  </si>
  <si>
    <t>WebTrails by Avast Labs 2022-03-16T04:55:02.000Z</t>
  </si>
  <si>
    <t>SimpleClear 2021-04-01T08:58:33.000Z</t>
  </si>
  <si>
    <t>Screen &amp; Webcam Recorder + Editor - VADOO.TV 2021-08-20T10:32:20.000Z</t>
  </si>
  <si>
    <t>Cache Hit 2018-11-06T18:21:06.000Z</t>
  </si>
  <si>
    <t>Five9 Agent Desktop Toolkit 2019-10-03T23:24:55.000Z</t>
  </si>
  <si>
    <t>Blockade 2017-11-15T16:34:02.000Z</t>
  </si>
  <si>
    <t>SomaPlayer 2018-05-05T17:32:11.000Z</t>
  </si>
  <si>
    <t>Extractor Email V.2020 2021-08-05T17:59:01.000Z</t>
  </si>
  <si>
    <t>Text to Speech 2023-10-31T12:04:04.000Z</t>
  </si>
  <si>
    <t>다음 팝업 사전 2019-05-19T16:43:26.000Z</t>
  </si>
  <si>
    <t>GHunt Companion 2022-12-03T19:39:08.000Z</t>
  </si>
  <si>
    <t>Periodic Table of Elements 2016-10-06T12:38:08.000Z</t>
  </si>
  <si>
    <t>Laravel Docs 2014-05-02T16:23:51.000Z</t>
  </si>
  <si>
    <t>Hawaii Wallpapers Paradise New Tab Theme 2019-10-22T06:52:04.000Z</t>
  </si>
  <si>
    <t>Multi-File Downloader 2019-09-08T19:37:12.000Z</t>
  </si>
  <si>
    <t>Panelizer 2014-07-27T23:06:51.000Z</t>
  </si>
  <si>
    <t>HoduPhone 2022-02-17T07:07:11.000Z</t>
  </si>
  <si>
    <t>Comtrade DigSig plugin 2019-06-18T07:57:22.000Z</t>
  </si>
  <si>
    <t>I love adaptive – Mobile/Responsive testing 2021-04-09T10:29:53.000Z</t>
  </si>
  <si>
    <t>Links Disabler 2020-12-02T12:15:31.000Z</t>
  </si>
  <si>
    <t>Bootzee Bootstrap and Less Editor 2014-09-26T10:59:44.000Z</t>
  </si>
  <si>
    <t>Fast Duplicate Tab Closer 2019-11-18T16:03:35.000Z</t>
  </si>
  <si>
    <t>京推推京东小助手 2023-09-18T01:12:31.000Z</t>
  </si>
  <si>
    <t>JSON-YAML Toggle 2019-03-08T14:57:35.000Z</t>
  </si>
  <si>
    <t>Amazon.de Shopping Suche 2020-02-04T02:31:38.000Z</t>
  </si>
  <si>
    <t>Chrome Virtual Camera 2020-07-16T03:56:08.000Z</t>
  </si>
  <si>
    <t>Duolingo Audio 2017-03-26T13:19:02.000Z</t>
  </si>
  <si>
    <t>Bookmarks Tagger 2013-04-05T19:14:31.000Z</t>
  </si>
  <si>
    <t>UnOfficial Fiverr Notifications 2020-09-21T20:48:21.000Z</t>
  </si>
  <si>
    <t>Percent Calculator 2017-01-28T20:04:43.000Z</t>
  </si>
  <si>
    <t>Mouse XY 2017-03-31T23:41:05.000Z</t>
  </si>
  <si>
    <t>Passport 2022-08-29T19:29:57.000Z</t>
  </si>
  <si>
    <t>Force HTTPS for all traffic 2019-05-22T16:02:41.000Z</t>
  </si>
  <si>
    <t>SeikisoViewer 2021-02-20T04:10:06.000Z</t>
  </si>
  <si>
    <t>Post! (Postila) 2020-09-17T12:12:04.000Z</t>
  </si>
  <si>
    <t>The FFZ Enhancing Add-On 2019-11-07T16:53:02.000Z</t>
  </si>
  <si>
    <t>USC course watcher 2015-07-13T02:28:29.000Z</t>
  </si>
  <si>
    <t>Bring Pushbullet Notifications Back to Chrome 2015-05-12T06:41:39.000Z</t>
  </si>
  <si>
    <t>Zoho Desk ASAP Extension 2021-02-26T06:28:17.000Z</t>
  </si>
  <si>
    <t>KissFC 2019-03-08T14:57:51.000Z</t>
  </si>
  <si>
    <t>ADB 2014-02-19T00:30:50.000Z</t>
  </si>
  <si>
    <t>Красивая Новая Вкладка с Яндексом™ 2017-10-10T07:08:03.000Z</t>
  </si>
  <si>
    <t>Typing Status Hider for Discord™ 2022-01-25T08:07:38.000Z</t>
  </si>
  <si>
    <t>Faster Cooldowns 2020-10-05T12:53:33.000Z</t>
  </si>
  <si>
    <t>Proxy SwitchySharp 2020-03-14T05:49:18.000Z</t>
  </si>
  <si>
    <t>Web Apps by 123apps 2021-10-16T05:26:00.000Z</t>
  </si>
  <si>
    <t>words. 2015-03-18T16:45:53.000Z</t>
  </si>
  <si>
    <t>Image Blocker EX+ 9000 2018-12-01T01:27:51.000Z</t>
  </si>
  <si>
    <t>Accurate Transcriptions (speech to text) 2022-06-29T02:23:04.000Z</t>
  </si>
  <si>
    <t>Justaple Stapling Tool 2014-12-08T12:31:56.000Z</t>
  </si>
  <si>
    <t>Analytics Tracker 2016-10-04T13:35:05.000Z</t>
  </si>
  <si>
    <t>Clever Mute 2021-12-31T03:25:54.000Z</t>
  </si>
  <si>
    <t>Bot Sentinel 2022-03-29T08:19:13.000Z</t>
  </si>
  <si>
    <t>Xdebug helper 2016-10-24T20:22:37.000Z</t>
  </si>
  <si>
    <t>Copy-to-Trello 2023-06-29T08:26:46.000Z</t>
  </si>
  <si>
    <t>AmazonFBA料金シミュレーター ASIN横断検索 2016-07-04T04:18:07.000Z</t>
  </si>
  <si>
    <t>Blitz Full Screen URL Launcher 2014-09-07T20:30:59.000Z</t>
  </si>
  <si>
    <t>豌豆荚直搜 2018-07-02T12:49:59.000Z</t>
  </si>
  <si>
    <t>Linkly for Google Chrome 2019-12-18T14:21:43.000Z</t>
  </si>
  <si>
    <t>Dark Scrollbar 2022-05-21T09:36:33.000Z</t>
  </si>
  <si>
    <t>GamingHub 2020-06-22T05:01:44.000Z</t>
  </si>
  <si>
    <t>Twitch Affiliate Sub Icons 2017-07-03T18:58:51.000Z</t>
  </si>
  <si>
    <t>Tanuki Notifier for Google Chrome™ 2024-03-24T04:58:30.000Z</t>
  </si>
  <si>
    <t>Буфер обмена текста 2018-06-08T17:15:59.000Z</t>
  </si>
  <si>
    <t>JSON代码Unicode转义工具 2015-03-19T10:19:44.000Z</t>
  </si>
  <si>
    <t>Active Time 2021-08-01T08:23:29.000Z</t>
  </si>
  <si>
    <t>PixelBlock 2 2024-10-03T08:15:47.000Z</t>
  </si>
  <si>
    <t>Floating Video Pro 2021-02-15T09:09:54.000Z</t>
  </si>
  <si>
    <t>UC Davis Schedule Helper 2017-11-19T21:03:51.000Z</t>
  </si>
  <si>
    <t>Wyliodrin STUDIO 2019-03-08T14:58:42.000Z</t>
  </si>
  <si>
    <t>WhiteList 2021-02-05T06:13:14.000Z</t>
  </si>
  <si>
    <t>Feedpon 2022-04-24T04:59:56.000Z</t>
  </si>
  <si>
    <t>Gambling Blocker | CasinosAnalyzer Blocker 2020-09-28T07:59:25.000Z</t>
  </si>
  <si>
    <t>100FM Radios Digital - Music</t>
  </si>
  <si>
    <t>Save RedGIFs</t>
  </si>
  <si>
    <t>Discord Token Login 2022-01-09T09:05:27.000Z</t>
  </si>
  <si>
    <t>Gmail Notifier - gmail notification tool 2023-05-09T12:04:50.000Z</t>
  </si>
  <si>
    <t>iManage Work for Gmail 2024-04-26T08:44:52.000Z</t>
  </si>
  <si>
    <t>Dell Blink Sample 2015-08-21T16:46:48.000Z</t>
  </si>
  <si>
    <t>Deezerify 2021-07-15T10:56:04.000Z</t>
  </si>
  <si>
    <t>Relative XPath Helper 2021-03-08T01:47:41.000Z</t>
  </si>
  <si>
    <t>vfxAlert signals panel 2023-08-10T05:55:14.000Z</t>
  </si>
  <si>
    <t>SchoolBranch Sparrow 2022-11-10T09:12:38.000Z</t>
  </si>
  <si>
    <t>Folha Grátis 2022-07-29T03:53:05.000Z</t>
  </si>
  <si>
    <t>613 Tube 2019-03-12T06:39:03.000Z</t>
  </si>
  <si>
    <t>Movie Search Center New Tab 2020-07-02T10:02:15.000Z</t>
  </si>
  <si>
    <t>木星加速器-回国追剧听歌 2021-03-13T06:43:49.000Z</t>
  </si>
  <si>
    <t>Search on Bookmark 2013-07-04T17:32:02.000Z</t>
  </si>
  <si>
    <t>Hide Likes 2021-11-09T04:11:13.000Z</t>
  </si>
  <si>
    <t>Monokai for Chrome 2017-04-26T14:54:52.000Z</t>
  </si>
  <si>
    <t>HTTP Archive Viewer 2016-06-09T07:34:11.000Z</t>
  </si>
  <si>
    <t>Iskoduler 2017-07-21T03:22:23.000Z</t>
  </si>
  <si>
    <t>Pricearchive - AliExpress Shopping Assistant 2021-01-14T20:16:18.000Z</t>
  </si>
  <si>
    <t>分辨率调节 2020-03-15T09:53:04.000Z</t>
  </si>
  <si>
    <t>Word Blocker 2021-01-18T10:54:32.000Z</t>
  </si>
  <si>
    <t>XDEALER.PRO 2021-02-01T08:47:39.000Z</t>
  </si>
  <si>
    <t>Roam Toolkit 2022-05-27T11:41:40.000Z</t>
  </si>
  <si>
    <t>OpenLink Data Explorer 2022-06-21T04:33:09.000Z</t>
  </si>
  <si>
    <t>WiseFax 2017-12-22T12:40:51.000Z</t>
  </si>
  <si>
    <t>PlayCanvas Editor Plus 2021-10-02T17:59:07.000Z</t>
  </si>
  <si>
    <t>Paced Email – Temporary</t>
  </si>
  <si>
    <t>My notifications 2023-10-25T03:32:51.000Z</t>
  </si>
  <si>
    <t>Protractor Recorder 2018-07-25T19:45:07.000Z</t>
  </si>
  <si>
    <t>PIP screen for html5 video 2019-06-01T07:10:16.000Z</t>
  </si>
  <si>
    <t>AEM Chrome Extension - SourcedCode 2024-03-22T09:40:24.000Z</t>
  </si>
  <si>
    <t>Pixiv Kurocore Plugin 2019-03-12T18:49:30.000Z</t>
  </si>
  <si>
    <t>Ambition Life Calendar 2018-12-25T06:25:45.000Z</t>
  </si>
  <si>
    <t>YApi-X 2022-05-26T06:50:09.000Z</t>
  </si>
  <si>
    <t>YouTube PopOut 2014-12-24T22:05:20.000Z</t>
  </si>
  <si>
    <t>Орфографер 2017-04-18T23:17:59.000Z</t>
  </si>
  <si>
    <t>1&amp;1 Suche 2022-03-01T09:12:01.000Z</t>
  </si>
  <si>
    <t>Правільны сцяг 2018-03-27T11:22:45.000Z</t>
  </si>
  <si>
    <t>저속자설 도우미 2017-03-08T06:11:18.000Z</t>
  </si>
  <si>
    <t>Racing cars Background 2018-03-03T22:01:37.000Z</t>
  </si>
  <si>
    <t>PLANOLY Uploader 2019-11-04T16:03:17.000Z</t>
  </si>
  <si>
    <t>Umi Enabler 2020-09-18T10:23:10.000Z</t>
  </si>
  <si>
    <t>myPhoneDesktop Client 2013-06-27T22:35:03.000Z</t>
  </si>
  <si>
    <t>Gmail Quick Links 2021-03-07T05:47:36.000Z</t>
  </si>
  <si>
    <t>Mat Bao assistant 2022-03-29T06:37:48.000Z</t>
  </si>
  <si>
    <t>QPush - Push Text and Links to iPhone 2019-05-23T12:18:35.000Z</t>
  </si>
  <si>
    <t>My Memorizer Tool 2024-07-21T05:41:58.000Z</t>
  </si>
  <si>
    <t>github-code-viewer 2021-02-10T10:31:18.000Z</t>
  </si>
  <si>
    <t>Qwik Ant 2023-04-24T05:01:13.000Z</t>
  </si>
  <si>
    <t>CPC &amp; CPM  Calculator 2021-03-25T07:35:43.000Z</t>
  </si>
  <si>
    <t>OnHub Authorization Helper 2021-09-18T12:28:32.000Z</t>
  </si>
  <si>
    <t>Bold Text Generator ᐈ #201+ Fancy Text Font 2021-03-31T11:18:14.000Z</t>
  </si>
  <si>
    <t>Clean CSS 2014-11-08T16:49:21.000Z</t>
  </si>
  <si>
    <t>Kuaidula快读啦 2014-03-25T16:28:00.000Z</t>
  </si>
  <si>
    <t>Extractor WhatsApp V.2020 2021-08-05T17:59:05.000Z</t>
  </si>
  <si>
    <t>HTML5 Universal Speed Hack 2023-11-22T08:34:45.000Z</t>
  </si>
  <si>
    <t>FreshView for YouTube™ 2022-02-14T15:38:02.000Z</t>
  </si>
  <si>
    <t>VNSHIELD - TƯỜNG LỬA 2016-05-29T08:08:18.000Z</t>
  </si>
  <si>
    <t>MagicScroll Web Reader 2013-09-06T09:41:37.000Z</t>
  </si>
  <si>
    <t>Omnifinder 2017-01-24T23:43:21.000Z</t>
  </si>
  <si>
    <t>摸鱼上微信 2023-06-27T14:25:32.000Z</t>
  </si>
  <si>
    <t>WebMoney Advisor 2023-02-16T16:05:16.000Z</t>
  </si>
  <si>
    <t>Swiggity Swooty Extension 2015-10-29T23:21:53.000Z</t>
  </si>
  <si>
    <t>Rick Rolling Soundboard 2020-07-30T10:35:08.000Z</t>
  </si>
  <si>
    <t>URL Shortener 2016-07-11T17:58:13.000Z</t>
  </si>
  <si>
    <t>KDJ Singlish 2021-10-04T11:10:01.000Z</t>
  </si>
  <si>
    <t>1000 Bots 2020-09-16T08:17:03.000Z</t>
  </si>
  <si>
    <t>Virus Checker 2022-02-01T12:57:06.000Z</t>
  </si>
  <si>
    <t>PinSnapper 2014-06-16T06:51:18.000Z</t>
  </si>
  <si>
    <t>Text emoticons 2016-02-29T03:27:07.000Z</t>
  </si>
  <si>
    <t>Custom Blogger Extension 2020-09-02T03:11:32.000Z</t>
  </si>
  <si>
    <t>Torrent Downloader 2021-07-07T04:48:08.000Z</t>
  </si>
  <si>
    <t>UwU 2022-09-06T12:03:07.000Z</t>
  </si>
  <si>
    <t>Privacy Guardr 2020-03-02T09:41:10.000Z</t>
  </si>
  <si>
    <t>Aria2c Integration 2014-10-11T18:52:41.000Z</t>
  </si>
  <si>
    <t>Youtube Categories 2021-09-01T16:33:42.000Z</t>
  </si>
  <si>
    <t>Cast with MkChromecast 2018-03-02T01:24:53.000Z</t>
  </si>
  <si>
    <t>Table Data Export 2021-07-28T12:33:30.000Z</t>
  </si>
  <si>
    <t>GitHub Real Names 2020-08-19T05:17:32.000Z</t>
  </si>
  <si>
    <t>Image to Audio</t>
  </si>
  <si>
    <t>Writefull for Overleaf 2024-11-22T05:18:38.000Z</t>
  </si>
  <si>
    <t>MaterialDesignIcons Picker 2023-01-23T05:01:29.000Z</t>
  </si>
  <si>
    <t>CoWIN: Vaccinator 💉 2021-08-09T12:38:19.000Z</t>
  </si>
  <si>
    <t>Link Virus Check - Security Plus 2021-03-10T06:45:21.000Z</t>
  </si>
  <si>
    <t>Code Injector 2020-01-26T00:04:08.000Z</t>
  </si>
  <si>
    <t>NZBDonkey 2023-05-22T09:04:50.000Z</t>
  </si>
  <si>
    <t>Muscle VPN 2021-08-03T04:14:28.000Z</t>
  </si>
  <si>
    <t>SafeEngine 2018-02-01T02:03:41.000Z</t>
  </si>
  <si>
    <t>Global Dark Style 2018-07-08T06:17:13.000Z</t>
  </si>
  <si>
    <t>Doctor Photo 2013-05-25T21:23:28.000Z</t>
  </si>
  <si>
    <t>CactusVPN - VPN and Smart DNS services 2020-11-10T11:06:03.000Z</t>
  </si>
  <si>
    <t>Speedpdf 2020-11-03T09:05:00.000Z</t>
  </si>
  <si>
    <t>Apple Green 2013-12-27T12:09:08.000Z</t>
  </si>
  <si>
    <t>Temp Business Email Address 2021-09-09T10:43:48.000Z</t>
  </si>
  <si>
    <t>Context Bookmarks 2015-04-12T15:59:14.000Z</t>
  </si>
  <si>
    <t>SoundCloud DeepDark 2021-11-06T09:53:35.000Z</t>
  </si>
  <si>
    <t>ScreenBeam Classroom Commander Extension 2023-12-13T21:01:24.000Z</t>
  </si>
  <si>
    <t>URL MultiShortener 2023-10-08T12:05:33.000Z</t>
  </si>
  <si>
    <t>Bookmark tags 2021-11-08T16:47:49.000Z</t>
  </si>
  <si>
    <t>Background for Google™ Homepage and Google+ 2013-05-19T11:00:15.000Z</t>
  </si>
  <si>
    <t>Destiny Discover 2021-01-19T11:33:46.000Z</t>
  </si>
  <si>
    <t>Save To The Wayback Machine 2022-04-09T08:05:04.000Z</t>
  </si>
  <si>
    <t>Loadium Recorder 2024-10-17T07:52:30.000Z</t>
  </si>
  <si>
    <t>BitCro Search 2017-08-11T11:52:05.000Z</t>
  </si>
  <si>
    <t>Disable Page Visibility API 2021-02-02T16:27:52.000Z</t>
  </si>
  <si>
    <t>Secure Passwords 2022-03-23T10:02:11.000Z</t>
  </si>
  <si>
    <t>Stopwatch 2019-04-30T21:44:31.000Z</t>
  </si>
  <si>
    <t>WebCite 2021-07-18T22:06:18.000Z</t>
  </si>
  <si>
    <t>JotterPad - Markdown</t>
  </si>
  <si>
    <t>Search on Yelp 2013-05-24T17:36:14.000Z</t>
  </si>
  <si>
    <t>Amazon Lite 2021-01-06T09:19:18.000Z</t>
  </si>
  <si>
    <t>Prevent Duplicate Tabs 2023-04-03T10:27:31.000Z</t>
  </si>
  <si>
    <t>CookieLynx 2021-12-06T10:00:38.000Z</t>
  </si>
  <si>
    <t>Mortality - Death Clock - New Tab 2021-03-11T11:42:23.000Z</t>
  </si>
  <si>
    <t>XING Benachrichtigungen 2020-01-06T10:30:15.000Z</t>
  </si>
  <si>
    <t>SIP Phone 2020-09-16T12:52:40.000Z</t>
  </si>
  <si>
    <t>Tweaks Web Protection 2022-01-18T11:54:51.000Z</t>
  </si>
  <si>
    <t>maxiGramar corrector de català 2020-03-03T05:44:05.000Z</t>
  </si>
  <si>
    <t>ThunderLixianAssistant 2016-12-20T03:05:05.000Z</t>
  </si>
  <si>
    <t>Better download all attachments for Gmail™ 2023-02-16T11:04:52.000Z</t>
  </si>
  <si>
    <t>Workspaces 2022-01-30T06:33:15.000Z</t>
  </si>
  <si>
    <t>RESTer 2023-11-26T07:53:28.000Z</t>
  </si>
  <si>
    <t>Granny 2021-04-08T09:43:34.000Z</t>
  </si>
  <si>
    <t>TinySketch 2021-10-19T08:36:59.000Z</t>
  </si>
  <si>
    <t>右クリックからエキサイト翻訳[英和](なぞってエキサイト翻訳) 2014-11-27T02:16:45.000Z</t>
  </si>
  <si>
    <t>Table-of-contents-crx 2014-01-10T16:58:14.000Z</t>
  </si>
  <si>
    <t>Policy Control - JavaScript and Flash blocker 2018-02-08T13:37:54.000Z</t>
  </si>
  <si>
    <t>nanaco gift code input helper 2020-12-11T05:38:49.000Z</t>
  </si>
  <si>
    <t>Spoiler Protection 2.0 2020-04-30T07:07:26.000Z</t>
  </si>
  <si>
    <t>C WhatsExtractor 2020-12-17T09:43:23.000Z</t>
  </si>
  <si>
    <t>zRate Netflix: IMDB Ratings &amp; Show Info 2021-02-21T03:53:37.000Z</t>
  </si>
  <si>
    <t>Social Meter 2023-05-01T09:32:24.000Z</t>
  </si>
  <si>
    <t>Add links to change languages on Google™ 2020-12-20T05:15:50.000Z</t>
  </si>
  <si>
    <t>recordable 2018-04-16T20:54:37.000Z</t>
  </si>
  <si>
    <t>SauceNAO Fetcher 2024-02-06T10:17:28.000Z</t>
  </si>
  <si>
    <t>VITTY 2022-02-11T05:59:46.000Z</t>
  </si>
  <si>
    <t>Le Point 2016-06-21T09:42:06.000Z</t>
  </si>
  <si>
    <t>Lodestone inventory grabber 2023-02-09T12:27:10.000Z</t>
  </si>
  <si>
    <t>Translation on selection 2016-11-07T21:39:23.000Z</t>
  </si>
  <si>
    <t>Riak JSON editor 2016-10-05T13:13:03.000Z</t>
  </si>
  <si>
    <t>芒果店长 2020-11-18T07:48:21.000Z</t>
  </si>
  <si>
    <t>Avito AviSpy 2020-12-04T09:41:49.000Z</t>
  </si>
  <si>
    <t>Salesforce Admin Check All 2015-01-19T17:43:52.000Z</t>
  </si>
  <si>
    <t>硬是要縮 2014-01-24T03:12:42.000Z</t>
  </si>
  <si>
    <t>Disable HTML5 Autoplay 2017-09-26T15:39:15.000Z</t>
  </si>
  <si>
    <t>TaxAdda PMS Login 2023-04-28T09:51:04.000Z</t>
  </si>
  <si>
    <t>Accent Grid 2013-04-26T17:04:54.000Z</t>
  </si>
  <si>
    <t>Nine.com.au - Homepage &amp; Bookmarks 2017-11-28T05:08:21.000Z</t>
  </si>
  <si>
    <t>SocialAnalyzer - Social Sentiment &amp; Analysis 2021-08-14T04:58:25.000Z</t>
  </si>
  <si>
    <t>MiShareApp 2019-12-20T13:15:52.000Z</t>
  </si>
  <si>
    <t>Plug X 2014-08-17T22:31:36.000Z</t>
  </si>
  <si>
    <t>Internet Traffic Signal 2018-09-27T00:21:30.000Z</t>
  </si>
  <si>
    <t>Easymeta for Salesforce 2022-11-14T10:30:00.000Z</t>
  </si>
  <si>
    <t>二维码生成器 2017-04-20T12:21:43.000Z</t>
  </si>
  <si>
    <t>Bug Magnet 2017-12-04T16:13:30.000Z</t>
  </si>
  <si>
    <t>GEDmatch MultiFind Plugin 2019-10-15T12:47:20.000Z</t>
  </si>
  <si>
    <t>Simple App Launcher 2014-01-28T11:40:40.000Z</t>
  </si>
  <si>
    <t>Sitemod.io 2021-05-07T11:05:20.000Z</t>
  </si>
  <si>
    <t>HTML to Figma - by Builder.io 2022-08-31T20:47:38.000Z</t>
  </si>
  <si>
    <t>Focus 45 2021-03-23T09:14:11.000Z</t>
  </si>
  <si>
    <t>uGet Integration 2018-04-01T14:45:43.000Z</t>
  </si>
  <si>
    <t>Ponyhoof 2018-09-04T14:20:45.000Z</t>
  </si>
  <si>
    <t>Salesforce Lightning to Classic URL 2021-07-29T13:50:04.000Z</t>
  </si>
  <si>
    <t>Web Timer 2020-08-07T05:24:10.000Z</t>
  </si>
  <si>
    <t>Clean feed 2015-04-24T13:52:22.000Z</t>
  </si>
  <si>
    <t>Microsoft Teams Emojinator 2020-06-02T03:30:48.000Z</t>
  </si>
  <si>
    <t>Рамблер/медиа 2019-05-15T04:32:42.000Z</t>
  </si>
  <si>
    <t>Default Search Tool 2021-09-30T10:44:16.000Z</t>
  </si>
  <si>
    <t>45to75 2014-08-22T15:36:09.000Z</t>
  </si>
  <si>
    <t>TwitShot for Chrome 2015-02-18T00:24:24.000Z</t>
  </si>
  <si>
    <t>Easy Contacts Opener for Google Contacts™ 2020-03-30T03:18:02.000Z</t>
  </si>
  <si>
    <t>Nice Downloads! 2016-04-04T04:47:45.000Z</t>
  </si>
  <si>
    <t>Appgenerator - kostenlos Apps erstellen 2015-01-12T07:35:01.000Z</t>
  </si>
  <si>
    <t>Robin 2023-02-16T03:19:42.000Z</t>
  </si>
  <si>
    <t>Openreview Quicklook 2024-03-23T12:11:35.000Z</t>
  </si>
  <si>
    <t>Always Clear Downloads in Chrome 2019-11-12T12:07:08.000Z</t>
  </si>
  <si>
    <t>Multiplication Table 2014-01-10T21:26:35.000Z</t>
  </si>
  <si>
    <t>Trello Card History 2019-05-22T21:58:12.000Z</t>
  </si>
  <si>
    <t>browse-by-netflixers 2018-06-04T08:25:05.000Z</t>
  </si>
  <si>
    <t>WA Number Checker 2021-03-09T05:19:33.000Z</t>
  </si>
  <si>
    <t>ALog 2022-03-20T15:54:46.000Z</t>
  </si>
  <si>
    <t>Custom Hangout Emoticons 2018-07-10T20:04:42.000Z</t>
  </si>
  <si>
    <t>Edit 2013-12-26T19:15:58.000Z</t>
  </si>
  <si>
    <t>Path Converter 2015-04-09T03:46:32.000Z</t>
  </si>
  <si>
    <t>EasyPan Hand Tool 2015-02-13T22:45:52.000Z</t>
  </si>
  <si>
    <t>D1CryptExt 2022-11-24T04:08:49.000Z</t>
  </si>
  <si>
    <t>Moodle Downloader 2021-05-10T12:57:39.000Z</t>
  </si>
  <si>
    <t>Ranorex Automation 2023-08-04T10:45:12.000Z</t>
  </si>
  <si>
    <t>MyWeatherFree 2020-07-17T13:05:34.000Z</t>
  </si>
  <si>
    <t>NetConnect MultiMonitor 2022-08-02T11:27:49.000Z</t>
  </si>
  <si>
    <t>Strava Enhancement Suite 2024-03-13T10:12:43.000Z</t>
  </si>
  <si>
    <t>Torrent magnet finder 2024-10-16T08:44:20.000Z</t>
  </si>
  <si>
    <t>Meet Extension by Mitel 2019-02-13T02:44:07.000Z</t>
  </si>
  <si>
    <t>AMZ Keyword Tracker 2020-08-24T08:35:42.000Z</t>
  </si>
  <si>
    <t>Latest BBC News 2018-01-29T10:56:09.000Z</t>
  </si>
  <si>
    <t>Добавьте Mail.Ru как домашнюю страницу 2016-06-30T12:28:49.000Z</t>
  </si>
  <si>
    <t>DevTools Author 2016-03-30T06:21:18.000Z</t>
  </si>
  <si>
    <t>TheDroidWay : Modify your Android our Way 2018-03-18T14:05:45.000Z</t>
  </si>
  <si>
    <t>Smart RSS 2023-03-09T15:27:46.000Z</t>
  </si>
  <si>
    <t>ThinPrint Cloud Extension 2022-07-04T02:05:37.000Z</t>
  </si>
  <si>
    <t>Cognizant Intelligent Test Scripter 2022-07-28T05:12:38.000Z</t>
  </si>
  <si>
    <t>Tab &amp; URL manager 2020-03-01T06:36:58.000Z</t>
  </si>
  <si>
    <t>Feedly Notifier 2023-07-24T04:43:43.000Z</t>
  </si>
  <si>
    <t>Desenmascara.me FAKE web verification Plugin 2020-10-05T05:08:25.000Z</t>
  </si>
  <si>
    <t>comdirect Bonus-Radar 2023-04-30T05:28:49.000Z</t>
  </si>
  <si>
    <t>Keeping – Tijdregistratie-app 2024-07-02T03:41:28.000Z</t>
  </si>
  <si>
    <t>Chess.com Voice Commentary (improved) 2021-05-31T05:33:40.000Z</t>
  </si>
  <si>
    <t>Smooth Checkbox for Gmail™ 2019-02-27T00:18:20.000Z</t>
  </si>
  <si>
    <t>Hair on Screen 2017-11-01T23:27:44.000Z</t>
  </si>
  <si>
    <t>Amazon Affiliates Link Maker 2015-03-02T19:51:17.000Z</t>
  </si>
  <si>
    <t>Tabby Cat - New cats with each new tab 2023-03-02T05:35:02.000Z</t>
  </si>
  <si>
    <t>Money Manager 2022-01-04T08:23:17.000Z</t>
  </si>
  <si>
    <t>つい魚拓 2020-06-22T13:34:51.000Z</t>
  </si>
  <si>
    <t>Tab-Sidebar 2013-06-25T14:24:59.000Z</t>
  </si>
  <si>
    <t>Woocommerce AliExpress Importer 2022-09-02T08:26:05.000Z</t>
  </si>
  <si>
    <t>Music Storm - visualize any music tab 2021-06-29T04:50:36.000Z</t>
  </si>
  <si>
    <t>Meliplus 2021-09-04T07:40:43.000Z</t>
  </si>
  <si>
    <t>Chrome Quick Console 2019-06-24T00:43:52.000Z</t>
  </si>
  <si>
    <t>AutoTube - YouTube nonstop 2021-04-14T10:30:19.000Z</t>
  </si>
  <si>
    <t>Prime/TalkyTimes/Amour ChatOS chats 2022-08-04T16:07:45.000Z</t>
  </si>
  <si>
    <t>Cloudbleed Bookmark Checker 2017-02-25T00:03:52.000Z</t>
  </si>
  <si>
    <t>Pinterest Enhanced 2016-01-18T08:46:11.000Z</t>
  </si>
  <si>
    <t>CopyFlickr 2014-07-14T00:59:02.000Z</t>
  </si>
  <si>
    <t>Firenvim 2024-04-29T07:10:03.000Z</t>
  </si>
  <si>
    <t>Ember 2014-02-04T15:22:49.000Z</t>
  </si>
  <si>
    <t>AutoMute Incognito 2016-11-04T10:19:30.000Z</t>
  </si>
  <si>
    <t>Yet Another REST Client 2022-06-07T06:10:18.000Z</t>
  </si>
  <si>
    <t>Time Tracker 2021-12-13T12:24:51.000Z</t>
  </si>
  <si>
    <t>Force Enable Text Selection 2019-02-24T08:03:00.000Z</t>
  </si>
  <si>
    <t>A/B player 2019-07-04T15:39:08.000Z</t>
  </si>
  <si>
    <t>Codeforces++ 2023-02-22T04:55:24.000Z</t>
  </si>
  <si>
    <t>WeVPN: Fast &amp; Secure VPN Proxy 2022-07-08T13:48:22.000Z</t>
  </si>
  <si>
    <t>Hi-Res Image Downloader for Merch By Amazon 2016-09-11T03:08:52.000Z</t>
  </si>
  <si>
    <t>Simple Calculator 2014-02-27T12:51:32.000Z</t>
  </si>
  <si>
    <t>CSS Editey 2013-11-12T16:55:13.000Z</t>
  </si>
  <si>
    <t>Last Tabs 2018-02-11T00:33:19.000Z</t>
  </si>
  <si>
    <t>Cadavan - Order Tool 2020-08-25T04:07:57.000Z</t>
  </si>
  <si>
    <t>Bye Rupert 2021-11-06T11:05:31.000Z</t>
  </si>
  <si>
    <t>Toggl - Productivity Pack 2013-07-25T10:34:56.000Z</t>
  </si>
  <si>
    <t>Moreba 2020-10-08T11:15:34.000Z</t>
  </si>
  <si>
    <t>Meu Cupom Alerta 2022-01-24T11:51:56.000Z</t>
  </si>
  <si>
    <t>Gmail Checker Lite (multi-account) 2015-02-18T01:16:01.000Z</t>
  </si>
  <si>
    <t>Firebug Lite for Google Chrome 2019-08-18T16:48:54.000Z</t>
  </si>
  <si>
    <t>Cryptocurrency Price Alert 2018-02-06T12:34:46.000Z</t>
  </si>
  <si>
    <t>AliExpress Shopping and Cash Back 2016-03-11T03:42:51.000Z</t>
  </si>
  <si>
    <t>Riot.im Screen Sharing 2017-07-06T13:57:05.000Z</t>
  </si>
  <si>
    <t>Amazopen - Right Click Search 2023-08-18T07:56:25.000Z</t>
  </si>
  <si>
    <t>Pink background 2018-02-20T09:02:32.000Z</t>
  </si>
  <si>
    <t>Time Calculator 2015-11-16T16:28:58.000Z</t>
  </si>
  <si>
    <t>Christmas Mode 2021-07-20T00:22:14.000Z</t>
  </si>
  <si>
    <t>GoodTwitter Beta 2019-10-12T17:45:21.000Z</t>
  </si>
  <si>
    <t>Alchemize 2020-11-20T07:37:19.000Z</t>
  </si>
  <si>
    <t>Cloud Save 2014-06-22T20:55:08.000Z</t>
  </si>
  <si>
    <t>Remove FBclid and UTM 2024-01-11T20:17:44.000Z</t>
  </si>
  <si>
    <t>Systêxtil Local 2017-07-10T20:38:35.000Z</t>
  </si>
  <si>
    <t>Simple Analytics 2020-09-23T14:02:51.000Z</t>
  </si>
  <si>
    <t>traktflix 2020-01-10T17:29:51.000Z</t>
  </si>
  <si>
    <t>QReaderX - QR Code Reader 2021-02-06T16:12:44.000Z</t>
  </si>
  <si>
    <t>Messenger Clean Up 2017-01-08T09:30:49.000Z</t>
  </si>
  <si>
    <t>smarterPod: Simple and Smart Podcast Player 2017-11-28T12:06:12.000Z</t>
  </si>
  <si>
    <t>Youtube Alarm Clock 2017-01-26T13:55:53.000Z</t>
  </si>
  <si>
    <t>NASA APOD 2018-05-28T02:28:58.000Z</t>
  </si>
  <si>
    <t>CSP Tester 2018-10-02T21:37:11.000Z</t>
  </si>
  <si>
    <t>CodeForces Calendar™ 2014-12-09T14:55:41.000Z</t>
  </si>
  <si>
    <t>Webfont Previewer 2013-09-26T01:27:57.000Z</t>
  </si>
  <si>
    <t>Screen Recorder 2021-02-21T07:49:17.000Z</t>
  </si>
  <si>
    <t>Google Search Favicons 2020-01-16T06:12:21.000Z</t>
  </si>
  <si>
    <t>Maps URL Converter 2014-03-27T04:40:21.000Z</t>
  </si>
  <si>
    <t>imgur Community Extension 2023-10-04T07:32:25.000Z</t>
  </si>
  <si>
    <t>Disable Scroll Jacking 2017-12-12T07:44:01.000Z</t>
  </si>
  <si>
    <t>네이버 일본어 사전 2019-05-17T10:48:36.000Z</t>
  </si>
  <si>
    <t>iCloud Launchpad 2019-11-24T04:40:20.000Z</t>
  </si>
  <si>
    <t>Yandex Metrica Debugger 2019-07-10T20:33:08.000Z</t>
  </si>
  <si>
    <t>DICOM image viewer 2021-10-04T07:36:06.000Z</t>
  </si>
  <si>
    <t>WebRTC Leak Prevent 2021-06-14T04:14:11.000Z</t>
  </si>
  <si>
    <t>FourteenFish 2020-09-26T05:06:00.000Z</t>
  </si>
  <si>
    <t>Sound Cloud Replay Button 2014-05-06T18:10:45.000Z</t>
  </si>
  <si>
    <t>9gag Volume control 2020-04-02T19:30:53.000Z</t>
  </si>
  <si>
    <t>Dev Tools App 2015-04-24T16:33:22.000Z</t>
  </si>
  <si>
    <t>Rain those $$$ 2023-04-20T06:40:54.000Z</t>
  </si>
  <si>
    <t>CHelper extension 2019-04-25T12:56:50.000Z</t>
  </si>
  <si>
    <t>Text to speech that brings productivity 2022-05-25T14:47:42.000Z</t>
  </si>
  <si>
    <t>Search Filter 2023-09-06T08:05:29.000Z</t>
  </si>
  <si>
    <t>Twitch Chat Overhaul 2022-08-01T06:12:38.000Z</t>
  </si>
  <si>
    <t>微软必应英汉字典 2014-01-30T20:18:41.000Z</t>
  </si>
  <si>
    <t>Ali Dropship Connector 2024-02-28T07:52:50.000Z</t>
  </si>
  <si>
    <t>PIPsy - PIP out your video player! 2018-11-29T20:15:21.000Z</t>
  </si>
  <si>
    <t>XMR.PT 2019-04-13T03:23:25.000Z</t>
  </si>
  <si>
    <t>Wetter 2018-03-15T20:24:22.000Z</t>
  </si>
  <si>
    <t>Upload image from clipboard or URL 2024-05-14T04:44:16.000Z</t>
  </si>
  <si>
    <t>NavigUp 2013-09-12T00:23:05.000Z</t>
  </si>
  <si>
    <t>ZeXtras companion Extension 2017-10-06T08:21:04.000Z</t>
  </si>
  <si>
    <t>Hover 2021-12-14T07:49:14.000Z</t>
  </si>
  <si>
    <t>truster 2018-12-22T08:23:00.000Z</t>
  </si>
  <si>
    <t>Backend 2017-10-19T15:01:01.000Z</t>
  </si>
  <si>
    <t>School Loop HoraceScope 2015-12-18T09:21:24.000Z</t>
  </si>
  <si>
    <t>Extension log 2019-07-19T18:15:10.000Z</t>
  </si>
  <si>
    <t>Launchpad for Google 2016-10-22T10:44:07.000Z</t>
  </si>
  <si>
    <t>AI助手(AiHelper) 2024-09-17T06:51:44.000Z</t>
  </si>
  <si>
    <t>Roboeduc App 2016-02-26T13:52:47.000Z</t>
  </si>
  <si>
    <t>Add Tasks to Do It (Tomorrow) 2014-12-25T04:17:12.000Z</t>
  </si>
  <si>
    <t>Graphulator With Numerical Calculus 2023-12-04T23:30:11.000Z</t>
  </si>
  <si>
    <t>HTML DOM Navigation 2016-10-24T15:16:51.000Z</t>
  </si>
  <si>
    <t>Fennec 2023-11-27T09:38:42.000Z</t>
  </si>
  <si>
    <t>Meet Extension 2019-09-20T05:18:58.000Z</t>
  </si>
  <si>
    <t>YouTube Text-Recognition 2021-01-20T10:15:46.000Z</t>
  </si>
  <si>
    <t>Trade Rocket 2022-06-17T09:36:50.000Z</t>
  </si>
  <si>
    <t>3rd Toolbar Spacer 2017-08-24T02:47:01.000Z</t>
  </si>
  <si>
    <t>QR Code Generator 2016-05-04T18:00:55.000Z</t>
  </si>
  <si>
    <t>Collect UI Collector's Extension 2016-12-09T08:17:11.000Z</t>
  </si>
  <si>
    <t>Youtube TV 2020-03-25T16:09:11.000Z</t>
  </si>
  <si>
    <t>Picas - Free Photo Editor 2016-11-17T09:22:35.000Z</t>
  </si>
  <si>
    <t>ETH gas alerts 2020-11-28T13:06:42.000Z</t>
  </si>
  <si>
    <t>IPTC Photo Metadata inspector 2020-12-02T16:56:47.000Z</t>
  </si>
  <si>
    <t>全能二维码 2014-12-05T10:21:59.000Z</t>
  </si>
  <si>
    <t>Visualize Value 2021-01-18T07:02:40.000Z</t>
  </si>
  <si>
    <t>History Button 2013-06-18T03:12:15.000Z</t>
  </si>
  <si>
    <t>TagProReplays 2022-09-02T02:50:22.000Z</t>
  </si>
  <si>
    <t>Raccoony WebExtension 2021-09-08T23:28:49.000Z</t>
  </si>
  <si>
    <t>Rajiko 2023-08-21T13:26:15.000Z</t>
  </si>
  <si>
    <t>ChromeBot 2023-04-28T12:14:53.000Z</t>
  </si>
  <si>
    <t>AEM Chrome Plug-in 2021-06-22T09:15:29.000Z</t>
  </si>
  <si>
    <t>AutoplayStopper 2023-09-10T13:05:42.000Z</t>
  </si>
  <si>
    <t>Add to uStart (by uStart) 2015-12-14T10:53:45.000Z</t>
  </si>
  <si>
    <t>ezDeFi 2022-03-07T03:26:49.000Z</t>
  </si>
  <si>
    <t>ColorFish 🐠 Color Picker 2024-10-06T11:13:15.000Z</t>
  </si>
  <si>
    <t>CLS Checker - Journey Further 2021-04-22T09:33:50.000Z</t>
  </si>
  <si>
    <t>KBBI 2021-10-31T06:38:17.000Z</t>
  </si>
  <si>
    <t>Volume Booster 2.0 2023-12-17T12:54:35.000Z</t>
  </si>
  <si>
    <t>TIF</t>
  </si>
  <si>
    <t>URL Query Decoder 2015-04-29T21:00:57.000Z</t>
  </si>
  <si>
    <t>Condler 2022-07-12T11:21:41.000Z</t>
  </si>
  <si>
    <t>YouTubeLiveChatFilter 2019-05-10T10:27:35.000Z</t>
  </si>
  <si>
    <t>Focus YouTube: Remove the recommendations 2018-08-19T21:59:53.000Z</t>
  </si>
  <si>
    <t>TED Player Control 2017-03-21T05:38:58.000Z</t>
  </si>
  <si>
    <t>Lightswitch Light for Philips Hue 2017-01-05T04:13:14.000Z</t>
  </si>
  <si>
    <t>Soi Giá Việt 2023-08-29T07:05:39.000Z</t>
  </si>
  <si>
    <t>Chrome Terminal 2021-07-25T10:56:16.000Z</t>
  </si>
  <si>
    <t>SimpleRent 2024-05-22T03:14:13.000Z</t>
  </si>
  <si>
    <t>WebTools 2022-01-18T21:26:04.000Z</t>
  </si>
  <si>
    <t>Javascript Injector 2017-06-16T21:46:49.000Z</t>
  </si>
  <si>
    <t>MyOWA:Mail 2021-07-21T12:10:14.000Z</t>
  </si>
  <si>
    <t>HistCleaner 2022-08-18T08:16:42.000Z</t>
  </si>
  <si>
    <t>Plente 2022-09-06T10:14:55.000Z</t>
  </si>
  <si>
    <t>원신 플로우 2023-01-29T19:12:02.000Z</t>
  </si>
  <si>
    <t>SAP Mini Launchpad 2021-06-15T02:56:37.000Z</t>
  </si>
  <si>
    <t>Linkify JIRA Issues 2014-02-19T15:43:34.000Z</t>
  </si>
  <si>
    <t>喵喵折+ 2023-11-05T09:16:49.000Z</t>
  </si>
  <si>
    <t>Groove EQ 2020-03-29T08:03:08.000Z</t>
  </si>
  <si>
    <t>True Captcha 2021-07-16T17:23:27.000Z</t>
  </si>
  <si>
    <t>minimal 2023-03-23T10:53:28.000Z</t>
  </si>
  <si>
    <t>VIEWTEST - Amazon Image Testing Tool 2022-04-26T09:19:47.000Z</t>
  </si>
  <si>
    <t>Cache Cleaner 2017-05-10T13:13:16.000Z</t>
  </si>
  <si>
    <t>Good News 2019-01-31T13:52:31.000Z</t>
  </si>
  <si>
    <t>Conversor de Letras 2024-01-22T05:15:32.000Z</t>
  </si>
  <si>
    <t>RecordSeek 2018-02-25T19:05:49.000Z</t>
  </si>
  <si>
    <t>Clickbait Killer 2019-01-14T02:41:22.000Z</t>
  </si>
  <si>
    <t>aRockets - промокоды</t>
  </si>
  <si>
    <t>UniPrint for Chromebooks (Enterprise) 2019-11-25T05:22:26.000Z</t>
  </si>
  <si>
    <t>SplatCheck 2017-10-23T03:17:36.000Z</t>
  </si>
  <si>
    <t>Oxford Picture Dictionary | Visual English 2020-07-25T11:01:19.000Z</t>
  </si>
  <si>
    <t>Five9 Adapter for NetSuite 2019-10-03T23:35:45.000Z</t>
  </si>
  <si>
    <t>Tab Glutton 2017-02-27T04:15:20.000Z</t>
  </si>
  <si>
    <t>PictaCast for Chromecast® - Trial 2020-05-28T06:43:17.000Z</t>
  </si>
  <si>
    <t>Password revealer 2014-03-30T09:52:15.000Z</t>
  </si>
  <si>
    <t>Scroll-O-Meter 2015-04-14T14:10:09.000Z</t>
  </si>
  <si>
    <t>Aliexpress sort by total price with shipping 2022-03-10T08:51:58.000Z</t>
  </si>
  <si>
    <t>The Green Web 2020-07-17T18:20:59.000Z</t>
  </si>
  <si>
    <t>Gfycat Default HD 2022-01-10T03:24:50.000Z</t>
  </si>
  <si>
    <t>nohistory 2019-12-22T05:04:15.000Z</t>
  </si>
  <si>
    <t>Students Click2TAU 2016-03-08T06:11:46.000Z</t>
  </si>
  <si>
    <t>Color-Converter 2013-06-25T13:54:51.000Z</t>
  </si>
  <si>
    <t>CFCA CertEnrollment.zjmtbank Extension 2020-11-19T10:52:52.000Z</t>
  </si>
  <si>
    <t>Tagalog to English Dictionary 2020-06-24T19:15:26.000Z</t>
  </si>
  <si>
    <t>Online messengers in All-in-One chat 2023-07-06T14:39:22.000Z</t>
  </si>
  <si>
    <t>Cyber Web Tools 2018-01-28T17:26:49.000Z</t>
  </si>
  <si>
    <t>jQuery Injector 2020-05-03T00:03:48.000Z</t>
  </si>
  <si>
    <t>MREID Extractor For GMBs 2020-02-13T12:37:30.000Z</t>
  </si>
  <si>
    <t>Full Width for Google Search Console 2022-02-15T05:13:11.000Z</t>
  </si>
  <si>
    <t>Posture!Posture!Posture! 2021-11-19T06:22:43.000Z</t>
  </si>
  <si>
    <t>Push Blocker 2019-05-31T11:37:06.000Z</t>
  </si>
  <si>
    <t>Auto Reject Cookies 2020-11-23T09:44:32.000Z</t>
  </si>
  <si>
    <t>网易云音乐 2022-03-08T06:49:33.000Z</t>
  </si>
  <si>
    <t>Avaya Screen Sharing 2017-07-20T13:28:38.000Z</t>
  </si>
  <si>
    <t>T-boards 2020-11-28T13:24:59.000Z</t>
  </si>
  <si>
    <t>Weathery (weather) 2016-01-11T00:19:57.000Z</t>
  </si>
  <si>
    <t>Bluetooth Scanner 2016-11-15T23:14:48.000Z</t>
  </si>
  <si>
    <t>Split PDF for Google Chrome™ 2022-11-09T06:02:48.000Z</t>
  </si>
  <si>
    <t>Minimal Scrollbar 2017-11-20T07:04:31.000Z</t>
  </si>
  <si>
    <t>微信读书助手 2024-05-11T10:55:02.000Z</t>
  </si>
  <si>
    <t>Dec-Bin-Hex Converter 2018-05-31T18:27:48.000Z</t>
  </si>
  <si>
    <t>pop Notepad 2012-09-07T23:29:40.000Z</t>
  </si>
  <si>
    <t>Focused Element 2020-09-04T06:13:24.000Z</t>
  </si>
  <si>
    <t>Dynamics CRM Rename downloads 2019-03-22T09:55:59.000Z</t>
  </si>
  <si>
    <t>Poker 3 Bags 2020-04-15T18:48:42.000Z</t>
  </si>
  <si>
    <t>Multi-Highlight Tool 2021-08-28T09:40:34.000Z</t>
  </si>
  <si>
    <t>Rimor by Expedia 2018-06-27T22:30:26.000Z</t>
  </si>
  <si>
    <t>SoundCloud Search 2015-12-23T14:42:01.000Z</t>
  </si>
  <si>
    <t>sunglasses 2012-07-28T18:10:30.000Z</t>
  </si>
  <si>
    <t>Zapp: WhatsApp Audio Speed and Volume 2021-04-10T00:14:36.000Z</t>
  </si>
  <si>
    <t>Trello Card Aging 2018-06-01T21:55:29.000Z</t>
  </si>
  <si>
    <t>Unlabelling 2022-01-22T07:33:57.000Z</t>
  </si>
  <si>
    <t>SKN SSL Enforcer 2015-04-14T18:21:01.000Z</t>
  </si>
  <si>
    <t>Test IE 2020-05-30T08:10:43.000Z</t>
  </si>
  <si>
    <t>Easy AliExpress Review Downloader 2023-04-10T10:45:59.000Z</t>
  </si>
  <si>
    <t>Endless Page Scroller 2020-03-19T08:44:42.000Z</t>
  </si>
  <si>
    <t>Two Click Timer 2019-09-08T03:48:03.000Z</t>
  </si>
  <si>
    <t>Points for Trello - Combined Edition 2018-01-07T18:23:27.000Z</t>
  </si>
  <si>
    <t>Event Durations for Google Calendar 2024-04-28T03:55:49.000Z</t>
  </si>
  <si>
    <t>Fudge - Coupons</t>
  </si>
  <si>
    <t>Comodo AdBlocker 2016-01-20T10:24:13.000Z</t>
  </si>
  <si>
    <t>Magnifying Glass 2018-09-09T03:42:58.000Z</t>
  </si>
  <si>
    <t>Fix IDRAC .jnlp file 2019-09-28T12:18:57.000Z</t>
  </si>
  <si>
    <t>Android SDK Search 2019-04-09T18:12:48.000Z</t>
  </si>
  <si>
    <t>Widescreen for GitHub 2020-11-10T12:40:29.000Z</t>
  </si>
  <si>
    <t>Devo 2023-07-24T11:29:26.000Z</t>
  </si>
  <si>
    <t>ScribeFire 2014-07-10T16:57:27.000Z</t>
  </si>
  <si>
    <t>CSSSteal 2015-10-08T09:08:30.000Z</t>
  </si>
  <si>
    <t>Responsive Inspector Reloaded 2017-05-10T16:06:29.000Z</t>
  </si>
  <si>
    <t>Gmail Signature 2018-11-10T11:00:31.000Z</t>
  </si>
  <si>
    <t>ONEX.AM 2021-08-21T05:23:24.000Z</t>
  </si>
  <si>
    <t>Myanmar ZawGyi and Unicode Converter 2019-03-08T15:09:00.000Z</t>
  </si>
  <si>
    <t>Woocommerce Spy 2022-03-31T10:07:39.000Z</t>
  </si>
  <si>
    <t>Rapideo.pl 2022-06-08T09:05:26.000Z</t>
  </si>
  <si>
    <t>Anilist+ for Anilist 2020-07-22T06:53:07.000Z</t>
  </si>
  <si>
    <t>JetWebinar Screen Sharing 2019-09-16T19:15:18.000Z</t>
  </si>
  <si>
    <t>No Scripts for Google Chrome™ 2023-10-29T11:49:36.000Z</t>
  </si>
  <si>
    <t>MediaPlus 2022-05-24T09:04:30.000Z</t>
  </si>
  <si>
    <t>Go back with backspace 2016-08-01T14:22:44.000Z</t>
  </si>
  <si>
    <t>Annotate web pages/CONTEXT 2021-07-15T09:07:14.000Z</t>
  </si>
  <si>
    <t>Annotate 2016-10-04T08:12:43.000Z</t>
  </si>
  <si>
    <t>Codebattle 2021-02-15T09:55:48.000Z</t>
  </si>
  <si>
    <t>Instant Search for LinkedIn 2022-07-27T03:30:27.000Z</t>
  </si>
  <si>
    <t>שקוף - הון-שלטון-עיתון 2025-01-08T14:10:00.000Z</t>
  </si>
  <si>
    <t>Sesh 2020-10-26T05:28:13.000Z</t>
  </si>
  <si>
    <t>FMath 'HTML + MathML' Solution 2021-02-25T14:08:08.000Z</t>
  </si>
  <si>
    <t>Modern for Wikipedia 2023-05-03T10:35:09.000Z</t>
  </si>
  <si>
    <t>Generator danych testowych 2019-05-16T12:59:26.000Z</t>
  </si>
  <si>
    <t>OnePass Password Manager &amp; Generator 2018-12-22T18:43:16.000Z</t>
  </si>
  <si>
    <t>Strong Password Generator 2012-09-15T13:43:49.000Z</t>
  </si>
  <si>
    <t>urlNeXT 2014-08-14T13:33:44.000Z</t>
  </si>
  <si>
    <t>Ultimate Enable Right Click ─ Allow Copy 2022-08-24T08:03:03.000Z</t>
  </si>
  <si>
    <t>Easy Select 2020-06-30T09:35:43.000Z</t>
  </si>
  <si>
    <t>easy-car-dealernet Extension 2022-05-11T15:47:22.000Z</t>
  </si>
  <si>
    <t>Delete History &amp; Clear Cookies 2017-10-18T09:55:09.000Z</t>
  </si>
  <si>
    <t>Pink-out 2019-12-01T12:16:34.000Z</t>
  </si>
  <si>
    <t>WEB.DE Suche 2020-10-24T07:05:46.000Z</t>
  </si>
  <si>
    <t>Days Since (Days Count) 2019-08-31T15:32:14.000Z</t>
  </si>
  <si>
    <t>SimpleUndoClose 2020-11-14T07:52:52.000Z</t>
  </si>
  <si>
    <t>Mini Squeezebox Control 2013-06-15T17:36:35.000Z</t>
  </si>
  <si>
    <t>minerBlock 2022-10-17T10:50:14.000Z</t>
  </si>
  <si>
    <t>Fenerbahçe SK Anasayfa 2022-11-24T04:56:24.000Z</t>
  </si>
  <si>
    <t>HTTP Commander 2017-05-24T06:35:13.000Z</t>
  </si>
  <si>
    <t>Twitch Theater Mode for YouTube 2024-03-08T05:31:35.000Z</t>
  </si>
  <si>
    <t>Magiczne milisekundy FK - Plemiona.pl 2021-12-26T16:01:55.000Z</t>
  </si>
  <si>
    <t>Photovisi - Photo Collage Maker 2013-05-10T17:08:34.000Z</t>
  </si>
  <si>
    <t>single-spa Inspector 2019-10-12T16:03:07.000Z</t>
  </si>
  <si>
    <t>Json Viewer Editor 2019-03-08T15:09:40.000Z</t>
  </si>
  <si>
    <t>Easy QR Code Generator 2020-06-25T08:23:50.000Z</t>
  </si>
  <si>
    <t>Make Sentence for Translator 2020-10-29T23:59:36.000Z</t>
  </si>
  <si>
    <t>ESES中国至马来西亚集运代运专家 - 一键添加包裹功能 （淘宝阿里巴巴） 2023-03-13T09:13:01.000Z</t>
  </si>
  <si>
    <t>AdBlock on YouTube™ 2020-07-29T05:18:57.000Z</t>
  </si>
  <si>
    <t>Native HLS Playback 2022-05-31T20:27:54.000Z</t>
  </si>
  <si>
    <t>AMAZON.CO.JP 検索 &amp; 右クリック 2013-04-18T20:07:43.000Z</t>
  </si>
  <si>
    <t>Okta Verify Auto Send 2017-11-25T16:03:48.000Z</t>
  </si>
  <si>
    <t>Cleanflight - Configurator 2018-10-01T03:29:46.000Z</t>
  </si>
  <si>
    <t>Procrastinator 2018-01-11T20:54:41.000Z</t>
  </si>
  <si>
    <t>steemconnect 2019-09-24T08:03:15.000Z</t>
  </si>
  <si>
    <t>HP Classroom Manager Student 2021-07-13T07:10:36.000Z</t>
  </si>
  <si>
    <t>Keyword Index &amp; Rank Checker for Amazon 2019-02-28T16:58:30.000Z</t>
  </si>
  <si>
    <t>Daxab Ultimate 2021-02-13T10:43:12.000Z</t>
  </si>
  <si>
    <t>Player Enhancer for YouTube 2021-05-18T04:40:46.000Z</t>
  </si>
  <si>
    <t>Crypto Correct 2017-11-26T06:29:09.000Z</t>
  </si>
  <si>
    <t>Chrome Bing Dict 2019-03-20T17:38:41.000Z</t>
  </si>
  <si>
    <t>Finesse and Internet Connection Monitor 2020-09-30T15:11:31.000Z</t>
  </si>
  <si>
    <t>Email Verifier 2020-12-15T12:38:53.000Z</t>
  </si>
  <si>
    <t>Week Ly - Week Number 2018-01-03T19:21:18.000Z</t>
  </si>
  <si>
    <t>CSS Spider 2020-11-27T05:23:15.000Z</t>
  </si>
  <si>
    <t>Copy text without spaces - amaz.in/g 2014-05-19T05:24:23.000Z</t>
  </si>
  <si>
    <t>Kaleostra 2020-05-11T07:15:37.000Z</t>
  </si>
  <si>
    <t>Tella - Screen Video Recorder 2024-03-28T03:46:46.000Z</t>
  </si>
  <si>
    <t>Tomato Clock 2021-09-07T05:42:44.000Z</t>
  </si>
  <si>
    <t>Multiplication Matrix Launcher 2018-03-12T02:05:18.000Z</t>
  </si>
  <si>
    <t>LabelBasic 2019-03-21T15:01:27.000Z</t>
  </si>
  <si>
    <t>Github Colabify 2020-07-21T08:39:41.000Z</t>
  </si>
  <si>
    <t>Appulate Weblink Toolbar 2024-05-29T01:34:42.000Z</t>
  </si>
  <si>
    <t>VisualizeUs 2012-10-10T19:13:03.000Z</t>
  </si>
  <si>
    <t>Comidoc 2023-12-04T12:07:03.000Z</t>
  </si>
  <si>
    <t>JSON Pretty Printer 2013-09-19T13:36:45.000Z</t>
  </si>
  <si>
    <t>Add to Trello 2016-12-23T21:08:03.000Z</t>
  </si>
  <si>
    <t>Tap To Tab 2021-05-21T14:11:59.000Z</t>
  </si>
  <si>
    <t>JavaScript Editor 2013-07-19T23:02:27.000Z</t>
  </si>
  <si>
    <t>MultiPass for HTTP basic authentication 2021-04-29T12:11:43.000Z</t>
  </si>
  <si>
    <t>Clanboss Calculator Assistant 2021-02-14T07:11:59.000Z</t>
  </si>
  <si>
    <t>Web Inspector 2017-03-09T01:37:00.000Z</t>
  </si>
  <si>
    <t>Night Shift Pro 2017-06-02T14:03:17.000Z</t>
  </si>
  <si>
    <t>Header Editor 2020-01-05T04:31:38.000Z</t>
  </si>
  <si>
    <t>Save Image to Downloads 2014-08-04T12:19:15.000Z</t>
  </si>
  <si>
    <t>Resolution Zoom 2016-08-03T11:28:58.000Z</t>
  </si>
  <si>
    <t>Torch Search 2021-01-31T04:14:55.000Z</t>
  </si>
  <si>
    <t>Slang - Text to Speech 2021-04-27T01:36:24.000Z</t>
  </si>
  <si>
    <t>jdCaptcha 2014-08-23T07:33:42.000Z</t>
  </si>
  <si>
    <t>Page Timer 2017-10-18T16:49:07.000Z</t>
  </si>
  <si>
    <t>Browser Video Tuner 2022-08-16T04:35:46.000Z</t>
  </si>
  <si>
    <t>Old Design VK 2022-05-20T09:03:36.000Z</t>
  </si>
  <si>
    <t>人人相册下载器 2013-07-15T06:02:29.000Z</t>
  </si>
  <si>
    <t>Amplifier  AMP/Canonical switcher 2016-02-19T18:27:36.000Z</t>
  </si>
  <si>
    <t>QuickReply 2020-07-31T12:47:45.000Z</t>
  </si>
  <si>
    <t>Tab Preview Board 2020-07-27T04:12:19.000Z</t>
  </si>
  <si>
    <t>Social Birthdays Export 2020-08-22T11:57:39.000Z</t>
  </si>
  <si>
    <t>Google Tag Manager Blocker 2021-02-17T09:27:54.000Z</t>
  </si>
  <si>
    <t>BookWithMatrix 2021-03-28T05:07:17.000Z</t>
  </si>
  <si>
    <t>Crunchyroll Intro Skipper 2021-04-06T06:09:35.000Z</t>
  </si>
  <si>
    <t>Period Countdown 2020-08-20T12:30:04.000Z</t>
  </si>
  <si>
    <t>Productivity Owl 2021-03-16T08:35:07.000Z</t>
  </si>
  <si>
    <t>Tab Manager 2025-01-03T08:56:07.000Z</t>
  </si>
  <si>
    <t>Battlelog Servers Blacklist 2021-04-07T01:28:34.000Z</t>
  </si>
  <si>
    <t>Easy AliExpress Order Exporter 2022-02-06T11:48:26.000Z</t>
  </si>
  <si>
    <t>Adobe Experience Cloud Bookmarks 2021-12-10T08:59:09.000Z</t>
  </si>
  <si>
    <t>View Count Hider for YouTube.com 2020-02-24T07:25:55.000Z</t>
  </si>
  <si>
    <t>Bookmark Backup 2016-10-13T14:55:20.000Z</t>
  </si>
  <si>
    <t>jBart Crawler 2013-12-25T14:15:58.000Z</t>
  </si>
  <si>
    <t>Auto Scroll 2012-08-22T13:35:12.000Z</t>
  </si>
  <si>
    <t>WordCloudIt 2015-05-17T14:05:47.000Z</t>
  </si>
  <si>
    <t>Lucproxy Extension 2021-10-08T09:25:11.000Z</t>
  </si>
  <si>
    <t>SocialBook - YouTube Builder 2023-12-25T06:09:07.000Z</t>
  </si>
  <si>
    <t>Speed Typer 2021-03-23T15:26:23.000Z</t>
  </si>
  <si>
    <t>Home Assistant Quick Restart 2020-02-09T19:28:58.000Z</t>
  </si>
  <si>
    <t>Recommendation filter for YouTube 2020-08-19T09:26:26.000Z</t>
  </si>
  <si>
    <t>Nifty Scanner 2021-06-28T14:48:49.000Z</t>
  </si>
  <si>
    <t>Ad 'n Popup-Blocker 2021-05-26T04:30:47.000Z</t>
  </si>
  <si>
    <t>Teamlyzer 2021-03-14T11:13:46.000Z</t>
  </si>
  <si>
    <t>Tab Name Changer 2019-07-21T22:31:31.000Z</t>
  </si>
  <si>
    <t>Cryptocurrency Price Tracker 2022-04-15T04:39:57.000Z</t>
  </si>
  <si>
    <t>Agile CRM 2021-02-22T14:21:35.000Z</t>
  </si>
  <si>
    <t>ServerHealers SysAdmin Tools 2021-04-17T12:09:53.000Z</t>
  </si>
  <si>
    <t>EditCookie 2017-02-08T22:36:29.000Z</t>
  </si>
  <si>
    <t>Preview - Sneak peak at links 2017-05-05T01:27:22.000Z</t>
  </si>
  <si>
    <t>How To Run OmeTV on PC 2021-09-29T06:52:20.000Z</t>
  </si>
  <si>
    <t>HihiBox 2016-09-17T21:19:55.000Z</t>
  </si>
  <si>
    <t>Google Apps Script 2015-11-24T15:44:35.000Z</t>
  </si>
  <si>
    <t>Fusion Legacy 2024-03-07T06:32:17.000Z</t>
  </si>
  <si>
    <t>Google Meet Classic Impersonator 2021-04-08T09:42:40.000Z</t>
  </si>
  <si>
    <t>KittyKeys 2015-10-28T13:33:56.000Z</t>
  </si>
  <si>
    <t>EasyLoad 2017-05-25T00:44:47.000Z</t>
  </si>
  <si>
    <t>Battreminder 2018-10-18T16:23:50.000Z</t>
  </si>
  <si>
    <t>Music Speed Changer 2022-08-10T04:29:05.000Z</t>
  </si>
  <si>
    <t>Telesensi Driver 2019-11-09T13:51:21.000Z</t>
  </si>
  <si>
    <t>Save As MHTML 2015-06-30T18:29:15.000Z</t>
  </si>
  <si>
    <t>Wave Extension 2019-02-19T05:26:03.000Z</t>
  </si>
  <si>
    <t>Doc Reader 2021-10-25T12:12:34.000Z</t>
  </si>
  <si>
    <t>GWA Calculator 2021-07-12T03:45:51.000Z</t>
  </si>
  <si>
    <t>Closed tabs 2014-01-19T21:56:04.000Z</t>
  </si>
  <si>
    <t>Онлайн рерайт</t>
  </si>
  <si>
    <t>HotVPN - Приватный анонимный ВПН и Прокси 2021-05-10T10:15:55.000Z</t>
  </si>
  <si>
    <t>Search and Highlight 2020-08-18T03:59:44.000Z</t>
  </si>
  <si>
    <t>sourceditor 2019-03-08T15:11:26.000Z</t>
  </si>
  <si>
    <t>Remove Friends 2024-02-17T11:47:52.000Z</t>
  </si>
  <si>
    <t>Read the web page on your mobile device 2019-08-20T19:57:03.000Z</t>
  </si>
  <si>
    <t>better-onetab 2019-08-24T11:17:42.000Z</t>
  </si>
  <si>
    <t>Colab Alive 2021-03-31T20:40:19.000Z</t>
  </si>
  <si>
    <t>1click Pause History 2018-06-18T15:00:08.000Z</t>
  </si>
  <si>
    <t>网易有道翻译 2024-11-08T09:57:08.000Z</t>
  </si>
  <si>
    <t>Image gallery 2022-03-31T09:21:41.000Z</t>
  </si>
  <si>
    <t>豆瓣导出助手 2019-08-21T06:21:57.000Z</t>
  </si>
  <si>
    <t>Do Not Track 2012-09-10T16:17:43.000Z</t>
  </si>
  <si>
    <t>CharmDate| Чаты+Письма помощник | ChatOS 2022-06-13T13:45:28.000Z</t>
  </si>
  <si>
    <t>uWaterloo Schedule Exporter 2018-02-22T22:14:40.000Z</t>
  </si>
  <si>
    <t>Qwik Search 2020-12-18T02:52:02.000Z</t>
  </si>
  <si>
    <t>Go Search Extension 2020-07-03T03:29:54.000Z</t>
  </si>
  <si>
    <t>qSEO - Meta SEO Site Tool 2016-08-31T21:07:22.000Z</t>
  </si>
  <si>
    <t>Monster Cards 2019-11-01T16:02:54.000Z</t>
  </si>
  <si>
    <t>ActionScript 3.0 Search 2015-10-09T23:15:22.000Z</t>
  </si>
  <si>
    <t>Shopify Theme Search by Bold 2019-06-06T20:00:31.000Z</t>
  </si>
  <si>
    <t>To Discord 2022-04-07T07:09:00.000Z</t>
  </si>
  <si>
    <t>Quick create Google Docs™ 2020-12-23T11:06:47.000Z</t>
  </si>
  <si>
    <t>Team Casino Notes 2020-06-03T12:47:00.000Z</t>
  </si>
  <si>
    <t>New window without toolbar 2019-01-09T23:59:45.000Z</t>
  </si>
  <si>
    <t>Remote Deluge 2024-02-08T03:36:56.000Z</t>
  </si>
  <si>
    <t>Twitch Auto Points 2021-05-30T00:37:53.000Z</t>
  </si>
  <si>
    <t>FamilyFriendly Parental Control</t>
  </si>
  <si>
    <t>Instant Mii Music 2019-04-20T04:06:49.000Z</t>
  </si>
  <si>
    <t>Smartschool Dark Mode 2021-11-25T02:42:05.000Z</t>
  </si>
  <si>
    <t>Emmet Re:view 2018-02-20T08:56:41.000Z</t>
  </si>
  <si>
    <t>APEX Page Designer Tab Lock - Explorer UK 2020-07-30T07:12:13.000Z</t>
  </si>
  <si>
    <t>Kavkom Click2Call 2021-04-28T08:52:15.000Z</t>
  </si>
  <si>
    <t>Selenium Page Object Generator 2018-04-08T02:32:02.000Z</t>
  </si>
  <si>
    <t>Prettier Lichess 2024-04-29T11:02:25.000Z</t>
  </si>
  <si>
    <t>马六甲跨境助手 2022-06-18T09:54:39.000Z</t>
  </si>
  <si>
    <t>1click Paintbrush 2018-07-01T06:20:35.000Z</t>
  </si>
  <si>
    <t>Trello Bookmark 2022-01-27T12:14:59.000Z</t>
  </si>
  <si>
    <t>StreamMania extension 2014-07-05T17:48:24.000Z</t>
  </si>
  <si>
    <t>Simple SEO Tools 2016-01-06T13:20:40.000Z</t>
  </si>
  <si>
    <t>Extreme Markup Editor for Blogger™ 2015-02-25T23:02:01.000Z</t>
  </si>
  <si>
    <t>Coloring online 2016-01-28T17:00:23.000Z</t>
  </si>
  <si>
    <t>Reddit Image Preview 2016-05-31T10:04:49.000Z</t>
  </si>
  <si>
    <t>Lock for Google Chrome™ 2013-04-18T22:42:52.000Z</t>
  </si>
  <si>
    <t>iCloud Reminders Shortcut 2013-03-23T20:11:49.000Z</t>
  </si>
  <si>
    <t>Sight 2021-10-25T13:15:00.000Z</t>
  </si>
  <si>
    <t>Пустая Новая Вкладка 2015-10-24T14:51:59.000Z</t>
  </si>
  <si>
    <t>Quicklink Chrome Extension 2020-11-08T10:31:26.000Z</t>
  </si>
  <si>
    <t>Reaction Time Game 2020-11-04T23:12:14.000Z</t>
  </si>
  <si>
    <t>Free Games notification 2023-04-03T02:19:07.000Z</t>
  </si>
  <si>
    <t>HoloFuncEnhancer 2021-01-04T09:53:22.000Z</t>
  </si>
  <si>
    <t>Oath: Ad Platforms Dot Helper 2018-09-26T03:20:10.000Z</t>
  </si>
  <si>
    <t>Mouse Click Highlighter (mClick) 2016-07-29T00:03:39.000Z</t>
  </si>
  <si>
    <t>BangDD 2024-10-15T03:59:24.000Z</t>
  </si>
  <si>
    <t>Mind The Word 2018-10-07T23:03:20.000Z</t>
  </si>
  <si>
    <t>HTTP Headers 2021-09-03T14:05:26.000Z</t>
  </si>
  <si>
    <t>Text Changer 2018-07-30T00:55:57.000Z</t>
  </si>
  <si>
    <t>Best of Shrek 2018-12-25T09:00:47.000Z</t>
  </si>
  <si>
    <t>TastyPlug 2016-10-18T18:50:46.000Z</t>
  </si>
  <si>
    <t>Chegg Skip Extension 2021-09-28T03:51:35.000Z</t>
  </si>
  <si>
    <t>Div Highlighter 2021-08-19T12:49:06.000Z</t>
  </si>
  <si>
    <t>Image Collector 2021-09-14T07:35:05.000Z</t>
  </si>
  <si>
    <t>Темы Вконтакте 2018-08-02T14:57:56.000Z</t>
  </si>
  <si>
    <t>Fishy Buttons 2021-08-31T04:47:41.000Z</t>
  </si>
  <si>
    <t>Block Yourself from Analytics 2022-01-19T04:28:58.000Z</t>
  </si>
  <si>
    <t>Голосовой поиск 2021-07-07T05:04:12.000Z</t>
  </si>
  <si>
    <t>Custom JavaScript for Websites 3 2022-01-17T04:42:21.000Z</t>
  </si>
  <si>
    <t>Image downloader 2018-04-29T09:02:53.000Z</t>
  </si>
  <si>
    <t>ConexED Screen Sharing 2018-09-26T17:52:54.000Z</t>
  </si>
  <si>
    <t>VTT Bridge 2021-09-12T19:20:26.000Z</t>
  </si>
  <si>
    <t>Geo Clever Fixed 2024-01-05T18:20:17.000Z</t>
  </si>
  <si>
    <t>Yet Another Lorem Ipsum Generator 2023-09-10T07:00:07.000Z</t>
  </si>
  <si>
    <t>舒適閱讀 2017-05-03T07:39:17.000Z</t>
  </si>
  <si>
    <t>Quire 2024-07-10T09:16:32.000Z</t>
  </si>
  <si>
    <t>Fancy &amp; Cool Text Generator 2021-07-18T05:17:44.000Z</t>
  </si>
  <si>
    <t>Quickie - Sticky Notes 2020-02-29T14:11:57.000Z</t>
  </si>
  <si>
    <t>Da DaBaby Game 2022-06-01T14:37:32.000Z</t>
  </si>
  <si>
    <t>Aliexpress marcas 2022-10-08T19:23:12.000Z</t>
  </si>
  <si>
    <t>Affiliate Tools - Affiliate link generator 2022-06-21T23:57:06.000Z</t>
  </si>
  <si>
    <t>Morse Code Translator 2013-08-11T18:41:06.000Z</t>
  </si>
  <si>
    <t>SFDC Query Manager 2017-12-04T09:57:22.000Z</t>
  </si>
  <si>
    <t>Pluckeye 2022-12-25T04:19:49.000Z</t>
  </si>
  <si>
    <t>Signature Viewer 2020-06-10T06:56:06.000Z</t>
  </si>
  <si>
    <t>Youtube's Annotations No More 2019-12-12T10:43:33.000Z</t>
  </si>
  <si>
    <t>Add To Registry - Amazing Registry 2014-11-19T15:23:51.000Z</t>
  </si>
  <si>
    <t>Network Sniffer 2016-06-14T21:07:39.000Z</t>
  </si>
  <si>
    <t>Crackbook Revival 2020-03-23T13:04:43.000Z</t>
  </si>
  <si>
    <t>Metastream Remote 2020-07-25T05:19:41.000Z</t>
  </si>
  <si>
    <t>AliExpress Search by Image and Download 2020-05-06T07:03:45.000Z</t>
  </si>
  <si>
    <t>Cyborg 2020-06-16T05:34:39.000Z</t>
  </si>
  <si>
    <t>Twonky Viewer 2019-06-13T16:03:50.000Z</t>
  </si>
  <si>
    <t>GTmetrix Analyzer Plugin 2015-10-11T21:59:39.000Z</t>
  </si>
  <si>
    <t>Health and Fitness 2016-12-12T20:36:06.000Z</t>
  </si>
  <si>
    <t>Pinukim - סרטים וסדרות לצפייה ישירה 2022-11-11T06:04:07.000Z</t>
  </si>
  <si>
    <t>Power Cache 2017-03-26T18:41:21.000Z</t>
  </si>
  <si>
    <t>Kurotodon 2019-03-08T15:12:45.000Z</t>
  </si>
  <si>
    <t>Map Switcher 2020-06-06T05:18:04.000Z</t>
  </si>
  <si>
    <t>ControlStadia 2021-01-12T06:23:30.000Z</t>
  </si>
  <si>
    <t>Wordpress Themes 2014-03-26T23:24:11.000Z</t>
  </si>
  <si>
    <t>Twitch Channel Points Autoclicker (Lite) 2021-05-05T01:01:35.000Z</t>
  </si>
  <si>
    <t>Guokr功能扩展 2015-02-16T07:33:15.000Z</t>
  </si>
  <si>
    <t>SSLTrust SSL Certificate Store 2018-08-28T08:43:23.000Z</t>
  </si>
  <si>
    <t>stutter 2024-08-20T03:28:46.000Z</t>
  </si>
  <si>
    <t>Lotus Notes Link/URL Generator 2024-09-07T08:55:47.000Z</t>
  </si>
  <si>
    <t>NTHU_ScoreSharing 2021-07-13T06:58:08.000Z</t>
  </si>
  <si>
    <t>PoliTools 2022-03-19T19:28:21.000Z</t>
  </si>
  <si>
    <t>Fika - Reader Mode 2021-09-28T12:45:23.000Z</t>
  </si>
  <si>
    <t>Prettier 2019-11-27T14:20:42.000Z</t>
  </si>
  <si>
    <t>MyJDownloader Browser Extension 2021-06-28T07:30:22.000Z</t>
  </si>
  <si>
    <t>Css Playground and Dom Tree 2022-01-13T04:26:55.000Z</t>
  </si>
  <si>
    <t>Rapid WordReference 2024-10-31T02:05:29.000Z</t>
  </si>
  <si>
    <t>YellowCloud for SoundCloud® 2019-02-21T20:06:17.000Z</t>
  </si>
  <si>
    <t>Extract to React 2019-01-17T04:04:20.000Z</t>
  </si>
  <si>
    <t>YouLoop 2021-08-05T04:21:50.000Z</t>
  </si>
  <si>
    <t>Korean IPTV 2019-08-20T15:20:15.000Z</t>
  </si>
  <si>
    <t>Save to Digi Storage 2022-11-29T11:54:01.000Z</t>
  </si>
  <si>
    <t>Usability Recorder 2019-11-21T16:04:31.000Z</t>
  </si>
  <si>
    <t>Cruxe 2022-04-03T04:12:16.000Z</t>
  </si>
  <si>
    <t>Masterlingo - Learn languages as you scroll 2021-11-16T12:09:53.000Z</t>
  </si>
  <si>
    <t>Three.js Editor Extension 2015-07-23T15:52:00.000Z</t>
  </si>
  <si>
    <t>Eye Blinker 2019-07-24T16:15:05.000Z</t>
  </si>
  <si>
    <t>Marionette Inspector 2017-12-08T16:40:35.000Z</t>
  </si>
  <si>
    <t>Адаптер службы сообщений R-Style SoftLab 2015-10-01T12:15:57.000Z</t>
  </si>
  <si>
    <t>Pull Up Flash 2021-07-14T09:21:46.000Z</t>
  </si>
  <si>
    <t>Delay 2022-01-29T19:34:36.000Z</t>
  </si>
  <si>
    <t>Kitty Tab 2016-11-20T18:31:13.000Z</t>
  </si>
  <si>
    <t>CookieBlock 2022-08-05T04:50:00.000Z</t>
  </si>
  <si>
    <t>EPUBReader For PC</t>
  </si>
  <si>
    <t>Goodreads Right Click 2023-03-08T09:51:15.000Z</t>
  </si>
  <si>
    <t>Roblox Live Sales Count 2019-03-14T21:03:37.000Z</t>
  </si>
  <si>
    <t>GotoBase64Link 2020-08-25T18:29:14.000Z</t>
  </si>
  <si>
    <t>Virtual Hosts 2018-05-29T00:25:32.000Z</t>
  </si>
  <si>
    <t>Cloud Storage Direct Links 2016-07-07T00:17:16.000Z</t>
  </si>
  <si>
    <t>Presearch.com Start With Us 2022-06-07T09:39:20.000Z</t>
  </si>
  <si>
    <t>Scroll Button 2018-09-14T11:35:26.000Z</t>
  </si>
  <si>
    <t>ClaroSpeak 2021-05-05T18:57:52.000Z</t>
  </si>
  <si>
    <t>أداة راصد نور التلقائى 2021-11-17T11:45:53.000Z</t>
  </si>
  <si>
    <t>Apollo Sync for Chrome 2015-04-25T03:28:45.000Z</t>
  </si>
  <si>
    <t>Duolingo Binge 2017-06-17T07:09:19.000Z</t>
  </si>
  <si>
    <t>EasyIQ IdP – Hvidovre Kommune 2023-12-04T11:57:03.000Z</t>
  </si>
  <si>
    <t>SARUS CHROME EXTENSION V4 2021-12-31T13:46:25.000Z</t>
  </si>
  <si>
    <t>Manager 2014-08-21T13:23:46.000Z</t>
  </si>
  <si>
    <t>LanguageTool (old version) 2021-04-24T04:35:29.000Z</t>
  </si>
  <si>
    <t>GH Plagiarism Check 2021-10-20T18:20:49.000Z</t>
  </si>
  <si>
    <t>Applitools for Selenium IDE 2022-07-07T15:02:49.000Z</t>
  </si>
  <si>
    <t>Web Application/Tool Sniffer 2018-12-27T06:49:07.000Z</t>
  </si>
  <si>
    <t>Online Manuals App 2022-01-30T07:09:23.000Z</t>
  </si>
  <si>
    <t>Morphine 2016-10-17T01:43:28.000Z</t>
  </si>
  <si>
    <t>Scroll Percentage in Tab Title Extension 2020-06-01T10:08:38.000Z</t>
  </si>
  <si>
    <t>TextTeaser Browser Extension 2015-05-24T18:03:29.000Z</t>
  </si>
  <si>
    <t>Easy Timer 2018-11-10T10:26:45.000Z</t>
  </si>
  <si>
    <t>HoverWord - Chinese to English 2024-06-03T08:52:25.000Z</t>
  </si>
  <si>
    <t>SMSFactor : professional SMS sendings 2020-12-02T15:12:52.000Z</t>
  </si>
  <si>
    <t>Breathe 2019-12-05T08:52:58.000Z</t>
  </si>
  <si>
    <t>Easy Tab URL 2018-03-11T03:33:02.000Z</t>
  </si>
  <si>
    <t>PowerSchool PLUS 2020-01-27T18:46:51.000Z</t>
  </si>
  <si>
    <t>Hide YouTube Comments</t>
  </si>
  <si>
    <t>MOBOX WALLET 2023-05-12T11:57:38.000Z</t>
  </si>
  <si>
    <t>Google URLS decoder 2020-10-27T19:20:36.000Z</t>
  </si>
  <si>
    <t>Fullscreen Interactive Google Slides(TM) 2023-04-26T03:26:04.000Z</t>
  </si>
  <si>
    <t>Web Page Annotator 2022-07-16T09:59:38.000Z</t>
  </si>
  <si>
    <t>timee 2021-04-22T06:15:28.000Z</t>
  </si>
  <si>
    <t>utf-8 and unicode characters 2014-03-02T02:54:18.000Z</t>
  </si>
  <si>
    <t>New Tab - Custom startup page with dark theme 2021-08-05T14:43:07.000Z</t>
  </si>
  <si>
    <t>Among Us HTML5 Edition 2021-09-18T09:27:11.000Z</t>
  </si>
  <si>
    <t>디코시스템 구매대행 앱 2021-02-19T18:23:59.000Z</t>
  </si>
  <si>
    <t>Yandex spell checker 2017-04-10T11:58:00.000Z</t>
  </si>
  <si>
    <t>iWin Chrome Wallpaper 2016-01-08T18:54:13.000Z</t>
  </si>
  <si>
    <t>Fiverr Notification Icon in Title 2023-02-12T14:54:18.000Z</t>
  </si>
  <si>
    <t>Fun Box - Emoji</t>
  </si>
  <si>
    <t>ThanksToYou Tabs 2021-10-18T18:16:21.000Z</t>
  </si>
  <si>
    <t>Pasar Lista en Meet 2021-06-10T04:08:33.000Z</t>
  </si>
  <si>
    <t>TheReviewIndex - Reviews Summarizer 2017-12-27T20:58:15.000Z</t>
  </si>
  <si>
    <t>No Limits for YaMusic 2020-03-31T07:08:05.000Z</t>
  </si>
  <si>
    <t>OAuth 2.0 Playground 2016-08-24T15:06:21.000Z</t>
  </si>
  <si>
    <t>Mynet 2013-09-16T10:57:26.000Z</t>
  </si>
  <si>
    <t>Recover closed tab 2021-09-25T05:11:21.000Z</t>
  </si>
  <si>
    <t>BNB Track Report 2024-08-11T11:08:32.000Z</t>
  </si>
  <si>
    <t>Gendersprache korrigieren 2020-04-26T16:04:41.000Z</t>
  </si>
  <si>
    <t>Lexios 2021-08-12T13:13:52.000Z</t>
  </si>
  <si>
    <t>Голосовой блокнот 2016-10-10T14:15:32.000Z</t>
  </si>
  <si>
    <t>Simplify it! 2021-11-28T12:48:41.000Z</t>
  </si>
  <si>
    <t>Math solver 2021-12-08T21:34:00.000Z</t>
  </si>
  <si>
    <t>Keep Last Two Tabs 2013-03-17T23:34:38.000Z</t>
  </si>
  <si>
    <t>Income Tax Credential Manager 2020-07-15T06:31:32.000Z</t>
  </si>
  <si>
    <t>OGS Notifier 2016-05-22T23:50:21.000Z</t>
  </si>
  <si>
    <t>React Performance Devtool 2018-08-30T13:00:47.000Z</t>
  </si>
  <si>
    <t>Amazon-IL Free Shipping Marker 2019-12-22T14:33:55.000Z</t>
  </si>
  <si>
    <t>NeoBuxOx 2019-05-20T18:00:00.000Z</t>
  </si>
  <si>
    <t>Copy to Trello 2021-03-15T10:06:03.000Z</t>
  </si>
  <si>
    <t>QuickQuran 2015-03-02T08:41:39.000Z</t>
  </si>
  <si>
    <t>Navy App 2013-09-15T18:40:26.000Z</t>
  </si>
  <si>
    <t>find+ | Regex Find-in-Page Tool 2021-09-14T13:16:00.000Z</t>
  </si>
  <si>
    <t>Robux to Euro 2020-12-30T14:58:34.000Z</t>
  </si>
  <si>
    <t>JSON Table Editor 2023-10-11T11:21:25.000Z</t>
  </si>
  <si>
    <t>Chemical Information! 2021-05-18T02:22:36.000Z</t>
  </si>
  <si>
    <t>Cyber Campus Assistant 2021-06-26T18:02:53.000Z</t>
  </si>
  <si>
    <t>Twitch Chat Helper 2020-10-09T10:25:26.000Z</t>
  </si>
  <si>
    <t>Window Dimensions 2016-04-18T23:17:09.000Z</t>
  </si>
  <si>
    <t>YEE Extension 2015-10-29T23:28:56.000Z</t>
  </si>
  <si>
    <t>Historial de Precios 2022-04-14T11:26:42.000Z</t>
  </si>
  <si>
    <t>Selection Reader (Text to Speech) 2018-09-10T19:54:50.000Z</t>
  </si>
  <si>
    <t>Redirect Tab Closer 2024-03-12T07:33:37.000Z</t>
  </si>
  <si>
    <t>Errator 2014-01-26T17:44:35.000Z</t>
  </si>
  <si>
    <t>My Video Downloader 2022-10-06T10:44:46.000Z</t>
  </si>
  <si>
    <t>Send to Discord 2019-07-09T07:43:49.000Z</t>
  </si>
  <si>
    <t>Télécommande Freebox Delta / Révolution / HD 2020-09-08T06:33:16.000Z</t>
  </si>
  <si>
    <t>Time Tab 2019-02-09T16:03:02.000Z</t>
  </si>
  <si>
    <t>Image Hider 2015-12-08T20:13:16.000Z</t>
  </si>
  <si>
    <t>URSTYLE Clipper Tool 2022-07-16T05:53:00.000Z</t>
  </si>
  <si>
    <t>NewCP Flash Enabler 2020-07-11T08:12:05.000Z</t>
  </si>
  <si>
    <t>Wattpad Dark Mode 2021-04-03T08:25:46.000Z</t>
  </si>
  <si>
    <t>JuegosJuegos 2020-05-10T21:58:51.000Z</t>
  </si>
  <si>
    <t>WishListo 2019-11-11T06:52:59.000Z</t>
  </si>
  <si>
    <t>Image Searcher 2023-11-17T11:26:56.000Z</t>
  </si>
  <si>
    <t>Cookie Tab Viewer 2020-11-20T12:19:16.000Z</t>
  </si>
  <si>
    <t>MonkeyECHO - GearBest Price Tracker 2020-06-02T10:07:22.000Z</t>
  </si>
  <si>
    <t>Check1st: ADA Website Compliance Checker 2020-10-09T05:16:39.000Z</t>
  </si>
  <si>
    <t>Captain America Wallpaper New Tab 2018-03-02T23:04:53.000Z</t>
  </si>
  <si>
    <t>Toodledo Mobile Site Popup 2012-06-27T11:26:15.000Z</t>
  </si>
  <si>
    <t>Fast Dial 2021-09-12T06:34:42.000Z</t>
  </si>
  <si>
    <t>JavaEE API Search 2015-10-09T23:14:46.000Z</t>
  </si>
  <si>
    <t>PwGen 2016-01-06T16:06:59.000Z</t>
  </si>
  <si>
    <t>Rename Tab 2021-06-28T10:58:59.000Z</t>
  </si>
  <si>
    <t>Grid Builder 2014-11-23T10:42:23.000Z</t>
  </si>
  <si>
    <t>Stopots Cheats 2015-07-05T05:02:44.000Z</t>
  </si>
  <si>
    <t>Revue Chrome 2022-01-09T05:48:22.000Z</t>
  </si>
  <si>
    <t>TopRecipeFinder 2021-11-27T11:33:30.000Z</t>
  </si>
  <si>
    <t>Survol 2020-10-18T03:24:49.000Z</t>
  </si>
  <si>
    <t>zzllrr Easy Clock(ZEC) 2014-05-15T10:09:51.000Z</t>
  </si>
  <si>
    <t>Pexels 2024-12-20T07:18:01.000Z</t>
  </si>
  <si>
    <t>PhotoFunia 2015-02-16T15:23:31.000Z</t>
  </si>
  <si>
    <t>Rapids 2019-10-01T08:27:46.000Z</t>
  </si>
  <si>
    <t>Better Buy Orders 2017-11-23T04:52:16.000Z</t>
  </si>
  <si>
    <t>Modern Calculator 2016-04-08T14:15:44.000Z</t>
  </si>
  <si>
    <t>Youtube Skip Sign-in 2020-12-12T03:39:19.000Z</t>
  </si>
  <si>
    <t>AliPrice.com shortcut 2017-08-08T08:24:39.000Z</t>
  </si>
  <si>
    <t>Jitsi desktop streamer for Beautiful Rising 2015-01-26T04:43:01.000Z</t>
  </si>
  <si>
    <t>Star Finder 2013-10-31T05:08:10.000Z</t>
  </si>
  <si>
    <t>CENNZnet extension 2021-11-24T03:57:25.000Z</t>
  </si>
  <si>
    <t>ng-detector 2014-10-17T23:32:42.000Z</t>
  </si>
  <si>
    <t>新浪微博（一键打开） 2013-07-14T07:38:26.000Z</t>
  </si>
  <si>
    <t>Robux To Money 2021-01-30T06:29:16.000Z</t>
  </si>
  <si>
    <t>Deep Dark Scrollbars 2018-08-14T11:24:56.000Z</t>
  </si>
  <si>
    <t>Kazom 2020-10-24T00:52:14.000Z</t>
  </si>
  <si>
    <t>countDown 2023-01-25T10:06:43.000Z</t>
  </si>
  <si>
    <t>QuickPy Python Interpreter 2015-06-22T17:24:06.000Z</t>
  </si>
  <si>
    <t>Mouse Gestures crx 2019-05-18T16:02:46.000Z</t>
  </si>
  <si>
    <t>AWS Role Editor 2016-09-16T17:02:04.000Z</t>
  </si>
  <si>
    <t>DoubleTedder 2017-07-24T08:53:16.000Z</t>
  </si>
  <si>
    <t>Easy AliExpress Captcha Solver 2019-09-18T10:10:45.000Z</t>
  </si>
  <si>
    <t>Open in Helium 2019-08-26T00:03:43.000Z</t>
  </si>
  <si>
    <t>Viewtrader 2021-07-02T09:17:57.000Z</t>
  </si>
  <si>
    <t>WikiMapper 2021-07-20T05:40:31.000Z</t>
  </si>
  <si>
    <t>DNSSEC Validator 2014-09-04T11:36:52.000Z</t>
  </si>
  <si>
    <t>Just Tweet Button 2017-06-10T02:45:22.000Z</t>
  </si>
  <si>
    <t>萌典 台灣國語詞典 2022-11-18T05:07:59.000Z</t>
  </si>
  <si>
    <t>HexReader 2013-04-27T21:57:29.000Z</t>
  </si>
  <si>
    <t>Post Likers Inviter 2017-12-15T15:57:18.000Z</t>
  </si>
  <si>
    <t>Caspr: Enforcer 2021-11-05T05:00:41.000Z</t>
  </si>
  <si>
    <t>Карты городов России и мира 2020-03-06T08:12:09.000Z</t>
  </si>
  <si>
    <t>Crypto Miner Blocker 2017-12-07T23:47:36.000Z</t>
  </si>
  <si>
    <t>Wandering Cat 2021-12-01T03:41:33.000Z</t>
  </si>
  <si>
    <t>Save Text to PDF</t>
  </si>
  <si>
    <t>LoadFocus | JMeter Load Testing in the Cloud 2022-05-04T05:17:20.000Z</t>
  </si>
  <si>
    <t>SEO Site Tools</t>
  </si>
  <si>
    <t>Dreamland Story - Play Game Shortcut 2021-07-01T05:19:18.000Z</t>
  </si>
  <si>
    <t>特价优惠实时推送：白菜党必备神器 2018-07-17T05:44:38.000Z</t>
  </si>
  <si>
    <t>TCP Socket debugger 2016-08-16T07:34:16.000Z</t>
  </si>
  <si>
    <t>Notesheet for Browsers 2021-12-23T10:24:45.000Z</t>
  </si>
  <si>
    <t>Disposable Number 2020-04-10T15:00:30.000Z</t>
  </si>
  <si>
    <t>Udemy™ Faster Autoplay 2021-12-01T05:23:27.000Z</t>
  </si>
  <si>
    <t>Sound Prank 2018-10-14T04:49:21.000Z</t>
  </si>
  <si>
    <t>Winston 2021-01-08T21:11:22.000Z</t>
  </si>
  <si>
    <t>PlantUML Visualizer 2023-05-21T11:27:34.000Z</t>
  </si>
  <si>
    <t>Window Seat 2024-07-07T08:05:21.000Z</t>
  </si>
  <si>
    <t>Notepad 2024-09-13T12:30:34.000Z</t>
  </si>
  <si>
    <t>Click and Read CNRS 2024-10-23T07:52:49.000Z</t>
  </si>
  <si>
    <t>Send to Mail 2021-03-21T20:23:09.000Z</t>
  </si>
  <si>
    <t>NextJS Utilities Extension 2019-07-06T16:03:10.000Z</t>
  </si>
  <si>
    <t>Always Disable Content-Security-Policy 2020-01-10T13:13:14.000Z</t>
  </si>
  <si>
    <t>Mooltipass Extension 2024-09-09T04:36:53.000Z</t>
  </si>
  <si>
    <t>X Button 2020-12-01T07:09:31.000Z</t>
  </si>
  <si>
    <t>Futupuri 2014-07-04T03:27:19.000Z</t>
  </si>
  <si>
    <t>AllTabs 2017-08-29T12:56:43.000Z</t>
  </si>
  <si>
    <t>Firenote: Notes and Todo Lists in New Tab 2020-12-25T09:13:01.000Z</t>
  </si>
  <si>
    <t>CollabDown 2021-01-30T18:30:14.000Z</t>
  </si>
  <si>
    <t>The RSS Aggregator 2017-12-23T10:07:23.000Z</t>
  </si>
  <si>
    <t>Darker Medium 2018-11-13T22:03:39.000Z</t>
  </si>
  <si>
    <t>Bloomberg Terminal: Clip to NOTE 2022-09-20T07:00:46.000Z</t>
  </si>
  <si>
    <t>Youtube Monetization and Demonetization Check 2018-09-29T05:54:27.000Z</t>
  </si>
  <si>
    <t>Vainu Company View for Chrome 2020-09-30T10:32:26.000Z</t>
  </si>
  <si>
    <t>Clifl 2024-06-21T06:48:02.000Z</t>
  </si>
  <si>
    <t>Online Security Pro 2020-10-15T15:58:16.000Z</t>
  </si>
  <si>
    <t>RaceFlight - Configurator 2017-01-19T01:38:17.000Z</t>
  </si>
  <si>
    <t>Explain Everything Extension 2019-06-11T14:23:35.000Z</t>
  </si>
  <si>
    <t>Get Thumbnails or Image to video YouTube 2020-07-17T10:06:56.000Z</t>
  </si>
  <si>
    <t>Invite Post Likers to Like Facebook™ Page 2019-09-01T19:19:42.000Z</t>
  </si>
  <si>
    <t>Datalayer Checker 2020-07-27T05:56:25.000Z</t>
  </si>
  <si>
    <t>Piss off</t>
  </si>
  <si>
    <t>Screen sharing for Video Call 2021-01-12T08:49:09.000Z</t>
  </si>
  <si>
    <t>Dobromat.sk 2016-11-05T15:12:15.000Z</t>
  </si>
  <si>
    <t>贴吧清洁者 2019-04-15T09:38:59.000Z</t>
  </si>
  <si>
    <t>Tweeten 2020-05-17T05:11:36.000Z</t>
  </si>
  <si>
    <t>Discount.ro - Cumpara la reducere 2022-10-10T19:10:23.000Z</t>
  </si>
  <si>
    <t>MDN Search 2023-04-10T02:08:35.000Z</t>
  </si>
  <si>
    <t>Direct Links for Ebay/Paypal/Amazon. 2018-10-12T11:39:39.000Z</t>
  </si>
  <si>
    <t>Print to Boox 2021-04-06T23:52:26.000Z</t>
  </si>
  <si>
    <t>SlideShare Theater 2017-05-20T05:34:05.000Z</t>
  </si>
  <si>
    <t>股票小助手 2019-06-05T05:52:12.000Z</t>
  </si>
  <si>
    <t>BIGIP Cookie Decoder 2022-05-08T06:24:31.000Z</t>
  </si>
  <si>
    <t>Sign JPRPS 2022-04-13T08:37:41.000Z</t>
  </si>
  <si>
    <t>Window Resizer 2014-10-09T23:28:44.000Z</t>
  </si>
  <si>
    <t>Mailbrew Read Later 2022-02-25T11:15:15.000Z</t>
  </si>
  <si>
    <t>interviewstream powered by RIVS 2023-02-24T06:47:52.000Z</t>
  </si>
  <si>
    <t>Microsoft Teams Reply 2020-10-13T05:11:37.000Z</t>
  </si>
  <si>
    <t>Cooking Fast 3 Ribs And Pancakes 2021-05-03T11:51:46.000Z</t>
  </si>
  <si>
    <t>Lorem Ipsum Checker Tool 2014-04-02T09:40:36.000Z</t>
  </si>
  <si>
    <t>Google Cache Viewer 2020-03-11T11:26:47.000Z</t>
  </si>
  <si>
    <t>LiteCite - Quotation and Auto Citation 2020-08-27T07:48:21.000Z</t>
  </si>
  <si>
    <t>Macys.com for Chrome 2012-09-18T05:13:13.000Z</t>
  </si>
  <si>
    <t>WordCloud Generator 2016-04-05T11:44:36.000Z</t>
  </si>
  <si>
    <t>Ziggo GO Fast Forward 2020-09-04T10:18:21.000Z</t>
  </si>
  <si>
    <t>Русский Транслит / Russian Translit 2014-10-31T01:12:03.000Z</t>
  </si>
  <si>
    <t>YouTube Music Hotkeys 2021-05-04T19:52:35.000Z</t>
  </si>
  <si>
    <t>BrowseBetter New Tab: Productivity Redefined 2023-07-20T09:11:16.000Z</t>
  </si>
  <si>
    <t>In-Browser File Viewer 2019-07-18T13:48:20.000Z</t>
  </si>
  <si>
    <t>Hide Tab 2020-06-11T13:18:20.000Z</t>
  </si>
  <si>
    <t>Downloads Router 2016-06-11T02:49:17.000Z</t>
  </si>
  <si>
    <t>Vtiger Buzz 2019-02-07T09:10:42.000Z</t>
  </si>
  <si>
    <t>Selekt - One click actions for text selection 2019-11-14T00:03:10.000Z</t>
  </si>
  <si>
    <t>Super-Cache 2013-06-12T14:04:28.000Z</t>
  </si>
  <si>
    <t>Gmail HTML basic 2020-04-06T08:09:35.000Z</t>
  </si>
  <si>
    <t>medium infinity reader 2022-06-13T04:36:31.000Z</t>
  </si>
  <si>
    <t>NTRglobal Plugin 2012-10-30T14:01:13.000Z</t>
  </si>
  <si>
    <t>Paper Of The Day 2022-05-27T10:07:54.000Z</t>
  </si>
  <si>
    <t>SwissTransfer by Infomaniak 2021-03-19T14:45:37.000Z</t>
  </si>
  <si>
    <t>Restricted or Hazmat 2020-09-14T19:05:00.000Z</t>
  </si>
  <si>
    <t>Protect message 2020-07-22T04:15:46.000Z</t>
  </si>
  <si>
    <t>DroidScript JavaScript Editor 2019-03-08T15:17:29.000Z</t>
  </si>
  <si>
    <t>G Favicon Fixer 2012-08-23T03:39:10.000Z</t>
  </si>
  <si>
    <t>Youtube Plus 2019-07-02T10:24:55.000Z</t>
  </si>
  <si>
    <t>Fluid Page 2022-07-04T04:05:39.000Z</t>
  </si>
  <si>
    <t>Port Checker Tool 2021-07-13T08:14:19.000Z</t>
  </si>
  <si>
    <t>Hide Mouse 2016-08-11T10:33:06.000Z</t>
  </si>
  <si>
    <t>SU Tools: Foursquare extension for Superusers 2012-10-20T00:57:00.000Z</t>
  </si>
  <si>
    <t>CryptoTab 2017-12-22T16:31:39.000Z</t>
  </si>
  <si>
    <t>Enhance-O-Tron for Plex 2022-11-11T05:34:11.000Z</t>
  </si>
  <si>
    <t>Managebac Grade Calculator 2022-06-04T21:22:32.000Z</t>
  </si>
  <si>
    <t>Postman 2022-07-11T06:17:16.000Z</t>
  </si>
  <si>
    <t>YouTube Ad Skipper 2017-11-30T21:54:05.000Z</t>
  </si>
  <si>
    <t>BNB Chain Wallet 2025-01-08T02:09:24.000Z</t>
  </si>
  <si>
    <t>Cookie AutoDelete 2022-12-20T11:00:19.000Z</t>
  </si>
  <si>
    <t>Rocket Readability 2020-02-10T12:04:45.000Z</t>
  </si>
  <si>
    <t>bbCodeInsert 2013-11-03T03:24:21.000Z</t>
  </si>
  <si>
    <t>Popup for Keep™ 2020-01-23T12:06:13.000Z</t>
  </si>
  <si>
    <t>Blank New Tab Page (Dark) 2015-07-25T05:05:32.000Z</t>
  </si>
  <si>
    <t>Skip silence 2023-08-07T05:24:32.000Z</t>
  </si>
  <si>
    <t>Azure DevOps Wiki Editor 2021-11-01T08:02:23.000Z</t>
  </si>
  <si>
    <t>ChromeADB 2014-02-12T02:30:42.000Z</t>
  </si>
  <si>
    <t>BuyDekhke:- The Best Deals</t>
  </si>
  <si>
    <t>xDEALER.pro 2021-10-14T12:18:29.000Z</t>
  </si>
  <si>
    <t>Copy video url 2019-10-24T06:03:27.000Z</t>
  </si>
  <si>
    <t>VipeR FIFA FUT 23 Sniper/AutoBuyer/AutoTrader 2022-07-29T16:40:36.000Z</t>
  </si>
  <si>
    <t>Checkers 2013-02-12T18:39:23.000Z</t>
  </si>
  <si>
    <t>Hunter x Hunter Anime Cursor 2021-06-29T08:39:37.000Z</t>
  </si>
  <si>
    <t>iMapBuilder Online - GMap Editor 2012-09-13T09:46:45.000Z</t>
  </si>
  <si>
    <t>Luckydog Winner Generator Tool 2020 2022-06-06T03:10:00.000Z</t>
  </si>
  <si>
    <t>Library Sniffer 2020-07-24T04:39:55.000Z</t>
  </si>
  <si>
    <t>Die besten Deals im Blick 2016-11-17T09:41:43.000Z</t>
  </si>
  <si>
    <t>Calm Start Tabs 2024-11-11T07:49:22.000Z</t>
  </si>
  <si>
    <t>AEM Navigator 2019-12-23T13:25:44.000Z</t>
  </si>
  <si>
    <t>Resurrection Gladiatus Script 2019-08-21T08:48:02.000Z</t>
  </si>
  <si>
    <t>DeviantArt easy download 2014-06-19T17:52:49.000Z</t>
  </si>
  <si>
    <t>Click all checkboxes 2016-02-07T14:13:12.000Z</t>
  </si>
  <si>
    <t>sch0ngesehen 2020-05-05T18:23:56.000Z</t>
  </si>
  <si>
    <t>ReStyle for Allo 2018-03-01T04:50:36.000Z</t>
  </si>
  <si>
    <t>Pomegranate: Website Blocker/Pomodoro® Timer 2020-08-26T12:33:35.000Z</t>
  </si>
  <si>
    <t>Chrome Tab Counter 2022-06-16T12:20:37.000Z</t>
  </si>
  <si>
    <t>1-2-3 Nakup s Ceneje.si 2021-05-19T09:47:10.000Z</t>
  </si>
  <si>
    <t>Teamo.ru 2014-05-30T13:53:36.000Z</t>
  </si>
  <si>
    <t>八卦插IP 2021-10-22T09:57:38.000Z</t>
  </si>
  <si>
    <t>Microsoft Teams Chat Extractor 2021-03-16T05:51:19.000Z</t>
  </si>
  <si>
    <t>Archilovers Inspiration Tab 2017-09-25T13:18:58.000Z</t>
  </si>
  <si>
    <t>Wikipedia with MathJax 2018-03-13T13:12:42.000Z</t>
  </si>
  <si>
    <t>Tab Suspender 2024-12-30T10:57:56.000Z</t>
  </si>
  <si>
    <t>微博一键拉黑点赞 - OneKBlock 2020-11-27T16:07:25.000Z</t>
  </si>
  <si>
    <t>Highlights - Highlighter and Web Clipper 2022-12-23T13:13:19.000Z</t>
  </si>
  <si>
    <t>ツイキャスコメント楽々送信 2021-07-06T04:39:18.000Z</t>
  </si>
  <si>
    <t>Streamheroes 2022-03-16T04:18:06.000Z</t>
  </si>
  <si>
    <t>MultiBar 2014-08-27T14:09:25.000Z</t>
  </si>
  <si>
    <t>Meme Maker 2014-05-02T19:55:33.000Z</t>
  </si>
  <si>
    <t>OG Flickr 2014-05-27T03:52:46.000Z</t>
  </si>
  <si>
    <t>Craigslist Inline Image Preview 2014-04-19T23:59:02.000Z</t>
  </si>
  <si>
    <t>Telegram Share 2016-01-31T22:01:11.000Z</t>
  </si>
  <si>
    <t>Отзывы LOXDefender на сайте OLX™ 2020-11-04T10:30:39.000Z</t>
  </si>
  <si>
    <t>Page Load Notifier 2017-10-21T03:37:04.000Z</t>
  </si>
  <si>
    <t>Virtel WebAccess Extender 2017-07-19T16:30:30.000Z</t>
  </si>
  <si>
    <t>No more Lightshot ADS 2019-09-29T10:04:17.000Z</t>
  </si>
  <si>
    <t>UAR_SKT 2022-06-09T06:04:15.000Z</t>
  </si>
  <si>
    <t>Промокоды.net – кэшбэк сервис 2022-02-20T10:02:51.000Z</t>
  </si>
  <si>
    <t>Zendesk Auto Refresh 2021-04-14T05:57:45.000Z</t>
  </si>
  <si>
    <t>Black Screen 2020-10-27T03:51:08.000Z</t>
  </si>
  <si>
    <t>Hoteloogle 2020-01-06T10:19:50.000Z</t>
  </si>
  <si>
    <t>Webapps 2018-11-28T05:03:37.000Z</t>
  </si>
  <si>
    <t>Picarto Notifier 2024-08-17T06:36:04.000Z</t>
  </si>
  <si>
    <t>JIRA Work Log Report 2020-03-11T06:28:59.000Z</t>
  </si>
  <si>
    <t>網路假期 - 解答查詢新增 2020-04-28T11:36:46.000Z</t>
  </si>
  <si>
    <t>클린디씨 2021-05-29T08:46:21.000Z</t>
  </si>
  <si>
    <t>Play Text 2015-03-13T10:06:10.000Z</t>
  </si>
  <si>
    <t>TrashMail.com: Create disposable address 2017-03-29T20:56:39.000Z</t>
  </si>
  <si>
    <t>Download Image from Context Menu 2022-08-05T04:54:33.000Z</t>
  </si>
  <si>
    <t>Voicepods - Realistic Text to Speech 2019-08-20T09:38:42.000Z</t>
  </si>
  <si>
    <t>StudyIQ: Smart Way of Learning 2020-08-25T06:16:47.000Z</t>
  </si>
  <si>
    <t>Jailbreak the Patriarchy 2014-03-27T23:57:23.000Z</t>
  </si>
  <si>
    <t>Google Meet Presenter Mode 2020-04-14T19:39:01.000Z</t>
  </si>
  <si>
    <t>Photo to Cartoon App 2019-07-31T18:48:13.000Z</t>
  </si>
  <si>
    <t>Tab Number 2013-12-03T16:41:09.000Z</t>
  </si>
  <si>
    <t>Chess Opening Explorer 2014-09-09T20:34:49.000Z</t>
  </si>
  <si>
    <t>DevTools Font Changer 2019-03-30T12:11:03.000Z</t>
  </si>
  <si>
    <t>Motivate 2013-12-18T11:00:19.000Z</t>
  </si>
  <si>
    <t>CFCA CertEnrollment.SGE Extension 2020-07-29T07:35:47.000Z</t>
  </si>
  <si>
    <t>Grrrid 2012-10-03T08:20:07.000Z</t>
  </si>
  <si>
    <t>Scroll to Bottom 2020-12-24T12:38:07.000Z</t>
  </si>
  <si>
    <t>Sloth 2019-08-27T13:28:17.000Z</t>
  </si>
  <si>
    <t>Simple Form Fill 2021-03-28T15:24:00.000Z</t>
  </si>
  <si>
    <t>Yamaneta - cashback on Aliexpress and etc. 2018-06-26T13:55:10.000Z</t>
  </si>
  <si>
    <t>Surge - Material New Tab 2017-05-19T03:38:32.000Z</t>
  </si>
  <si>
    <t>Extensions Reloader 2021-07-26T09:27:20.000Z</t>
  </si>
  <si>
    <t>老司机编码助手 2016-01-02T14:13:39.000Z</t>
  </si>
  <si>
    <t>YouTube for TV Without Adware 2021-10-12T11:56:21.000Z</t>
  </si>
  <si>
    <t>Web Clipper 2023-08-08T11:49:34.000Z</t>
  </si>
  <si>
    <t>JotForm 2019-04-09T08:43:03.000Z</t>
  </si>
  <si>
    <t>TabLink 2012-07-10T14:21:15.000Z</t>
  </si>
  <si>
    <t>Horse Games 2018-10-25T11:39:19.000Z</t>
  </si>
  <si>
    <t>Ribbet Photo Collage 2018-03-21T02:21:35.000Z</t>
  </si>
  <si>
    <t>Google Docs In Dark 2020-04-17T16:15:28.000Z</t>
  </si>
  <si>
    <t>SSRS Report Fix 2016-06-17T00:45:43.000Z</t>
  </si>
  <si>
    <t>Analizador de Textos 2018-12-07T23:31:42.000Z</t>
  </si>
  <si>
    <t>MalwareAI Browser Security 2023-01-27T06:24:58.000Z</t>
  </si>
  <si>
    <t>Mobile Pinterest for PC/MAC 2018-08-28T07:11:38.000Z</t>
  </si>
  <si>
    <t>Attack on Titan Cursors 2022-10-21T02:47:41.000Z</t>
  </si>
  <si>
    <t>Green Eye 2014-02-22T17:45:32.000Z</t>
  </si>
  <si>
    <t>Google Meet Global Shortcuts 2020-04-30T13:58:28.000Z</t>
  </si>
  <si>
    <t>WebinarJam Screen Sharing 2016-05-13T18:45:05.000Z</t>
  </si>
  <si>
    <t>Tab Position Options 2015-11-24T12:43:41.000Z</t>
  </si>
  <si>
    <t>YouTube Channel Grower 2017-12-24T00:26:47.000Z</t>
  </si>
  <si>
    <t>SUSHI Proxy - Unlimited Japan IP Free 3 Days 2021-04-19T06:17:35.000Z</t>
  </si>
  <si>
    <t>Fill: Edit</t>
  </si>
  <si>
    <t>WordsBaking+ 2017-11-21T09:46:04.000Z</t>
  </si>
  <si>
    <t>Auto HD/4k/8k for YouTube™ - YouTube™ Auto HD 2019-04-14T16:03:15.000Z</t>
  </si>
  <si>
    <t>Streak Tracker 2022-03-04T11:33:35.000Z</t>
  </si>
  <si>
    <t>Descarga Masiva CFDI SAT 2019-06-06T17:37:36.000Z</t>
  </si>
  <si>
    <t>Youtube popup video 2019-07-14T08:38:50.000Z</t>
  </si>
  <si>
    <t>Twitch Points Claimer 2021-08-06T21:08:38.000Z</t>
  </si>
  <si>
    <t>Yet another autoplay blocker 2018-10-01T03:18:36.000Z</t>
  </si>
  <si>
    <t>Photo Transfer App 2014-07-09T17:00:54.000Z</t>
  </si>
  <si>
    <t>.torrent to Transmission 2016-01-17T20:37:12.000Z</t>
  </si>
  <si>
    <t>Slither Pro 2016-05-02T08:10:19.000Z</t>
  </si>
  <si>
    <t>当下云摘 2012-11-02T10:13:53.000Z</t>
  </si>
  <si>
    <t>Musician's Friend 2014-01-20T21:00:10.000Z</t>
  </si>
  <si>
    <t>Nicolas Cage 2014-09-11T12:48:11.000Z</t>
  </si>
  <si>
    <t>Coin Toss 2018-10-03T23:47:16.000Z</t>
  </si>
  <si>
    <t>全球交易助手插件 2024-07-30T05:34:27.000Z</t>
  </si>
  <si>
    <t>Mobile Number Tracker 2019-06-07T08:02:40.000Z</t>
  </si>
  <si>
    <t>Windy 2023-09-15T09:37:51.000Z</t>
  </si>
  <si>
    <t>ReviewMeta.com Review Analyzer 2018-09-05T19:43:54.000Z</t>
  </si>
  <si>
    <t>Zoho Sites 2014-04-04T09:50:02.000Z</t>
  </si>
  <si>
    <t>re:Scan 2019-03-08T15:20:47.000Z</t>
  </si>
  <si>
    <t>Voice To Search 2018-12-08T11:57:30.000Z</t>
  </si>
  <si>
    <t>Video to Text 2022-01-11T12:53:57.000Z</t>
  </si>
  <si>
    <t>Luckydog Winner Generator Tool 2020-04-12T04:34:32.000Z</t>
  </si>
  <si>
    <t>Siderite's DNS Resolver 2019-10-29T20:53:58.000Z</t>
  </si>
  <si>
    <t>Vue.js devtools - UI Customized 2023-11-10T04:50:30.000Z</t>
  </si>
  <si>
    <t>The Trumpweb 2015-07-10T10:41:07.000Z</t>
  </si>
  <si>
    <t>YouTube Danmaku 2021-08-23T14:36:10.000Z</t>
  </si>
  <si>
    <t>Talla 2023-08-17T17:47:01.000Z</t>
  </si>
  <si>
    <t>Console.Re - Remote JavaScript Console 2014-01-02T19:35:56.000Z</t>
  </si>
  <si>
    <t>2号简历助手 2024-08-20T05:50:23.000Z</t>
  </si>
  <si>
    <t>SnapTwitter: Twitter Video Download 2021-10-01T10:46:18.000Z</t>
  </si>
  <si>
    <t>Pivo Present 2024-05-07T05:15:29.000Z</t>
  </si>
  <si>
    <t>Cisco SecureX Ribbon 2024-07-22T13:17:01.000Z</t>
  </si>
  <si>
    <t>Native FLV Playback 2019-05-17T00:02:58.000Z</t>
  </si>
  <si>
    <t>Clipboard Sync Beta 2021-12-06T04:54:06.000Z</t>
  </si>
  <si>
    <t>Wikimedia Input Tools 2019-03-08T15:21:30.000Z</t>
  </si>
  <si>
    <t>Movavi Screen Recorder for Chrome 2021-08-05T07:06:41.000Z</t>
  </si>
  <si>
    <t>Robots vs Humans 2014-09-01T22:19:18.000Z</t>
  </si>
  <si>
    <t>Vanced iOS Updates 2021-03-25T09:52:34.000Z</t>
  </si>
  <si>
    <t>Fortnite 4k Wallpapers New Tab Theme 2018-05-31T12:50:28.000Z</t>
  </si>
  <si>
    <t>WPSecurity - WordPress Vulnerability Scanner 2021-12-30T08:03:46.000Z</t>
  </si>
  <si>
    <t>Individual Software’s Typing Flash Enabler 2020-10-25T07:48:08.000Z</t>
  </si>
  <si>
    <t>Colorize AWS CloudWatch Logs 2020-12-07T09:18:12.000Z</t>
  </si>
  <si>
    <t>It's Raining 2012-11-10T09:06:16.000Z</t>
  </si>
  <si>
    <t>Snippet Highlighter - Web &amp; PDF 2021-03-12T07:32:39.000Z</t>
  </si>
  <si>
    <t>AutoCogs 2018-03-29T12:46:03.000Z</t>
  </si>
  <si>
    <t>Fullscreen 2020-02-07T13:46:33.000Z</t>
  </si>
  <si>
    <t>QR Scanner 2019-05-17T00:02:54.000Z</t>
  </si>
  <si>
    <t>Fancy Text Generator 2021-02-05T04:13:38.000Z</t>
  </si>
  <si>
    <t>Image to PDF - dearprint 2015-11-04T03:26:18.000Z</t>
  </si>
  <si>
    <t>2048 Game 2021-06-03T12:07:25.000Z</t>
  </si>
  <si>
    <t>42logtime 2023-12-12T04:26:35.000Z</t>
  </si>
  <si>
    <t>Better Subscriptions for YouTube™ 2024-08-05T03:53:28.000Z</t>
  </si>
  <si>
    <t>tabzen 2018-09-21T11:23:37.000Z</t>
  </si>
  <si>
    <t>MagnetStream - Watch Full HD Movies Online 2022-04-23T09:36:17.000Z</t>
  </si>
  <si>
    <t>e-Cert (Personal) Renewal Extension 2023-07-04T03:50:54.000Z</t>
  </si>
  <si>
    <t>WhitelistProxyAutoSwitchy 2020-06-15T11:22:57.000Z</t>
  </si>
  <si>
    <t>Ethereum Gas Price Extension 2021-05-24T13:00:04.000Z</t>
  </si>
  <si>
    <t>Google Meet Mute Toggler 2021-10-31T07:48:01.000Z</t>
  </si>
  <si>
    <t>Twitch Chat on Youtube 2021-10-31T15:11:21.000Z</t>
  </si>
  <si>
    <t>Quick Bookmarks Menu 2022-04-20T15:30:59.000Z</t>
  </si>
  <si>
    <t>PunyCode Domain Detection 2017-04-18T10:12:33.000Z</t>
  </si>
  <si>
    <t>Wikipedia Plus 2013-09-24T00:39:04.000Z</t>
  </si>
  <si>
    <t>Moqups Extension 2021-03-24T13:38:09.000Z</t>
  </si>
  <si>
    <t>Ruler Measurement 2019-02-08T19:17:34.000Z</t>
  </si>
  <si>
    <t>Complus Integration 2016-07-14T20:05:51.000Z</t>
  </si>
  <si>
    <t>一键历史记录 2022-07-08T08:55:27.000Z</t>
  </si>
  <si>
    <t>BYR IP to Location 2022-08-03T05:17:23.000Z</t>
  </si>
  <si>
    <t>Gold &amp; Silver price 2024-02-21T07:56:35.000Z</t>
  </si>
  <si>
    <t>ngram viewer 2015-03-28T06:27:01.000Z</t>
  </si>
  <si>
    <t>VRCFriendCheck 2021-04-16T14:37:22.000Z</t>
  </si>
  <si>
    <t>Checker Mail.ru 2020-10-29T10:56:24.000Z</t>
  </si>
  <si>
    <t>Spacebar pause on youtube 2015-09-06T20:14:43.000Z</t>
  </si>
  <si>
    <t>TSR Wait Skipper 2020-07-05T04:00:48.000Z</t>
  </si>
  <si>
    <t>Weebly Dashboard Extension 2014-04-14T22:59:27.000Z</t>
  </si>
  <si>
    <t>WebMusic - New MP3 Music Free Download 2022-10-11T05:06:48.000Z</t>
  </si>
  <si>
    <t>Jobalytics - Resume Keyword Analyzer 2022-09-21T06:02:28.000Z</t>
  </si>
  <si>
    <t>Reveal for Netflix 2018-02-11T02:12:18.000Z</t>
  </si>
  <si>
    <t>Codebender.cc Extension 2015-05-07T16:14:37.000Z</t>
  </si>
  <si>
    <t>Changer - change google logo 2020-06-16T12:20:06.000Z</t>
  </si>
  <si>
    <t>YaTab 2019-07-10T06:32:53.000Z</t>
  </si>
  <si>
    <t>ChromeiQL 2017-08-22T05:27:16.000Z</t>
  </si>
  <si>
    <t>4chan Expand Images 2021-01-07T10:20:01.000Z</t>
  </si>
  <si>
    <t>HTTP-TRACKER 2022-03-29T09:59:39.000Z</t>
  </si>
  <si>
    <t>翻譯2選1 2014-02-14T14:04:49.000Z</t>
  </si>
  <si>
    <t>Urdu Meme - Urdu for web 2017-04-14T02:34:38.000Z</t>
  </si>
  <si>
    <t>Dynatrace Real User Monitoring 2023-02-10T09:28:15.000Z</t>
  </si>
  <si>
    <t>Automatic Backlink Checker 2022-09-05T05:42:48.000Z</t>
  </si>
  <si>
    <t>Cartola for Chrome™ 2013-06-03T01:57:19.000Z</t>
  </si>
  <si>
    <t>NoImages 2015-05-25T04:21:44.000Z</t>
  </si>
  <si>
    <t>Salesforce Marketing Cloud Extension 2016-04-10T01:47:32.000Z</t>
  </si>
  <si>
    <t>Black theme for Amazon 2019-10-28T12:13:49.000Z</t>
  </si>
  <si>
    <t>Strike Out Nofollow Links 2019-09-11T13:49:05.000Z</t>
  </si>
  <si>
    <t>Window Expander For YouTube 2014-06-21T09:34:40.000Z</t>
  </si>
  <si>
    <t>Clear Cache 2013-04-10T01:30:51.000Z</t>
  </si>
  <si>
    <t>KB SSL Enforcer 2020-11-21T06:36:53.000Z</t>
  </si>
  <si>
    <t>Ruby开发文档 2014-01-17T09:22:35.000Z</t>
  </si>
  <si>
    <t>Google Account Chooser 2022-10-17T09:44:44.000Z</t>
  </si>
  <si>
    <t>Frequência Google Meet™ 2021-07-10T04:04:47.000Z</t>
  </si>
  <si>
    <t>manaba Enhanced for Tsukuba 2022-12-01T10:34:54.000Z</t>
  </si>
  <si>
    <t>Web Assist Plus 2020-08-22T04:50:06.000Z</t>
  </si>
  <si>
    <t>Join 2024-07-12T16:59:55.000Z</t>
  </si>
  <si>
    <t>Sauron - Dark mode for all websites 2021-02-19T10:00:53.000Z</t>
  </si>
  <si>
    <t>Scrollbar Customizer 2022-08-14T04:35:43.000Z</t>
  </si>
  <si>
    <t>New Tab Page for Trello 2017-03-06T02:44:24.000Z</t>
  </si>
  <si>
    <t>JSON Finder 2017-01-21T06:59:42.000Z</t>
  </si>
  <si>
    <t>InjectCode 2021-04-26T09:39:56.000Z</t>
  </si>
  <si>
    <t>Taborama - group your tabs 2016-06-18T19:10:56.000Z</t>
  </si>
  <si>
    <t>Chegg Search 2020-04-09T20:12:43.000Z</t>
  </si>
  <si>
    <t>Caret 2020-06-21T15:58:35.000Z</t>
  </si>
  <si>
    <t>XTag AT Internet: Record</t>
  </si>
  <si>
    <t>Fokus 2012-09-30T19:39:37.000Z</t>
  </si>
  <si>
    <t>Twitter Bookmarks Search 2021-07-27T22:08:43.000Z</t>
  </si>
  <si>
    <t>Empty New Tab Page - Black 2023-10-10T12:31:25.000Z</t>
  </si>
  <si>
    <t>cottonTracks 2017-04-06T18:00:17.000Z</t>
  </si>
  <si>
    <t>The Old Reader Notifier 2021-01-22T13:39:16.000Z</t>
  </si>
  <si>
    <t>URL Tracking Stripper &amp; Redirect Skipper 2020-02-09T14:20:39.000Z</t>
  </si>
  <si>
    <t>Altair GraphQL Client 2024-11-11T07:18:42.000Z</t>
  </si>
  <si>
    <t>Kaleidoscope 2013-03-03T11:52:33.000Z</t>
  </si>
  <si>
    <t>My Little Password 2015-04-30T13:14:51.000Z</t>
  </si>
  <si>
    <t>osu! Beatmap Auto Downloader 2017-11-01T12:40:19.000Z</t>
  </si>
  <si>
    <t>RiteBoost 2021-08-24T11:38:34.000Z</t>
  </si>
  <si>
    <t>Groups Show Time 2018-07-18T09:03:24.000Z</t>
  </si>
  <si>
    <t>ICONex 2024-09-27T06:08:38.000Z</t>
  </si>
  <si>
    <t>Word Highlighter 2021-10-24T07:57:15.000Z</t>
  </si>
  <si>
    <t>Brawl stars Cursor 2022-01-26T10:23:19.000Z</t>
  </si>
  <si>
    <t>Favorite URL Opener 2012-04-30T23:33:43.000Z</t>
  </si>
  <si>
    <t>uBlock Pro 2024-02-25T04:29:37.000Z</t>
  </si>
  <si>
    <t>Screen Share Application 2017-05-23T15:23:41.000Z</t>
  </si>
  <si>
    <t>Kelley Blue Book for Craigslist 2018-12-03T18:33:17.000Z</t>
  </si>
  <si>
    <t>HTTPS Finder 2016-11-06T18:08:50.000Z</t>
  </si>
  <si>
    <t>Clippy the Paperclip Assistant 2019-05-27T17:14:15.000Z</t>
  </si>
  <si>
    <t>Website text content replacer 2020-01-13T19:10:36.000Z</t>
  </si>
  <si>
    <t>AutoPhil: Autofill + ChatGPT + OCR 2023-05-30T06:36:29.000Z</t>
  </si>
  <si>
    <t>Nepali Patro - http://nepalipatro.com.np 2013-10-03T03:12:41.000Z</t>
  </si>
  <si>
    <t>LiveGamers.pl 2021-08-21T19:36:44.000Z</t>
  </si>
  <si>
    <t>SVN Browser 2014-09-30T10:20:50.000Z</t>
  </si>
  <si>
    <t>Veracross GPA Viewer 2019-10-29T13:48:03.000Z</t>
  </si>
  <si>
    <t>Tumblr Collage 2014-06-20T02:49:22.000Z</t>
  </si>
  <si>
    <t>Karoo Route Grab 2020-12-22T12:32:11.000Z</t>
  </si>
  <si>
    <t>Download Manager Pro 2022-06-03T03:15:31.000Z</t>
  </si>
  <si>
    <t>Mile Wide Back 2021-06-02T10:43:40.000Z</t>
  </si>
  <si>
    <t>Arcadia Desktop Companion 2022-06-11T08:36:46.000Z</t>
  </si>
  <si>
    <t>Previous / Next Page 2022-08-01T09:38:40.000Z</t>
  </si>
  <si>
    <t>Use Immersive Reader on Websites 2022-05-27T21:20:18.000Z</t>
  </si>
  <si>
    <t>RMFON 2016-10-06T13:45:08.000Z</t>
  </si>
  <si>
    <t>TabSaver 2019-02-10T14:54:52.000Z</t>
  </si>
  <si>
    <t>Cleaner 2020-03-05T13:11:27.000Z</t>
  </si>
  <si>
    <t>CS:GO Skin Tester 2021-07-06T12:02:07.000Z</t>
  </si>
  <si>
    <t>Whois® DNS lookup 2016-01-06T22:28:59.000Z</t>
  </si>
  <si>
    <t>Danimal Soundboard! 2015-02-28T18:44:06.000Z</t>
  </si>
  <si>
    <t>Photopea 2017-10-05T07:40:16.000Z</t>
  </si>
  <si>
    <t>Фон ВКонтакте 2021-12-30T12:48:04.000Z</t>
  </si>
  <si>
    <t>Cypress Scenario Recorder 2019-10-08T22:15:51.000Z</t>
  </si>
  <si>
    <t>AutoCRN 2016-08-15T15:00:37.000Z</t>
  </si>
  <si>
    <t>Right Click Search on Amazon 2019-08-05T15:52:36.000Z</t>
  </si>
  <si>
    <t>Youtube™ Shortcuts 2019-11-20T03:02:33.000Z</t>
  </si>
  <si>
    <t>Page Analytics (by Google) 2019-03-08T15:24:24.000Z</t>
  </si>
  <si>
    <t>Persian eSpeak 2013-11-18T19:39:32.000Z</t>
  </si>
  <si>
    <t>Simple Black Scrollbar 2012-12-10T06:32:07.000Z</t>
  </si>
  <si>
    <t>Animal Jam 2021-04-07T07:45:44.000Z</t>
  </si>
  <si>
    <t>Daily Horoscope 2017-12-13T14:04:16.000Z</t>
  </si>
  <si>
    <t>Site Connector 2022-10-19T09:11:40.000Z</t>
  </si>
  <si>
    <t>YouGears - All in One Enhancements 2023-08-04T07:01:51.000Z</t>
  </si>
  <si>
    <t>Play to Kodi 2019-04-30T11:37:04.000Z</t>
  </si>
  <si>
    <t>Majuscules Accentuées 2021-11-29T12:47:19.000Z</t>
  </si>
  <si>
    <t>下载到小米路由器 2016-04-09T07:08:08.000Z</t>
  </si>
  <si>
    <t>Shopify Theme Inspector for Chrome 2024-10-18T18:53:18.000Z</t>
  </si>
  <si>
    <t>Voice Drop 2020-06-22T07:12:28.000Z</t>
  </si>
  <si>
    <t>Canvas Grades Extension 2020-12-20T11:21:59.000Z</t>
  </si>
  <si>
    <t>Checklist 2020-07-12T11:46:58.000Z</t>
  </si>
  <si>
    <t>Chrome Direct Print 2018-09-08T18:58:31.000Z</t>
  </si>
  <si>
    <t>Dewey launcher 2014-02-25T00:44:07.000Z</t>
  </si>
  <si>
    <t>Online Clock 2015-03-13T13:40:03.000Z</t>
  </si>
  <si>
    <t>Jitsi Desktop Streamer for FSD 2018-12-18T23:55:20.000Z</t>
  </si>
  <si>
    <t>Color Picker 2020-12-14T13:49:33.000Z</t>
  </si>
  <si>
    <t>Shadowsocks 2021-05-06T11:33:56.000Z</t>
  </si>
  <si>
    <t>FIP Radio 2020-01-15T18:45:50.000Z</t>
  </si>
  <si>
    <t>Quotes New Tab 2020-06-05T09:59:01.000Z</t>
  </si>
  <si>
    <t>Scheduled Click 2015-05-21T10:50:02.000Z</t>
  </si>
  <si>
    <t>Lepšia očkovacia registrácia 2021-03-22T23:52:03.000Z</t>
  </si>
  <si>
    <t>Serial Term 2019-03-08T15:25:35.000Z</t>
  </si>
  <si>
    <t>Bootstrap resize tool 2014-08-20T15:16:05.000Z</t>
  </si>
  <si>
    <t>Visibility 2016-10-17T09:21:59.000Z</t>
  </si>
  <si>
    <t>Metablox 2022-07-26T09:41:54.000Z</t>
  </si>
  <si>
    <t>Snapseed Online PC - Photo Editing 2022-06-10T03:46:43.000Z</t>
  </si>
  <si>
    <t>CryptoMining Blocker 2019-10-30T17:23:35.000Z</t>
  </si>
  <si>
    <t>Sticky Notes 2019-09-10T03:36:06.000Z</t>
  </si>
  <si>
    <t>Wise Search 2018-12-05T06:02:22.000Z</t>
  </si>
  <si>
    <t>PrivOrNot 2021-04-17T12:52:22.000Z</t>
  </si>
  <si>
    <t>Web Technology Notifier 2014-05-30T16:35:47.000Z</t>
  </si>
  <si>
    <t>Scientific Calculator 2023-10-13T02:22:52.000Z</t>
  </si>
  <si>
    <t>IrLinks 2022-05-17T06:11:47.000Z</t>
  </si>
  <si>
    <t>Blossom - Lean Product Management 2014-06-29T22:14:39.000Z</t>
  </si>
  <si>
    <t>Epitech RoadBlock 2022-05-20T05:19:29.000Z</t>
  </si>
  <si>
    <t>Send to Kodi 2018-02-25T00:43:36.000Z</t>
  </si>
  <si>
    <t>Cute Save Button 2023-05-14T17:34:06.000Z</t>
  </si>
  <si>
    <t>Angular Chrome 2015-01-12T16:48:46.000Z</t>
  </si>
  <si>
    <t>ElasticSearch Toolbox 2015-10-19T18:08:11.000Z</t>
  </si>
  <si>
    <t>openLRSng - Configurator 2016-02-29T16:46:12.000Z</t>
  </si>
  <si>
    <t>XSS辅助工具 2016-09-22T02:54:38.000Z</t>
  </si>
  <si>
    <t>Amazon Suche 2019-06-13T13:00:04.000Z</t>
  </si>
  <si>
    <t>Your MemoPad - Simply notes for Chrome 2016-07-24T14:28:10.000Z</t>
  </si>
  <si>
    <t>UI Design 2020-02-20T10:43:01.000Z</t>
  </si>
  <si>
    <t>Get Referrer URL 2014-07-13T14:07:49.000Z</t>
  </si>
  <si>
    <t>SmartAdblock 2021-12-09T06:34:03.000Z</t>
  </si>
  <si>
    <t>Micro Breaks 2015-07-09T00:48:17.000Z</t>
  </si>
  <si>
    <t>PixelZoomer 2021-10-28T06:13:05.000Z</t>
  </si>
  <si>
    <t>enhan(t) Note Taking Power Tool 2022-04-29T07:18:46.000Z</t>
  </si>
  <si>
    <t>Add to Dropmark 2021-09-20T17:36:23.000Z</t>
  </si>
  <si>
    <t>Task tracker | Task timer 2023-07-16T04:10:21.000Z</t>
  </si>
  <si>
    <t>Slither.io Exclusive - Get New Features 2019-02-06T14:51:13.000Z</t>
  </si>
  <si>
    <t>HWGame 2021-09-01T12:26:33.000Z</t>
  </si>
  <si>
    <t>Switch Workstation Tab Manager 2023-01-31T12:52:54.000Z</t>
  </si>
  <si>
    <t>WebMirror 2017-03-03T13:10:28.000Z</t>
  </si>
  <si>
    <t>Free Kobo Books 2014-02-03T21:11:10.000Z</t>
  </si>
  <si>
    <t>Manga Downloader 2021-10-12T10:28:01.000Z</t>
  </si>
  <si>
    <t>AniDUB Proxy 2023-07-11T04:26:05.000Z</t>
  </si>
  <si>
    <t>Developer Flags for Google Chrome™ 2014-05-27T22:01:40.000Z</t>
  </si>
  <si>
    <t>AutohelperBot 2021-05-24T11:19:07.000Z</t>
  </si>
  <si>
    <t>Qualys BrowserCheck for Windows 2021-06-23T06:26:25.000Z</t>
  </si>
  <si>
    <t>股票基金助手 - 盯盘助手 2023-12-02T04:40:15.000Z</t>
  </si>
  <si>
    <t>Zalgo Chrome 2020-01-15T13:05:56.000Z</t>
  </si>
  <si>
    <t>JapaneseEmoticons 2020-02-05T13:12:10.000Z</t>
  </si>
  <si>
    <t>Amazon International Shopping 2018-01-14T13:34:35.000Z</t>
  </si>
  <si>
    <t>Hacker Vision 2021-02-04T10:05:40.000Z</t>
  </si>
  <si>
    <t>PrintAny 2019-04-03T23:23:24.000Z</t>
  </si>
  <si>
    <t>VK ads blocker - блокировка рекламы ВКонтакте 2018-01-04T06:44:50.000Z</t>
  </si>
  <si>
    <t>Memrise Audio Uploader 2024-03-03T15:53:15.000Z</t>
  </si>
  <si>
    <t>EPS to AI Converter 2020-05-29T11:26:19.000Z</t>
  </si>
  <si>
    <t>Primoloisirs 2021-02-24T05:54:38.000Z</t>
  </si>
  <si>
    <t>Alpine.js devtools 2021-09-08T22:34:32.000Z</t>
  </si>
  <si>
    <t>9anime Companion 2017-11-27T10:23:58.000Z</t>
  </si>
  <si>
    <t>VCD viewer 2014-01-29T04:33:57.000Z</t>
  </si>
  <si>
    <t>Cursor Traveler: mouse move counter 2020-02-10T12:09:10.000Z</t>
  </si>
  <si>
    <t>One Click Add Parcel - WePost 2022-06-03T02:28:26.000Z</t>
  </si>
  <si>
    <t>Replay Poker Flash Support 2019-07-29T13:18:05.000Z</t>
  </si>
  <si>
    <t>Black and Green YouTube 2016-09-10T04:03:57.000Z</t>
  </si>
  <si>
    <t>UchiHelper 2022-11-17T12:08:37.000Z</t>
  </si>
  <si>
    <t>Advertising Terminator 2022-01-18T05:29:31.000Z</t>
  </si>
  <si>
    <t>Pokemon Showdown Random Battle Tooltip 2018-04-22T18:49:00.000Z</t>
  </si>
  <si>
    <t>DM - Tab Revolver 2016-05-09T13:36:19.000Z</t>
  </si>
  <si>
    <t>Simple Window Saver 2012-12-10T18:17:04.000Z</t>
  </si>
  <si>
    <t>NFC Reader Extension for Win32 2015-02-24T14:22:44.000Z</t>
  </si>
  <si>
    <t>Need a Hand 2012-05-20T02:57:42.000Z</t>
  </si>
  <si>
    <t>牛魔王数据助手 2022-12-28T04:54:33.000Z</t>
  </si>
  <si>
    <t>DSA: Product &amp; Review Importer 2024-04-25T18:10:32.000Z</t>
  </si>
  <si>
    <t>NCC Image Checker 2017-07-24T15:01:21.000Z</t>
  </si>
  <si>
    <t>Word Counter Plus 2018-07-21T16:40:25.000Z</t>
  </si>
  <si>
    <t>Tumblr Disable Video Autoplay 2017-06-29T07:49:34.000Z</t>
  </si>
  <si>
    <t>Dismoi 2022-04-22T08:36:53.000Z</t>
  </si>
  <si>
    <t>MagicSearch 2015-12-24T10:58:28.000Z</t>
  </si>
  <si>
    <t>Crypto Price Tracker 2022-07-05T10:06:38.000Z</t>
  </si>
  <si>
    <t>Open Same Tab 2020-06-07T04:28:20.000Z</t>
  </si>
  <si>
    <t>2nd Toolbar Spacer 2017-08-24T02:47:21.000Z</t>
  </si>
  <si>
    <t>JazzHR Candidate Importer 2019-06-09T00:03:04.000Z</t>
  </si>
  <si>
    <t>Screenshot to Text - Beta 2021-12-14T09:53:21.000Z</t>
  </si>
  <si>
    <t>Download Tumblr images 2018-08-12T16:31:21.000Z</t>
  </si>
  <si>
    <t>nyt_mod 2013-03-08T04:21:57.000Z</t>
  </si>
  <si>
    <t>Super Meet Mute 2021-06-21T08:27:03.000Z</t>
  </si>
  <si>
    <t>delugesiphon 2018-12-25T19:27:46.000Z</t>
  </si>
  <si>
    <t>StockBlocker 2019-12-25T04:32:47.000Z</t>
  </si>
  <si>
    <t>Amazon Cart Hider 2019-03-03T02:12:15.000Z</t>
  </si>
  <si>
    <t>虾皮贝分析(Tiktok shop 零成本创业) 2022-09-19T08:31:38.000Z</t>
  </si>
  <si>
    <t>Close Tabs 2018-09-14T05:30:08.000Z</t>
  </si>
  <si>
    <t>Cloudfront Purge Tool 2017-03-13T19:16:48.000Z</t>
  </si>
  <si>
    <t>ChatGPT Assistant - GPT Search 2023-05-05T02:11:47.000Z</t>
  </si>
  <si>
    <t>Crawler QRSorteios 2021-02-25T15:41:37.000Z</t>
  </si>
  <si>
    <t>Netvibes Notifier 2017-12-19T10:59:52.000Z</t>
  </si>
  <si>
    <t>DealExtreme Official 2013-06-17T10:02:19.000Z</t>
  </si>
  <si>
    <t>UpSolve tracker 2018-05-26T11:23:32.000Z</t>
  </si>
  <si>
    <t>reddit Sidebar Hider 2015-07-07T09:41:43.000Z</t>
  </si>
  <si>
    <t>Synology add download 2018-08-17T16:48:30.000Z</t>
  </si>
  <si>
    <t>StackOverflow focus 2021-08-03T11:21:34.000Z</t>
  </si>
  <si>
    <t>Google Search Console Extended 2020-05-31T04:24:36.000Z</t>
  </si>
  <si>
    <t>[Earthchie] ทำให้เว็บกลับมามีสี 2016-10-18T10:28:55.000Z</t>
  </si>
  <si>
    <t>NewsBot - Give me 5 2020-10-07T10:25:52.000Z</t>
  </si>
  <si>
    <t>MyCoub - скачать с coub видео/аудио 2022-08-24T06:31:20.000Z</t>
  </si>
  <si>
    <t>APIZZA Send Request Plugins 2021-06-08T01:41:40.000Z</t>
  </si>
  <si>
    <t>Stopwatch 2018-02-10T21:14:43.000Z</t>
  </si>
  <si>
    <t>Multiple Twitter Accounts Switcher for Chrome 2022-05-18T09:33:03.000Z</t>
  </si>
  <si>
    <t>Requirify 2014-09-30T21:26:37.000Z</t>
  </si>
  <si>
    <t>Titech Portal Login 2017-05-19T23:34:48.000Z</t>
  </si>
  <si>
    <t>Carrot 2024-09-30T05:25:23.000Z</t>
  </si>
  <si>
    <t>Thumbnail Viewer for YouTube™ 2014-07-15T20:04:39.000Z</t>
  </si>
  <si>
    <t>deprocrastination - block distractions 2021-10-02T09:56:31.000Z</t>
  </si>
  <si>
    <t>Live Custom CSS</t>
  </si>
  <si>
    <t>Nofollow SEO Link Highlighter 2015-06-26T14:48:14.000Z</t>
  </si>
  <si>
    <t>Dark theme for VK.COM | Night Mode for Vkontakte™ 2023-01-25T05:35:03.000Z</t>
  </si>
  <si>
    <t>Webinar Screen Capturing 2021-08-31T09:05:22.000Z</t>
  </si>
  <si>
    <t>Movies sites AdBlock 2019-06-03T05:32:44.000Z</t>
  </si>
  <si>
    <t>Console Recorder for AWS 2024-01-20T04:02:15.000Z</t>
  </si>
  <si>
    <t>SimpleLastTab 2021-04-05T06:40:20.000Z</t>
  </si>
  <si>
    <t>Wordology 2020-01-09T00:03:35.000Z</t>
  </si>
  <si>
    <t>Memory Monitor 2016-01-29T21:56:52.000Z</t>
  </si>
  <si>
    <t>Keepin' Tabs – tabs manager 2017-01-25T21:40:45.000Z</t>
  </si>
  <si>
    <t>Bootstrap 3.3.x Offline Guide 2017-03-14T11:00:22.000Z</t>
  </si>
  <si>
    <t>SoundTouch Chrome Extension 2022-06-27T09:11:38.000Z</t>
  </si>
  <si>
    <t>Jump! 2019-02-09T15:44:49.000Z</t>
  </si>
  <si>
    <t>Web Developer Form Filler 2021-07-29T05:52:02.000Z</t>
  </si>
  <si>
    <t>Watcher for Yandex Mail™ 2017-03-06T10:50:06.000Z</t>
  </si>
  <si>
    <t>LibreCAD on rollApp 2018-03-28T08:22:33.000Z</t>
  </si>
  <si>
    <t>XML Tree 2020-05-21T10:50:29.000Z</t>
  </si>
  <si>
    <t>Tab Organizer 2018-06-02T02:58:55.000Z</t>
  </si>
  <si>
    <t>Monitor URL Chrome Extensions 2021-07-23T09:29:41.000Z</t>
  </si>
  <si>
    <t>Live Web Development 2013-07-07T20:04:27.000Z</t>
  </si>
  <si>
    <t>TuShop Tool 2017-02-22T20:00:07.000Z</t>
  </si>
  <si>
    <t>TELELIKE - Automatically Like for Instagram 2021-08-26T05:03:01.000Z</t>
  </si>
  <si>
    <t>Instant SQL Formatter 2014-09-12T09:31:06.000Z</t>
  </si>
  <si>
    <t>Nonio Blocker 2.1 2021-04-11T05:01:42.000Z</t>
  </si>
  <si>
    <t>Avaya Agent for Desktop Extension 2021-06-18T12:24:09.000Z</t>
  </si>
  <si>
    <t>Advanced Salesforce inspector 2021-03-29T13:28:27.000Z</t>
  </si>
  <si>
    <t>Kassi Share - Send to Kodi 2017-10-11T20:19:55.000Z</t>
  </si>
  <si>
    <t>MiShareExtension 2019-02-11T13:06:36.000Z</t>
  </si>
  <si>
    <t>Web Page Canvas 2021-01-23T13:29:44.000Z</t>
  </si>
  <si>
    <t>Farmville2 X-Press 2019-07-19T11:59:16.000Z</t>
  </si>
  <si>
    <t>Cookie Refresh 2022-12-17T06:05:44.000Z</t>
  </si>
  <si>
    <t>NJIT Schedule Builder RMP 2022-12-23T09:23:33.000Z</t>
  </si>
  <si>
    <t>Graph Process 2019-12-14T01:28:32.000Z</t>
  </si>
  <si>
    <t>OP.GG Extension 2021-05-21T04:16:23.000Z</t>
  </si>
  <si>
    <t>Allow copy 2023-07-19T05:53:53.000Z</t>
  </si>
  <si>
    <t>Sync Tab Groups 2019-12-29T18:31:00.000Z</t>
  </si>
  <si>
    <t>Pricescout Price Comparison 2023-02-23T10:47:59.000Z</t>
  </si>
  <si>
    <t>ETHSBell 2024-05-09T03:56:06.000Z</t>
  </si>
  <si>
    <t>OG Spy 2018-10-22T12:05:04.000Z</t>
  </si>
  <si>
    <t>Play a Random KPOP Video 2019-01-03T00:48:51.000Z</t>
  </si>
  <si>
    <t>Internet Connection Alerter 2020-05-25T03:39:38.000Z</t>
  </si>
  <si>
    <t>Pixiv Ugoira WebM 2016-06-05T10:10:32.000Z</t>
  </si>
  <si>
    <t>JSON Viewer 2020-12-23T08:19:58.000Z</t>
  </si>
  <si>
    <t>Contribute Cloud Cast 2018-10-30T21:37:33.000Z</t>
  </si>
  <si>
    <t>Full Screen Video for Youtube and more 2018-08-19T05:32:52.000Z</t>
  </si>
  <si>
    <t>Unshorten.link 2018-09-11T20:22:26.000Z</t>
  </si>
  <si>
    <t>TV Online Guia 2017-08-14T23:30:32.000Z</t>
  </si>
  <si>
    <t>Right Click to Search eBay 2023-04-04T11:38:32.000Z</t>
  </si>
  <si>
    <t>Cookie Parking 2023-07-19T09:08:12.000Z</t>
  </si>
  <si>
    <t>Background Colors Cards for Trello 2014-03-21T23:32:44.000Z</t>
  </si>
  <si>
    <t>cros-anywhere 2019-03-24T08:02:56.000Z</t>
  </si>
  <si>
    <t>屏蔽商业推广 2022-07-26T04:24:58.000Z</t>
  </si>
  <si>
    <t>Blue Prism 6.10.4 Browser Extension 2022-12-06T12:47:43.000Z</t>
  </si>
  <si>
    <t>webhint 2024-08-30T03:18:49.000Z</t>
  </si>
  <si>
    <t>EASY CORS 2020-11-15T03:14:09.000Z</t>
  </si>
  <si>
    <t>Credit Card Generator 2022-01-27T11:34:05.000Z</t>
  </si>
  <si>
    <t>BSW. Der Bonusmelder 2022-07-26T09:43:20.000Z</t>
  </si>
  <si>
    <t>EPSON L380 RESETTER 2021-08-02T11:41:37.000Z</t>
  </si>
  <si>
    <t>Goat Alerts TradingView Bot 2020-07-14T02:50:03.000Z</t>
  </si>
  <si>
    <t>Always Video ᴴᴷ - Beta ( PiP Automation ) 2020-07-17T04:32:38.000Z</t>
  </si>
  <si>
    <t>NinjaCapture - Quick &amp; Easy Screen Capture 2023-03-15T05:28:32.000Z</t>
  </si>
  <si>
    <t>Twitch Channel Points Auto-Clicker 2020-11-11T11:12:24.000Z</t>
  </si>
  <si>
    <t>WEB.DE Go! 2022-11-22T08:32:44.000Z</t>
  </si>
  <si>
    <t>Unblocked Games 2021-03-04T13:37:14.000Z</t>
  </si>
  <si>
    <t>NationStates++ 2017-10-20T00:53:31.000Z</t>
  </si>
  <si>
    <t>Jitsi Desktop Streamer 2019-03-10T15:37:37.000Z</t>
  </si>
  <si>
    <t>Smart Button® Extension 2022-03-30T21:10:06.000Z</t>
  </si>
  <si>
    <t>Colors for Developers (Converter and more...) 2016-04-30T21:27:02.000Z</t>
  </si>
  <si>
    <t>Seen Blocker 2017-05-13T09:59:20.000Z</t>
  </si>
  <si>
    <t>Блокировщик Яндекс.Метрики 2016-07-19T10:38:44.000Z</t>
  </si>
  <si>
    <t>Refined Hacker News 2022-12-19T04:49:28.000Z</t>
  </si>
  <si>
    <t>Tab Switcher 2020-11-18T21:42:24.000Z</t>
  </si>
  <si>
    <t>QR code go 2014-09-04T17:45:49.000Z</t>
  </si>
  <si>
    <t>SHOWROOM Live Player 2020-06-24T04:02:07.000Z</t>
  </si>
  <si>
    <t>Công cụ đặt hàng AchinhNgachVN 2021-09-15T14:22:50.000Z</t>
  </si>
  <si>
    <t>Environment Tagger 2017-10-04T20:18:29.000Z</t>
  </si>
  <si>
    <t>ScreenBud · Capture</t>
  </si>
  <si>
    <t>NetSupport School Student 2023-07-03T08:47:16.000Z</t>
  </si>
  <si>
    <t>小川 2022-10-30T11:33:09.000Z</t>
  </si>
  <si>
    <t>Trello Grids 2021-01-05T13:24:15.000Z</t>
  </si>
  <si>
    <t>Android iMessage Messages Theme 2019-12-01T20:46:36.000Z</t>
  </si>
  <si>
    <t>zh-downloader 2022-07-20T04:32:45.000Z</t>
  </si>
  <si>
    <t>找货神器 2024-05-14T04:54:43.000Z</t>
  </si>
  <si>
    <t>Close tabs to the left 2013-02-18T19:56:29.000Z</t>
  </si>
  <si>
    <t>Neel's Cricket 2019-05-04T09:15:31.000Z</t>
  </si>
  <si>
    <t>Angular BatScanner 2019-03-08T15:31:14.000Z</t>
  </si>
  <si>
    <t>Pepper panel - SMM инструмент для Вконтакте 2020-05-30T04:08:01.000Z</t>
  </si>
  <si>
    <t>Orso - Screen Recorder &amp; Annotation Tool 2021-10-12T13:27:00.000Z</t>
  </si>
  <si>
    <t>豆瓣快速搜索 2013-12-26T08:21:25.000Z</t>
  </si>
  <si>
    <t>Coconut Chrome Extension 2012-07-14T15:18:14.000Z</t>
  </si>
  <si>
    <t>JWPepper Downloader 2015-09-01T02:18:48.000Z</t>
  </si>
  <si>
    <t>悬浮画中画播放器 2020-03-07T11:16:14.000Z</t>
  </si>
  <si>
    <t>FIG 2022-03-10T04:37:56.000Z</t>
  </si>
  <si>
    <t>Accessibility monitor 2016-06-10T06:57:47.000Z</t>
  </si>
  <si>
    <t>Visualize My History 2023-02-12T04:58:10.000Z</t>
  </si>
  <si>
    <t>Edvidi Student 2021 for Google Classroom 2021-10-27T14:51:07.000Z</t>
  </si>
  <si>
    <t>Download Notifier 2016-04-25T03:42:21.000Z</t>
  </si>
  <si>
    <t>Zelle App Guide For Beginners 2021-04-04T12:20:19.000Z</t>
  </si>
  <si>
    <t>AngularJS Inspect Watchers 2015-07-26T08:48:34.000Z</t>
  </si>
  <si>
    <t>Tune (experimental) 2019-12-17T23:07:39.000Z</t>
  </si>
  <si>
    <t>Fill form from json 2021-12-20T10:07:49.000Z</t>
  </si>
  <si>
    <t>Live Quotes Portfolio 2023-03-15T19:40:32.000Z</t>
  </si>
  <si>
    <t>SSS Autofill 2019-12-05T00:03:02.000Z</t>
  </si>
  <si>
    <t>Quick Copy Roblox IDs 2019-07-18T00:08:54.000Z</t>
  </si>
  <si>
    <t>WIREFOX SEO TOOLKIT - SEO ANALYSIS TOOL 2021-06-11T12:10:03.000Z</t>
  </si>
  <si>
    <t>Wiki Search for GitHub 2016-03-22T07:32:52.000Z</t>
  </si>
  <si>
    <t>GetFreshOffers for eBay 2019-03-08T15:31:53.000Z</t>
  </si>
  <si>
    <t>Python Shell 2022-12-04T06:05:40.000Z</t>
  </si>
  <si>
    <t>Słownik an-pl 2015-07-07T03:30:29.000Z</t>
  </si>
  <si>
    <t>Classic Google Icons 2021-05-17T09:23:58.000Z</t>
  </si>
  <si>
    <t>dynaBar D365FO 2022-09-11T06:10:42.000Z</t>
  </si>
  <si>
    <t>Newsfeed Burner 2016-11-23T18:16:37.000Z</t>
  </si>
  <si>
    <t>Salesforce Change Set Helper 2020-06-22T22:11:43.000Z</t>
  </si>
  <si>
    <t>ClearPass Onboard 2022-05-27T11:52:12.000Z</t>
  </si>
  <si>
    <t>FPS extension 2017-09-07T17:53:20.000Z</t>
  </si>
  <si>
    <t>Instant Eye Tracking Predictions 2018-10-10T05:01:44.000Z</t>
  </si>
  <si>
    <t>WebTranslate 2019-06-13T22:56:37.000Z</t>
  </si>
  <si>
    <t>Shrug Emoji 2018-02-08T15:35:50.000Z</t>
  </si>
  <si>
    <t>Academia do Importador 2022-08-21T06:54:43.000Z</t>
  </si>
  <si>
    <t>Duck Duck Private 2021-02-17T09:23:27.000Z</t>
  </si>
  <si>
    <t>CursorTrace 2020-07-29T05:07:05.000Z</t>
  </si>
  <si>
    <t>Open Cookies.txt 2023-01-03T05:19:37.000Z</t>
  </si>
  <si>
    <t>Colordrop: Interactive Drag &amp; Drop Coloring 2016-01-08T17:52:10.000Z</t>
  </si>
  <si>
    <t>Webtrekk Tracker 2021-09-02T04:32:34.000Z</t>
  </si>
  <si>
    <t>Авто-Кэшбэк + Детектор скидок — "Мой Сайдекс" 2023-06-12T08:01:03.000Z</t>
  </si>
  <si>
    <t>Hacker News 2020-03-11T11:55:10.000Z</t>
  </si>
  <si>
    <t>MyFitnessPal Search Filters 2013-09-24T00:06:57.000Z</t>
  </si>
  <si>
    <t>Neflix Auto Skip Intro Button 2017-12-18T20:08:11.000Z</t>
  </si>
  <si>
    <t>HubSpot Developer Extension 2023-01-23T04:22:29.000Z</t>
  </si>
  <si>
    <t>Math Anywhere 2016-08-13T17:12:00.000Z</t>
  </si>
  <si>
    <t>Youdao Dict 2017-02-20T08:11:53.000Z</t>
  </si>
  <si>
    <t>History Keeper 2020-05-04T20:31:48.000Z</t>
  </si>
  <si>
    <t>Chrome Web Store Launcher (by Google) 2019-09-05T12:23:00.000Z</t>
  </si>
  <si>
    <t>Scan QR from App Store 2012-08-27T15:40:04.000Z</t>
  </si>
  <si>
    <t>Reward eShop plug-in 2020-05-19T05:00:53.000Z</t>
  </si>
  <si>
    <t>diacritice.ai 2017-10-04T09:01:53.000Z</t>
  </si>
  <si>
    <t>Stream Life 2024-12-04T11:14:58.000Z</t>
  </si>
  <si>
    <t>Обозреватель - Новости Украины и мира 2018-01-24T14:33:46.000Z</t>
  </si>
  <si>
    <t>Inline HLS Player 2017-12-08T12:59:30.000Z</t>
  </si>
  <si>
    <t>Spoiler Shield 2014-06-06T12:01:05.000Z</t>
  </si>
  <si>
    <t>PUCMM WIFI Auto Login 2015-10-30T08:50:15.000Z</t>
  </si>
  <si>
    <t>Udemy Creation Date 2021-10-09T10:06:08.000Z</t>
  </si>
  <si>
    <t>Serasa Experian - Certificado Digital 2020-07-10T10:03:50.000Z</t>
  </si>
  <si>
    <t>Just Focus 2024-03-01T10:41:37.000Z</t>
  </si>
  <si>
    <t>Unpinterested! 2023-09-21T05:09:41.000Z</t>
  </si>
  <si>
    <t>Twixera 2021-06-14T14:00:46.000Z</t>
  </si>
  <si>
    <t>Strava Enhanced Experience 2019-09-24T00:51:23.000Z</t>
  </si>
  <si>
    <t>健康提醒 2021-03-17T02:33:02.000Z</t>
  </si>
  <si>
    <t>Progress Telerik Test Studio Extension 2023-07-04T04:55:51.000Z</t>
  </si>
  <si>
    <t>Collect images on Indulgy.com 2015-12-11T17:50:07.000Z</t>
  </si>
  <si>
    <t>TravianTactics 2020-04-16T10:47:09.000Z</t>
  </si>
  <si>
    <t>DNS Checker - SEO and Domain Analysis 2024-04-15T06:37:48.000Z</t>
  </si>
  <si>
    <t>Fun Educational Games 2020-08-18T06:45:13.000Z</t>
  </si>
  <si>
    <t>Glance - New Tab replacement with RSS 2016-06-18T16:22:26.000Z</t>
  </si>
  <si>
    <t>RapidFlash 2015-01-28T19:36:36.000Z</t>
  </si>
  <si>
    <t>Pandora Made Better 2016-04-11T16:34:36.000Z</t>
  </si>
  <si>
    <t>U4B Cashback 2022-10-29T08:38:18.000Z</t>
  </si>
  <si>
    <t>OK.ru | перейти на сайт в один клик 2015-05-11T15:43:08.000Z</t>
  </si>
  <si>
    <t>Y. Split View 2024-05-25T07:25:32.000Z</t>
  </si>
  <si>
    <t>Forget Me - Clean History</t>
  </si>
  <si>
    <t>1px: Simple ruler 2021-08-04T06:10:19.000Z</t>
  </si>
  <si>
    <t>Helianthus.annuus 2019-03-08T15:32:57.000Z</t>
  </si>
  <si>
    <t>Cowin Booking 2024-05-28T05:00:19.000Z</t>
  </si>
  <si>
    <t>WebsiteOutlook 2020-06-07T07:20:53.000Z</t>
  </si>
  <si>
    <t>AdMonish - The most powerful AdBlocker 2020-05-28T11:20:56.000Z</t>
  </si>
  <si>
    <t>Chrome Devtools Styler 2020-06-11T01:17:25.000Z</t>
  </si>
  <si>
    <t>aday語音報讀 2021-06-24T07:47:36.000Z</t>
  </si>
  <si>
    <t>Salesforce Enhanced Code Searcher 2021-05-23T05:10:35.000Z</t>
  </si>
  <si>
    <t>4PDA Инспектор 2023-03-29T07:08:04.000Z</t>
  </si>
  <si>
    <t>Grapher for Steam 2022-07-01T03:29:57.000Z</t>
  </si>
  <si>
    <t>Edu-pal - Learning Feedback for Google Meet 2021-06-10T02:21:19.000Z</t>
  </si>
  <si>
    <t>SlideshowPlayer 2017-12-19T05:57:46.000Z</t>
  </si>
  <si>
    <t>App for SMP 2019-09-28T08:38:23.000Z</t>
  </si>
  <si>
    <t>Tap BPM 2017-08-22T10:04:54.000Z</t>
  </si>
  <si>
    <t>Teeny Breaks 2018-11-18T19:58:46.000Z</t>
  </si>
  <si>
    <t>Torrentz2 Magnet &amp; IMDb + 2020-12-22T04:46:55.000Z</t>
  </si>
  <si>
    <t>AWS console regions color 2021-01-24T14:55:18.000Z</t>
  </si>
  <si>
    <t>Calculadora de Tasas Judiciales 2016-09-12T10:56:52.000Z</t>
  </si>
  <si>
    <t>速卖通半托管定价计算器 2024-02-05T10:17:59.000Z</t>
  </si>
  <si>
    <t>Daraz Tool 2021-02-28T13:14:40.000Z</t>
  </si>
  <si>
    <t>Color picker 2019-10-27T06:48:52.000Z</t>
  </si>
  <si>
    <t>Web Code Injector 2022-05-26T22:32:36.000Z</t>
  </si>
  <si>
    <t>AdGuard AdBlocker MV2 2024-12-23T09:09:36.000Z</t>
  </si>
  <si>
    <t>京价保 - 京东价保助手 2021-06-16T12:04:40.000Z</t>
  </si>
  <si>
    <t>textlint editor 2021-06-25T10:14:06.000Z</t>
  </si>
  <si>
    <t>CheckMyProf 2016-05-28T20:11:58.000Z</t>
  </si>
  <si>
    <t>appchan x 2016-02-13T01:36:48.000Z</t>
  </si>
  <si>
    <t>Spiral Clip: Turns videos into live quizzes 2018-09-25T09:53:09.000Z</t>
  </si>
  <si>
    <t>Toolbar Controls for YouTube Music 2018-09-19T06:14:18.000Z</t>
  </si>
  <si>
    <t>No Search For 2022-04-18T05:23:30.000Z</t>
  </si>
  <si>
    <t>Select and Speak - Text to Speech 2021-02-19T11:07:42.000Z</t>
  </si>
  <si>
    <t>Gelişim Microsoft Platformu 2022-10-04T05:43:40.000Z</t>
  </si>
  <si>
    <t>Quick Color 2016-06-15T23:20:27.000Z</t>
  </si>
  <si>
    <t>快截精靈 Cloudbox Crop 2015-11-12T07:55:58.000Z</t>
  </si>
  <si>
    <t>סימון הודעות ב יד2 - Yad2 message marker 2015-07-26T14:43:24.000Z</t>
  </si>
  <si>
    <t>Multi-links 2013-12-31T16:16:15.000Z</t>
  </si>
  <si>
    <t>Video Converter 2020-10-27T13:47:18.000Z</t>
  </si>
  <si>
    <t>Hotkeys for Search 2020-11-23T10:52:28.000Z</t>
  </si>
  <si>
    <t>Darcula Theme for DevTools 2017-10-12T00:30:10.000Z</t>
  </si>
  <si>
    <t>Project Centurion AG 2019-07-09T08:05:48.000Z</t>
  </si>
  <si>
    <t>Top Scripture Bible Verse Toolbar 2012-11-16T19:44:23.000Z</t>
  </si>
  <si>
    <t>Access Token Extractor 2021-10-18T12:34:03.000Z</t>
  </si>
  <si>
    <t>Soccer Streams AceStream Linker 2023-05-29T11:49:04.000Z</t>
  </si>
  <si>
    <t>Animal Crossing live background 2015-05-22T20:43:57.000Z</t>
  </si>
  <si>
    <t>Nested Object JSON Parser 2019-04-28T00:03:17.000Z</t>
  </si>
  <si>
    <t>ROBLOX Follow Checker 2015-11-22T23:25:33.000Z</t>
  </si>
  <si>
    <t>YouTube Channel IDfier 2020-03-04T11:22:44.000Z</t>
  </si>
  <si>
    <t>Wyzant Screen Sharing 2018-04-20T07:09:11.000Z</t>
  </si>
  <si>
    <t>Kobo 電子書敗家幫手 2020-09-07T08:55:30.000Z</t>
  </si>
  <si>
    <t>My Current IP / IPv6 Address 2016-03-17T09:37:53.000Z</t>
  </si>
  <si>
    <t>Competitive Companion 2020-12-12T10:38:11.000Z</t>
  </si>
  <si>
    <t>AIX Downloader(Picture/Video/Music) Pro 2023-02-20T12:11:48.000Z</t>
  </si>
  <si>
    <t>Domain Blocker 2017-07-25T20:57:58.000Z</t>
  </si>
  <si>
    <t>Shader Editor 2016-04-06T18:25:07.000Z</t>
  </si>
  <si>
    <t>RRSign 2020-12-19T08:40:58.000Z</t>
  </si>
  <si>
    <t>PingPong 2017-11-07T13:26:24.000Z</t>
  </si>
  <si>
    <t>CSSViewer 2017-03-26T17:35:31.000Z</t>
  </si>
  <si>
    <t>Flower Password 2019-12-26T16:03:42.000Z</t>
  </si>
  <si>
    <t>DragDropr - Drag &amp; Drop Page Builder 2022-12-20T05:29:13.000Z</t>
  </si>
  <si>
    <t>Pantip Clean Style 2017-04-22T11:32:51.000Z</t>
  </si>
  <si>
    <t>AngularJS Graph 2023-09-26T06:44:31.000Z</t>
  </si>
  <si>
    <t>Dragonfly AI Extension 2023-07-07T10:25:37.000Z</t>
  </si>
  <si>
    <t>Twitch Dongers 2016-06-11T17:20:53.000Z</t>
  </si>
  <si>
    <t>Download Image 1688</t>
  </si>
  <si>
    <t>Prisc! 2015-10-26T05:37:40.000Z</t>
  </si>
  <si>
    <t>Search By MovieFinder365 2020-12-27T08:52:41.000Z</t>
  </si>
  <si>
    <t>Record/Replay 2021-01-08T09:49:01.000Z</t>
  </si>
  <si>
    <t>Katamari Anything 2020-09-18T10:06:27.000Z</t>
  </si>
  <si>
    <t>Hotkeys for YouTube Music™ 2023-12-06T07:53:27.000Z</t>
  </si>
  <si>
    <t>Kill News Feed &amp; Stories. 2020-03-29T08:42:11.000Z</t>
  </si>
  <si>
    <t>Adobe Target VEC Helper 2021-11-15T08:38:39.000Z</t>
  </si>
  <si>
    <t>SourceViewer(zvSource) 2021-07-09T04:54:48.000Z</t>
  </si>
  <si>
    <t>Explorer Svg 2019-04-10T16:11:19.000Z</t>
  </si>
  <si>
    <t>CAT PARTY!😻🎉🐈🥳😹 2023-05-18T09:49:00.000Z</t>
  </si>
  <si>
    <t>F8 Cookies - Share online accounts 2021-03-10T05:35:17.000Z</t>
  </si>
  <si>
    <t>Servibox Descarga CFDI SAT 2015-03-04T17:30:44.000Z</t>
  </si>
  <si>
    <t>Kaiserapps - Web Developer Tools 2013-04-30T04:04:27.000Z</t>
  </si>
  <si>
    <t>Proxy Auto Auth 2016-03-22T22:15:20.000Z</t>
  </si>
  <si>
    <t>Pano fetch 2018-10-28T17:20:48.000Z</t>
  </si>
  <si>
    <t>Five Nights at Freddy's 2021-12-02T12:36:51.000Z</t>
  </si>
  <si>
    <t>AnnotatePro 2018-05-07T16:05:26.000Z</t>
  </si>
  <si>
    <t>LightShot Roulette 2019-03-27T15:14:00.000Z</t>
  </si>
  <si>
    <t>Interval Timer 2020-11-19T13:35:05.000Z</t>
  </si>
  <si>
    <t>Coursera Playback Speed 2022-04-11T07:38:19.000Z</t>
  </si>
  <si>
    <t>YouTube Audio Filtering 2019-03-02T06:29:41.000Z</t>
  </si>
  <si>
    <t>CastBuddy 2021-12-31T19:38:06.000Z</t>
  </si>
  <si>
    <t>LoungeDestroyer 2018-08-25T20:45:28.000Z</t>
  </si>
  <si>
    <t>Narod Downloader 2013-05-07T12:08:11.000Z</t>
  </si>
  <si>
    <t>Salvage Auction Research Tool 2023-12-26T12:06:53.000Z</t>
  </si>
  <si>
    <t>Tab Freezer 2021-04-19T08:21:04.000Z</t>
  </si>
  <si>
    <t>Google Meet Attendance 2020-07-12T08:25:32.000Z</t>
  </si>
  <si>
    <t>旺销王浏览器采集插件 2023-09-05T05:28:23.000Z</t>
  </si>
  <si>
    <t>Hamster Dance Fix 2015-02-16T05:30:06.000Z</t>
  </si>
  <si>
    <t>FusionPBX SelectToCall 2020-11-20T06:35:35.000Z</t>
  </si>
  <si>
    <t>跨贸云ERP采集助手 2019-05-16T06:16:31.000Z</t>
  </si>
  <si>
    <t>Doge My Site 2018-11-10T01:49:26.000Z</t>
  </si>
  <si>
    <t>UAI - Unfollow Accounts on Instagram 2021-03-03T10:23:17.000Z</t>
  </si>
  <si>
    <t>MHCT  MouseHunt Helper 2024-12-23T06:34:07.000Z</t>
  </si>
  <si>
    <t>Keypress Editor 2019-03-08T15:35:22.000Z</t>
  </si>
  <si>
    <t>ElasticSearch API Search 2022-02-11T16:13:57.000Z</t>
  </si>
  <si>
    <t>Click To Call for Internet Phone - Ringover 2024-11-28T10:03:41.000Z</t>
  </si>
  <si>
    <t>Max Tabs 2018-10-10T07:12:36.000Z</t>
  </si>
  <si>
    <t>Mini Sticky Notes 2018-03-12T10:53:13.000Z</t>
  </si>
  <si>
    <t>Straight to Full-Size for Google Images™ 2013-11-06T08:56:13.000Z</t>
  </si>
  <si>
    <t>Affiliate Link Button 2019-04-07T21:00:29.000Z</t>
  </si>
  <si>
    <t>Screen Capture 2024-02-08T06:11:51.000Z</t>
  </si>
  <si>
    <t>Block Chrome Notifications 2021-08-30T09:50:21.000Z</t>
  </si>
  <si>
    <t>Surf 2025-01-02T07:12:01.000Z</t>
  </si>
  <si>
    <t>Pastebin.com 2018-05-16T11:16:26.000Z</t>
  </si>
  <si>
    <t>Daily Mail Blocker 2016-08-19T11:58:36.000Z</t>
  </si>
  <si>
    <t>HTML5 Video Tag Enhancer 2020-02-12T18:48:20.000Z</t>
  </si>
  <si>
    <t>SGFinanças Certificado A3 2017-02-04T01:56:41.000Z</t>
  </si>
  <si>
    <t>強震モニタ Extension 2019-10-09T20:41:34.000Z</t>
  </si>
  <si>
    <t>Credit Bracket 2021-08-10T13:07:57.000Z</t>
  </si>
  <si>
    <t>StretchClock - Break Reminder and Office Yoga 2023-07-15T13:25:28.000Z</t>
  </si>
  <si>
    <t>Simple Apps Launcher 2019-07-24T09:13:55.000Z</t>
  </si>
  <si>
    <t>VPN Proxy 2020-08-24T07:05:20.000Z</t>
  </si>
  <si>
    <t>chrome_dino_cosplay 2019-05-05T13:22:01.000Z</t>
  </si>
  <si>
    <t>Chrome Remote Desktop Links 2021-01-29T11:49:31.000Z</t>
  </si>
  <si>
    <t>Dark Theme for Twitch™ 2019-05-07T07:46:47.000Z</t>
  </si>
  <si>
    <t>FlickrPicMonkey 2013-10-07T22:14:30.000Z</t>
  </si>
  <si>
    <t>Simple Notepad 2012-07-18T16:13:21.000Z</t>
  </si>
  <si>
    <t>Gacha Life New Tab 2021-04-10T15:10:48.000Z</t>
  </si>
  <si>
    <t>Nuke Anything 2021-07-29T12:40:32.000Z</t>
  </si>
  <si>
    <t>PARQR 2020-11-12T07:19:53.000Z</t>
  </si>
  <si>
    <t>Link With Context 2014-09-10T20:30:24.000Z</t>
  </si>
  <si>
    <t>Add URL to page title 2013-09-17T12:32:59.000Z</t>
  </si>
  <si>
    <t>Redmorph Browser Controller 2023-03-10T15:44:13.000Z</t>
  </si>
  <si>
    <t>豆伴：豆瓣账号备份工具 2022-09-05T08:09:34.000Z</t>
  </si>
  <si>
    <t>dccon downloader 2021-05-29T12:54:54.000Z</t>
  </si>
  <si>
    <t>RSS Reader Style 2015-06-26T07:36:20.000Z</t>
  </si>
  <si>
    <t>Low Down Deep Official Browser 2020-07-17T07:15:14.000Z</t>
  </si>
  <si>
    <t>Temporary Bookmarks 2013-09-21T11:42:01.000Z</t>
  </si>
  <si>
    <t>YES Movies extension 2017-05-08T06:34:07.000Z</t>
  </si>
  <si>
    <t>Vysor 2020-09-04T12:12:42.000Z</t>
  </si>
  <si>
    <t>Collage - Debate Card Cutter and Library 2022-11-28T04:14:16.000Z</t>
  </si>
  <si>
    <t>Perceptual image analysis 2020-11-20T07:18:42.000Z</t>
  </si>
  <si>
    <t>BTC Ticker | Bitcoin Ticker 2021-12-22T10:17:09.000Z</t>
  </si>
  <si>
    <t>Proxy1Click - Secure Proxy Service 2013-11-19T05:47:40.000Z</t>
  </si>
  <si>
    <t>Etymonline 2021-08-15T10:38:40.000Z</t>
  </si>
  <si>
    <t>UX Check 2019-06-29T17:06:44.000Z</t>
  </si>
  <si>
    <t>乐视海外翻墙软件 2014-05-15T07:51:46.000Z</t>
  </si>
  <si>
    <t>Motargam 2019-11-13T20:23:40.000Z</t>
  </si>
  <si>
    <t>Rephraser 2021-08-17T09:50:06.000Z</t>
  </si>
  <si>
    <t>Form Tools 2014-10-29T20:46:05.000Z</t>
  </si>
  <si>
    <t>Bootstrap Twitter Offline Docs 2014-07-13T17:18:01.000Z</t>
  </si>
  <si>
    <t>Scratch Fullscreen 2020-08-28T03:28:05.000Z</t>
  </si>
  <si>
    <t>Custom vpn for lixi88 2020-04-29T05:34:38.000Z</t>
  </si>
  <si>
    <t>ADA ticker | Cardano ticker 2018-03-22T01:43:44.000Z</t>
  </si>
  <si>
    <t>Consultar Disponibilidade NF-e 2023-03-31T23:56:41.000Z</t>
  </si>
  <si>
    <t>Dark UI 2022-02-27T14:05:17.000Z</t>
  </si>
  <si>
    <t>M3U8 finder and HLS player 2020-12-11T07:12:48.000Z</t>
  </si>
  <si>
    <t>StopAll Ads 2021-11-12T12:11:57.000Z</t>
  </si>
  <si>
    <t>Hotcold Typing! 2021-11-06T00:55:53.000Z</t>
  </si>
  <si>
    <t>Google Search Images by Exact Size 2019-10-31T06:46:19.000Z</t>
  </si>
  <si>
    <t>Quick 'K' 2022-03-18T06:21:28.000Z</t>
  </si>
  <si>
    <t>Harvest 2020-09-16T10:50:33.000Z</t>
  </si>
  <si>
    <t>TabAttack 2015-03-09T23:58:29.000Z</t>
  </si>
  <si>
    <t>Go to Downloads 2014-10-17T12:26:27.000Z</t>
  </si>
  <si>
    <t>Meu Timão 2017-01-05T23:22:44.000Z</t>
  </si>
  <si>
    <t>Epic UserWeb Search 2021-12-08T10:26:12.000Z</t>
  </si>
  <si>
    <t>Converter Case 2019-02-05T12:17:34.000Z</t>
  </si>
  <si>
    <t>YandexMusic Downloader | Weblooter Inc. 2021-05-26T10:40:01.000Z</t>
  </si>
  <si>
    <t>Swoosh Cookie and Local Storage Specialist 2024-11-15T07:28:21.000Z</t>
  </si>
  <si>
    <t>Link-Preview 2020-04-30T12:02:18.000Z</t>
  </si>
  <si>
    <t>SEO-Dashboard von TechnicalSEO.de 2019-03-23T13:09:17.000Z</t>
  </si>
  <si>
    <t>Google Meet Balcão Virtual 2022-06-26T07:25:40.000Z</t>
  </si>
  <si>
    <t>Script Menu 2015-08-20T07:46:06.000Z</t>
  </si>
  <si>
    <t>Left Right Sound Select 2017-11-06T04:23:24.000Z</t>
  </si>
  <si>
    <t>FC Barcelona New Monitor 2017-07-25T08:33:42.000Z</t>
  </si>
  <si>
    <t>Read In Bed 2014-03-01T07:44:57.000Z</t>
  </si>
  <si>
    <t>Lingvo Translator+ 2016-12-05T14:20:37.000Z</t>
  </si>
  <si>
    <t>SP Insider 2017-06-13T12:59:46.000Z</t>
  </si>
  <si>
    <t>FBS II : Fast Bookmark Scanner II 2021-11-26T08:43:33.000Z</t>
  </si>
  <si>
    <t>Disable Download Bar 2019-05-31T15:21:46.000Z</t>
  </si>
  <si>
    <t>Saba Meeting Chrome Connector 2019-10-14T17:56:35.000Z</t>
  </si>
  <si>
    <t>Core Web Vitals Annotations 2021-02-24T07:22:56.000Z</t>
  </si>
  <si>
    <t>Planner 5D 2014-10-30T13:06:10.000Z</t>
  </si>
  <si>
    <t>spoonacular recipe saver 2016-01-07T21:58:33.000Z</t>
  </si>
  <si>
    <t>Zalmos Web Proxy 2015-10-08T09:48:55.000Z</t>
  </si>
  <si>
    <t>Microsoft Power Automate (Legacy) 2023-04-20T04:21:01.000Z</t>
  </si>
  <si>
    <t>Video Adjust for Netflix 2016-12-30T20:54:54.000Z</t>
  </si>
  <si>
    <t>Twitch - Auto Claim Points(忠誠點數) 2021-11-03T12:29:14.000Z</t>
  </si>
  <si>
    <t>Интернет-банкинг ЦФТ-ДБО 2022-12-15T04:50:51.000Z</t>
  </si>
  <si>
    <t>Real Academia Española 2013-11-12T02:54:31.000Z</t>
  </si>
  <si>
    <t>Zombs Royale Cursor Line 2020-04-26T06:01:39.000Z</t>
  </si>
  <si>
    <t>Fasteignaleit - viðbætur 2018-01-02T14:16:02.000Z</t>
  </si>
  <si>
    <t>VPN Free - Betternet Unlimited VPN Proxy 2024-08-16T12:39:04.000Z</t>
  </si>
  <si>
    <t>Feedly Background Tab 2017-08-11T12:45:24.000Z</t>
  </si>
  <si>
    <t>Mirror 2017-02-04T02:02:26.000Z</t>
  </si>
  <si>
    <t>Popsters Addon for Instagram analysis 2023-10-19T04:08:01.000Z</t>
  </si>
  <si>
    <t>TeX for Gmail 2020-11-23T10:16:47.000Z</t>
  </si>
  <si>
    <t>TeacherView 2022-12-19T11:54:13.000Z</t>
  </si>
  <si>
    <t>Cr!Box 2016-03-18T07:36:38.000Z</t>
  </si>
  <si>
    <t>CanBuy 2014-11-26T16:50:01.000Z</t>
  </si>
  <si>
    <t>Dark Theme for eBay™ 2019-05-05T07:32:34.000Z</t>
  </si>
  <si>
    <t>Web Archiver 2014-12-23T22:11:21.000Z</t>
  </si>
  <si>
    <t>Unaddict 2021-05-01T20:41:50.000Z</t>
  </si>
  <si>
    <t>Quantum Random Number Generator 2020-05-22T04:12:57.000Z</t>
  </si>
  <si>
    <t>Q Pad 2014-03-05T04:24:02.000Z</t>
  </si>
  <si>
    <t>Follow 2015-07-07T01:28:00.000Z</t>
  </si>
  <si>
    <t>Outline Chrome Extension 2022-06-16T07:07:12.000Z</t>
  </si>
  <si>
    <t>Layout Debugger 2022-04-19T07:24:36.000Z</t>
  </si>
  <si>
    <t>Go PopOut! 2018-12-14T10:18:44.000Z</t>
  </si>
  <si>
    <t>Save Text to Google Drive™ 2018-06-19T05:58:18.000Z</t>
  </si>
  <si>
    <t>Trello External Window 2018-09-01T12:23:25.000Z</t>
  </si>
  <si>
    <t>Base64 encode/decode selected text 2019-01-28T16:03:37.000Z</t>
  </si>
  <si>
    <t>Ответы на ЯКласс - ЯКласс+ 2.0 2022-10-30T03:59:48.000Z</t>
  </si>
  <si>
    <t>Call with Jabber 2020-06-01T05:10:27.000Z</t>
  </si>
  <si>
    <t>Beagle Term 2016-11-15T13:26:52.000Z</t>
  </si>
  <si>
    <t>Yandex Quotes 2020-11-25T17:28:29.000Z</t>
  </si>
  <si>
    <t>QookieFix 2019-09-08T09:41:17.000Z</t>
  </si>
  <si>
    <t>squares.io puzzle downloader 2022-03-14T07:43:42.000Z</t>
  </si>
  <si>
    <t>Quick Compose for Gmail™ 2024-06-17T06:33:07.000Z</t>
  </si>
  <si>
    <t>WordReference 2014-08-12T18:58:15.000Z</t>
  </si>
  <si>
    <t>Current Weather - New Tab 2016-02-02T05:55:28.000Z</t>
  </si>
  <si>
    <t>slrclub manager 2014-11-04T11:42:10.000Z</t>
  </si>
  <si>
    <t>Smooth Scroll 2017-07-14T22:02:10.000Z</t>
  </si>
  <si>
    <t>Anonymous VPN - WebRTC leak prevent 2016-03-07T10:47:25.000Z</t>
  </si>
  <si>
    <t>Screen Virtual Keyboard- specific needs tool 2024-10-27T05:13:15.000Z</t>
  </si>
  <si>
    <t>Save to OmniFocus 2020-08-13T11:24:49.000Z</t>
  </si>
  <si>
    <t>איתור מיקוד בישראל 2017-03-02T18:17:21.000Z</t>
  </si>
  <si>
    <t>vCastSender 2024-09-11T10:33:48.000Z</t>
  </si>
  <si>
    <t>Planio 2016-04-19T17:01:17.000Z</t>
  </si>
  <si>
    <t>Play.ht: Audio Articles for Medium Writers 2020-09-14T05:02:07.000Z</t>
  </si>
  <si>
    <t>Ninja Download Manager 2020-02-18T18:46:55.000Z</t>
  </si>
  <si>
    <t>WS client 2015-12-24T08:18:57.000Z</t>
  </si>
  <si>
    <t>Free Kindle Books 2014-02-06T17:47:42.000Z</t>
  </si>
  <si>
    <t>AutoHideDownloadsBar 2022-07-07T07:14:47.000Z</t>
  </si>
  <si>
    <t>zDebug 2012-12-17T19:47:49.000Z</t>
  </si>
  <si>
    <t>Permanent Readability 2016-05-04T22:42:07.000Z</t>
  </si>
  <si>
    <t>Genesis: Attendance From Zoom 2021-05-07T15:15:44.000Z</t>
  </si>
  <si>
    <t>Engage for Gmail 2021-11-17T19:34:38.000Z</t>
  </si>
  <si>
    <t>CatBird Karaoke and Lazy Music Playlist 2014-08-06T04:47:58.000Z</t>
  </si>
  <si>
    <t>FitBitKeto 2014-06-19T16:01:59.000Z</t>
  </si>
  <si>
    <t>EnjoyCSS 2014-10-23T10:39:10.000Z</t>
  </si>
  <si>
    <t>Life Science Dictionary Tool WebExtension 2019-07-02T12:45:29.000Z</t>
  </si>
  <si>
    <t>Blockchain 2015-01-01T23:11:42.000Z</t>
  </si>
  <si>
    <t>Text URL Downloader 2020-03-20T09:17:00.000Z</t>
  </si>
  <si>
    <t>Page to JSON 2016-10-11T19:31:46.000Z</t>
  </si>
  <si>
    <t>Beepbox Extension 2019-06-28T00:16:13.000Z</t>
  </si>
  <si>
    <t>Animated Cursors Forever! 2023-08-30T07:07:18.000Z</t>
  </si>
  <si>
    <t>Cypress Recorder 2021-10-19T11:54:59.000Z</t>
  </si>
  <si>
    <t>A Bit Better RTM 2013-06-18T07:03:41.000Z</t>
  </si>
  <si>
    <t>TVQue 2020-08-12T13:11:36.000Z</t>
  </si>
  <si>
    <t>TapChief Screen Sharing 2019-02-08T14:08:54.000Z</t>
  </si>
  <si>
    <t>Pony Importer 2021-09-22T05:23:10.000Z</t>
  </si>
  <si>
    <t>InfinityFollow 2023-01-26T11:41:12.000Z</t>
  </si>
  <si>
    <t>Dogcheck from Undertale as error pages 2019-05-05T00:05:59.000Z</t>
  </si>
  <si>
    <t>Online Music Control 2021-08-21T03:56:27.000Z</t>
  </si>
  <si>
    <t>Native Client SDK 2013-04-17T21:47:55.000Z</t>
  </si>
  <si>
    <t>Alt-Right Denormalizer 2016-11-17T01:56:46.000Z</t>
  </si>
  <si>
    <t>FeedArt 2017-06-08T10:15:22.000Z</t>
  </si>
  <si>
    <t>POE网页市集简中汉化 2024-01-18T05:27:26.000Z</t>
  </si>
  <si>
    <t>Full Page Screenshot 2018-03-14T12:02:23.000Z</t>
  </si>
  <si>
    <t>SUFLI - Netflix subtitles translator 2018-11-26T14:19:45.000Z</t>
  </si>
  <si>
    <t>ShareAccount 2020-10-27T11:45:45.000Z</t>
  </si>
  <si>
    <t>文字数カウンター 2016-05-24T10:51:08.000Z</t>
  </si>
  <si>
    <t>Subtitle Google Translate (Lynda</t>
  </si>
  <si>
    <t>Xirvik .torrent to seedbox uploader 2023-06-11T20:38:10.000Z</t>
  </si>
  <si>
    <t>StickerSnap 2013-03-11T17:58:22.000Z</t>
  </si>
  <si>
    <t>SimpleNote 2021-12-06T12:04:51.000Z</t>
  </si>
  <si>
    <t>ABV Notifier 2017-12-15T15:55:02.000Z</t>
  </si>
  <si>
    <t>Chatterino Native Host 2023-03-31T11:08:26.000Z</t>
  </si>
  <si>
    <t>Sierra homework calender 2016-02-26T15:06:25.000Z</t>
  </si>
  <si>
    <t>RT DPI evade 2020-10-01T04:11:25.000Z</t>
  </si>
  <si>
    <t>twitchEmoji 2016-07-18T19:30:05.000Z</t>
  </si>
  <si>
    <t>Marketo Sales 2024-02-06T01:30:52.000Z</t>
  </si>
  <si>
    <t>MakkhiChoose 2020-03-03T08:15:44.000Z</t>
  </si>
  <si>
    <t>Cloud Photo Viewer 2018-06-12T02:34:25.000Z</t>
  </si>
  <si>
    <t>Oh My IG 2021-05-03T05:51:01.000Z</t>
  </si>
  <si>
    <t>AliExpress Reviews Exporter | CSV &amp; Images 2023-02-03T02:15:26.000Z</t>
  </si>
  <si>
    <t>Day Counter 2013-05-21T16:36:50.000Z</t>
  </si>
  <si>
    <t>Nullpo 5ch Reader 2017-10-15T06:45:59.000Z</t>
  </si>
  <si>
    <t>Audible Control 2020-04-08T19:21:44.000Z</t>
  </si>
  <si>
    <t>RichPresence for Discord 2021-01-12T09:16:24.000Z</t>
  </si>
  <si>
    <t>Mautic Helper 2016-10-13T15:07:00.000Z</t>
  </si>
  <si>
    <t>Cat Generator 2018-09-24T04:15:13.000Z</t>
  </si>
  <si>
    <t>Counting Characters - #1 Letter &amp; Word Count 2019-02-03T16:25:02.000Z</t>
  </si>
  <si>
    <t>Bitglass Google Docs Offline 2022-06-25T05:28:32.000Z</t>
  </si>
  <si>
    <t>Ad Blocker for YouTube 2020-01-30T01:47:57.000Z</t>
  </si>
  <si>
    <t>Force HTTPS (SSL/TLS) 2023-12-21T08:01:19.000Z</t>
  </si>
  <si>
    <t>Short URL (Bre.is) 2020-11-13T07:27:30.000Z</t>
  </si>
  <si>
    <t>Timer 25: the Minimalist Timer 2020-08-25T10:48:16.000Z</t>
  </si>
  <si>
    <t>Web Tracing Framework 2017-10-20T16:33:21.000Z</t>
  </si>
  <si>
    <t>CanvasTools 2020-09-18T09:41:52.000Z</t>
  </si>
  <si>
    <t>Panel Extension For Gmail 2013-07-11T11:18:08.000Z</t>
  </si>
  <si>
    <t>Canvas Class Average 2020-11-12T06:41:52.000Z</t>
  </si>
  <si>
    <t>ProfitView 2025-01-07T16:04:26.000Z</t>
  </si>
  <si>
    <t>TLSA Validator 2014-09-04T11:37:11.000Z</t>
  </si>
  <si>
    <t>WT map 2013-12-20T19:50:42.000Z</t>
  </si>
  <si>
    <t>Range-selection Image Search 2017-07-29T09:04:40.000Z</t>
  </si>
  <si>
    <t>GitHubber 2019-10-05T22:46:56.000Z</t>
  </si>
  <si>
    <t>LanFolder 2016-11-12T18:47:16.000Z</t>
  </si>
  <si>
    <t>Superhero Dino Game 2021-12-07T06:28:48.000Z</t>
  </si>
  <si>
    <t>Калькулятор 2022-12-09T13:24:35.000Z</t>
  </si>
  <si>
    <t>암호화폐 시세 정보 2020-04-06T15:11:41.000Z</t>
  </si>
  <si>
    <t>SSL/TLS安全评估报告 2022-06-21T06:50:37.000Z</t>
  </si>
  <si>
    <t>VideoFixer for f.lux 2020-11-25T04:16:02.000Z</t>
  </si>
  <si>
    <t>Teams Call Manager 2021-01-20T17:30:56.000Z</t>
  </si>
  <si>
    <t>Skip Ads 2018-12-02T21:24:31.000Z</t>
  </si>
  <si>
    <t>Pokémon Showdown Enhanced Tooltips 2018-03-27T22:31:02.000Z</t>
  </si>
  <si>
    <t>CSS-Block 2015-02-10T10:23:57.000Z</t>
  </si>
  <si>
    <t>Google Index Checker - Nexttop.org 2021-08-23T09:20:43.000Z</t>
  </si>
  <si>
    <t>Fontfully 2016-08-26T23:17:48.000Z</t>
  </si>
  <si>
    <t>Qualys BrowserCheck for Mac OSX 2019-01-24T23:53:49.000Z</t>
  </si>
  <si>
    <t>PQI WebAutoLogin 2021-05-20T09:39:56.000Z</t>
  </si>
  <si>
    <t>RSS links for iTunes U courses 2014-05-31T22:25:59.000Z</t>
  </si>
  <si>
    <t>AssetView 2019-05-30T10:37:57.000Z</t>
  </si>
  <si>
    <t>Bluefin 2017-10-25T14:13:23.000Z</t>
  </si>
  <si>
    <t>Insomnia REST Client 2016-08-20T20:07:29.000Z</t>
  </si>
  <si>
    <t>Huawei Router AX3 Pro 2021-08-30T16:00:28.000Z</t>
  </si>
  <si>
    <t>Find on mapy.cz 2017-09-28T16:40:24.000Z</t>
  </si>
  <si>
    <t>MP4 to WEBM Converter 2020-06-01T08:49:52.000Z</t>
  </si>
  <si>
    <t>WG Stealth 2022-10-24T10:20:52.000Z</t>
  </si>
  <si>
    <t>Twitch 小工具 2019-08-09T12:53:17.000Z</t>
  </si>
  <si>
    <t>WZone Direct Import 2020-04-01T16:03:58.000Z</t>
  </si>
  <si>
    <t>Open Tabs Next to Current 2021-05-31T04:23:53.000Z</t>
  </si>
  <si>
    <t>Backstairs Game House 2022-02-14T10:23:36.000Z</t>
  </si>
  <si>
    <t>Trendyol Images Downloader 2023-02-04T14:39:08.000Z</t>
  </si>
  <si>
    <t>XKCD Alt Text 2014-01-27T04:48:42.000Z</t>
  </si>
  <si>
    <t>directprint.io printing 2024-07-15T10:14:41.000Z</t>
  </si>
  <si>
    <t>paraphrasing.io 2021-10-20T04:36:03.000Z</t>
  </si>
  <si>
    <t>Mytab 2022-01-14T06:13:25.000Z</t>
  </si>
  <si>
    <t>Axie.zone Pricing Helper 2020-11-03T10:52:14.000Z</t>
  </si>
  <si>
    <t>Table of Contents Sidebar 2019-05-27T07:04:54.000Z</t>
  </si>
  <si>
    <t>Leetcode Shortcuts 2022-05-01T18:28:24.000Z</t>
  </si>
  <si>
    <t>Message Templates 2019-03-08T15:41:11.000Z</t>
  </si>
  <si>
    <t>Responsive Window 2012-05-04T04:18:23.000Z</t>
  </si>
  <si>
    <t>GenPass - Smart password generator 2021-09-11T09:32:22.000Z</t>
  </si>
  <si>
    <t>VinCertURLMon 2019-03-01T05:51:47.000Z</t>
  </si>
  <si>
    <t>Egress for Google Chrome™ 2024-07-31T16:35:57.000Z</t>
  </si>
  <si>
    <t>Count me up - Word and character counter 2021-03-11T10:45:58.000Z</t>
  </si>
  <si>
    <t>Sign Search 2024-03-05T19:18:58.000Z</t>
  </si>
  <si>
    <t>Anticipation for YouTube and Twitch 2018-01-19T08:15:18.000Z</t>
  </si>
  <si>
    <t>FacebookOldLayout 2020-10-25T07:52:50.000Z</t>
  </si>
  <si>
    <t>Amazon Chime Screen Share 2019-03-08T15:41:22.000Z</t>
  </si>
  <si>
    <t>Обход блокировок Рунета МИНИ 2024-04-01T01:40:01.000Z</t>
  </si>
  <si>
    <t>Send to Airtable 2021-01-04T12:53:10.000Z</t>
  </si>
  <si>
    <t>Buyhatke Auto Cart 2020-07-25T09:30:11.000Z</t>
  </si>
  <si>
    <t>Download By SMG 2019-08-17T08:58:05.000Z</t>
  </si>
  <si>
    <t>Duplicate Tabs Closer 2020-06-14T07:46:23.000Z</t>
  </si>
  <si>
    <t>Zattoyomi ニュース見出しリーダー 2020-09-12T10:26:54.000Z</t>
  </si>
  <si>
    <t>Image Tool 2014-07-31T09:35:01.000Z</t>
  </si>
  <si>
    <t>Etsy Tags Extractor 2019-01-26T13:08:09.000Z</t>
  </si>
  <si>
    <t>Japanese Emoticons: Kaomoji And Text Faces 2022-04-26T08:00:41.000Z</t>
  </si>
  <si>
    <t>Infoscope 2021-08-23T10:52:58.000Z</t>
  </si>
  <si>
    <t>FMPLAY URL Getter 2019-04-26T16:02:48.000Z</t>
  </si>
  <si>
    <t>xTrace 2020-11-11T03:49:03.000Z</t>
  </si>
  <si>
    <t>Trello Card Colors 2022-06-28T07:10:34.000Z</t>
  </si>
  <si>
    <t>Chromium Iteration Viewer 2019-01-31T18:01:01.000Z</t>
  </si>
  <si>
    <t>Wordsmith 2018-09-10T17:31:02.000Z</t>
  </si>
  <si>
    <t>FirePHP for Chrome 2014-02-20T10:29:12.000Z</t>
  </si>
  <si>
    <t>Clip Better 2014-02-11T05:15:41.000Z</t>
  </si>
  <si>
    <t>Clipmate media files saver 2016-03-22T07:13:16.000Z</t>
  </si>
  <si>
    <t>Mick Schroeder's Citation Generator 2021-08-09T08:04:29.000Z</t>
  </si>
  <si>
    <t>Chromesthesia 2024-03-06T12:48:30.000Z</t>
  </si>
  <si>
    <t>Quick Extension Reload 2013-03-10T02:17:54.000Z</t>
  </si>
  <si>
    <t>ctrlw 2018-08-01T20:46:06.000Z</t>
  </si>
  <si>
    <t>CFCA CertEnrollment.HuaXing Extension 2020-05-01T07:15:39.000Z</t>
  </si>
  <si>
    <t>Un-Delete reddit Comments 2015-11-19T10:41:25.000Z</t>
  </si>
  <si>
    <t>tickertape MMI 2020-04-15T09:49:44.000Z</t>
  </si>
  <si>
    <t>WaybackMachine 2016-03-18T23:39:49.000Z</t>
  </si>
  <si>
    <t>Download Thunder VPN For PC &amp; Mac</t>
  </si>
  <si>
    <t>Mustsee 2018-05-27T11:49:53.000Z</t>
  </si>
  <si>
    <t>Send to Exif Viewer 2022-01-13T06:05:15.000Z</t>
  </si>
  <si>
    <t>Profitario - AliExpress Invoice &amp; Reports 2023-07-26T12:01:56.000Z</t>
  </si>
  <si>
    <t>Social Media Advanced Search - Find User Info 2020-11-28T05:31:38.000Z</t>
  </si>
  <si>
    <t>Яндекс.Метрика 2021-06-16T06:26:17.000Z</t>
  </si>
  <si>
    <t>Focused - Website Blocker 2021-04-05T05:33:41.000Z</t>
  </si>
  <si>
    <t>Remove W3Schools 2021-04-15T06:01:32.000Z</t>
  </si>
  <si>
    <t>Proctorio-B-Gone 2021-11-26T08:17:02.000Z</t>
  </si>
  <si>
    <t>iSlide 2020-01-12T00:04:01.000Z</t>
  </si>
  <si>
    <t>NEF to JPG Converter 2020-09-07T05:04:00.000Z</t>
  </si>
  <si>
    <t>Assima Assist 2020-12-04T15:22:59.000Z</t>
  </si>
  <si>
    <t>Slack Message Deleter 2019-04-23T15:12:59.000Z</t>
  </si>
  <si>
    <t>Zabbix Vue 2023-03-13T09:24:07.000Z</t>
  </si>
  <si>
    <t>Anime Watch Parties 2023-01-30T04:51:14.000Z</t>
  </si>
  <si>
    <t>Kill Switch 2016-12-14T20:39:15.000Z</t>
  </si>
  <si>
    <t>Valorant Theme - New Tab Video Wallpaper 2021-03-12T04:13:17.000Z</t>
  </si>
  <si>
    <t>Holmes 2018-01-28T17:05:17.000Z</t>
  </si>
  <si>
    <t>Download Plus 2022-05-01T09:40:08.000Z</t>
  </si>
  <si>
    <t>Echo360+ 2020-10-14T13:53:52.000Z</t>
  </si>
  <si>
    <t>Toolbar Spacer 2021-08-10T06:39:14.000Z</t>
  </si>
  <si>
    <t>chatwork一括既読ボタン 2017-08-04T05:06:06.000Z</t>
  </si>
  <si>
    <t>Mileage Calculator by wheretocredit.com 2020-12-14T09:47:57.000Z</t>
  </si>
  <si>
    <t>ElePass - Agency Password Manager 2021-10-28T15:32:36.000Z</t>
  </si>
  <si>
    <t>Grid View for Google Meet (fixed) 2023-12-17T09:56:36.000Z</t>
  </si>
  <si>
    <t>紫鸟插件 2022-03-28T09:29:40.000Z</t>
  </si>
  <si>
    <t>UniteXpress 2020-07-26T10:44:09.000Z</t>
  </si>
  <si>
    <t>TeX Math Here 2020-03-08T21:43:22.000Z</t>
  </si>
  <si>
    <t>Windows Manager for Google Chrome™ 2018-12-03T14:09:25.000Z</t>
  </si>
  <si>
    <t>Text Symbols 2020-12-03T07:18:50.000Z</t>
  </si>
  <si>
    <t>VLC Capture 2014-09-13T11:37:35.000Z</t>
  </si>
  <si>
    <t>Javascript Object Browser 2014-07-28T17:28:08.000Z</t>
  </si>
  <si>
    <t>Inject Code 2024-08-22T07:12:31.000Z</t>
  </si>
  <si>
    <t>Droit au déréférencement 2021-08-22T09:34:18.000Z</t>
  </si>
  <si>
    <t>Email Lookup and Email Search by Webspotter 2019-10-03T04:42:53.000Z</t>
  </si>
  <si>
    <t>Công Cụ Hỗ Trợ Đặt Hàng nhaphangthuongmai.com 2021-01-06T14:03:30.000Z</t>
  </si>
  <si>
    <t>guideLinr 2014-02-26T02:19:21.000Z</t>
  </si>
  <si>
    <t>Capitan Speed Dial - New Tab Visual Bookmarks 2021-07-04T09:19:50.000Z</t>
  </si>
  <si>
    <t>智淘_复制宝贝 2020-09-04T12:20:14.000Z</t>
  </si>
  <si>
    <t>LinDuo: Английски БЕСПЛАТНО 2022-12-02T06:30:44.000Z</t>
  </si>
  <si>
    <t>Code Block Beautifier 2019-04-01T00:03:10.000Z</t>
  </si>
  <si>
    <t>VuzeVPN Proxy 2022-08-08T13:15:29.000Z</t>
  </si>
  <si>
    <t>Film Stack 2014-10-04T10:56:18.000Z</t>
  </si>
  <si>
    <t>Translatio Cards: Translate - Save - Review 2022-09-17T06:11:56.000Z</t>
  </si>
  <si>
    <t>Overflow-detector 2020-05-21T08:19:48.000Z</t>
  </si>
  <si>
    <t>excl 2020-01-26T14:35:51.000Z</t>
  </si>
  <si>
    <t>Simple Speed Dial 2014-08-08T23:35:48.000Z</t>
  </si>
  <si>
    <t>forexcalendar 2020-04-24T09:20:53.000Z</t>
  </si>
  <si>
    <t>Better Wattpad Interface 2018-01-07T11:43:14.000Z</t>
  </si>
  <si>
    <t>Make GitHub Great Again 2017-08-29T15:45:03.000Z</t>
  </si>
  <si>
    <t>TextSummary 2018-03-04T16:12:12.000Z</t>
  </si>
  <si>
    <t>سهام‌ برتر 2021-07-26T04:27:21.000Z</t>
  </si>
  <si>
    <t>Spire 2022-11-27T03:52:12.000Z</t>
  </si>
  <si>
    <t>Link Extractor 2013-11-17T11:31:19.000Z</t>
  </si>
  <si>
    <t>ScoreSaber Easy Installer 2022-08-08T05:01:21.000Z</t>
  </si>
  <si>
    <t>ScriptAutoRunner 2015-09-23T10:45:05.000Z</t>
  </si>
  <si>
    <t>Pexgle - Hunt Winning Products Toolkit 2024-09-17T03:28:08.000Z</t>
  </si>
  <si>
    <t>Яндекс без рекламы (Yandex without ads) 2021-01-22T13:30:21.000Z</t>
  </si>
  <si>
    <t>Dyslexia Toolbox 2024-05-16T05:19:37.000Z</t>
  </si>
  <si>
    <t>TV Remote for Philips Smart TV 2015-07-25T21:51:32.000Z</t>
  </si>
  <si>
    <t>Apps for Google Drive 2012-11-20T07:58:26.000Z</t>
  </si>
  <si>
    <t>Xero Accounting Reconciliation Automation 2024-05-27T10:39:05.000Z</t>
  </si>
  <si>
    <t>Quick Menu for Google Chrome™ 2020-12-09T09:46:02.000Z</t>
  </si>
  <si>
    <t>Dictionary and Flashcards 2021-01-27T08:29:31.000Z</t>
  </si>
  <si>
    <t>InoReader Enhancements 2015-04-09T03:51:45.000Z</t>
  </si>
  <si>
    <t>pdm功能扩展 2023-07-17T12:38:08.000Z</t>
  </si>
  <si>
    <t>▷ EPSON L3110 L3115 L3116 RESETTER 100% FREE 2021-09-20T03:56:32.000Z</t>
  </si>
  <si>
    <t>Amazonia Right Click Search - Amazon Co UK 2018-08-11T05:01:45.000Z</t>
  </si>
  <si>
    <t>STEM Chronos 2019-06-16T07:11:21.000Z</t>
  </si>
  <si>
    <t>Open In IntelliJ 2018-11-20T20:21:32.000Z</t>
  </si>
  <si>
    <t>Deezer Discord Integration 2020-07-20T10:59:05.000Z</t>
  </si>
  <si>
    <t>Does Amazon Ship to ...? 2022-09-02T05:26:10.000Z</t>
  </si>
  <si>
    <t>Unblocker for YouTube 2022-07-14T07:21:31.000Z</t>
  </si>
  <si>
    <t>OmniDrive 2016-04-18T07:30:55.000Z</t>
  </si>
  <si>
    <t>Cloudy Calculator 2 2015-08-09T06:00:16.000Z</t>
  </si>
  <si>
    <t>Hash Generator 2021-03-09T06:16:27.000Z</t>
  </si>
  <si>
    <t>Splice Sounds Shortcuts 2021-03-08T04:48:28.000Z</t>
  </si>
  <si>
    <t>GramTomato 2021-11-16T10:40:07.000Z</t>
  </si>
  <si>
    <t>Window Layout Resizer 2020-09-02T03:45:47.000Z</t>
  </si>
  <si>
    <t>Symbols &amp; Smileys 2024-04-07T09:57:10.000Z</t>
  </si>
  <si>
    <t>Contentyze 2020-09-13T10:03:32.000Z</t>
  </si>
  <si>
    <t>OpenSea Plus 2021-03-17T09:19:21.000Z</t>
  </si>
  <si>
    <t>Classbee - Online Class Recorder &amp; Playback 2021-06-24T07:02:43.000Z</t>
  </si>
  <si>
    <t>Fructify: Productivity + New Tab 2021-02-18T11:15:37.000Z</t>
  </si>
  <si>
    <t>Linkification Chrome 2016-08-25T05:07:04.000Z</t>
  </si>
  <si>
    <t>PhoneTracking - GPS Phone Tracker 2019-05-17T03:25:35.000Z</t>
  </si>
  <si>
    <t>Panda 5 - Your favorite websites in one place 2024-02-21T10:27:41.000Z</t>
  </si>
  <si>
    <t>TV Show Tracker 2016-05-21T20:20:13.000Z</t>
  </si>
  <si>
    <t>Save as eBook 2022-05-22T07:51:20.000Z</t>
  </si>
  <si>
    <t>135小助手 2025-01-08T02:31:33.000Z</t>
  </si>
  <si>
    <t>Video Search for YouTube 2024-12-16T10:32:51.000Z</t>
  </si>
  <si>
    <t>ArchiveBox Exporter 2021-07-04T22:03:45.000Z</t>
  </si>
  <si>
    <t>Cookiedough 2021-05-26T06:25:36.000Z</t>
  </si>
  <si>
    <t>iCampus Check 2022-06-05T06:32:55.000Z</t>
  </si>
  <si>
    <t>Scratcher's AtCoder 2023-10-31T07:56:57.000Z</t>
  </si>
  <si>
    <t>窥魔 - 永久免费亚马逊竞品库存查询 2020-03-27T16:49:13.000Z</t>
  </si>
  <si>
    <t>Desktop App for VKonatkte</t>
  </si>
  <si>
    <t>YOUTUBE QUEUE 2021-10-21T11:39:05.000Z</t>
  </si>
  <si>
    <t>Full-screen Auto Refresh for PBIRS 2020-02-04T01:59:15.000Z</t>
  </si>
  <si>
    <t>DriveLock Smart Card Middleware (CSSI) 2024-02-01T04:06:21.000Z</t>
  </si>
  <si>
    <t>ChatWork Notifier 2017-05-14T23:32:31.000Z</t>
  </si>
  <si>
    <t>NetBeans Connector 2015-09-09T14:57:47.000Z</t>
  </si>
  <si>
    <t>Enhancer for VIT Vellore Academics 2021-10-27T09:30:25.000Z</t>
  </si>
  <si>
    <t>Weebly Site Detection 2017-10-28T00:13:32.000Z</t>
  </si>
  <si>
    <t>L'extension PAULOK 2019-04-21T16:03:32.000Z</t>
  </si>
  <si>
    <t>Laserfiche Web Access Extension 2022-06-30T13:22:47.000Z</t>
  </si>
  <si>
    <t>Play HLS 2022-10-28T07:54:37.000Z</t>
  </si>
  <si>
    <t>Play with MPV 2020-05-01T19:22:40.000Z</t>
  </si>
  <si>
    <t>Bing Image New Tab 2024-01-02T05:25:29.000Z</t>
  </si>
  <si>
    <t>table-to-spreadsheet 2014-07-22T16:09:14.000Z</t>
  </si>
  <si>
    <t>Webinar Extension 2019-09-27T13:52:56.000Z</t>
  </si>
  <si>
    <t>twitter プロモーション非表示 2021-07-05T14:25:54.000Z</t>
  </si>
  <si>
    <t>Find Forms 2020-08-05T04:32:50.000Z</t>
  </si>
  <si>
    <t>ContactSaver-convert signatures into contacts 2015-05-22T20:06:37.000Z</t>
  </si>
  <si>
    <t>Night Vision 2015-03-23T08:32:32.000Z</t>
  </si>
  <si>
    <t>XpertReview Screen Sharing 2022-08-03T07:09:08.000Z</t>
  </si>
  <si>
    <t>▷ EPSON L120 RESETTER | Adjustment Program 2020-11-30T03:57:36.000Z</t>
  </si>
  <si>
    <t>PHONET 2024-12-08T20:29:14.000Z</t>
  </si>
  <si>
    <t>flashkill 2022-08-11T07:12:28.000Z</t>
  </si>
  <si>
    <t>Krunker Customiser 2023-09-15T10:11:17.000Z</t>
  </si>
  <si>
    <t>Zface - công cụ chuyển đổi SĐT từ UID 2020-04-06T18:07:28.000Z</t>
  </si>
  <si>
    <t>Simply Synonyms 2020-12-28T22:05:35.000Z</t>
  </si>
  <si>
    <t>Janus WebRTC Screensharing 2014-09-15T10:28:44.000Z</t>
  </si>
  <si>
    <t>ReCaptcha Solver 2021-01-01T12:40:52.000Z</t>
  </si>
  <si>
    <t>Zoom Bookmarks 2020-09-09T05:35:48.000Z</t>
  </si>
  <si>
    <t>유데미 한글 자막 2023-11-21T14:12:53.000Z</t>
  </si>
  <si>
    <t>TabFern tab manager and backup tool 2022-12-26T06:54:55.000Z</t>
  </si>
  <si>
    <t>WorkFindy for WorkFlowy 2019-01-19T01:41:44.000Z</t>
  </si>
  <si>
    <t>Airstory 2021-01-29T07:51:09.000Z</t>
  </si>
  <si>
    <t>Email Print Page Cleaner 2019-05-21T19:00:32.000Z</t>
  </si>
  <si>
    <t>New Tab Helper 2019 2023-11-23T07:38:34.000Z</t>
  </si>
  <si>
    <t>Easy to RSS 2018-12-18T03:13:25.000Z</t>
  </si>
  <si>
    <t>Daily Bible Verse 2021-10-22T11:55:31.000Z</t>
  </si>
  <si>
    <t>Excel Data Filler - CTH 2022-12-24T05:27:37.000Z</t>
  </si>
  <si>
    <t>Youtube™ Actual Top Comments 2022-02-28T04:33:09.000Z</t>
  </si>
  <si>
    <t>I Just Want the Recipe Janet 2019-07-14T08:03:07.000Z</t>
  </si>
  <si>
    <t>Voice Out TTS Client 2018-07-10T03:16:38.000Z</t>
  </si>
  <si>
    <t>Sniperrr 2020-12-04T00:24:07.000Z</t>
  </si>
  <si>
    <t>Recursive 2016-01-05T05:16:33.000Z</t>
  </si>
  <si>
    <t>Testi@ - Live Email Testing with (ESP) 2024-08-15T04:55:48.000Z</t>
  </si>
  <si>
    <t>Crunchyroll Intro Skipper 2020-08-05T08:53:27.000Z</t>
  </si>
  <si>
    <t>K2VPN - Free Private Search VPN 2022-01-27T10:46:43.000Z</t>
  </si>
  <si>
    <t>Library 2021-08-21T09:19:02.000Z</t>
  </si>
  <si>
    <t>Styler Beta 2021-02-11T09:07:38.000Z</t>
  </si>
  <si>
    <t>CapTube (Dual Captions for YouTube) 2020-05-13T07:15:37.000Z</t>
  </si>
  <si>
    <t>Bybit extension 2023-04-02T16:43:58.000Z</t>
  </si>
  <si>
    <t>High Resolution Downloader for Instagram 2021-02-13T22:30:24.000Z</t>
  </si>
  <si>
    <t>YT Looper: Repeat Youtube videos in loop 2020-09-24T13:25:19.000Z</t>
  </si>
  <si>
    <t>Gato Base 64 Encoder / Decoder 2013-11-03T11:07:34.000Z</t>
  </si>
  <si>
    <t>Toolbox 2013-06-03T02:27:15.000Z</t>
  </si>
  <si>
    <t>TorrentsFinder - поиск торрентов 2020-08-10T04:38:33.000Z</t>
  </si>
  <si>
    <t>Yopmail Helper 2017-01-08T18:13:51.000Z</t>
  </si>
  <si>
    <t>Classroom Plus 2021-03-15T09:40:24.000Z</t>
  </si>
  <si>
    <t>Lenny Face ( ͡° ͜ʖ ͡°) ⚡ Text Faces &amp; Symbols 2021-07-21T09:11:45.000Z</t>
  </si>
  <si>
    <t>Enable local file links 2021-01-28T07:45:56.000Z</t>
  </si>
  <si>
    <t>e-mover 2021-06-14T11:10:11.000Z</t>
  </si>
  <si>
    <t>Gmail™ Favicon Customizer 2018-04-26T00:53:09.000Z</t>
  </si>
  <si>
    <t>FOEX Developer Addon 2023-09-15T08:15:11.000Z</t>
  </si>
  <si>
    <t>Roblox Logo Changer 2021-04-02T06:44:49.000Z</t>
  </si>
  <si>
    <t>SurfSafe - join the fight against fake news 2018-10-04T22:17:59.000Z</t>
  </si>
  <si>
    <t>Friv 2020-04-10T08:02:14.000Z</t>
  </si>
  <si>
    <t>SimpleDiscordCrypt 2024-07-26T07:49:38.000Z</t>
  </si>
  <si>
    <t>Solary 2020-05-22T02:47:49.000Z</t>
  </si>
  <si>
    <t>Maxi best-of 2023-08-19T09:56:04.000Z</t>
  </si>
  <si>
    <t>VK Comment Blocker 2016-08-18T17:54:29.000Z</t>
  </si>
  <si>
    <t>AppJump App Launcher and Organizer 2013-11-13T03:53:03.000Z</t>
  </si>
  <si>
    <t>Pixel perfect tools 2015-12-11T14:02:58.000Z</t>
  </si>
  <si>
    <t>Aspose GitHub DocViewer 2020-09-20T05:47:42.000Z</t>
  </si>
  <si>
    <t>QuickClean 2015-05-22T15:52:44.000Z</t>
  </si>
  <si>
    <t>Self-stick notes 2013-11-08T18:39:16.000Z</t>
  </si>
  <si>
    <t>ScriptBlock 2018-06-14T06:28:05.000Z</t>
  </si>
  <si>
    <t>Crossref Search 2019-09-16T18:04:22.000Z</t>
  </si>
  <si>
    <t>Dictionary Anywhere 2020-04-17T13:46:53.000Z</t>
  </si>
  <si>
    <t>Pomodoro Timer 2017-10-21T20:41:52.000Z</t>
  </si>
  <si>
    <t>Nano Ad Block 2023-01-13T04:42:48.000Z</t>
  </si>
  <si>
    <t>Show Conference/Journal Ranking 2020-11-07T16:19:00.000Z</t>
  </si>
  <si>
    <t>1TT Images Downloader 2023-08-03T12:41:07.000Z</t>
  </si>
  <si>
    <t>URL Replacement 2017-07-10T03:16:11.000Z</t>
  </si>
  <si>
    <t>Twitter Follower 2024-05-27T16:34:33.000Z</t>
  </si>
  <si>
    <t>Web-Translate 2021-04-08T06:10:21.000Z</t>
  </si>
  <si>
    <t>Bravo Best Price 2021-09-21T05:55:51.000Z</t>
  </si>
  <si>
    <t>ShowSubjectGmail 2018-06-13T09:03:01.000Z</t>
  </si>
  <si>
    <t>Movie Torrent Download 最新电影下载 2017-09-23T05:42:45.000Z</t>
  </si>
  <si>
    <t>ZooAccess menu 2014-05-21T17:06:52.000Z</t>
  </si>
  <si>
    <t>微信公众号同步助手 2022-08-29T05:04:44.000Z</t>
  </si>
  <si>
    <t>Ifat Bakarat Pirsum 2022-06-26T14:57:59.000Z</t>
  </si>
  <si>
    <t>Wishlist-To-Cart for Amazon 2022-04-22T07:14:59.000Z</t>
  </si>
  <si>
    <t>Block URL: Website Blocker for Google Chrome 2018-07-20T04:14:45.000Z</t>
  </si>
  <si>
    <t>Whiteboard Animation Software 2021-04-25T10:27:30.000Z</t>
  </si>
  <si>
    <t>eDoC 2019-03-08T15:46:47.000Z</t>
  </si>
  <si>
    <t>Shortcuts for Chrome 2014-04-04T21:01:11.000Z</t>
  </si>
  <si>
    <t>Force Custom Fonts 2016-11-17T10:24:46.000Z</t>
  </si>
  <si>
    <t>Ruliweb Board Support 2020-05-25T07:45:27.000Z</t>
  </si>
  <si>
    <t>Just do it! 2015-11-09T02:44:03.000Z</t>
  </si>
  <si>
    <t>Website Blocker (Beta) 2019-02-24T14:48:38.000Z</t>
  </si>
  <si>
    <t>RiteTag 2021-08-25T07:46:39.000Z</t>
  </si>
  <si>
    <t>[CB] eRepublik 2021-03-02T11:17:07.000Z</t>
  </si>
  <si>
    <t>Watchdoc Universal Print for Chrome 2021-02-17T04:03:51.000Z</t>
  </si>
  <si>
    <t>Show Frame 2018-09-14T05:48:08.000Z</t>
  </si>
  <si>
    <t>YouTube Full Windowed 2019-03-10T12:14:39.000Z</t>
  </si>
  <si>
    <t>Pocketlikes | Free Instagram Likes 2024-03-23T04:39:15.000Z</t>
  </si>
  <si>
    <t>Sitemap Generator 2019-04-07T05:09:52.000Z</t>
  </si>
  <si>
    <t>Удаление рекламы odnoklassniki.ru 2014-07-29T07:11:24.000Z</t>
  </si>
  <si>
    <t>SuperMemo Connector 2020-01-29T10:40:31.000Z</t>
  </si>
  <si>
    <t>ネクストエンジンクリックポスト連携 2020-06-12T06:56:36.000Z</t>
  </si>
  <si>
    <t>SVG to GIF Converter 2020-05-29T08:06:40.000Z</t>
  </si>
  <si>
    <t>エガマワール 2022-06-23T03:59:59.000Z</t>
  </si>
  <si>
    <t>Awesome Cookie Manager 2021-01-19T11:33:13.000Z</t>
  </si>
  <si>
    <t>Never Ending Netflix 2022-05-14T19:55:04.000Z</t>
  </si>
  <si>
    <t>20/20/20 Reminders 2021-07-18T11:50:38.000Z</t>
  </si>
  <si>
    <t>Backlink Search Tool 2013-12-27T12:45:11.000Z</t>
  </si>
  <si>
    <t>Polyglot 2019-03-08T15:47:14.000Z</t>
  </si>
  <si>
    <t>SET-RN Security Module 2018-10-26T18:32:41.000Z</t>
  </si>
  <si>
    <t>DrumUp 2021-06-16T09:30:54.000Z</t>
  </si>
  <si>
    <t>Review Extraction 2021-06-01T15:07:57.000Z</t>
  </si>
  <si>
    <t>Codeda Screen Sharing 2019-01-21T17:28:29.000Z</t>
  </si>
  <si>
    <t>Advanced Search for Chrome 2020-01-20T10:38:38.000Z</t>
  </si>
  <si>
    <t>Talking Web 2019-03-08T11:56:27.000Z</t>
  </si>
  <si>
    <t>UUID Finder 2021-10-27T11:38:02.000Z</t>
  </si>
  <si>
    <t>In-Page SEO Analysis 2013-04-07T11:19:06.000Z</t>
  </si>
  <si>
    <t>Lectio Expert 2022-11-14T05:02:43.000Z</t>
  </si>
  <si>
    <t>Marvel Wallpaper - New Tab Theme 2019-01-16T10:23:37.000Z</t>
  </si>
  <si>
    <t>Save to Feedly Board 2019-04-12T21:47:31.000Z</t>
  </si>
  <si>
    <t>CodeSandbox 2021-02-03T12:06:50.000Z</t>
  </si>
  <si>
    <t>Thinkful 2021-08-26T07:17:08.000Z</t>
  </si>
  <si>
    <t>No History 2013-08-06T16:13:15.000Z</t>
  </si>
  <si>
    <t>Tabist 2016-09-18T21:48:34.000Z</t>
  </si>
  <si>
    <t>Alice Keeler AnyoneCanView 2021-07-25T15:19:28.000Z</t>
  </si>
  <si>
    <t>National Geographic™ Photo Of The Day 2017-06-27T06:55:29.000Z</t>
  </si>
  <si>
    <t>Hockey Canada (French) New Tab 2018-06-15T10:45:52.000Z</t>
  </si>
  <si>
    <t>Memes 2021-01-26T07:56:02.000Z</t>
  </si>
  <si>
    <t>Домашняя страница и поиск от Mail.Ru 2018-11-27T13:31:02.000Z</t>
  </si>
  <si>
    <t>Add to Toodledo 2021-11-08T11:41:17.000Z</t>
  </si>
  <si>
    <t>QTMHack 2018-04-12T21:00:44.000Z</t>
  </si>
  <si>
    <t>Countdown to Christmas Day 2020-07-30T02:57:40.000Z</t>
  </si>
  <si>
    <t>Clip64 Base64 Decoder 2019-03-06T00:43:37.000Z</t>
  </si>
  <si>
    <t>微度新标签页修改版 2020-09-17T08:00:51.000Z</t>
  </si>
  <si>
    <t>Auto Refresh With Notifications 2020-04-29T08:03:32.000Z</t>
  </si>
  <si>
    <t>Steam Market Auto-Agree 2017-10-19T23:11:06.000Z</t>
  </si>
  <si>
    <t>textlint: Proofreader 2016-05-08T15:42:12.000Z</t>
  </si>
  <si>
    <t>Close This Tab 2021-04-26T06:02:19.000Z</t>
  </si>
  <si>
    <t>Notejoy Web Clipper 2020-12-20T10:47:18.000Z</t>
  </si>
  <si>
    <t>CFCA CertEnrollment.BDBank Extension 2021-08-01T12:38:52.000Z</t>
  </si>
  <si>
    <t>InterviewBit 2020-10-25T04:59:59.000Z</t>
  </si>
  <si>
    <t>Pong 2017-09-16T06:49:21.000Z</t>
  </si>
  <si>
    <t>Fraidycat 2021-08-29T08:37:22.000Z</t>
  </si>
  <si>
    <t>Video Speed Controller Experimental 2020-03-04T08:43:51.000Z</t>
  </si>
  <si>
    <t>Stock &amp; Cryptocurrency Monitor 2024-02-29T00:58:33.000Z</t>
  </si>
  <si>
    <t>Buster 2020-03-02T10:02:01.000Z</t>
  </si>
  <si>
    <t>新知魔方 2022-02-25T08:56:17.000Z</t>
  </si>
  <si>
    <t>Multiple PiP Changer 2020-09-04T10:26:54.000Z</t>
  </si>
  <si>
    <t>IDS Server 2015-01-22T16:29:13.000Z</t>
  </si>
  <si>
    <t>VisualEyes - Visual Insights for websites 2021-07-14T17:30:59.000Z</t>
  </si>
  <si>
    <t>Advanced Dev Tools 2016-02-09T17:20:14.000Z</t>
  </si>
  <si>
    <t>DarazScout 2021-02-18T13:30:44.000Z</t>
  </si>
  <si>
    <t>Dictation Microphone Buttons 2020-11-25T06:56:40.000Z</t>
  </si>
  <si>
    <t>See the Published Date of a website on Google 2023-05-22T07:33:02.000Z</t>
  </si>
  <si>
    <t>MSTC Signer App 2019-07-25T16:02:14.000Z</t>
  </si>
  <si>
    <t>GhostPage 2017-09-20T03:53:10.000Z</t>
  </si>
  <si>
    <t>MyIPCam 2021-11-23T06:00:55.000Z</t>
  </si>
  <si>
    <t>Glitchy Glitch Gloo 2018-12-12T04:10:39.000Z</t>
  </si>
  <si>
    <t>E START Startup-page Setting Tool 2023-01-24T06:41:46.000Z</t>
  </si>
  <si>
    <t>Hermes WebSocket Client 2018-09-08T18:05:09.000Z</t>
  </si>
  <si>
    <t>Invert! 2014-11-15T20:01:10.000Z</t>
  </si>
  <si>
    <t>Sweet QR Code Maker 2015-08-12T05:43:16.000Z</t>
  </si>
  <si>
    <t>Testing Playground 2021-05-31T09:43:43.000Z</t>
  </si>
  <si>
    <t>LikeFree 2021-05-16T23:02:52.000Z</t>
  </si>
  <si>
    <t>Multiple Tools For Fiverr 2019-10-08T17:51:55.000Z</t>
  </si>
  <si>
    <t>Goggle 2017-03-28T19:07:29.000Z</t>
  </si>
  <si>
    <t>BL.INK Link Shortener 2022-06-23T14:47:34.000Z</t>
  </si>
  <si>
    <t>AudibleHero for Audible 2022-08-04T09:47:04.000Z</t>
  </si>
  <si>
    <t>Lubuntu Scrollbars 2012-10-19T06:37:10.000Z</t>
  </si>
  <si>
    <t>MQTTLens 2018-02-22T07:06:55.000Z</t>
  </si>
  <si>
    <t>Easy AliExpress ePacket Finder 2023-04-06T10:09:44.000Z</t>
  </si>
  <si>
    <t>Brick Hill+ 2022-05-20T14:23:47.000Z</t>
  </si>
  <si>
    <t>postMessage-catcher 2021-08-22T19:49:33.000Z</t>
  </si>
  <si>
    <t>Coplay 2020-03-29T12:59:46.000Z</t>
  </si>
  <si>
    <t>My Epitech Percentages 2021-07-16T12:34:28.000Z</t>
  </si>
  <si>
    <t>Bilibili Live Redirector 2020-06-27T09:58:59.000Z</t>
  </si>
  <si>
    <t>Timer 2018-10-03T13:17:30.000Z</t>
  </si>
  <si>
    <t>Quick Settings 2014-04-21T05:47:59.000Z</t>
  </si>
  <si>
    <t>Disig Web Signer 2020-07-09T06:29:22.000Z</t>
  </si>
  <si>
    <t>Iconic History 2014-03-17T16:18:55.000Z</t>
  </si>
  <si>
    <t>Fluvid - Screen Video Recorder 2021-07-15T10:57:54.000Z</t>
  </si>
  <si>
    <t>Free Hosting No Ads 2013-02-15T13:04:41.000Z</t>
  </si>
  <si>
    <t>Woord - Text to Speech 2021-09-10T11:35:08.000Z</t>
  </si>
  <si>
    <t>Belka WebRTC: Предотвратить утечку IP 2020-01-19T01:50:00.000Z</t>
  </si>
  <si>
    <t>TF2 S.T.A.R.S. 2018-07-03T21:02:20.000Z</t>
  </si>
  <si>
    <t>Send to VLC (VideoLAN) media player 2018-10-03T09:36:25.000Z</t>
  </si>
  <si>
    <t>Web Scan - Web technology lookup 2020-04-20T16:02:43.000Z</t>
  </si>
  <si>
    <t>Song Search 2016-09-30T23:52:46.000Z</t>
  </si>
  <si>
    <t>Fast Search for eBay 2018-03-06T06:32:10.000Z</t>
  </si>
  <si>
    <t>Amazon Prime Video - Rotten Tomatoes Overlay 2023-07-31T09:47:25.000Z</t>
  </si>
  <si>
    <t>REC – high quality screen video Recorder 2022-10-09T07:45:08.000Z</t>
  </si>
  <si>
    <t>KIXEYE Flash Game Enabler 2019-09-03T19:44:30.000Z</t>
  </si>
  <si>
    <t>scrape 2021-02-10T09:58:48.000Z</t>
  </si>
  <si>
    <t>Camera Remote Web Controller 2014-04-14T02:56:51.000Z</t>
  </si>
  <si>
    <t>MediaSave. Download music free 2020-03-03T11:10:56.000Z</t>
  </si>
  <si>
    <t>My Cloud9 2014-11-29T01:42:39.000Z</t>
  </si>
  <si>
    <t>Link Extractor 2020-05-21T11:06:44.000Z</t>
  </si>
  <si>
    <t>Stolen Camera Finder 2018-04-27T16:14:57.000Z</t>
  </si>
  <si>
    <t>pageTrap - Convert URLs to PDFs or Images 2014-01-03T10:50:54.000Z</t>
  </si>
  <si>
    <t>Salesforce.com Id Clipper 2017-04-19T22:51:48.000Z</t>
  </si>
  <si>
    <t>加速器 2022-12-25T05:14:06.000Z</t>
  </si>
  <si>
    <t>PROТанки Стрим Анонсер 2017-03-16T12:57:01.000Z</t>
  </si>
  <si>
    <t>San Proxy 2022-06-21T04:35:11.000Z</t>
  </si>
  <si>
    <t>RoLinker 2021-06-03T06:13:58.000Z</t>
  </si>
  <si>
    <t>YouTube Playlist Duration Calculator 2023-01-23T12:57:10.000Z</t>
  </si>
  <si>
    <t>Troy 2014-09-25T09:22:53.000Z</t>
  </si>
  <si>
    <t>Additor - Highlight &amp; organize into notes 2021-02-13T11:13:39.000Z</t>
  </si>
  <si>
    <t>Mockup Builder 2013-09-30T23:43:09.000Z</t>
  </si>
  <si>
    <t>TcNo Rust Drop Assistant 2021-07-19T14:06:43.000Z</t>
  </si>
  <si>
    <t>Auto-Notes taker for Online classes 2021-01-20T06:56:45.000Z</t>
  </si>
  <si>
    <t>GraphQL developer tools 2017-11-19T22:57:50.000Z</t>
  </si>
  <si>
    <t>AuthorViz 2020-07-16T04:36:31.000Z</t>
  </si>
  <si>
    <t>Route zezo.org 2019-05-01T13:09:18.000Z</t>
  </si>
  <si>
    <t>YouTube™ Productivity Mode 2020-10-27T11:42:49.000Z</t>
  </si>
  <si>
    <t>PaCanarias: Productos Amazon envío a Canarias 2023-08-25T11:38:30.000Z</t>
  </si>
  <si>
    <t>Zing Mp3 Downloader 2019-07-13T07:38:23.000Z</t>
  </si>
  <si>
    <t>Acapela TTS Engine 2021-10-21T11:35:20.000Z</t>
  </si>
  <si>
    <t>Impact Deeplinking 2024-06-07T19:41:55.000Z</t>
  </si>
  <si>
    <t>Word Replacer 2020-06-12T10:11:16.000Z</t>
  </si>
  <si>
    <t>EasyQuiz  SFU 2021-12-23T05:48:42.000Z</t>
  </si>
  <si>
    <t>CloudConvert 2016-12-03T11:17:26.000Z</t>
  </si>
  <si>
    <t>Extensions Button 2013-06-18T03:12:15.000Z</t>
  </si>
  <si>
    <t>Invisible Google Slide Control Bar 2019-09-29T01:22:47.000Z</t>
  </si>
  <si>
    <t>Signature 2018-03-22T08:05:15.000Z</t>
  </si>
  <si>
    <t>Secioss AutoLogin 2023-08-23T08:39:35.000Z</t>
  </si>
  <si>
    <t>Keyword Extractor 2017-12-30T18:44:01.000Z</t>
  </si>
  <si>
    <t>Dribbble @2x 2016-08-04T13:18:55.000Z</t>
  </si>
  <si>
    <t>Hola Translator for Chrome 2023-12-13T06:18:30.000Z</t>
  </si>
  <si>
    <t>Shopify Product Info by OptimCommerce 2022-12-18T07:47:36.000Z</t>
  </si>
  <si>
    <t>Responsive View 2014-04-02T03:34:58.000Z</t>
  </si>
  <si>
    <t>Open with Notepad++ 2020-12-12T11:50:15.000Z</t>
  </si>
  <si>
    <t>Create Google Calendar Event 2019-12-03T00:03:00.000Z</t>
  </si>
  <si>
    <t>stretch reminder 2016-09-21T23:52:54.000Z</t>
  </si>
  <si>
    <t>Simple Offline Calculator 2016-06-14T21:38:34.000Z</t>
  </si>
  <si>
    <t>Accel VPN 2022-11-16T11:45:46.000Z</t>
  </si>
  <si>
    <t>XPath Helper 2015-07-14T06:33:56.000Z</t>
  </si>
  <si>
    <t>Water Reminder 2018-04-19T07:11:20.000Z</t>
  </si>
  <si>
    <t>Trustnav Safesearch 2021-04-16T12:37:29.000Z</t>
  </si>
  <si>
    <t>Comments to Cats 2020-01-17T05:33:23.000Z</t>
  </si>
  <si>
    <t>The Daily Puppy 2014-08-04T13:36:29.000Z</t>
  </si>
  <si>
    <t>Speak Thai 2013-01-16T08:47:33.000Z</t>
  </si>
  <si>
    <t>Voicenter Chrome Extension 2018-02-01T13:35:01.000Z</t>
  </si>
  <si>
    <t>Relevance - Smart Tab Organizer 2017-10-29T10:44:38.000Z</t>
  </si>
  <si>
    <t>CSDN自动展开+去广告+净化剪贴板 2020-12-15T07:49:43.000Z</t>
  </si>
  <si>
    <t>TwitchTV PIP Mode 2022-03-05T05:16:58.000Z</t>
  </si>
  <si>
    <t>Immutable.js Object Formatter 2020-04-20T09:36:53.000Z</t>
  </si>
  <si>
    <t>Adjaranet Downloader 2022-06-12T06:40:33.000Z</t>
  </si>
  <si>
    <t>Local Storage Explorer 2020-03-03T12:03:35.000Z</t>
  </si>
  <si>
    <t>Auto HD 720p/1080p 2021-04-06T07:37:11.000Z</t>
  </si>
  <si>
    <t>AutoRemote 2019-03-26T15:38:32.000Z</t>
  </si>
  <si>
    <t>WebAccess 2022-07-18T07:36:48.000Z</t>
  </si>
  <si>
    <t>Chrome Highlighter 2012-08-18T12:50:48.000Z</t>
  </si>
  <si>
    <t>AuRo - audio output device router 2022-07-01T05:12:29.000Z</t>
  </si>
  <si>
    <t>Polito.it Utility 2020-02-06T05:50:36.000Z</t>
  </si>
  <si>
    <t>Stencil 2022-05-12T11:46:05.000Z</t>
  </si>
  <si>
    <t>Download with Free Download Manager 2020-12-12T05:21:04.000Z</t>
  </si>
  <si>
    <t>GoSats 2022-06-11T12:46:14.000Z</t>
  </si>
  <si>
    <t>Google Search "View Image" Button 2018-05-24T08:38:25.000Z</t>
  </si>
  <si>
    <t>Aniwatch Plus 2021-02-20T12:07:15.000Z</t>
  </si>
  <si>
    <t>Deskulous Chrome Extension 2015-01-08T21:16:44.000Z</t>
  </si>
  <si>
    <t>한국어 글자수 세기 2019-02-08T15:37:45.000Z</t>
  </si>
  <si>
    <t>LARIS - Official Account Automation 2024-11-28T11:16:29.000Z</t>
  </si>
  <si>
    <t>Проигрыватель FLAC для VK 2021-10-12T00:25:04.000Z</t>
  </si>
  <si>
    <t>Whiteboard 2023-01-18T02:25:39.000Z</t>
  </si>
  <si>
    <t>Radio Mode for YouTube™ 2015-08-11T14:31:26.000Z</t>
  </si>
  <si>
    <t>Harbor Freight Coupons 2019-09-05T00:41:44.000Z</t>
  </si>
  <si>
    <t>Planapple Save Button 2020-12-18T10:55:19.000Z</t>
  </si>
  <si>
    <t>Width and Height Display 2016-10-21T17:35:38.000Z</t>
  </si>
  <si>
    <t>WiFi printer driver for Chromebooks 2017-10-11T17:04:31.000Z</t>
  </si>
  <si>
    <t>Eventbrite 2015-10-15T22:52:15.000Z</t>
  </si>
  <si>
    <t>Share me - Content sharing for Mobile/Tablet 2015-02-01T10:59:37.000Z</t>
  </si>
  <si>
    <t>The Old Reader 2017-02-17T19:12:11.000Z</t>
  </si>
  <si>
    <t>Bindr One-Click 2021-03-24T15:34:13.000Z</t>
  </si>
  <si>
    <t>Voice Search 2021-07-01T11:44:45.000Z</t>
  </si>
  <si>
    <t>codedoodl.es 2019-06-20T02:47:41.000Z</t>
  </si>
  <si>
    <t>magnet Link to Transmission Server 2019-08-26T03:01:36.000Z</t>
  </si>
  <si>
    <t>Fandom Enhance 2023-01-17T04:12:34.000Z</t>
  </si>
  <si>
    <t>Roblox Revenue &amp; Rating Stats - RTrack 2020-01-05T19:04:54.000Z</t>
  </si>
  <si>
    <t>Chrome OS P2P Updates 2015-06-05T09:30:47.000Z</t>
  </si>
  <si>
    <t>World Air Quality Index 2019-05-31T22:53:12.000Z</t>
  </si>
  <si>
    <t>Zoom Utils 2020-08-17T03:02:05.000Z</t>
  </si>
  <si>
    <t>Video Downloader for reddit - Redditsave 2021-08-17T07:53:22.000Z</t>
  </si>
  <si>
    <t>Twitch Error AutoRefresher 2023-06-10T05:27:09.000Z</t>
  </si>
  <si>
    <t>ニコ補助 - Download 2018-11-03T12:15:41.000Z</t>
  </si>
  <si>
    <t>GitHub Launch 2012-12-21T15:47:43.000Z</t>
  </si>
  <si>
    <t>Papier 2021-10-16T12:33:10.000Z</t>
  </si>
  <si>
    <t>Study Mode: YouTube 2020-05-31T04:56:33.000Z</t>
  </si>
  <si>
    <t>Word Highlighter 2022-04-14T13:23:31.000Z</t>
  </si>
  <si>
    <t>Quick Dictionary 2020-06-29T04:14:55.000Z</t>
  </si>
  <si>
    <t>Star Citizen Bulk XPLORer 2017-12-10T02:16:13.000Z</t>
  </si>
  <si>
    <t>Bookmark Search 2018-08-20T03:04:37.000Z</t>
  </si>
  <si>
    <t>AliExplore | AliExpress Image Downloader 2023-02-24T11:06:53.000Z</t>
  </si>
  <si>
    <t>VidGrabber 2015-12-12T16:41:51.000Z</t>
  </si>
  <si>
    <t>Comodo UAdBlocker 2016-06-23T06:03:41.000Z</t>
  </si>
  <si>
    <t>Censual 2018-06-28T22:49:11.000Z</t>
  </si>
  <si>
    <t>F5 Access 2020-04-14T20:28:22.000Z</t>
  </si>
  <si>
    <t>Simple Timer 2014-06-07T20:55:53.000Z</t>
  </si>
  <si>
    <t>Enable right click 2023-10-24T03:52:15.000Z</t>
  </si>
  <si>
    <t>Remove Donald Trump from Facebook 2017-02-26T21:30:57.000Z</t>
  </si>
  <si>
    <t>Random Quote 2015-06-06T03:18:00.000Z</t>
  </si>
  <si>
    <t>Tanaguru webext 2022-10-26T09:03:52.000Z</t>
  </si>
  <si>
    <t>Voice Actions for Chrome 2024-10-15T08:28:22.000Z</t>
  </si>
  <si>
    <t>EOS KIT 2019-04-16T05:06:52.000Z</t>
  </si>
  <si>
    <t>PDF Merge 2021-01-21T10:58:26.000Z</t>
  </si>
  <si>
    <t>JustBlock Security 2021-03-03T11:03:12.000Z</t>
  </si>
  <si>
    <t>Tagtician: Adobe Launch &amp; DTM Debugger 2021-08-25T05:55:38.000Z</t>
  </si>
  <si>
    <t>SLT Usage Meter 2022-07-08T09:19:10.000Z</t>
  </si>
  <si>
    <t>Confetti Habit Tracker 2021-03-11T02:29:53.000Z</t>
  </si>
  <si>
    <t>Ritual 2014-07-30T19:28:04.000Z</t>
  </si>
  <si>
    <t>GoTo for Google Chrome 2022-06-23T11:49:22.000Z</t>
  </si>
  <si>
    <t>JOSM Strava Heatmap 2024-01-25T06:35:48.000Z</t>
  </si>
  <si>
    <t>Camera Shutter Count 2023-08-25T10:13:32.000Z</t>
  </si>
  <si>
    <t>Text Tube 2020-06-11T12:45:11.000Z</t>
  </si>
  <si>
    <t>No Opener</t>
  </si>
  <si>
    <t>Lectio Auto-Login 2013-10-13T14:24:23.000Z</t>
  </si>
  <si>
    <t>Fabasoft Folio 2016 2023-04-06T09:10:20.000Z</t>
  </si>
  <si>
    <t>Website Code Generators by WebCodeTools.com 2019-12-08T07:35:13.000Z</t>
  </si>
  <si>
    <t>双击单词高亮 2021-09-03T07:37:44.000Z</t>
  </si>
  <si>
    <t>Mindful Internet Use 2022-12-21T06:42:42.000Z</t>
  </si>
  <si>
    <t>Ritm Configure 2019-04-19T12:05:10.000Z</t>
  </si>
  <si>
    <t>Tamper Chrome (extension) 2021-01-01T13:14:35.000Z</t>
  </si>
  <si>
    <t>IBM Cognos TM1 Web Clipboard Extension 2014-09-18T20:00:50.000Z</t>
  </si>
  <si>
    <t>Mark As Read 2022-03-11T14:42:38.000Z</t>
  </si>
  <si>
    <t>osu! preview 2022-01-25T04:58:47.000Z</t>
  </si>
  <si>
    <t>Tommy 2020-04-28T08:03:49.000Z</t>
  </si>
  <si>
    <t>Yiddish Typer 2015-12-23T07:24:22.000Z</t>
  </si>
  <si>
    <t>Leetcode Timer 2020-06-15T10:25:18.000Z</t>
  </si>
  <si>
    <t>Red Bubble Product Import 2019-03-28T20:17:07.000Z</t>
  </si>
  <si>
    <t>copy 2 clipboard with ease 2022-02-02T07:55:23.000Z</t>
  </si>
  <si>
    <t>Oasis ❊ Wellness in your New Tab 2021-11-03T15:01:35.000Z</t>
  </si>
  <si>
    <t>Smart Internet Porn Filter from vRate 2023-09-19T07:27:46.000Z</t>
  </si>
  <si>
    <t>CoffeeScript IDE 2013-05-11T16:16:55.000Z</t>
  </si>
  <si>
    <t>Outbound New Tab 2022-09-17T08:27:44.000Z</t>
  </si>
  <si>
    <t>Tab ReTitle 2020-08-27T13:39:17.000Z</t>
  </si>
  <si>
    <t>Extension Control 2019-01-03T12:26:42.000Z</t>
  </si>
  <si>
    <t>Touch20 2020-09-16T07:36:13.000Z</t>
  </si>
  <si>
    <t>Hoverzoom Plus for Youtube videos 2014-06-09T17:11:21.000Z</t>
  </si>
  <si>
    <t>Garmin activity downloader 2016-08-07T15:57:55.000Z</t>
  </si>
  <si>
    <t>Cisco Threat Response Casebook (beta) 2020-10-01T14:30:05.000Z</t>
  </si>
  <si>
    <t>Cute Kittens 2021-08-25T10:58:10.000Z</t>
  </si>
  <si>
    <t>Video Chat for WhatsApp™ Web 2020-07-12T12:15:39.000Z</t>
  </si>
  <si>
    <t>Tris 2021-10-06T09:57:46.000Z</t>
  </si>
  <si>
    <t>Enhanced Image Viewer 2020-03-03T11:43:31.000Z</t>
  </si>
  <si>
    <t>Notion+ Mark Manager 2021-10-26T06:40:44.000Z</t>
  </si>
  <si>
    <t>Simply Do 2017-02-14T23:40:54.000Z</t>
  </si>
  <si>
    <t>Tab Groups 2018-11-02T16:34:07.000Z</t>
  </si>
  <si>
    <t>Roblox Show Status 2021-04-18T23:10:57.000Z</t>
  </si>
  <si>
    <t>Color Links 2020-08-22T14:12:15.000Z</t>
  </si>
  <si>
    <t>Scroll Stop 2019-02-05T05:49:06.000Z</t>
  </si>
  <si>
    <t>WhatsLog 2018-09-12T02:13:50.000Z</t>
  </si>
  <si>
    <t>DOM-Analyzer 2019-05-29T15:15:38.000Z</t>
  </si>
  <si>
    <t>Cigar Price History and Free Fall Tracker 2018-02-16T03:05:47.000Z</t>
  </si>
  <si>
    <t>15 to 18 Digit ID Converter 2019-01-13T20:01:58.000Z</t>
  </si>
  <si>
    <t>IKEA Stock Availability Checker 2020-09-01T07:08:29.000Z</t>
  </si>
  <si>
    <t>GoTo Tab 2022-06-04T07:55:43.000Z</t>
  </si>
  <si>
    <t>Texmage 2021-06-05T17:07:45.000Z</t>
  </si>
  <si>
    <t>Hreflang Tag Checker 2016-04-22T10:11:13.000Z</t>
  </si>
  <si>
    <t>图书馆代理工具 2014-07-03T08:10:39.000Z</t>
  </si>
  <si>
    <t>Click to open 3D 2016-08-18T15:12:24.000Z</t>
  </si>
  <si>
    <t>Google Calendar Guests Modify Event Default 2015-09-07T19:09:09.000Z</t>
  </si>
  <si>
    <t>Colorblind - Dalton for Chromium 2018-01-30T14:36:29.000Z</t>
  </si>
  <si>
    <t>YouTube Anywhere Remote 2021-01-28T12:02:21.000Z</t>
  </si>
  <si>
    <t>Close &amp; Clean 2018-02-18T05:06:44.000Z</t>
  </si>
  <si>
    <t>Smart-ID WebAutoLogin 2021-05-10T13:05:12.000Z</t>
  </si>
  <si>
    <t>TiltShiftMaker 2023-08-02T07:16:48.000Z</t>
  </si>
  <si>
    <t>Thunderbeam-Lightbeam for Chrome 2021-10-05T10:41:36.000Z</t>
  </si>
  <si>
    <t>o!pp 2021-03-06T12:21:07.000Z</t>
  </si>
  <si>
    <t>WordStater для Wordstat - сбор ключевых слов 2024-06-25T09:38:39.000Z</t>
  </si>
  <si>
    <t>SellerTools Amazon Product &amp; Keyword Research 2024-03-01T20:32:40.000Z</t>
  </si>
  <si>
    <t>Editey 2018-08-11T13:18:07.000Z</t>
  </si>
  <si>
    <t>Steam Cheap Games 2021-11-11T05:49:39.000Z</t>
  </si>
  <si>
    <t>Hush - private bookmarking 2019-04-24T09:36:31.000Z</t>
  </si>
  <si>
    <t>companion for reddit 2016-06-21T18:59:11.000Z</t>
  </si>
  <si>
    <t>csp-disable 2020-05-25T04:13:31.000Z</t>
  </si>
  <si>
    <t>ProxyControl 2024-09-02T16:56:33.000Z</t>
  </si>
  <si>
    <t>eClass Extension 2021-08-24T10:25:48.000Z</t>
  </si>
  <si>
    <t>ResumeTube 2014-03-03T21:31:34.000Z</t>
  </si>
  <si>
    <t>LiuChan Chinese Popup Dictionary 2021-12-19T13:08:17.000Z</t>
  </si>
  <si>
    <t>MALLTAIL SHIPTOB 2021-04-06T09:29:21.000Z</t>
  </si>
  <si>
    <t>Many search engines 2018-06-01T13:52:16.000Z</t>
  </si>
  <si>
    <t>Mitel Connect Web Dialer 2021-08-09T21:27:02.000Z</t>
  </si>
  <si>
    <t>M.I.T. Consulting Token signing 2021-01-23T13:01:41.000Z</t>
  </si>
  <si>
    <t>Fuse Flow 2022-07-20T11:04:33.000Z</t>
  </si>
  <si>
    <t>Annotate the Web 2022-02-06T10:32:43.000Z</t>
  </si>
  <si>
    <t>YouTube New Tab 2021-01-13T04:58:53.000Z</t>
  </si>
  <si>
    <t>Doodle Search - for Google Images™ 2019-04-07T05:09:26.000Z</t>
  </si>
  <si>
    <t>Cashback-Vergleich mit Gutscheincodes 2020-11-21T05:46:19.000Z</t>
  </si>
  <si>
    <t>Recorder Action 2021-07-02T05:46:57.000Z</t>
  </si>
  <si>
    <t>Scan QR code 2021-09-07T13:04:45.000Z</t>
  </si>
  <si>
    <t>Floating Video Player 2020-04-26T16:05:36.000Z</t>
  </si>
  <si>
    <t>Storyful Multisearch 2015-07-22T09:57:24.000Z</t>
  </si>
  <si>
    <t>KanColle Command Center 改 2024-12-11T07:17:13.000Z</t>
  </si>
  <si>
    <t>WoWsStatInfo 2018-10-05T09:06:32.000Z</t>
  </si>
  <si>
    <t>SIP Click To Call Phone Extension 2020-05-26T10:32:39.000Z</t>
  </si>
  <si>
    <t>Aiveera Online Shopping Assistant 2021-12-03T11:13:13.000Z</t>
  </si>
  <si>
    <t>JavaScript Editey 2013-06-07T08:53:24.000Z</t>
  </si>
  <si>
    <t>海词词典（取词、划词助手） 2014-06-27T09:48:24.000Z</t>
  </si>
  <si>
    <t>QuickBookmarkToFolder 2021-12-27T09:01:20.000Z</t>
  </si>
  <si>
    <t>划词翻译 2017-09-26T07:10:14.000Z</t>
  </si>
  <si>
    <t>Salesforce Debug Log viewer 2020-06-13T12:44:41.000Z</t>
  </si>
  <si>
    <t>Picture-in-Picture Plus 2018-10-13T20:22:24.000Z</t>
  </si>
  <si>
    <t>Mettl Tests : Enable Screen Sharing 2024-08-28T10:36:33.000Z</t>
  </si>
  <si>
    <t>vip播放 2020-07-07T07:52:31.000Z</t>
  </si>
  <si>
    <t>PNU VIDEO DOWNLOADER 2022-11-17T02:18:16.000Z</t>
  </si>
  <si>
    <t>Request Interceptor 2021-07-01T04:15:29.000Z</t>
  </si>
  <si>
    <t>Archery Games 2018-09-19T05:07:04.000Z</t>
  </si>
  <si>
    <t>T-Rex running Dinosaur 2021-05-19T10:34:22.000Z</t>
  </si>
  <si>
    <t>Break Timer 2020-06-24T07:42:33.000Z</t>
  </si>
  <si>
    <t>Leprosorium on Steroids 2016-03-21T15:54:09.000Z</t>
  </si>
  <si>
    <t>Video URLs for VLC 2017-06-17T20:29:03.000Z</t>
  </si>
  <si>
    <t>PAYAD.ME 2017-07-05T14:25:03.000Z</t>
  </si>
  <si>
    <t>Everything Metric - Auto Unit Converter 2021-10-30T04:57:15.000Z</t>
  </si>
  <si>
    <t>arxive 2022-03-15T15:00:09.000Z</t>
  </si>
  <si>
    <t>SAML</t>
  </si>
  <si>
    <t>BroadcasterPro 2016-10-28T17:51:18.000Z</t>
  </si>
  <si>
    <t>Salesforce Hotkeys (Beta) 2015-05-06T04:09:44.000Z</t>
  </si>
  <si>
    <t>Backstory: Remember Your Facebook Friends! 2023-02-02T06:05:47.000Z</t>
  </si>
  <si>
    <t>Bitbucket Server Extension 2020-11-05T16:21:12.000Z</t>
  </si>
  <si>
    <t>Reminders Tab 2021-03-06T12:02:56.000Z</t>
  </si>
  <si>
    <t>I See You; an Ancestral Connection 2023-10-01T21:43:04.000Z</t>
  </si>
  <si>
    <t>IITG AutoLogin 2020-02-02T12:22:11.000Z</t>
  </si>
  <si>
    <t>smart-pass 2020-05-14T10:44:22.000Z</t>
  </si>
  <si>
    <t>Virtual Business Card 2019-08-18T02:48:21.000Z</t>
  </si>
  <si>
    <t>My Personal Notepad 2015-04-03T16:55:13.000Z</t>
  </si>
  <si>
    <t>Local PGP - Browser Encryption and Decryption 2020-07-09T10:55:49.000Z</t>
  </si>
  <si>
    <t>Search Incognito 2015-04-19T13:05:09.000Z</t>
  </si>
  <si>
    <t>cute wallpaper for girls 2021-03-06T06:16:32.000Z</t>
  </si>
  <si>
    <t>ニコ動履歴 2018-10-25T13:32:47.000Z</t>
  </si>
  <si>
    <t>Pinyin Reader 2018-10-30T11:48:47.000Z</t>
  </si>
  <si>
    <t>Read Later 2020-11-19T01:35:04.000Z</t>
  </si>
  <si>
    <t>Evercontact 2023-05-09T00:35:33.000Z</t>
  </si>
  <si>
    <t>Close Other Tabs 2019-11-21T07:28:00.000Z</t>
  </si>
  <si>
    <t>Multiplayer Wikigame 2021-03-02T08:09:52.000Z</t>
  </si>
  <si>
    <t>Roblox Anti-Experience Chrome Extension 2021-09-21T10:52:31.000Z</t>
  </si>
  <si>
    <t>Invoice Simple 2018-09-28T19:11:33.000Z</t>
  </si>
  <si>
    <t>Dark Theme for Reddit 2018-06-07T10:44:49.000Z</t>
  </si>
  <si>
    <t>RottenTomatoes.com Context Menu 2020-07-17T04:16:07.000Z</t>
  </si>
  <si>
    <t>Unsplash For Chrome 2020-03-07T07:08:38.000Z</t>
  </si>
  <si>
    <t>AlterNote Editor 2020-06-16T10:23:57.000Z</t>
  </si>
  <si>
    <t>Egerd 2023-01-16T10:26:05.000Z</t>
  </si>
  <si>
    <t>Auto Ad Mute 2017-10-29T14:32:12.000Z</t>
  </si>
  <si>
    <t>PreviewImage 2014-12-13T17:26:45.000Z</t>
  </si>
  <si>
    <t>Qwik Biz Tools 2023-04-08T04:29:29.000Z</t>
  </si>
  <si>
    <t>Perculus 3 Ekran Paylaşım Eklentisi 2019-10-22T13:37:59.000Z</t>
  </si>
  <si>
    <t>Magoosh GRE Vocab Highlighter 2017-03-23T20:58:46.000Z</t>
  </si>
  <si>
    <t>Better Scrollbar 2013-09-25T22:25:11.000Z</t>
  </si>
  <si>
    <t>Script Executor 2014-07-13T18:42:16.000Z</t>
  </si>
  <si>
    <t>Find on XING 2022-01-27T04:54:35.000Z</t>
  </si>
  <si>
    <t>ESSR - Student website security extension 2020-07-11T06:01:53.000Z</t>
  </si>
  <si>
    <t>Clipboard Manager 2019-08-18T18:40:31.000Z</t>
  </si>
  <si>
    <t>Terrapin Works Label Printing 2017-01-10T15:50:24.000Z</t>
  </si>
  <si>
    <t>Profit Genie 2022-11-08T05:06:09.000Z</t>
  </si>
  <si>
    <t>Looper 2021-11-03T16:37:56.000Z</t>
  </si>
  <si>
    <t>Asterisk Click2Call 2021-08-04T11:52:13.000Z</t>
  </si>
  <si>
    <t>Ultimedia Premium Videos 2022-08-24T04:59:57.000Z</t>
  </si>
  <si>
    <t>Minigiochi.com - Giochi Gratis 2020-06-25T19:03:41.000Z</t>
  </si>
  <si>
    <t>PHP shell 2013-08-05T15:53:35.000Z</t>
  </si>
  <si>
    <t>Passman 2018-09-10T13:16:11.000Z</t>
  </si>
  <si>
    <t>SummarizeThis 2013-12-30T16:18:33.000Z</t>
  </si>
  <si>
    <t>All Fnf Mods 2022-11-01T10:25:06.000Z</t>
  </si>
  <si>
    <t>CFCA CertEnrollment.SRCBCN Extension 2020-12-11T07:25:07.000Z</t>
  </si>
  <si>
    <t>Rdio Enhancer 2015-11-18T18:55:11.000Z</t>
  </si>
  <si>
    <t>Dark mode / night reader 2021-09-12T07:50:22.000Z</t>
  </si>
  <si>
    <t>Create Embeddable Links for Google Photos 2018-02-20T16:02:36.000Z</t>
  </si>
  <si>
    <t>Penguins 2024-02-06T09:01:31.000Z</t>
  </si>
  <si>
    <t>Notion Slide Shows 2020-09-14T11:56:51.000Z</t>
  </si>
  <si>
    <t>ShoreTel Sky Web Dialer 2020-06-17T04:15:18.000Z</t>
  </si>
  <si>
    <t>Outliner 2016-03-08T00:19:42.000Z</t>
  </si>
  <si>
    <t>Image download for Youtube™ 2019-09-27T21:33:57.000Z</t>
  </si>
  <si>
    <t>Paper Memory 2023-12-04T16:30:46.000Z</t>
  </si>
  <si>
    <t>Timeline for Chrome 2018-10-02T09:39:16.000Z</t>
  </si>
  <si>
    <t>deepl-select-jump 2020-08-06T07:19:21.000Z</t>
  </si>
  <si>
    <t>Pixel-art zoom 2015-11-19T18:28:03.000Z</t>
  </si>
  <si>
    <t>MailtOWA: Mailto O365 Webmail / OutlookWebApp 2021-01-08T16:22:40.000Z</t>
  </si>
  <si>
    <t>Global WA Office 2023-12-20T19:19:05.000Z</t>
  </si>
  <si>
    <t>Text to CSV 2016-01-05T15:25:43.000Z</t>
  </si>
  <si>
    <t>Hatsune Miku Footer 2021-07-16T04:47:08.000Z</t>
  </si>
  <si>
    <t>YouStopper for YouTube™ 2018-02-18T15:08:16.000Z</t>
  </si>
  <si>
    <t>MultiWindow Positioner 2024-11-11T15:43:16.000Z</t>
  </si>
  <si>
    <t>Api4Com - Extensão para Navegadores (Antigo) 2023-07-30T21:16:03.000Z</t>
  </si>
  <si>
    <t>Netflix Auto Skip 2018-09-03T22:20:40.000Z</t>
  </si>
  <si>
    <t>もっと画像検索 2016-05-18T10:49:26.000Z</t>
  </si>
  <si>
    <t>Image Info on Hover 2014-01-02T11:31:30.000Z</t>
  </si>
  <si>
    <t>Adobe Live on Behance 2019-07-29T17:26:59.000Z</t>
  </si>
  <si>
    <t>JIRA Template Injector 2021-05-16T11:09:32.000Z</t>
  </si>
  <si>
    <t>IntoDNS Chrome 2013-05-29T15:51:05.000Z</t>
  </si>
  <si>
    <t>semRush website rank badge 2022-06-21T12:17:23.000Z</t>
  </si>
  <si>
    <t>anihilator 2021-03-17T05:43:40.000Z</t>
  </si>
  <si>
    <t>Translator for the Breed Bootloader 2016-07-01T15:18:17.000Z</t>
  </si>
  <si>
    <t>Unblock iQIYI - Free and unlimited 2020-08-27T09:18:43.000Z</t>
  </si>
  <si>
    <t>COVID Vaccine Slot Checker- India 2021-06-08T12:15:54.000Z</t>
  </si>
  <si>
    <t>NotionCn 2023-09-12T12:12:31.000Z</t>
  </si>
  <si>
    <t>Nota media en la UPM 2019-05-16T19:48:32.000Z</t>
  </si>
  <si>
    <t>FUTWIZ Sync 2017-03-21T23:27:56.000Z</t>
  </si>
  <si>
    <t>TabsFolders Tab &amp; Bookmark Manager 2023-01-12T11:54:28.000Z</t>
  </si>
  <si>
    <t>Link Pad 2012-10-21T23:50:48.000Z</t>
  </si>
  <si>
    <t>StudyIsland.com Button Helper 2013-09-26T07:32:11.000Z</t>
  </si>
  <si>
    <t>Nike - Notify Me 2020-05-05T18:45:24.000Z</t>
  </si>
  <si>
    <t>blockerDNS Ad &amp; Tracker Blocking 2020-03-25T17:40:32.000Z</t>
  </si>
  <si>
    <t>Nightscout Chrome Extension 2021-07-10T07:11:21.000Z</t>
  </si>
  <si>
    <t>xStyle 2019-03-08T15:56:11.000Z</t>
  </si>
  <si>
    <t>Liverpool FC wallpaper HD 2018-05-08T11:43:37.000Z</t>
  </si>
  <si>
    <t>SmartyDNS - VPN and Smart DNS 2021-09-20T09:01:15.000Z</t>
  </si>
  <si>
    <t>Pixelixe Graphic &amp; Image Editor 2020-07-01T03:52:52.000Z</t>
  </si>
  <si>
    <t>Gradient Tabs 2018-07-31T16:05:05.000Z</t>
  </si>
  <si>
    <t>YouTube Loop 2018-02-25T07:17:27.000Z</t>
  </si>
  <si>
    <t>Quick Home Button 2016-12-18T13:46:07.000Z</t>
  </si>
  <si>
    <t>Linkalyze 2021-12-24T04:57:58.000Z</t>
  </si>
  <si>
    <t>Let Me Out 2015-01-27T21:47:26.000Z</t>
  </si>
  <si>
    <t>Click-to-call для MANGO OFFICE 2021-01-22T03:21:29.000Z</t>
  </si>
  <si>
    <t>Old Tumblr Dashboard 2016-06-18T10:22:11.000Z</t>
  </si>
  <si>
    <t>Snow Extension 2020-11-03T05:56:55.000Z</t>
  </si>
  <si>
    <t>淘宝店铺档案查看 2019-11-25T11:12:03.000Z</t>
  </si>
  <si>
    <t>Banco Original - OFX Exporter 2017-10-02T14:46:20.000Z</t>
  </si>
  <si>
    <t>Flint Wallet 2023-07-20T08:37:00.000Z</t>
  </si>
  <si>
    <t>Input Cursor Focus 2012-08-21T17:12:59.000Z</t>
  </si>
  <si>
    <t>▷ 123Movies - New Official Website Unblocked 2020-11-29T10:18:00.000Z</t>
  </si>
  <si>
    <t>Contador de palavras da página 2016-06-10T20:23:16.000Z</t>
  </si>
  <si>
    <t>Socpublic.com 2024-10-13T03:35:53.000Z</t>
  </si>
  <si>
    <t>Redirect Click'n'Load 2021-11-28T23:21:58.000Z</t>
  </si>
  <si>
    <t>CineFox Updater 2015-12-14T13:13:56.000Z</t>
  </si>
  <si>
    <t>Porsche New Tab Wallpapers 2018-01-27T08:09:14.000Z</t>
  </si>
  <si>
    <t>MyEpitech 2021-10-07T21:06:32.000Z</t>
  </si>
  <si>
    <t>Referer Control 2018-12-27T20:36:44.000Z</t>
  </si>
  <si>
    <t>JSON-RPC Viewer 2019-09-21T12:38:13.000Z</t>
  </si>
  <si>
    <t>Minijuegos.com - Juegos Gratis 2020-09-30T13:50:05.000Z</t>
  </si>
  <si>
    <t>OkTools Save 2021-08-20T04:22:28.000Z</t>
  </si>
  <si>
    <t>Site Bomb 2021-01-15T10:41:34.000Z</t>
  </si>
  <si>
    <t>VIEW LATER - save links in a stack 2019-01-22T03:43:39.000Z</t>
  </si>
  <si>
    <t>DarkOrbit SID Login 2021-05-23T00:13:07.000Z</t>
  </si>
  <si>
    <t>NetSupport Notify Agent 2024-06-27T08:35:07.000Z</t>
  </si>
  <si>
    <t>NeoBux AdAlert 2018-02-13T00:21:13.000Z</t>
  </si>
  <si>
    <t>SiteSee | Web Design Inspiration 2016-12-16T08:13:01.000Z</t>
  </si>
  <si>
    <t>WMA to WAV Converter 2020-05-28T08:32:06.000Z</t>
  </si>
  <si>
    <t>Giveaways Twitch 2017-05-24T03:35:47.000Z</t>
  </si>
  <si>
    <t>JW Daily Scripture 2022-04-29T07:37:12.000Z</t>
  </si>
  <si>
    <t>mysms - SMS/Text from Computer 2019-02-01T14:53:15.000Z</t>
  </si>
  <si>
    <t>DeCutr 2021-04-07T00:14:19.000Z</t>
  </si>
  <si>
    <t>FlareGet Integration 2019-06-19T10:29:48.000Z</t>
  </si>
  <si>
    <t>Babu Soft Gray Eye Protector 2022-11-19T01:39:56.000Z</t>
  </si>
  <si>
    <t>github-vscode-icons 2021-09-30T17:16:42.000Z</t>
  </si>
  <si>
    <t>Space Galaxy Wallpapers New Tab 2021-07-13T09:32:39.000Z</t>
  </si>
  <si>
    <t>BetterRBTV 2020-11-19T05:21:47.000Z</t>
  </si>
  <si>
    <t>TV Chart 2021-02-06T10:07:58.000Z</t>
  </si>
  <si>
    <t>Distraction Free YouTube 2020-10-19T10:29:39.000Z</t>
  </si>
  <si>
    <t>ePub Viewer 2023-10-07T04:41:04.000Z</t>
  </si>
  <si>
    <t>SLT Usage Meter 2016-03-18T14:17:25.000Z</t>
  </si>
  <si>
    <t>Awesome View Source Button 2016-09-22T22:02:59.000Z</t>
  </si>
  <si>
    <t>BibTex It! 2016-09-24T16:08:00.000Z</t>
  </si>
  <si>
    <t>Email Verifier 2021-07-12T10:15:13.000Z</t>
  </si>
  <si>
    <t>Comic Sans Replacer 2014-04-11T22:39:15.000Z</t>
  </si>
  <si>
    <t>Ultra Safe Search 2021-08-21T12:45:59.000Z</t>
  </si>
  <si>
    <t>POE item English copy 2021-01-19T05:38:20.000Z</t>
  </si>
  <si>
    <t>Lilata – учите английский язык интересно 2022-05-14T10:19:44.000Z</t>
  </si>
  <si>
    <t>Send To WebHook 2023-12-06T11:09:57.000Z</t>
  </si>
  <si>
    <t>Sipuni Communicator 2024-11-07T07:53:57.000Z</t>
  </si>
  <si>
    <t>WorkFlowy for Coders 2012-09-04T21:38:51.000Z</t>
  </si>
  <si>
    <t>The tiny URL shortener 2022-02-08T07:23:49.000Z</t>
  </si>
  <si>
    <t>Open Tabs 2017-04-16T23:07:46.000Z</t>
  </si>
  <si>
    <t>Merch Search For 2020-03-09T04:43:52.000Z</t>
  </si>
  <si>
    <t>WaiverForever Connect 2021-08-20T10:04:38.000Z</t>
  </si>
  <si>
    <t>Funny Games 2018-12-03T08:31:56.000Z</t>
  </si>
  <si>
    <t>Custom Stylesheet &amp; Script 2019-07-16T06:20:23.000Z</t>
  </si>
  <si>
    <t>Pixlr Express 2021-03-18T10:50:22.000Z</t>
  </si>
  <si>
    <t>Witchcraft: JS/CSS injector 2020-03-10T10:31:01.000Z</t>
  </si>
  <si>
    <t>TabJump - Intelligent Tab Navigator 2020-05-11T06:10:13.000Z</t>
  </si>
  <si>
    <t>Assamese Keyboard 2023-10-25T03:44:17.000Z</t>
  </si>
  <si>
    <t>Reticle 2014-07-02T20:47:22.000Z</t>
  </si>
  <si>
    <t>Developer Tools 2013-04-13T16:12:47.000Z</t>
  </si>
  <si>
    <t>Web Ruler 2012-10-10T05:09:28.000Z</t>
  </si>
  <si>
    <t>Slik Prospector 2020-09-30T10:14:58.000Z</t>
  </si>
  <si>
    <t>Video Compressor 2021-10-26T03:45:06.000Z</t>
  </si>
  <si>
    <t>Imgur Gifv as MP4 Downloader 2018-02-17T09:33:36.000Z</t>
  </si>
  <si>
    <t>PageAccel 2021-01-29T00:51:14.000Z</t>
  </si>
  <si>
    <t>Steam Friends Enhancer 2022-03-16T11:46:11.000Z</t>
  </si>
  <si>
    <t>Clippy 2022-03-03T06:00:43.000Z</t>
  </si>
  <si>
    <t>Playbooks 2024-11-04T15:36:39.000Z</t>
  </si>
  <si>
    <t>MyGraph 2022-01-02T07:38:00.000Z</t>
  </si>
  <si>
    <t>DYL Download Facebook Video 2021-11-11T12:53:51.000Z</t>
  </si>
  <si>
    <t>Unsubscribe Button 2014-12-17T18:21:37.000Z</t>
  </si>
  <si>
    <t>Ubersuggest CPC &amp; Search Volume Enhancer 2013-09-03T03:41:42.000Z</t>
  </si>
  <si>
    <t>Blue Prism 7.0.1 Browser Extension 2022-12-06T12:36:21.000Z</t>
  </si>
  <si>
    <t>Chrome Chess 2017-05-05T21:22:59.000Z</t>
  </si>
  <si>
    <t>Stay for Browser 2024-08-16T04:06:20.000Z</t>
  </si>
  <si>
    <t>Privacy Bee: Zero-Trust Secure Browsing 2023-11-09T08:02:59.000Z</t>
  </si>
  <si>
    <t>PowerBI Links 2017-10-16T17:15:11.000Z</t>
  </si>
  <si>
    <t>Screenleap 2020-06-19T10:11:04.000Z</t>
  </si>
  <si>
    <t>Tumblr 1280 2013-08-28T04:20:34.000Z</t>
  </si>
  <si>
    <t>Markdown Preview 2013-08-24T21:19:29.000Z</t>
  </si>
  <si>
    <t>Tabs of our Lives - Manage Your Tabs Now 2021-03-16T11:34:47.000Z</t>
  </si>
  <si>
    <t>网文摘手 2021-01-28T09:22:33.000Z</t>
  </si>
  <si>
    <t>SonicWall Content Filtering Server 2019-09-10T05:41:13.000Z</t>
  </si>
  <si>
    <t>clappr 2022-03-01T12:12:21.000Z</t>
  </si>
  <si>
    <t>Instant Howard The Alien 2021-10-22T12:24:45.000Z</t>
  </si>
  <si>
    <t>ui5-detector 2015-09-21T11:38:46.000Z</t>
  </si>
  <si>
    <t>Popup Annoyer 2019-12-07T15:39:31.000Z</t>
  </si>
  <si>
    <t>Moyenne Directe 2021-02-08T12:50:17.000Z</t>
  </si>
  <si>
    <t>Remember The Milk for Gmail 2014-12-16T23:12:51.000Z</t>
  </si>
  <si>
    <t>showHTML 2016-05-07T17:33:45.000Z</t>
  </si>
  <si>
    <t>Ctrl+g | A shortcut key to google 2021-03-01T10:18:37.000Z</t>
  </si>
  <si>
    <t>Copy Better 2020-02-29T09:26:52.000Z</t>
  </si>
  <si>
    <t>Sinc - Watch Netflix Together 2021-06-23T21:30:36.000Z</t>
  </si>
  <si>
    <t>Fast Boo Slideshow 2020-08-24T11:48:24.000Z</t>
  </si>
  <si>
    <t>WAV Player for Gmail™ 2013-10-02T13:29:05.000Z</t>
  </si>
  <si>
    <t>Merch By Amazon Analytics 2017-11-19T02:28:51.000Z</t>
  </si>
  <si>
    <t>AliExtractor Lite 2023-09-07T10:11:30.000Z</t>
  </si>
  <si>
    <t>Cowin Booking 2021-06-08T07:27:37.000Z</t>
  </si>
  <si>
    <t>Salesforce Field Finder 2015-09-03T12:33:49.000Z</t>
  </si>
  <si>
    <t>Video Tuner 2019-11-27T16:54:10.000Z</t>
  </si>
  <si>
    <t>Reddit PGN viewer. 2018-07-06T06:41:12.000Z</t>
  </si>
  <si>
    <t>Sounds Plus 2021-01-28T09:09:44.000Z</t>
  </si>
  <si>
    <t>Sken.io Web Monitor 2022-03-08T04:59:49.000Z</t>
  </si>
  <si>
    <t>Botão Justificar Pandemia - SIEPE 2020-11-09T04:13:22.000Z</t>
  </si>
  <si>
    <t>Card Color Titles for Trello 2016-06-14T21:28:19.000Z</t>
  </si>
  <si>
    <t>Zipwhip Extension 2021-11-10T11:24:50.000Z</t>
  </si>
  <si>
    <t>SimpleShot 2018-07-19T22:26:46.000Z</t>
  </si>
  <si>
    <t>WebDEVTools 2019-03-08T15:58:18.000Z</t>
  </si>
  <si>
    <t>Zendesk Submit Expander 2020-11-17T06:59:12.000Z</t>
  </si>
  <si>
    <t>蓝猫知乎好物工具 2023-04-05T07:24:08.000Z</t>
  </si>
  <si>
    <t>IMG inspector 2013-06-23T13:22:35.000Z</t>
  </si>
  <si>
    <t>Doxy.me Screen Sharing 2017-10-23T15:57:33.000Z</t>
  </si>
  <si>
    <t>Syntax Highlight Code Blocks 2015-05-07T15:13:36.000Z</t>
  </si>
  <si>
    <t>CALLIDO Research Tool 2021-06-10T15:28:01.000Z</t>
  </si>
  <si>
    <t>Netop Vision Student Extension 2022-09-15T07:35:10.000Z</t>
  </si>
  <si>
    <t>Tabiverse: Space &amp; Planets in New Tab 2020-02-27T09:25:57.000Z</t>
  </si>
  <si>
    <t>SimpleChessBoard 2018-09-01T09:18:05.000Z</t>
  </si>
  <si>
    <t>Adaperio 2021-06-11T10:12:52.000Z</t>
  </si>
  <si>
    <t>Asciidoctor.js Live Preview 2023-06-05T02:52:06.000Z</t>
  </si>
  <si>
    <t>Habitica Pomodoro SiteKeeper 2021-12-26T10:33:13.000Z</t>
  </si>
  <si>
    <t>KickFire Prospector - Free Prospecting Tool 2022-08-02T08:29:38.000Z</t>
  </si>
  <si>
    <t>Unstack Style Guide 2021-05-13T01:32:54.000Z</t>
  </si>
  <si>
    <t>艦これウィジェット 2024-08-22T01:50:24.000Z</t>
  </si>
  <si>
    <t>Smart Searching Tab 2021-08-01T07:37:35.000Z</t>
  </si>
  <si>
    <t>HideMe FreeVPN 2018-05-10T01:03:27.000Z</t>
  </si>
  <si>
    <t>Latex Math 2017-09-21T14:58:49.000Z</t>
  </si>
  <si>
    <t>GetTabInfo 2019-05-14T14:11:10.000Z</t>
  </si>
  <si>
    <t>Winning Eleven 2012 APK Download v1.0.1 2020-11-13T07:51:09.000Z</t>
  </si>
  <si>
    <t>Autohide Downloads Bar 2021-07-27T12:41:08.000Z</t>
  </si>
  <si>
    <t>Twitch DVR player 2022-07-28T10:00:57.000Z</t>
  </si>
  <si>
    <t>Total Script Blocker 2020-05-14T13:36:05.000Z</t>
  </si>
  <si>
    <t>Conflict of Nations 2018-01-29T18:32:49.000Z</t>
  </si>
  <si>
    <t>DragonLink 2018-01-27T01:54:35.000Z</t>
  </si>
  <si>
    <t>quick cite 2017-12-13T02:30:04.000Z</t>
  </si>
  <si>
    <t>Web Developer Checklist 2021-05-14T16:04:13.000Z</t>
  </si>
  <si>
    <t>MagniLink ChromeViewer™ 4 2024-04-14T07:07:33.000Z</t>
  </si>
  <si>
    <t>神龟加速器 - 免费回国加速器 2021-06-17T07:48:40.000Z</t>
  </si>
  <si>
    <t>Ponder 2022-05-22T23:58:16.000Z</t>
  </si>
  <si>
    <t>JSON-handle 2021-12-22T05:07:08.000Z</t>
  </si>
  <si>
    <t>Komponenta pro aplikaci BUSINESS 24 2023-06-18T09:08:46.000Z</t>
  </si>
  <si>
    <t>NAS Download Manager (for Synology) 2023-09-14T09:51:36.000Z</t>
  </si>
  <si>
    <t>VOTOBO：跨境电商产品开发分析利器 2024-12-20T04:10:05.000Z</t>
  </si>
  <si>
    <t>VidSaver - Social Video Downloader 2020-05-26T04:44:13.000Z</t>
  </si>
  <si>
    <t>Galgalatz - play it live - מוזיקה זה גלגלצ 2017-12-11T06:48:23.000Z</t>
  </si>
  <si>
    <t>MyAnimeList Searcher 2014-06-30T10:25:23.000Z</t>
  </si>
  <si>
    <t>Save As File 2020-11-19T12:58:58.000Z</t>
  </si>
  <si>
    <t>X-Browser 2017-01-24T22:41:51.000Z</t>
  </si>
  <si>
    <t>Full screen card view for Trello 2013-08-09T04:39:33.000Z</t>
  </si>
  <si>
    <t>QUT Timetable Planner 2019-03-29T16:02:18.000Z</t>
  </si>
  <si>
    <t>Super Netflix 2018-12-23T11:45:57.000Z</t>
  </si>
  <si>
    <t>Семантический анализ текста от Miratext 2022-04-20T07:08:58.000Z</t>
  </si>
  <si>
    <t>Weather 2018-05-22T10:47:00.000Z</t>
  </si>
  <si>
    <t>GameTop Free Games 2018-02-28T09:27:12.000Z</t>
  </si>
  <si>
    <t>飞书 Markdown 导出工具 2020-03-24T11:22:55.000Z</t>
  </si>
  <si>
    <t>Magnet-ссылка - http://rutracker.org 2014-08-29T03:47:21.000Z</t>
  </si>
  <si>
    <t>Помощник для Avito 2023-07-19T09:14:32.000Z</t>
  </si>
  <si>
    <t>Refresh 'Em All 2014-11-02T11:11:02.000Z</t>
  </si>
  <si>
    <t>CFCA CertEnrollment.SXCCB Extension 2022-04-20T13:51:08.000Z</t>
  </si>
  <si>
    <t>Project Tab Manager 2020-07-12T03:57:57.000Z</t>
  </si>
  <si>
    <t>Dezoomify 2021-08-12T13:45:34.000Z</t>
  </si>
  <si>
    <t>DS5Chrome 2020-12-11T11:38:37.000Z</t>
  </si>
  <si>
    <t>Website traffic displayer 2017-02-22T10:04:41.000Z</t>
  </si>
  <si>
    <t>aProxy 2016-05-10T20:47:59.000Z</t>
  </si>
  <si>
    <t>Keyword Hacker 2017-06-22T16:28:46.000Z</t>
  </si>
  <si>
    <t>FXStreet - The Foreign Exchange Market 2018-10-08T10:56:38.000Z</t>
  </si>
  <si>
    <t>Oxygen 2023-11-25T05:51:35.000Z</t>
  </si>
  <si>
    <t>My New Tab 2021-06-11T08:13:48.000Z</t>
  </si>
  <si>
    <t>Zen YouTube: Distraction free youtube 2022-02-09T05:45:31.000Z</t>
  </si>
  <si>
    <t>SponsorKliks 2023-11-02T07:39:27.000Z</t>
  </si>
  <si>
    <t>Unit Convert Selection 2018-02-13T00:31:31.000Z</t>
  </si>
  <si>
    <t>Tresorit Send 2024-12-16T17:55:54.000Z</t>
  </si>
  <si>
    <t>Enhanced SteamGifts &amp; SteamTrades (ESGST) 2022-10-25T10:48:51.000Z</t>
  </si>
  <si>
    <t>CSS Exfil Protection 2020-08-25T13:41:35.000Z</t>
  </si>
  <si>
    <t>MiddleButtonScroll 2021-07-12T06:10:27.000Z</t>
  </si>
  <si>
    <t>Readme - Text to Speech 2021-01-21T07:03:18.000Z</t>
  </si>
  <si>
    <t>Cloud Storage 2016-08-05T08:54:25.000Z</t>
  </si>
  <si>
    <t>Free VPN for Chrome - VPN Proxy InsuredVPN 2023-12-17T09:15:04.000Z</t>
  </si>
  <si>
    <t>#Специи — кэшбэк-сервис от МегаФона 2019-09-18T17:33:26.000Z</t>
  </si>
  <si>
    <t>Knowsome - make better use of your time! 2020-08-03T04:29:06.000Z</t>
  </si>
  <si>
    <t>Recruiters' integration tool 2020-01-26T10:03:39.000Z</t>
  </si>
  <si>
    <t>Twitch Favorites 2021-07-21T06:00:04.000Z</t>
  </si>
  <si>
    <t>Aavegotchi Extension 2021-04-02T07:10:10.000Z</t>
  </si>
  <si>
    <t>Tenfold 2020-03-07T12:01:34.000Z</t>
  </si>
  <si>
    <t>Tilaa VPS 2014-05-14T10:42:23.000Z</t>
  </si>
  <si>
    <t>NuTake 2015-07-07T19:08:19.000Z</t>
  </si>
  <si>
    <t>Tinking - Scrapping Tool 2021-03-24T11:47:31.000Z</t>
  </si>
  <si>
    <t>Speedtest Pro-Free Online Internet Speed Test 2022-09-29T08:13:29.000Z</t>
  </si>
  <si>
    <t>Protractor Protector 2021-08-28T02:02:22.000Z</t>
  </si>
  <si>
    <t>Calculator Button 2013-10-01T20:48:48.000Z</t>
  </si>
  <si>
    <t>RMP Extension 2019-12-24T01:13:46.000Z</t>
  </si>
  <si>
    <t>Stork Copy Check 2022-03-14T11:56:48.000Z</t>
  </si>
  <si>
    <t>零维 2023-04-01T04:01:24.000Z</t>
  </si>
  <si>
    <t>Better Dark Mode 2017-09-23T07:05:34.000Z</t>
  </si>
  <si>
    <t>NetSuite Record JSON Viewer 2023-08-23T06:01:00.000Z</t>
  </si>
  <si>
    <t>Google Meet PiP 2023-10-01T21:17:39.000Z</t>
  </si>
  <si>
    <t>Powerschool Grades 2019-05-01T22:07:49.000Z</t>
  </si>
  <si>
    <t>Robinhood NewsFeed 2021-02-28T19:34:57.000Z</t>
  </si>
  <si>
    <t>Meet Extension by Mitel 2020-11-04T09:06:28.000Z</t>
  </si>
  <si>
    <t>Dvorak right 2014-08-04T05:22:03.000Z</t>
  </si>
  <si>
    <t>TxStreet ETH Gas Prices 2021-12-17T10:30:34.000Z</t>
  </si>
  <si>
    <t>FHS ROCKS 2017-12-12T05:27:21.000Z</t>
  </si>
  <si>
    <t>Bouncing DVD - New Tab 2020-04-07T14:32:39.000Z</t>
  </si>
  <si>
    <t>Notepad 2020-07-13T10:48:40.000Z</t>
  </si>
  <si>
    <t>Bitbucket (+ others): absolute commit date 2019-03-13T19:49:10.000Z</t>
  </si>
  <si>
    <t>Wiktionary Search 2017-02-16T22:43:35.000Z</t>
  </si>
  <si>
    <t>Worldtime 2021-04-17T11:04:50.000Z</t>
  </si>
  <si>
    <t>RapiseChromeExtension 2022-06-23T08:03:20.000Z</t>
  </si>
  <si>
    <t>Chrome Scrapbook 2015-06-23T02:12:12.000Z</t>
  </si>
  <si>
    <t>postMessage debugger 2018-11-28T00:03:01.000Z</t>
  </si>
  <si>
    <t>UXReality for Chrome 2022-07-27T10:28:12.000Z</t>
  </si>
  <si>
    <t>NBA Stephen Curry Wallpapers HD Custom NewTab 2022-07-05T11:35:48.000Z</t>
  </si>
  <si>
    <t>Pinegrow Web Designer 2014-01-24T05:53:32.000Z</t>
  </si>
  <si>
    <t>History Limiter Custom 2021-04-01T06:25:23.000Z</t>
  </si>
  <si>
    <t>TOTP Authenticator 2022-06-23T11:36:21.000Z</t>
  </si>
  <si>
    <t>ORF Radiothek Download 2019-11-29T19:32:21.000Z</t>
  </si>
  <si>
    <t>Essential SEO Toolkit (SEO Analysis Tool) 2020-04-03T16:03:26.000Z</t>
  </si>
  <si>
    <t>PDF Editor Extension - PDFzorro 2023-09-22T12:05:10.000Z</t>
  </si>
  <si>
    <t>Only Browser Recorder 2021-03-09T05:34:24.000Z</t>
  </si>
  <si>
    <t>JIRA Assistant 2021-09-13T11:09:00.000Z</t>
  </si>
  <si>
    <t>ProductivityTab — Custom New Tab Dashboard 2023-12-05T05:46:40.000Z</t>
  </si>
  <si>
    <t>Managebac Grade Calculator &amp; More+ 2024-01-07T07:01:53.000Z</t>
  </si>
  <si>
    <t>Tab Cola 2015-03-24T18:22:44.000Z</t>
  </si>
  <si>
    <t>Модуль E-Staff для Google Chrome 2023-08-10T04:32:51.000Z</t>
  </si>
  <si>
    <t>Exact Time - Local &amp; UTC 2017-02-14T19:24:11.000Z</t>
  </si>
  <si>
    <t>Cool Clock 2018-03-04T07:06:10.000Z</t>
  </si>
  <si>
    <t>Zen Mind: Meditate - Relax - Wallpapers 2021-03-15T09:20:56.000Z</t>
  </si>
  <si>
    <t>video mirroring 2021-12-07T07:58:42.000Z</t>
  </si>
  <si>
    <t>Steam Popularity Filter 2018-06-21T19:04:06.000Z</t>
  </si>
  <si>
    <t>ColorA11y 2015-06-20T01:25:25.000Z</t>
  </si>
  <si>
    <t>Homestuck Keyboard Navigation 2018-07-28T20:44:00.000Z</t>
  </si>
  <si>
    <t>Mod Krunker.IO 2020-08-05T11:05:54.000Z</t>
  </si>
  <si>
    <t>Doubtnut Search 2022-11-24T07:20:09.000Z</t>
  </si>
  <si>
    <t>Download Tab Shortcut 2012-07-05T19:35:23.000Z</t>
  </si>
  <si>
    <t>Instant Maps 2013-07-25T21:45:20.000Z</t>
  </si>
  <si>
    <t>SpotifyTree 2023-01-07T05:57:48.000Z</t>
  </si>
  <si>
    <t>Dirt Farmer's Click Trap Remover 2020-04-25T16:54:00.000Z</t>
  </si>
  <si>
    <t>Paste n' Go 2021-02-07T08:34:45.000Z</t>
  </si>
  <si>
    <t>Hard Refresh 2019-11-27T10:58:51.000Z</t>
  </si>
  <si>
    <t>Smart Bookmarks for YouTube: Productivity Up 2024-08-22T06:06:51.000Z</t>
  </si>
  <si>
    <t>Disable cookies - auto disable popup cookies 2024-03-22T10:09:32.000Z</t>
  </si>
  <si>
    <t>OSM Smart Menu 2020-12-09T07:58:56.000Z</t>
  </si>
  <si>
    <t>Hey Habit 2018-04-20T02:49:33.000Z</t>
  </si>
  <si>
    <t>TinyURL Maker 2019-02-01T23:04:43.000Z</t>
  </si>
  <si>
    <t>Netflix Lens is now CineLens 2023-12-16T10:59:37.000Z</t>
  </si>
  <si>
    <t>Egrow.io Amazon Scout Extension 2023-01-12T11:46:13.000Z</t>
  </si>
  <si>
    <t>Spice Client 2014-12-09T09:31:57.000Z</t>
  </si>
  <si>
    <t>MYBEST代购代运助手 / 一键添加包裹 2023-02-02T04:18:42.000Z</t>
  </si>
  <si>
    <t>Ainslefy 2014-11-05T08:12:52.000Z</t>
  </si>
  <si>
    <t>Reload All Tabs 2023-11-09T04:44:02.000Z</t>
  </si>
  <si>
    <t>3D Model Viewer 2021-10-29T06:35:51.000Z</t>
  </si>
  <si>
    <t>Tugboat Logic Extension 2022-01-28T15:56:43.000Z</t>
  </si>
  <si>
    <t>BSRMaster 2020-11-20T07:38:14.000Z</t>
  </si>
  <si>
    <t>Jisho Kioku 2018-03-09T10:20:53.000Z</t>
  </si>
  <si>
    <t>Photo Calendar 2020 2019-11-27T06:34:25.000Z</t>
  </si>
  <si>
    <t>Cato 2018-10-15T06:02:00.000Z</t>
  </si>
  <si>
    <t>Yandex Translate 2021-07-30T04:28:17.000Z</t>
  </si>
  <si>
    <t>Preview any link</t>
  </si>
  <si>
    <t>Quick launch of Flash-based games 2019-08-22T18:51:58.000Z</t>
  </si>
  <si>
    <t>Talkdesk Callbar 2023-05-25T08:54:38.000Z</t>
  </si>
  <si>
    <t>Easy Twitch Vods 2017-11-17T06:08:46.000Z</t>
  </si>
  <si>
    <t>Signa - Prodemge 2017-05-17T13:35:08.000Z</t>
  </si>
  <si>
    <t>Pacman Popup 2021-12-08T06:44:08.000Z</t>
  </si>
  <si>
    <t>MiCounter 2012-12-23T04:34:49.000Z</t>
  </si>
  <si>
    <t>Tumblr Inactivity Checker 2013-05-09T17:46:18.000Z</t>
  </si>
  <si>
    <t>Event Merge for Google Calendar™ 2019-07-01T23:25:09.000Z</t>
  </si>
  <si>
    <t>Crypto-Plugin 2019-11-19T08:20:31.000Z</t>
  </si>
  <si>
    <t>Showroom Helper 2022-04-21T04:44:13.000Z</t>
  </si>
  <si>
    <t>ChromeLens 2020-05-22T09:15:47.000Z</t>
  </si>
  <si>
    <t>Switch Tabs 2017-04-16T09:09:58.000Z</t>
  </si>
  <si>
    <t>GDPlay 2021-08-29T14:12:21.000Z</t>
  </si>
  <si>
    <t>Thesaurus for Google Chrome™ 2022-04-09T09:14:14.000Z</t>
  </si>
  <si>
    <t>XSwitch 2021-06-01T03:44:56.000Z</t>
  </si>
  <si>
    <t>Star Wars Clone Wars Chronological Disney+ 2020-05-23T10:30:20.000Z</t>
  </si>
  <si>
    <t>Check my cookies 2014-09-04T15:12:43.000Z</t>
  </si>
  <si>
    <t>Тёмный дизайн new.vk.com (ВКонтакте) 2016-07-19T09:26:48.000Z</t>
  </si>
  <si>
    <t>ULaval Adobe Connect HTML5 2021-02-06T05:18:46.000Z</t>
  </si>
  <si>
    <t>AliExpress Order Extractor 2019-11-08T12:19:45.000Z</t>
  </si>
  <si>
    <t>BlackPink Animated New Tab 2021-06-11T10:09:30.000Z</t>
  </si>
  <si>
    <t>Imgur to Gfycat 2015-04-16T01:27:03.000Z</t>
  </si>
  <si>
    <t>Remove Amazon tag and ref links 2017-06-19T14:37:29.000Z</t>
  </si>
  <si>
    <t>Force Download 2017-12-08T22:44:52.000Z</t>
  </si>
  <si>
    <t>A11Y - Color blindness empathy test 2018-10-15T16:49:34.000Z</t>
  </si>
  <si>
    <t>ATP CONTENT: đánh dấu highlight từ khóa 2023-08-03T16:05:21.000Z</t>
  </si>
  <si>
    <t>Zero Two Wallpapers New Tab 2021-07-07T07:07:16.000Z</t>
  </si>
  <si>
    <t>CommonChars 2022-04-14T06:09:48.000Z</t>
  </si>
  <si>
    <t>Google Hangout Editor 2018-02-28T22:22:29.000Z</t>
  </si>
  <si>
    <t>Stealthy 2019-04-15T05:48:30.000Z</t>
  </si>
  <si>
    <t>Hackers toolkit 2018-04-23T11:48:17.000Z</t>
  </si>
  <si>
    <t>Online Weather 2022-02-05T11:28:09.000Z</t>
  </si>
  <si>
    <t>Namaz Vakitleri 2020-06-09T05:56:13.000Z</t>
  </si>
  <si>
    <t>freelancer extension 2016-08-09T05:58:08.000Z</t>
  </si>
  <si>
    <t>速卖通运费模板助手 2024-11-06T13:13:09.000Z</t>
  </si>
  <si>
    <t>Send to Calendar 2016-07-03T21:36:06.000Z</t>
  </si>
  <si>
    <t>Guitar Tuner - Tune by Ear 2018-11-20T19:58:34.000Z</t>
  </si>
  <si>
    <t>Multi-Screen Visualizer 2019-08-01T08:02:22.000Z</t>
  </si>
  <si>
    <t>梦想小说朗读助手 2021-03-30T13:48:56.000Z</t>
  </si>
  <si>
    <t>Interesting Photos for Flickr</t>
  </si>
  <si>
    <t>Activity Map 2019-03-10T18:11:21.000Z</t>
  </si>
  <si>
    <t>Clearlogin Password Manager 2021-05-26T04:31:52.000Z</t>
  </si>
  <si>
    <t>GaggleAMP 2022-02-09T13:06:23.000Z</t>
  </si>
  <si>
    <t>SEO Inspector 2017-03-29T21:30:24.000Z</t>
  </si>
  <si>
    <t>Unbounce Page Lookup 2022-12-02T05:01:13.000Z</t>
  </si>
  <si>
    <t>GoUniverse 2022-04-18T06:47:29.000Z</t>
  </si>
  <si>
    <t>SQL Viewer 2019-03-08T16:02:32.000Z</t>
  </si>
  <si>
    <t>Overleaf textarea 2023-05-12T09:10:30.000Z</t>
  </si>
  <si>
    <t>Forgotten Mods 2015-02-09T13:23:07.000Z</t>
  </si>
  <si>
    <t>Dropmark 2015-07-20T17:58:40.000Z</t>
  </si>
  <si>
    <t>Give me the F-ing PDF 2015-05-24T03:42:46.000Z</t>
  </si>
  <si>
    <t>一键图文: 新浪微博分享 2019-03-08T16:02:35.000Z</t>
  </si>
  <si>
    <t>YoWorld Art 2019-11-07T00:02:55.000Z</t>
  </si>
  <si>
    <t>Restore old Google icons 2020-11-06T06:36:45.000Z</t>
  </si>
  <si>
    <t>SwiftConverter | Free File Converter 2019-08-29T11:37:47.000Z</t>
  </si>
  <si>
    <t>DZRQueueKeeper 2016-02-24T11:45:57.000Z</t>
  </si>
  <si>
    <t>TLV Parser 2019-07-01T20:53:37.000Z</t>
  </si>
  <si>
    <t>Music Downloader 2017-08-21T05:55:30.000Z</t>
  </si>
  <si>
    <t>My Downloads 2013-11-19T21:04:31.000Z</t>
  </si>
  <si>
    <t>Flynow - Produtividade</t>
  </si>
  <si>
    <t>PIXIV Viewer 2019-06-04T11:35:21.000Z</t>
  </si>
  <si>
    <t>Color Grabber 2024-06-13T12:15:58.000Z</t>
  </si>
  <si>
    <t>PostWoman Http Test 2022-08-07T05:34:42.000Z</t>
  </si>
  <si>
    <t>Speechyard for Netflix 2018-11-13T13:11:45.000Z</t>
  </si>
  <si>
    <t>Lab Ray Logger by Jellyneo 2020-11-19T05:22:01.000Z</t>
  </si>
  <si>
    <t>Lastique 2017-02-17T05:53:35.000Z</t>
  </si>
  <si>
    <t>Subtle Scrollbars 2014-02-28T05:21:06.000Z</t>
  </si>
  <si>
    <t>Web Vitals Tester 2022-01-18T09:09:44.000Z</t>
  </si>
  <si>
    <t>Gyroscope for Chrome 2017-02-28T23:59:57.000Z</t>
  </si>
  <si>
    <t>recheck-web Demo 2020-03-24T10:52:39.000Z</t>
  </si>
  <si>
    <t>libdoge 2021-04-25T04:14:25.000Z</t>
  </si>
  <si>
    <t>Cisco Webex Content Sharing 2021-06-10T05:09:04.000Z</t>
  </si>
  <si>
    <t>Post It All : Sticky notes 2022-02-03T07:23:33.000Z</t>
  </si>
  <si>
    <t>Wise Attend 2020-05-18T04:12:21.000Z</t>
  </si>
  <si>
    <t>Office - Enable Copy and Paste 2022-02-10T21:40:55.000Z</t>
  </si>
  <si>
    <t>StreamYard 2018-08-06T22:09:08.000Z</t>
  </si>
  <si>
    <t>ZbigZ - Official Extension 2020-04-13T12:33:03.000Z</t>
  </si>
  <si>
    <t>cardr: the next-gen debate evidence collector 2020-07-20T04:38:37.000Z</t>
  </si>
  <si>
    <t>Posizer 2021-08-01T04:44:19.000Z</t>
  </si>
  <si>
    <t>History Manager 2018-03-29T21:08:20.000Z</t>
  </si>
  <si>
    <t>Add to Blueprint 2020-10-22T06:35:21.000Z</t>
  </si>
  <si>
    <t>View Youtube™ Thumbnail 2018-03-30T05:51:05.000Z</t>
  </si>
  <si>
    <t>SMS from Gmail ™ &amp; Facebook™ (MightyText) 2022-09-07T18:25:28.000Z</t>
  </si>
  <si>
    <t>toCalendar 2015-09-14T05:31:51.000Z</t>
  </si>
  <si>
    <t>Amazon BSR &amp; Rating Colorizer 2022-02-22T07:51:29.000Z</t>
  </si>
  <si>
    <t>TrackMyOrders.com Amazon IP Catcher 2023-10-06T12:02:03.000Z</t>
  </si>
  <si>
    <t>Larry Filter for Twitter 2020-11-01T14:22:36.000Z</t>
  </si>
  <si>
    <t>Timer 2018-03-15T08:18:38.000Z</t>
  </si>
  <si>
    <t>Enable Teams Calling 2019-09-06T10:37:13.000Z</t>
  </si>
  <si>
    <t>RiteForge 2021-08-24T11:38:38.000Z</t>
  </si>
  <si>
    <t>Tab Limiter And Restorer 2022-06-02T10:22:20.000Z</t>
  </si>
  <si>
    <t>Delayed Gratification 2017-01-09T21:58:46.000Z</t>
  </si>
  <si>
    <t>Quest Raspberry 2020-03-30T10:18:07.000Z</t>
  </si>
  <si>
    <t>Robotcorder 2018-09-22T11:03:57.000Z</t>
  </si>
  <si>
    <t>Knotes 2021-06-28T11:10:17.000Z</t>
  </si>
  <si>
    <t>Download All Images 2021-07-29T05:34:11.000Z</t>
  </si>
  <si>
    <t>BookEdge 2023-11-04T23:28:08.000Z</t>
  </si>
  <si>
    <t>Simple Slideshow 2014-12-07T02:25:29.000Z</t>
  </si>
  <si>
    <t>Alice Keeler Classroom Split 2015-09-14T07:25:03.000Z</t>
  </si>
  <si>
    <t>Homestuck Companion 2022-02-24T06:50:24.000Z</t>
  </si>
  <si>
    <t>Color Space 2014-10-20T15:38:05.000Z</t>
  </si>
  <si>
    <t>YouTube Style - Themes for YouTube 2022-09-07T17:49:07.000Z</t>
  </si>
  <si>
    <t>Twitch Clip Downloader 2020-08-02T08:23:07.000Z</t>
  </si>
  <si>
    <t>Canvas Video Enhancer 2017-05-28T01:47:00.000Z</t>
  </si>
  <si>
    <t>Social Fixer for Facebook 2023-09-09T06:34:26.000Z</t>
  </si>
  <si>
    <t>Tiktok : Unfollower ! 2021-11-20T08:54:14.000Z</t>
  </si>
  <si>
    <t>Domain Hunter Plus 2012-11-29T17:08:01.000Z</t>
  </si>
  <si>
    <t>GMX Suche 2020-10-20T03:14:02.000Z</t>
  </si>
  <si>
    <t>Easy Text Copy 2020-07-13T05:00:35.000Z</t>
  </si>
  <si>
    <t>Tabsets 2021-08-09T04:11:41.000Z</t>
  </si>
  <si>
    <t>Pikaso - Screenshot Twitter 2020-08-31T06:12:34.000Z</t>
  </si>
  <si>
    <t>NetSuite Links 2021-03-31T12:53:46.000Z</t>
  </si>
  <si>
    <t>Enable Copy 2022-01-21T10:41:09.000Z</t>
  </si>
  <si>
    <t>FortiClient Chromebook WebFilter Extension 2024-05-28T23:56:10.000Z</t>
  </si>
  <si>
    <t>Tab Stasher 2016-12-13T11:32:25.000Z</t>
  </si>
  <si>
    <t>Search JSTOR 2019-07-24T14:09:29.000Z</t>
  </si>
  <si>
    <t>dアニメ 新規タブツール 2016-10-19T22:20:27.000Z</t>
  </si>
  <si>
    <t>Amazon Price Comparator 2016-04-08T15:59:52.000Z</t>
  </si>
  <si>
    <t>茶友会 - 淘宝查券助手 2020-10-26T09:56:30.000Z</t>
  </si>
  <si>
    <t>Condividi Studio Sapes (ver. 1.0.9) 2022-07-05T12:45:52.000Z</t>
  </si>
  <si>
    <t>Site24x7 Web Transaction (Browser) Recorder 2024-07-18T07:17:24.000Z</t>
  </si>
  <si>
    <t>Mudu RTC 2018-08-30T07:48:14.000Z</t>
  </si>
  <si>
    <t>Обход блокировки | SHAREWOOD.BIZ 2020-06-10T12:51:08.000Z</t>
  </si>
  <si>
    <t>Qulu – Your Hulu Queue 2015-03-20T20:21:56.000Z</t>
  </si>
  <si>
    <t>Roamit 2018-08-20T19:12:38.000Z</t>
  </si>
  <si>
    <t>Photo Editor Pro 2015-09-17T16:45:09.000Z</t>
  </si>
  <si>
    <t>easySearch 2022-11-14T11:51:44.000Z</t>
  </si>
  <si>
    <t>Text Field 2013-04-27T13:03:43.000Z</t>
  </si>
  <si>
    <t>AutoPagerize 2014-10-05T05:53:25.000Z</t>
  </si>
  <si>
    <t>Debug CSS 2018-09-12T17:08:59.000Z</t>
  </si>
  <si>
    <t>DeskAthlete 2018-10-07T12:52:23.000Z</t>
  </si>
  <si>
    <t>Unit Converter 2015-11-30T12:06:17.000Z</t>
  </si>
  <si>
    <t>Quick Notes 2019-03-08T16:04:38.000Z</t>
  </si>
  <si>
    <t>Bus Mountain Drive 2020-05-09T07:44:43.000Z</t>
  </si>
  <si>
    <t>Download Organizer for Google Chrome™ 2018-05-01T21:29:52.000Z</t>
  </si>
  <si>
    <t>JIRA Agile Instant 2016-12-22T09:18:22.000Z</t>
  </si>
  <si>
    <t>MTurk Suite 2023-03-29T09:42:01.000Z</t>
  </si>
  <si>
    <t>Embedy HD 2022-11-17T12:51:06.000Z</t>
  </si>
  <si>
    <t>Netflix Sync Party 2022-01-02T22:38:01.000Z</t>
  </si>
  <si>
    <t>Rivet 2021-03-05T23:07:45.000Z</t>
  </si>
  <si>
    <t>RegExr 2014-09-17T22:31:24.000Z</t>
  </si>
  <si>
    <t>Voice Search 2016-02-20T23:58:37.000Z</t>
  </si>
  <si>
    <t>Asystent Librus (Frekwencja i Średnia) 2020-12-08T13:41:26.000Z</t>
  </si>
  <si>
    <t>Page Pad : Make quick notes 2023-01-22T05:21:28.000Z</t>
  </si>
  <si>
    <t>Viaplay Subtitles 2019-12-06T10:03:35.000Z</t>
  </si>
  <si>
    <t>New Tab Google Translator 2021-04-15T09:44:28.000Z</t>
  </si>
  <si>
    <t>Mikan 2024-08-15T09:55:43.000Z</t>
  </si>
  <si>
    <t>Guitar Center 2014-01-20T21:10:15.000Z</t>
  </si>
  <si>
    <t>Check-In Chicken 2022-01-22T05:17:06.000Z</t>
  </si>
  <si>
    <t>Google Meet Matrix Rain 2020-07-14T10:56:30.000Z</t>
  </si>
  <si>
    <t>timelimit 2018-08-18T21:26:54.000Z</t>
  </si>
  <si>
    <t>Smart Youtube Playlist (AutoFavorite) 2021-02-27T10:56:31.000Z</t>
  </si>
  <si>
    <t>Fullscreenrrr - full webpage screenshot 2015-04-29T20:22:03.000Z</t>
  </si>
  <si>
    <t>Profile DB 2021-08-13T04:02:36.000Z</t>
  </si>
  <si>
    <t>Todobook 2019-05-11T05:48:54.000Z</t>
  </si>
  <si>
    <t>YGOWiki Redirector 2019-07-10T12:07:42.000Z</t>
  </si>
  <si>
    <t>HubTags 2023-11-30T22:24:49.000Z</t>
  </si>
  <si>
    <t>GIF Dance Party Extension 2018-11-11T06:27:09.000Z</t>
  </si>
  <si>
    <t>SnapIt 2016-08-26T23:46:29.000Z</t>
  </si>
  <si>
    <t>InShorts 2017-07-03T11:51:29.000Z</t>
  </si>
  <si>
    <t>板栗节点 2022-01-10T11:56:06.000Z</t>
  </si>
  <si>
    <t>Dumpert Download Extensie 2016-01-14T10:15:15.000Z</t>
  </si>
  <si>
    <t>iZoom 2015-05-07T13:55:13.000Z</t>
  </si>
  <si>
    <t>abcCorrector para Chrome 2019-03-15T18:37:31.000Z</t>
  </si>
  <si>
    <t>ALIENG 2020-10-21T01:03:15.000Z</t>
  </si>
  <si>
    <t>dejure.org Multi-Suche 2023-06-22T02:20:55.000Z</t>
  </si>
  <si>
    <t>BrowserFairy 2020-07-09T05:57:13.000Z</t>
  </si>
  <si>
    <t>Processor Monitor 2022-09-22T11:09:16.000Z</t>
  </si>
  <si>
    <t>Voice messaging for Slack 2022-09-16T05:51:00.000Z</t>
  </si>
  <si>
    <t>Plutio 2020-09-23T06:13:11.000Z</t>
  </si>
  <si>
    <t>Paste From Context Menu 2016-10-14T14:49:28.000Z</t>
  </si>
  <si>
    <t>Live Bookmarks 2019-01-04T16:59:56.000Z</t>
  </si>
  <si>
    <t>Reader Mode 2015-05-07T17:26:43.000Z</t>
  </si>
  <si>
    <t>Password Chameleon 2021-04-19T05:14:06.000Z</t>
  </si>
  <si>
    <t>Batch Save Pocket 2020-05-27T12:14:43.000Z</t>
  </si>
  <si>
    <t>PassCamp: Password Manager 2023-06-05T11:48:45.000Z</t>
  </si>
  <si>
    <t>Examin 2021-05-14T13:53:02.000Z</t>
  </si>
  <si>
    <t>YouBlock 2017-01-25T19:28:55.000Z</t>
  </si>
  <si>
    <t>screenshot 2021-09-24T08:08:35.000Z</t>
  </si>
  <si>
    <t>Google Meet - Auto Aceitar Convidados 2020-08-18T04:20:07.000Z</t>
  </si>
  <si>
    <t>YouTube Normalizer 2020-12-21T10:22:48.000Z</t>
  </si>
  <si>
    <t>火龙果校对-智能检查错别字 2021-09-29T12:12:58.000Z</t>
  </si>
  <si>
    <t>Paste 'Lorem ipsum...' 2013-08-21T14:17:38.000Z</t>
  </si>
  <si>
    <t>xPath Finder 2020-06-12T13:06:49.000Z</t>
  </si>
  <si>
    <t>AnkiTab 2020-09-10T06:32:51.000Z</t>
  </si>
  <si>
    <t>Toxic | Shell Shockers Theme 2021-03-09T12:38:55.000Z</t>
  </si>
  <si>
    <t>DiCentral ClickOnce helper for Chrome™ 2022-03-17T06:53:52.000Z</t>
  </si>
  <si>
    <t>SSL to TLS 2015-12-17T22:32:13.000Z</t>
  </si>
  <si>
    <t>Chrome Extension Organizer 2019-10-13T20:43:10.000Z</t>
  </si>
  <si>
    <t>New Tab Apps 2022-07-09T05:40:29.000Z</t>
  </si>
  <si>
    <t>Vajehyab 2019-10-17T21:31:20.000Z</t>
  </si>
  <si>
    <t>123Greetings eCards 2013-11-15T06:53:17.000Z</t>
  </si>
  <si>
    <t>Stopwatch and Counter 2021-09-23T04:29:03.000Z</t>
  </si>
  <si>
    <t>RunMyCode Online 2019-03-24T06:50:35.000Z</t>
  </si>
  <si>
    <t>Scroll Memory 2014-05-20T08:27:51.000Z</t>
  </si>
  <si>
    <t>iConsumer Button 2020-06-17T04:44:14.000Z</t>
  </si>
  <si>
    <t>Beach Day | Shell Shockers Theme 2021-04-23T12:02:25.000Z</t>
  </si>
  <si>
    <t>Google Scholar Tools 2020-12-30T17:57:22.000Z</t>
  </si>
  <si>
    <t>CryptoPro Extension for CAdES Browser Plug-in 2022-11-15T09:08:22.000Z</t>
  </si>
  <si>
    <t>MyFitnessPal Food Diary Percentages 2014-04-11T19:58:11.000Z</t>
  </si>
  <si>
    <t>ASU Professor Ratings 2018-02-19T02:29:22.000Z</t>
  </si>
  <si>
    <t>Barry's Image Zoom 2013-12-31T17:43:03.000Z</t>
  </si>
  <si>
    <t>FUT Ultimate Sniper Trading Kit for Android 2021-06-01T00:57:22.000Z</t>
  </si>
  <si>
    <t>Youzign 2015-02-22T12:23:24.000Z</t>
  </si>
  <si>
    <t>GTM Sonar 2020-05-17T05:54:12.000Z</t>
  </si>
  <si>
    <t>ASCII Art 2020-09-24T05:24:50.000Z</t>
  </si>
  <si>
    <t>ComposeKey 2022-07-06T05:21:15.000Z</t>
  </si>
  <si>
    <t>Scroll Buddy 2023-12-29T06:55:16.000Z</t>
  </si>
  <si>
    <t>Boom - 视频办公协同工具 2022-03-10T11:57:43.000Z</t>
  </si>
  <si>
    <t>Twitch Live 2022-03-09T05:22:52.000Z</t>
  </si>
  <si>
    <t>JS Runtime Inspector 2013-02-14T12:47:18.000Z</t>
  </si>
  <si>
    <t>Jakcodex/Muledump CORS Adapter 2019-08-20T07:18:58.000Z</t>
  </si>
  <si>
    <t>IPvFooBar 2023-03-13T11:15:56.000Z</t>
  </si>
  <si>
    <t>GBF Raid Finder Auto-Copier 2021-01-11T09:07:17.000Z</t>
  </si>
  <si>
    <t>Placeholdifier 2021-03-28T12:57:52.000Z</t>
  </si>
  <si>
    <t>NSzx Music Player 2022-12-24T03:25:57.000Z</t>
  </si>
  <si>
    <t>RoamThemes 2020-08-16T07:45:59.000Z</t>
  </si>
  <si>
    <t>SoundShroud 2016-03-07T22:04:17.000Z</t>
  </si>
  <si>
    <t>Print Extension 2022-08-12T08:02:04.000Z</t>
  </si>
  <si>
    <t>Hartico Flash Enabler 2020-03-10T08:58:37.000Z</t>
  </si>
  <si>
    <t>Do not close browser with last tab 2023-03-31T11:34:51.000Z</t>
  </si>
  <si>
    <t>Favicon Changer 2013-01-02T00:42:26.000Z</t>
  </si>
  <si>
    <t>i2Clipart - Just Free Clipart 2024-04-08T05:46:11.000Z</t>
  </si>
  <si>
    <t>Yet Another Drag and Go FIX 2021-08-29T04:20:50.000Z</t>
  </si>
  <si>
    <t>XHR JSON Panel 2021-11-01T11:33:58.000Z</t>
  </si>
  <si>
    <t>Name Generator Extension 2015-08-17T21:10:01.000Z</t>
  </si>
  <si>
    <t>Pubmed2Endnote 2014-01-24T20:19:41.000Z</t>
  </si>
  <si>
    <t>ctrl tab 2019-12-22T00:01:47.000Z</t>
  </si>
  <si>
    <t>Row Highlighter for Gmail™ and Inbox™ 2017-07-05T20:01:56.000Z</t>
  </si>
  <si>
    <t>WEB.DE WEB.Cent Alarm 2024-02-21T06:12:21.000Z</t>
  </si>
  <si>
    <t>Leoh New Tab 2017-10-07T02:25:18.000Z</t>
  </si>
  <si>
    <t>Sesli Sozluk 2014-05-26T08:56:53.000Z</t>
  </si>
  <si>
    <t>ESPNCricinfo 2020-03-04T11:56:27.000Z</t>
  </si>
  <si>
    <t>NICE Browser Connector 2024-01-21T21:28:50.000Z</t>
  </si>
  <si>
    <t>Custom Chrome Shortcut Manager 2022-05-25T12:54:56.000Z</t>
  </si>
  <si>
    <t>DA Friends 2 2024-12-19T21:40:32.000Z</t>
  </si>
  <si>
    <t>You No Cards 2018-06-17T14:08:54.000Z</t>
  </si>
  <si>
    <t>Photo Editor 2015-05-23T19:57:40.000Z</t>
  </si>
  <si>
    <t>Your notifier 2019-07-21T07:50:52.000Z</t>
  </si>
  <si>
    <t>Tab Link Copier 2020-05-02T22:13:32.000Z</t>
  </si>
  <si>
    <t>openBuild 2022-07-20T16:12:17.000Z</t>
  </si>
  <si>
    <t>Screen Doodle 2017-11-22T21:56:39.000Z</t>
  </si>
  <si>
    <t>poe.trade price fixing 2017-08-25T08:51:38.000Z</t>
  </si>
  <si>
    <t>SimpRead - Reader View 2021-06-01T12:02:44.000Z</t>
  </si>
  <si>
    <t>World of Warcraft Search 2019-05-29T12:42:58.000Z</t>
  </si>
  <si>
    <t>Scales &amp; Modes Quick Reference 2017-01-10T13:52:56.000Z</t>
  </si>
  <si>
    <t>DriveSlides by Matt Miller and Alice Keeler 2020-07-03T04:28:22.000Z</t>
  </si>
  <si>
    <t>Jarvis - Zerodha Trading helper 2021-01-09T17:13:50.000Z</t>
  </si>
  <si>
    <t>Multiple File Downloader 2022-07-01T03:14:23.000Z</t>
  </si>
  <si>
    <t>Quick QRCode 2020-07-23T13:07:28.000Z</t>
  </si>
  <si>
    <t>ApexCase Capitalizer 2020-09-04T04:19:12.000Z</t>
  </si>
  <si>
    <t>SFCC / Demandware BM Session Keep Alive 2020-04-16T15:56:43.000Z</t>
  </si>
  <si>
    <t>Multi Layout Manager 2018-03-19T11:39:56.000Z</t>
  </si>
  <si>
    <t>YouTube Playlist Duration 2021-03-14T11:10:02.000Z</t>
  </si>
  <si>
    <t>Eyes Alarm 2022-04-07T18:09:44.000Z</t>
  </si>
  <si>
    <t>dataslayer 2021-06-06T02:30:53.000Z</t>
  </si>
  <si>
    <t>Google Enhancer 2022-01-31T07:56:04.000Z</t>
  </si>
  <si>
    <t>Acta365Classroom 2023-06-16T05:27:47.000Z</t>
  </si>
  <si>
    <t>CouponsHelper 2016-12-19T09:48:11.000Z</t>
  </si>
  <si>
    <t>Black Panther Wallpaper - New Tab Theme 2019-01-16T14:30:02.000Z</t>
  </si>
  <si>
    <t>AccessiByeBye 2024-03-06T12:52:02.000Z</t>
  </si>
  <si>
    <t>Social Lead Machine 2021-04-05T14:46:15.000Z</t>
  </si>
  <si>
    <t>Superfly - Relay Auto Booker 2022-04-18T11:31:22.000Z</t>
  </si>
  <si>
    <t>FullyFeedly 2021-02-14T05:01:35.000Z</t>
  </si>
  <si>
    <t>Printer Friendly Gmail 2016-06-19T07:18:56.000Z</t>
  </si>
  <si>
    <t>Zabbix Notifier 2017-01-24T09:03:25.000Z</t>
  </si>
  <si>
    <t>Tabulazer - Table Filter and Sorter 2019-10-06T02:21:31.000Z</t>
  </si>
  <si>
    <t>FirePHP (Official) 2020-12-24T06:50:51.000Z</t>
  </si>
  <si>
    <t>Font Generator 2022-07-09T05:02:34.000Z</t>
  </si>
  <si>
    <t>Working Holiday Visa Auto-Fill Plugin Super X 2022-09-21T12:33:21.000Z</t>
  </si>
  <si>
    <t>Reddit Ad Blocker 2020-05-07T20:24:02.000Z</t>
  </si>
  <si>
    <t>Random Background Color 2014-01-19T16:39:38.000Z</t>
  </si>
  <si>
    <t>No PDF Download 2019-06-07T10:32:45.000Z</t>
  </si>
  <si>
    <t>Shopbuddies.de Cashback-Melder 2017-09-21T08:01:47.000Z</t>
  </si>
  <si>
    <t>Short URL and QR code generator 2019-10-05T01:55:58.000Z</t>
  </si>
  <si>
    <t>SaveTabs - Window &amp; Tab Manager 2022-06-16T09:06:10.000Z</t>
  </si>
  <si>
    <t>PDF Color Inverter 2020-12-31T08:06:37.000Z</t>
  </si>
  <si>
    <t>Cookie clicker</t>
  </si>
  <si>
    <t>Angular Profiler 2020-06-19T06:01:20.000Z</t>
  </si>
  <si>
    <t>Glitterboo 2023-08-02T07:25:02.000Z</t>
  </si>
  <si>
    <t>Material Design Palette 2016-11-04T13:49:13.000Z</t>
  </si>
  <si>
    <t>Heniek CDA 2016-07-26T07:55:21.000Z</t>
  </si>
  <si>
    <t>Webplayer Hotkeys - Shortcuts for web players 2020-01-02T21:30:59.000Z</t>
  </si>
  <si>
    <t>Visual Fashion Finder 2023-10-02T10:56:46.000Z</t>
  </si>
  <si>
    <t>Flowbot44's Axie Infinity Extension 2022-01-25T14:21:21.000Z</t>
  </si>
  <si>
    <t>Netflix Flip - Rotate Netflix in Your Browser 2018-09-18T10:21:09.000Z</t>
  </si>
  <si>
    <t>My Fortnite Stats 2018-08-18T10:26:45.000Z</t>
  </si>
  <si>
    <t>Trello Compact Mode 2017-08-04T16:44:47.000Z</t>
  </si>
  <si>
    <t>Amazing Affiliate Link 2022-12-20T11:00:19.000Z</t>
  </si>
  <si>
    <t>Lofter抓文插件 2018-04-15T05:34:15.000Z</t>
  </si>
  <si>
    <t>Tumblr Optimiser 2014-11-17T00:31:56.000Z</t>
  </si>
  <si>
    <t>Slitherio Zoom 2020-07-30T04:20:58.000Z</t>
  </si>
  <si>
    <t>Tiki Affiliate Link Maker 2022-03-10T07:13:34.000Z</t>
  </si>
  <si>
    <t>Christmas Home Page 2021-02-10T08:48:01.000Z</t>
  </si>
  <si>
    <t>Install as App 2020-04-07T18:45:58.000Z</t>
  </si>
  <si>
    <t>Focusalarm 2024-07-21T09:29:22.000Z</t>
  </si>
  <si>
    <t>Preact Developer Tools 2024-04-25T11:04:29.000Z</t>
  </si>
  <si>
    <t>Social hub 2022-10-20T09:37:23.000Z</t>
  </si>
  <si>
    <t>Dynalist Companion Clipper 2018-10-03T23:19:53.000Z</t>
  </si>
  <si>
    <t>Ruto - XPath Finder 2021-04-07T13:25:43.000Z</t>
  </si>
  <si>
    <t>Fiverrlytics - Your Fiverr Assistant 2022-08-24T06:44:47.000Z</t>
  </si>
  <si>
    <t>SEO Tool Extension: Meta + SEO Checker 2020-07-14T03:18:38.000Z</t>
  </si>
  <si>
    <t>Yay! Another Speed dial! 2021-05-13T07:57:30.000Z</t>
  </si>
  <si>
    <t>MyanmarFontTagger 2013-06-10T08:16:16.000Z</t>
  </si>
  <si>
    <t>Speed Reader 2014-03-03T22:05:55.000Z</t>
  </si>
  <si>
    <t>Coronavirus Live Status | COVID-19 Simulator 2023-03-29T10:04:27.000Z</t>
  </si>
  <si>
    <t>GAuth Authenticator 2015-01-26T05:50:13.000Z</t>
  </si>
  <si>
    <t>Type Japanese 2021-12-30T09:24:28.000Z</t>
  </si>
  <si>
    <t>Download Link Generator for Drive™ 2020-11-18T21:10:40.000Z</t>
  </si>
  <si>
    <t>USMLE Spot Checker 2020-05-17T05:08:05.000Z</t>
  </si>
  <si>
    <t>Better Destiny.gg 2019-03-08T16:08:58.000Z</t>
  </si>
  <si>
    <t>打工度假自动填表插件-大X-纽澳多用版 2022-09-21T10:57:36.000Z</t>
  </si>
  <si>
    <t>Esportal AutoAccept 2019-12-18T14:32:06.000Z</t>
  </si>
  <si>
    <t>Right Click to Search: Amazon ALL COUNTRIES! 2021-01-07T12:53:13.000Z</t>
  </si>
  <si>
    <t>WordWeb Dictionary Lookup 2017-05-08T21:16:00.000Z</t>
  </si>
  <si>
    <t>Wordzen for Gmail 2019-06-01T06:43:16.000Z</t>
  </si>
  <si>
    <t>Link Crawler 2019-11-04T08:02:56.000Z</t>
  </si>
  <si>
    <t>LOOT.Farm helper 2021-07-16T06:12:35.000Z</t>
  </si>
  <si>
    <t>My Security Browser 2021-10-19T10:04:18.000Z</t>
  </si>
  <si>
    <t>Synonym Finder 2021-12-17T09:08:02.000Z</t>
  </si>
  <si>
    <t>Better Twitter 2024-05-18T12:54:18.000Z</t>
  </si>
  <si>
    <t>Product Content Checker 2022-08-23T06:36:28.000Z</t>
  </si>
  <si>
    <t>Wmrok API 2020-11-22T06:41:07.000Z</t>
  </si>
  <si>
    <t>Ответы к Решу ОГЭ и Решу ЕГЭ - РешуОГЭ/ЕГЭ+ 2022-08-12T04:47:33.000Z</t>
  </si>
  <si>
    <t>Bat! Images Hunter 2013-06-29T16:42:46.000Z</t>
  </si>
  <si>
    <t>Twitch Live 2019-08-12T21:59:39.000Z</t>
  </si>
  <si>
    <t>AppMint Lite: HTML5/jQuery Mobile App Builder 2014-02-07T18:44:18.000Z</t>
  </si>
  <si>
    <t>Kontest Reminder 2023-08-02T04:52:58.000Z</t>
  </si>
  <si>
    <t>Mapview for Kijiji™ 2020-02-21T05:40:42.000Z</t>
  </si>
  <si>
    <t>Physics Sandbox 2019-04-29T19:14:24.000Z</t>
  </si>
  <si>
    <t>Incognito Search 2020-07-13T06:07:13.000Z</t>
  </si>
  <si>
    <t>Salesforce Dashboards on TV 2018-12-31T09:35:00.000Z</t>
  </si>
  <si>
    <t>WebSatchel - Your personal web archive! 2021-10-15T03:21:24.000Z</t>
  </si>
  <si>
    <t>Darkness - Beautiful Dark Themes 2024-01-09T13:35:41.000Z</t>
  </si>
  <si>
    <t>VerticalTabs 2018-06-03T17:18:05.000Z</t>
  </si>
  <si>
    <t>Ketchup.today 2019-06-21T12:04:31.000Z</t>
  </si>
  <si>
    <t>aprilFools 2013-04-01T01:08:21.000Z</t>
  </si>
  <si>
    <t>Naver Band Post &amp; Comment Remover 2021-06-11T08:05:46.000Z</t>
  </si>
  <si>
    <t>Python Fiddle 2013-01-14T18:37:58.000Z</t>
  </si>
  <si>
    <t>douban Plus 2022-04-08T12:06:44.000Z</t>
  </si>
  <si>
    <t>Imagus 2024-10-15T19:36:16.000Z</t>
  </si>
  <si>
    <t>LeetSports Fantasy Hockey Tools 2022-02-06T10:31:45.000Z</t>
  </si>
  <si>
    <t>Original Size Image Downloader 2022-10-14T06:26:57.000Z</t>
  </si>
  <si>
    <t>Windows Phone Store QR 2021-11-02T10:46:18.000Z</t>
  </si>
  <si>
    <t>URL Shortener with QR Code 2021-05-18T05:48:11.000Z</t>
  </si>
  <si>
    <t>yet another speed dial 2024-03-28T04:22:46.000Z</t>
  </si>
  <si>
    <t>iPiccy Photo Editor 2015-04-14T18:30:57.000Z</t>
  </si>
  <si>
    <t>Analytics Watcher 2022-12-23T14:13:33.000Z</t>
  </si>
  <si>
    <t>Nootpad 2015-07-15T23:12:11.000Z</t>
  </si>
  <si>
    <t>Call From Browser 2020-03-15T05:26:56.000Z</t>
  </si>
  <si>
    <t>GitCodeTree 2019-03-06T13:40:26.000Z</t>
  </si>
  <si>
    <t>Feedly Counter 2014-03-24T19:16:09.000Z</t>
  </si>
  <si>
    <t>PNG</t>
  </si>
  <si>
    <t>Google Meet Attendance 2021-09-29T10:28:15.000Z</t>
  </si>
  <si>
    <t>AutoDS - Dropshipping Helper 2024-12-11T12:52:18.000Z</t>
  </si>
  <si>
    <t>Cat Screen Cleaner 2017-09-27T14:35:12.000Z</t>
  </si>
  <si>
    <t>SweDic (Swedish - English Dictionary) 2013-07-17T21:27:51.000Z</t>
  </si>
  <si>
    <t>AreYouRecording 2022-01-11T13:54:25.000Z</t>
  </si>
  <si>
    <t>Web.archive.org Auto-Archiver 2023-07-06T04:26:33.000Z</t>
  </si>
  <si>
    <t>KosmoTime extension 2021-10-25T07:04:45.000Z</t>
  </si>
  <si>
    <t>Clipboard for Google Chrome™ 2020-12-16T03:24:51.000Z</t>
  </si>
  <si>
    <t>Shirt2CSV - Export Merch By Amazon Listings 2019-03-22T10:25:07.000Z</t>
  </si>
  <si>
    <t>Automa 2024-02-06T06:48:30.000Z</t>
  </si>
  <si>
    <t>Furigana 2021-09-02T08:50:48.000Z</t>
  </si>
  <si>
    <t>Gmail™ Notifier (Developer Edition) 2021-09-18T07:56:42.000Z</t>
  </si>
  <si>
    <t>Emoji Keyboard 2021 - for Chrome Browser 2021-07-29T04:02:57.000Z</t>
  </si>
  <si>
    <t>Döviz ve Altın Kurları 2020-12-23T12:24:18.000Z</t>
  </si>
  <si>
    <t>My Tasks: Todo-List for Google Chrome 2015-11-02T20:30:33.000Z</t>
  </si>
  <si>
    <t>Reload Tabs 2014-09-24T15:08:38.000Z</t>
  </si>
  <si>
    <t>Chrome Url Saver 2022-09-28T06:05:32.000Z</t>
  </si>
  <si>
    <t>Start! 2017-03-11T11:53:57.000Z</t>
  </si>
  <si>
    <t>一马: 在线代码翻译 2019-08-28T02:05:16.000Z</t>
  </si>
  <si>
    <t>Idõjárás - Magyar nagyvárosok 2012-11-20T17:42:50.000Z</t>
  </si>
  <si>
    <t>Sci-Hub Searcher 2021-02-14T08:49:40.000Z</t>
  </si>
  <si>
    <t>Bar Translate 2019-08-27T20:54:10.000Z</t>
  </si>
  <si>
    <t>Pomodoro clock 2024-08-22T04:27:48.000Z</t>
  </si>
  <si>
    <t>ORDERQC.COM - ĐẶT HÀNG TRÊN TAOBAO 1688 TMALL 2024-10-21T11:21:15.000Z</t>
  </si>
  <si>
    <t>Videoland Party 2021-12-08T10:13:43.000Z</t>
  </si>
  <si>
    <t>Georgian eSpeak (ქართული TTS) 2016-03-07T12:52:43.000Z</t>
  </si>
  <si>
    <t>Free One Touch VPN 2021-02-15T10:51:28.000Z</t>
  </si>
  <si>
    <t>NetflixProxy 2022-11-07T05:04:18.000Z</t>
  </si>
  <si>
    <t>9GAG Mini 2014-06-10T10:25:11.000Z</t>
  </si>
  <si>
    <t>Overlay Blocker 2020-09-27T12:56:38.000Z</t>
  </si>
  <si>
    <t>Redirect skipper 2021-10-14T05:02:20.000Z</t>
  </si>
  <si>
    <t>World Clocks 2012-12-28T17:39:45.000Z</t>
  </si>
  <si>
    <t>Ethereum Gas Price Extension 2021-08-05T20:30:53.000Z</t>
  </si>
  <si>
    <t>New XKit 2020-05-21T11:04:13.000Z</t>
  </si>
  <si>
    <t>Alibaba Scenario Recorder 2023-08-29T12:42:28.000Z</t>
  </si>
  <si>
    <t>豆瓣影视图书小助手 2017-08-29T02:32:02.000Z</t>
  </si>
  <si>
    <t>Google Meet Attendance &amp; Breakout Rooms 2021-05-24T03:27:54.000Z</t>
  </si>
  <si>
    <t>WordFinder 2020-10-16T15:11:23.000Z</t>
  </si>
  <si>
    <t>TCMB Döviz Kurları 2020-09-05T07:30:30.000Z</t>
  </si>
  <si>
    <t>GeForce Now Web Enabler 2020-09-02T09:19:07.000Z</t>
  </si>
  <si>
    <t>ImageScrapper 2019-03-20T18:26:18.000Z</t>
  </si>
  <si>
    <t>UPPERSAFE 2017-11-27T14:03:55.000Z</t>
  </si>
  <si>
    <t>Numbered Tabs 2020-04-30T08:03:04.000Z</t>
  </si>
  <si>
    <t>Turbo Outliner 2017-02-22T07:26:21.000Z</t>
  </si>
  <si>
    <t>Google Meet Random Picker 2021-01-19T13:44:38.000Z</t>
  </si>
  <si>
    <t>DREAM ChatOS automatic email sender 2023-03-03T05:12:52.000Z</t>
  </si>
  <si>
    <t>QuickStreamer 2015-12-24T10:04:43.000Z</t>
  </si>
  <si>
    <t>Mobrem 2020-04-08T00:03:32.000Z</t>
  </si>
  <si>
    <t>Dropbox 2019-11-05T11:13:59.000Z</t>
  </si>
  <si>
    <t>SearchGuard — Smart Search 2021-01-04T22:08:38.000Z</t>
  </si>
  <si>
    <t>MathJax Plugin for Github 2019-03-08T16:11:10.000Z</t>
  </si>
  <si>
    <t>Paratic Piyasalar: Döviz</t>
  </si>
  <si>
    <t>URLエンコード速攻！ 2013-09-06T02:08:58.000Z</t>
  </si>
  <si>
    <t>Palette Creator 2024-07-24T08:03:56.000Z</t>
  </si>
  <si>
    <t>Shutterstock Reveal 2020-07-04T07:40:11.000Z</t>
  </si>
  <si>
    <t>Ipynb Files Viewer 2020-12-02T17:43:01.000Z</t>
  </si>
  <si>
    <t>Automated Flash Site Enabler (Lite) 2020-11-19T15:19:52.000Z</t>
  </si>
  <si>
    <t>User-Agent Switcher (Deprecated) 2024-06-14T06:53:47.000Z</t>
  </si>
  <si>
    <t>SmartHint 2022-06-11T21:26:50.000Z</t>
  </si>
  <si>
    <t>DARAZ Lab 2021-02-16T04:07:29.000Z</t>
  </si>
  <si>
    <t>Previeweet 2013-11-21T17:46:21.000Z</t>
  </si>
  <si>
    <t>Assima Train 2024-10-01T15:10:17.000Z</t>
  </si>
  <si>
    <t>AfD Blocker 2019-05-21T07:28:47.000Z</t>
  </si>
  <si>
    <t>Twitch clip/VOD sync 2021-06-07T14:28:57.000Z</t>
  </si>
  <si>
    <t>4th Office Edit 2015-07-07T15:48:44.000Z</t>
  </si>
  <si>
    <t>One Click To Full Screen Window 2019-02-13T16:15:43.000Z</t>
  </si>
  <si>
    <t>Công cụ ký điện tử kê khai BHXH VIETTEL 2021-09-24T12:28:49.000Z</t>
  </si>
  <si>
    <t>Map Services Enhanced 2020-03-27T08:02:36.000Z</t>
  </si>
  <si>
    <t>Better YouTube Gaming 2019-09-10T03:36:09.000Z</t>
  </si>
  <si>
    <t>Private Bookmarker 2019-07-24T14:51:55.000Z</t>
  </si>
  <si>
    <t>Text Explorer 2021-02-22T08:53:37.000Z</t>
  </si>
  <si>
    <t>Herp Derp for YouTube™ 2019-08-18T15:06:04.000Z</t>
  </si>
  <si>
    <t>Google Apps Script Custom IDE 2020-07-31T04:27:10.000Z</t>
  </si>
  <si>
    <t>Aergo Connect 2022-10-06T02:01:46.000Z</t>
  </si>
  <si>
    <t>Open in OpenOffice 2020-11-08T03:42:11.000Z</t>
  </si>
  <si>
    <t>T-Rex Outrunner 2018-07-19T05:32:16.000Z</t>
  </si>
  <si>
    <t>Kindle Cloud Reader Translate 2023-06-23T06:45:23.000Z</t>
  </si>
  <si>
    <t>Convert To Popup 2018-03-07T19:10:17.000Z</t>
  </si>
  <si>
    <t>Clipboard Permission Manager 2018-05-03T04:47:20.000Z</t>
  </si>
  <si>
    <t>Trello Cards Optimizer 2021-07-26T15:18:14.000Z</t>
  </si>
  <si>
    <t>QRCodePro 2021-01-30T13:24:43.000Z</t>
  </si>
  <si>
    <t>STEALTH IP Changer 2021-04-29T12:02:36.000Z</t>
  </si>
  <si>
    <t>Narwallets V3 2022-04-02T11:02:10.000Z</t>
  </si>
  <si>
    <t>Imgflip Quick Create 2020-09-25T08:03:27.000Z</t>
  </si>
  <si>
    <t>KlavoTools Kango 2020-09-25T17:32:51.000Z</t>
  </si>
  <si>
    <t>Dictionary Lookup 2021-05-11T04:18:45.000Z</t>
  </si>
  <si>
    <t>Twitch Bonus Claimer 2020-04-07T06:25:05.000Z</t>
  </si>
  <si>
    <t>Drop Video - Aliexpress Video Downloader 2024-05-06T11:37:34.000Z</t>
  </si>
  <si>
    <t>Paris Wallpaper 2022-01-03T08:40:41.000Z</t>
  </si>
  <si>
    <t>Ctool 程序开发常用工具 2023-09-18T09:30:06.000Z</t>
  </si>
  <si>
    <t>Among Us Custom Cursor 2023-05-25T05:43:47.000Z</t>
  </si>
  <si>
    <t>Vagalume 2020-04-20T08:44:06.000Z</t>
  </si>
  <si>
    <t>AnimSearch - Beautify Your Digital Experience 2022-02-18T10:36:53.000Z</t>
  </si>
  <si>
    <t>Tab Extract 2021-06-25T04:52:23.000Z</t>
  </si>
  <si>
    <t>Urban Dictionary Instant Word Lookup 2015-02-09T09:35:28.000Z</t>
  </si>
  <si>
    <t>刀剣専覧-刀剣乱舞専用ブラウザ 2022-04-16T12:19:05.000Z</t>
  </si>
  <si>
    <t>Miniplay.com - Free Games 2020-06-02T03:37:07.000Z</t>
  </si>
  <si>
    <t>Sun &amp; moon times extension 2016-01-07T08:46:39.000Z</t>
  </si>
  <si>
    <t>ImageMass - Bulk Images Downloader 2022-01-25T06:29:39.000Z</t>
  </si>
  <si>
    <t>GameofSpoils: Game of Thrones Spoiler Blocker 2017-08-11T22:02:23.000Z</t>
  </si>
  <si>
    <t>Organize Downloads by Date 2018-10-27T14:24:43.000Z</t>
  </si>
  <si>
    <t>Enhance Facebook™ Livestream 2019-04-06T08:03:50.000Z</t>
  </si>
  <si>
    <t>StoryPoint for Asana 2022-08-17T07:09:07.000Z</t>
  </si>
  <si>
    <t>简法主页 2021-06-09T09:45:24.000Z</t>
  </si>
  <si>
    <t>Send to Kindle (by Klip.me) 2013-04-02T16:58:26.000Z</t>
  </si>
  <si>
    <t>مواقيت الصلاة: إشعارات الصلاة في المتصفح 2023-03-24T08:13:24.000Z</t>
  </si>
  <si>
    <t>Alice Keeler Gradebook Split 2019-10-23T19:57:16.000Z</t>
  </si>
  <si>
    <t>UniverseView Extension 2022-02-05T12:56:40.000Z</t>
  </si>
  <si>
    <t>Comfortable Atcoder 2019-05-25T05:00:29.000Z</t>
  </si>
  <si>
    <t>Qsirch Helper 2024-05-04T07:13:11.000Z</t>
  </si>
  <si>
    <t>JSON Formatter for API 2019-11-27T00:14:31.000Z</t>
  </si>
  <si>
    <t>Bernie PB 2020-03-18T06:29:35.000Z</t>
  </si>
  <si>
    <t>Meteor DevTools 2016-08-04T10:58:25.000Z</t>
  </si>
  <si>
    <t>When was this website published? 2015-06-22T08:23:09.000Z</t>
  </si>
  <si>
    <t>Current Moon Phase 2021-04-21T13:03:57.000Z</t>
  </si>
  <si>
    <t>Apple Music Controls 2021-02-17T23:42:14.000Z</t>
  </si>
  <si>
    <t>Pou Games New Tab 2016-11-27T01:53:14.000Z</t>
  </si>
  <si>
    <t>XPath Helper Wizard 2020-04-25T09:30:46.000Z</t>
  </si>
  <si>
    <t>Control V 2020-02-17T12:32:09.000Z</t>
  </si>
  <si>
    <t>PIE (English Learner's Edition) 2015-07-18T22:15:17.000Z</t>
  </si>
  <si>
    <t>HTML5 Audio Description (via text to speech) 2012-08-10T20:10:55.000Z</t>
  </si>
  <si>
    <t>Html2Book 2013-05-31T13:52:34.000Z</t>
  </si>
  <si>
    <t>Seenly 2013-11-15T18:15:35.000Z</t>
  </si>
  <si>
    <t>SBS Downloader 2021-12-20T08:03:50.000Z</t>
  </si>
  <si>
    <t>Essentials for KissAnime 2020-05-18T04:36:57.000Z</t>
  </si>
  <si>
    <t>sFTP Client 2021-08-19T10:35:23.000Z</t>
  </si>
  <si>
    <t>Cooooookies 2021-05-01T06:32:07.000Z</t>
  </si>
  <si>
    <t>Music.torrent 2016-02-19T15:37:37.000Z</t>
  </si>
  <si>
    <t>Twitter Large Images 2015-06-13T21:49:18.000Z</t>
  </si>
  <si>
    <t>Canvas Quiz Filler 2019-07-15T19:48:55.000Z</t>
  </si>
  <si>
    <t>PS Utilities 2023-06-30T05:46:05.000Z</t>
  </si>
  <si>
    <t>Llamada Web 2022-06-10T04:14:14.000Z</t>
  </si>
  <si>
    <t>HD Camera 2016-09-24T16:12:09.000Z</t>
  </si>
  <si>
    <t>Breakpoint 2016-11-06T09:51:22.000Z</t>
  </si>
  <si>
    <t>Easydoc 2020-09-21T02:37:40.000Z</t>
  </si>
  <si>
    <t>Button: Open in new Window 2016-04-26T11:07:25.000Z</t>
  </si>
  <si>
    <t>Examonline : Screen Sharing 2023-08-29T11:15:00.000Z</t>
  </si>
  <si>
    <t>submit_java 2020-07-03T07:52:42.000Z</t>
  </si>
  <si>
    <t>Zoom Text Only 2021-04-28T14:37:56.000Z</t>
  </si>
  <si>
    <t>Responsive design tester 2016-02-23T16:03:26.000Z</t>
  </si>
  <si>
    <t>Sitemap Explorer 2021-01-02T12:57:14.000Z</t>
  </si>
  <si>
    <t>GITHUBER - New Tab 2023-07-17T01:24:03.000Z</t>
  </si>
  <si>
    <t>Skip Redirect 2022-03-12T04:45:08.000Z</t>
  </si>
  <si>
    <t>Notifycon 2016-06-27T19:58:34.000Z</t>
  </si>
  <si>
    <t>Twetch Wallet 2023-11-17T10:00:16.000Z</t>
  </si>
  <si>
    <t>Octo-Free 2020-04-19T13:26:35.000Z</t>
  </si>
  <si>
    <t>WebRTC Leak Killer 2018-05-24T08:38:41.000Z</t>
  </si>
  <si>
    <t>FirstDraftNewsCheck 2017-01-22T17:01:56.000Z</t>
  </si>
  <si>
    <t>GoodTwitter 2020-05-08T22:31:01.000Z</t>
  </si>
  <si>
    <t>Language Switcher for Google™ 2015-12-23T09:16:51.000Z</t>
  </si>
  <si>
    <t>百度云盘秒传插件 2020-07-14T03:44:07.000Z</t>
  </si>
  <si>
    <t>繁简转换 2020-03-11T14:23:43.000Z</t>
  </si>
  <si>
    <t>WordPress Version 2016-06-28T21:51:30.000Z</t>
  </si>
  <si>
    <t>Twitch Fullscreen Plus 2023-10-27T12:47:19.000Z</t>
  </si>
  <si>
    <t>Auto Hide Cursor 2016-04-19T01:48:10.000Z</t>
  </si>
  <si>
    <t>Something™ Spaces 2021-09-03T13:18:18.000Z</t>
  </si>
  <si>
    <t>VK Manager 2016-08-31T16:17:33.000Z</t>
  </si>
  <si>
    <t>Literature News on New Tab 2023-07-04T05:07:56.000Z</t>
  </si>
  <si>
    <t>Перекупы Авто 2017-12-18T01:25:53.000Z</t>
  </si>
  <si>
    <t>PlantUML Extension 2021-02-10T02:05:25.000Z</t>
  </si>
  <si>
    <t>WFx for WorkFlowy 2024-02-19T05:05:14.000Z</t>
  </si>
  <si>
    <t>JSON downloader 2021-11-18T09:20:07.000Z</t>
  </si>
  <si>
    <t>New Tab with Apps 2014-11-12T14:07:26.000Z</t>
  </si>
  <si>
    <t>Simple Paste Extension 2021-08-19T18:43:49.000Z</t>
  </si>
  <si>
    <t>Oxford Advanced Learner's Dictionary 2018-01-01T07:45:57.000Z</t>
  </si>
  <si>
    <t>Letterboxd Enhanced 2017-02-16T17:42:00.000Z</t>
  </si>
  <si>
    <t>Trello Board Printer 2017-02-01T02:12:52.000Z</t>
  </si>
  <si>
    <t>Open link in same tab</t>
  </si>
  <si>
    <t>Manage My Tabs - Tab Manager 2019-03-05T19:14:28.000Z</t>
  </si>
  <si>
    <t>JPG to PDF 2019-02-09T05:05:57.000Z</t>
  </si>
  <si>
    <t>Jitsi Meetings 2020-04-17T12:21:12.000Z</t>
  </si>
  <si>
    <t>RAM light 2017-12-03T07:07:45.000Z</t>
  </si>
  <si>
    <t>ChillGlobal VPN/PROXY - Access Any Website!! 2023-04-27T15:17:46.000Z</t>
  </si>
  <si>
    <t>Turbofilm Cinema Mode 2014-01-06T21:27:53.000Z</t>
  </si>
  <si>
    <t>Youtube Thumbnail Finder 2015-06-02T21:15:07.000Z</t>
  </si>
  <si>
    <t>Tiktak Games 2023-02-24T04:24:10.000Z</t>
  </si>
  <si>
    <t>World Weather 2021-07-22T09:27:21.000Z</t>
  </si>
  <si>
    <t>Chrome Tab Renamer 2018-11-17T08:03:35.000Z</t>
  </si>
  <si>
    <t>Impatient IMSLP 2019-04-11T01:47:48.000Z</t>
  </si>
  <si>
    <t>Xpress Sign-On Extension(TITAN 7.1) 2021-05-09T04:19:39.000Z</t>
  </si>
  <si>
    <t>Webka: Photo Frames Editor 2016-02-19T23:10:24.000Z</t>
  </si>
  <si>
    <t>Nova Guia Redirect 2018-03-29T18:22:57.000Z</t>
  </si>
  <si>
    <t>Waze - Google Maps™ link 2015-04-22T22:32:14.000Z</t>
  </si>
  <si>
    <t>Gotanda 2022-05-20T12:39:09.000Z</t>
  </si>
  <si>
    <t>Refresh all windows 2017-06-21T02:39:26.000Z</t>
  </si>
  <si>
    <t>Enjoy Dash 2020-07-03T11:29:35.000Z</t>
  </si>
  <si>
    <t>Фейсбук: hide ads</t>
  </si>
  <si>
    <t>AWS SSH SSM RDP Links 2019-12-04T17:43:38.000Z</t>
  </si>
  <si>
    <t>TinyURL 2019-09-30T00:03:02.000Z</t>
  </si>
  <si>
    <t>Color and Fonts Extractor 2020-06-10T03:45:49.000Z</t>
  </si>
  <si>
    <t>Advent of Code Ranking 2020-12-11T15:49:33.000Z</t>
  </si>
  <si>
    <t>CheckMyHTTPS 2023-05-09T07:34:43.000Z</t>
  </si>
  <si>
    <t>Address bar search engine switcher 2022-12-10T03:11:22.000Z</t>
  </si>
  <si>
    <t>JustDubs - Watch Anime Online in High Quality 2021-07-25T02:37:09.000Z</t>
  </si>
  <si>
    <t>Economist Radio 2018-04-05T15:02:54.000Z</t>
  </si>
  <si>
    <t>Контур-Фокус - быстрая проверка контрагентов 2014-02-09T20:45:20.000Z</t>
  </si>
  <si>
    <t>DOM node tree viewer. 2018-01-05T09:53:01.000Z</t>
  </si>
  <si>
    <t>Spotty Web Remote Control 2019-10-23T13:54:30.000Z</t>
  </si>
  <si>
    <t>Mymail-Crypt for Gmail™ 2019-03-08T16:14:38.000Z</t>
  </si>
  <si>
    <t>BlogLinkClipper 2021-08-22T06:43:34.000Z</t>
  </si>
  <si>
    <t>Crust Wallet 2022-03-05T06:10:16.000Z</t>
  </si>
  <si>
    <t>FireX Proxy 2020-03-03T09:04:29.000Z</t>
  </si>
  <si>
    <t>WebConnect Screenshare Extension 2019-07-15T08:36:55.000Z</t>
  </si>
  <si>
    <t>Wordpress Stats 2022-05-20T06:37:52.000Z</t>
  </si>
  <si>
    <t>Amazon Link Shortener 2020-05-22T13:13:01.000Z</t>
  </si>
  <si>
    <t>Parameters Editor 2021-06-17T11:31:15.000Z</t>
  </si>
  <si>
    <t>Chrome Video Pop-out 2019-03-18T19:30:56.000Z</t>
  </si>
  <si>
    <t>Gradient Merge for Google Calendar™ Events 2018-10-10T01:56:27.000Z</t>
  </si>
  <si>
    <t>BeLive Desktop 2020-01-07T15:55:33.000Z</t>
  </si>
  <si>
    <t>더존 급여명세서 뷰어 2020-08-17T05:35:00.000Z</t>
  </si>
  <si>
    <t>Work Mode 2016-08-07T00:40:37.000Z</t>
  </si>
  <si>
    <t>Notyfy - Web Notifications in One Place 2020-09-19T11:20:55.000Z</t>
  </si>
  <si>
    <t>Battery Info 2017-07-06T05:37:50.000Z</t>
  </si>
  <si>
    <t>Neat URL 2023-12-21T04:16:37.000Z</t>
  </si>
  <si>
    <t>Free APA and MLA Citation Generator 2021-02-11T13:24:06.000Z</t>
  </si>
  <si>
    <t>Selectable - for fanfiction.net and more 2023-04-12T07:34:15.000Z</t>
  </si>
  <si>
    <t>RANDUS.ORG – генератор случайных личностей 2020-08-29T12:07:08.000Z</t>
  </si>
  <si>
    <t>PolitEcho 2017-03-20T15:08:52.000Z</t>
  </si>
  <si>
    <t>Ptt X 2019-03-05T20:32:03.000Z</t>
  </si>
  <si>
    <t>Cutouts 2021-09-08T10:16:11.000Z</t>
  </si>
  <si>
    <t>品聘插件 2023-09-15T04:40:22.000Z</t>
  </si>
  <si>
    <t>One-click Screenshot 2023-08-28T04:03:13.000Z</t>
  </si>
  <si>
    <t>CaptionSaver Pro for Google Meet 2022-04-21T14:13:48.000Z</t>
  </si>
  <si>
    <t>Elastic COBOL 2014-11-10T15:22:53.000Z</t>
  </si>
  <si>
    <t>Parrot Devtools 2020-01-30T11:35:56.000Z</t>
  </si>
  <si>
    <t>CORS Helper 2019-06-14T08:04:30.000Z</t>
  </si>
  <si>
    <t>Web Collector for MAXQDA 2018 and 12 2020-07-20T10:40:04.000Z</t>
  </si>
  <si>
    <t>Duolingo immersion unlocker 2016-09-06T20:14:46.000Z</t>
  </si>
  <si>
    <t>GAuth Authenticator 2015-01-26T05:48:46.000Z</t>
  </si>
  <si>
    <t>Extended Degiro summary 2021-08-09T11:35:10.000Z</t>
  </si>
  <si>
    <t>Hide Online for Whatsapp Web 2021-08-01T15:41:23.000Z</t>
  </si>
  <si>
    <t>XPATH Builder 2017-10-23T10:29:34.000Z</t>
  </si>
  <si>
    <t>FATRANK 2021-05-15T11:19:34.000Z</t>
  </si>
  <si>
    <t>Pacer speed reading 2019-11-11T00:24:46.000Z</t>
  </si>
  <si>
    <t>Vedantu Screen Share 2017-11-15T11:47:38.000Z</t>
  </si>
  <si>
    <t>Hey Girl 2015-12-31T21:49:00.000Z</t>
  </si>
  <si>
    <t>DiscoverOrg Sales Intelligence 2021-08-08T06:20:32.000Z</t>
  </si>
  <si>
    <t>PythonAnywhere 2012-09-06T11:09:09.000Z</t>
  </si>
  <si>
    <t>无错字 - 中文智能校对 2019-06-06T15:52:35.000Z</t>
  </si>
  <si>
    <t>AutoRefresh+ 2018-11-04T13:30:27.000Z</t>
  </si>
  <si>
    <t>VK Музыкальный плеер 2019-10-21T09:05:22.000Z</t>
  </si>
  <si>
    <t>Youtube repeat</t>
  </si>
  <si>
    <t>Emoji Keyboard New 2022-01-20T09:01:53.000Z</t>
  </si>
  <si>
    <t>PIP Buddy - Your friendly Picture in Picture 2020-06-20T03:33:30.000Z</t>
  </si>
  <si>
    <t>Trello Birds-eye 2021-10-31T08:18:13.000Z</t>
  </si>
  <si>
    <t>Tab Magnet 2017-07-11T02:11:59.000Z</t>
  </si>
  <si>
    <t>WP Detect 2013-08-07T15:33:16.000Z</t>
  </si>
  <si>
    <t>Bookmark Oragniser 2016-05-29T15:58:56.000Z</t>
  </si>
  <si>
    <t>Diablo 3 (tm) Toolbox 2013-02-25T06:33:12.000Z</t>
  </si>
  <si>
    <t>GTA San Andreas 2021-02-25T08:37:42.000Z</t>
  </si>
  <si>
    <t>Google Keep Window Resizer 2019-11-26T11:10:01.000Z</t>
  </si>
  <si>
    <t>Spotify artist's all songs 2021-01-22T09:48:12.000Z</t>
  </si>
  <si>
    <t>MirrorOp Sender 2020-02-15T17:58:13.000Z</t>
  </si>
  <si>
    <t>YouTube Comment Language Filter 2021-04-29T14:47:00.000Z</t>
  </si>
  <si>
    <t>Statistical Test for Google Analytics 2019-11-13T16:09:51.000Z</t>
  </si>
  <si>
    <t>Tweet Translater for Twitter 2012-10-18T16:41:42.000Z</t>
  </si>
  <si>
    <t>Omegaluler 2019-07-16T23:26:46.000Z</t>
  </si>
  <si>
    <t>Ask Historians Comment Helper 2019-09-20T18:01:15.000Z</t>
  </si>
  <si>
    <t>Hotel Deals Finder 2018-03-04T14:03:21.000Z</t>
  </si>
  <si>
    <t>10.0.0.0.1 Router Admin Login Extension 2019-02-20T11:39:23.000Z</t>
  </si>
  <si>
    <t>Agile Poker Clock 2013-08-08T13:09:52.000Z</t>
  </si>
  <si>
    <t>Timer Pro 2017-10-17T18:41:11.000Z</t>
  </si>
  <si>
    <t>HelpfreelyApp™ - Donation Reminder 2021-03-09T16:58:58.000Z</t>
  </si>
  <si>
    <t>Absolute Enable Right Click &amp; Copy 2019-01-10T23:06:31.000Z</t>
  </si>
  <si>
    <t>Qualys BrowserCheck CoinBlocker 2019-02-18T05:12:17.000Z</t>
  </si>
  <si>
    <t>Transmogrify for Plex 2015-09-06T06:39:23.000Z</t>
  </si>
  <si>
    <t>CKAuthenticator 2024-05-03T06:47:51.000Z</t>
  </si>
  <si>
    <t>RecruiterHunt New Tab Page (Beta) 2020-09-15T21:07:15.000Z</t>
  </si>
  <si>
    <t>Playlist Search for YouTube™ 2020-05-25T04:06:57.000Z</t>
  </si>
  <si>
    <t>Privacy Monitor by Osano 2021-05-12T15:42:26.000Z</t>
  </si>
  <si>
    <t>HTML Editor 2021-04-08T08:45:44.000Z</t>
  </si>
  <si>
    <t>WA Sender Lite 2024-08-28T04:36:50.000Z</t>
  </si>
  <si>
    <t>Tindify - Your Dating Assistant 2021-09-07T05:51:57.000Z</t>
  </si>
  <si>
    <t>Funimation Dark Mode 2024-09-05T00:16:25.000Z</t>
  </si>
  <si>
    <t>Проверка правописания 2013-12-03T00:04:51.000Z</t>
  </si>
  <si>
    <t>Date Calculator 2017-06-15T06:12:22.000Z</t>
  </si>
  <si>
    <t>Right Click Bookmark 2012-12-10T16:49:08.000Z</t>
  </si>
  <si>
    <t>Quick View docs 2018-06-01T10:16:06.000Z</t>
  </si>
  <si>
    <t>BTS Vkook Wallpapers - V &amp; Jungkook New Tab 2021-01-09T14:15:29.000Z</t>
  </si>
  <si>
    <t>Notion Automations 2021-05-13T11:11:16.000Z</t>
  </si>
  <si>
    <t>Impero Cloud Extension 2019-01-03T09:57:48.000Z</t>
  </si>
  <si>
    <t>NoteTaker 2017-01-15T19:03:56.000Z</t>
  </si>
  <si>
    <t>My Episode Guide 2012-06-30T19:59:06.000Z</t>
  </si>
  <si>
    <t>Discord Notebook 2024-07-28T06:06:27.000Z</t>
  </si>
  <si>
    <t>Localize Editor 2020-09-01T03:29:46.000Z</t>
  </si>
  <si>
    <t>Digital Photo Gallery 2017-05-22T21:29:42.000Z</t>
  </si>
  <si>
    <t>Ecommerce Inspector for Shopify and more 2021-02-10T11:50:01.000Z</t>
  </si>
  <si>
    <t>Tra câu 2021-01-15T05:03:15.000Z</t>
  </si>
  <si>
    <t>Pegmatite 2020-01-05T08:02:35.000Z</t>
  </si>
  <si>
    <t>Fast Note 2012-11-11T13:54:19.000Z</t>
  </si>
  <si>
    <t>enable-selection 2019-01-11T11:41:20.000Z</t>
  </si>
  <si>
    <t>Music Mode for YouTube 2020-11-18T22:06:25.000Z</t>
  </si>
  <si>
    <t>公主代付小幫手 2022-05-26T08:24:01.000Z</t>
  </si>
  <si>
    <t>CouponX 2021-01-02T04:28:48.000Z</t>
  </si>
  <si>
    <t>Dashify - New Tab Crypto NFT Dashboard 2022-01-29T12:00:51.000Z</t>
  </si>
  <si>
    <t>Worldfree4u 2020-12-02T11:00:14.000Z</t>
  </si>
  <si>
    <t>netmonitor 2016-07-09T17:15:10.000Z</t>
  </si>
  <si>
    <t>网页表格导出为 Excel 表格 2019-11-14T11:38:50.000Z</t>
  </si>
  <si>
    <t>Markdown Menu for GitHub 2018-08-09T23:55:37.000Z</t>
  </si>
  <si>
    <t>Steam Workshop Tools (Beta) 2019-07-06T12:15:49.000Z</t>
  </si>
  <si>
    <t>Image Compressor 2017-03-12T13:49:29.000Z</t>
  </si>
  <si>
    <t>Telegram Browser 2021-10-08T10:02:11.000Z</t>
  </si>
  <si>
    <t>Cheap Cars For Sale 2015-05-15T00:10:13.000Z</t>
  </si>
  <si>
    <t>MageTools: DevTools Reimagined 2020-10-06T06:07:23.000Z</t>
  </si>
  <si>
    <t>みんなよう見とる 2019-09-09T07:22:29.000Z</t>
  </si>
  <si>
    <t>Tumblr 2016-08-22T03:35:20.000Z</t>
  </si>
  <si>
    <t>NflxMultiSubs 2021 (Netflix Multi. Subtitles) 2024-06-12T07:15:20.000Z</t>
  </si>
  <si>
    <t>Extract People also search phrases in Google 2021-02-15T23:27:43.000Z</t>
  </si>
  <si>
    <t>Slack Emoji Uploader 2024-05-16T13:57:15.000Z</t>
  </si>
  <si>
    <t>Simple Docker UI 2017-01-17T09:59:28.000Z</t>
  </si>
  <si>
    <t>SEOZoomBar 2020-12-29T09:29:56.000Z</t>
  </si>
  <si>
    <t>WizClipper 2020-12-24T05:31:56.000Z</t>
  </si>
  <si>
    <t>Cut the Rope 2013-09-06T01:08:50.000Z</t>
  </si>
  <si>
    <t>Track &amp; Trace Parcel Manager Dashboard 2023-05-26T05:53:44.000Z</t>
  </si>
  <si>
    <t>Monthly stats for Gmail 2017-01-10T14:27:25.000Z</t>
  </si>
  <si>
    <t>Myschoolapp GPA Calculator 2020-10-14T03:18:23.000Z</t>
  </si>
  <si>
    <t>Downloads 2014-04-09T16:45:18.000Z</t>
  </si>
  <si>
    <t>Export Tabs URLs 2021-09-25T23:36:16.000Z</t>
  </si>
  <si>
    <t>PosturePanda 2018-12-29T23:05:33.000Z</t>
  </si>
  <si>
    <t>Poshmark Extension 2020-07-17T09:51:22.000Z</t>
  </si>
  <si>
    <t>Arduino Chrome Sensor Graph 2016-03-06T01:54:56.000Z</t>
  </si>
  <si>
    <t>Butterchurn Music Visualizer Extension 2021-04-06T08:22:46.000Z</t>
  </si>
  <si>
    <t>Automated Flash Site Enabler (Pro) 2021-01-03T05:29:58.000Z</t>
  </si>
  <si>
    <t>CloudCall Unified Communications for CRM 2023-09-21T11:01:11.000Z</t>
  </si>
  <si>
    <t>Euskalbar 2017-11-02T12:04:39.000Z</t>
  </si>
  <si>
    <t>Phlinx 2022-08-17T04:08:08.000Z</t>
  </si>
  <si>
    <t>New Tab Metro 2012-09-10T19:44:04.000Z</t>
  </si>
  <si>
    <t>LinkSuppressor: Make Any Link Selectable 2014-02-11T14:53:09.000Z</t>
  </si>
  <si>
    <t>Kitap Kurdu 2020-06-16T08:51:45.000Z</t>
  </si>
  <si>
    <t>NebulaCertURLMon 2022-10-21T10:07:37.000Z</t>
  </si>
  <si>
    <t>German English Word Translator 2017-05-14T07:04:38.000Z</t>
  </si>
  <si>
    <t>Kahoot Name Bypasser 2021-02-02T06:19:55.000Z</t>
  </si>
  <si>
    <t>Citable 2021-05-01T04:17:56.000Z</t>
  </si>
  <si>
    <t>Memorize! 2021-07-05T06:17:38.000Z</t>
  </si>
  <si>
    <t>ProtonMail (unofficial) 2020-03-10T09:25:08.000Z</t>
  </si>
  <si>
    <t>Cache Checker 2014-03-31T17:27:44.000Z</t>
  </si>
  <si>
    <t>eBay.in Affiliate Link Generator 2018-01-02T08:39:11.000Z</t>
  </si>
  <si>
    <t>View Image button for Google Images™ 2021-02-22T11:12:48.000Z</t>
  </si>
  <si>
    <t>Free eBooks on Amazon.com 2019-10-01T08:45:30.000Z</t>
  </si>
  <si>
    <t>ASIN Collector 2019-09-11T09:24:37.000Z</t>
  </si>
  <si>
    <t>easy inspect 2020-05-03T06:03:13.000Z</t>
  </si>
  <si>
    <t>EmojiPanel for Twitter (Previously EmojiT) 2016-12-16T11:44:26.000Z</t>
  </si>
  <si>
    <t>Lorem Fill 2020-11-15T09:14:36.000Z</t>
  </si>
  <si>
    <t>Harvard Library &amp; DOI Search 2019-08-01T17:52:01.000Z</t>
  </si>
  <si>
    <t>Hangout Share Plus beta 2016-08-26T12:58:18.000Z</t>
  </si>
  <si>
    <t>Image Downloader Continued 2019-11-07T08:02:38.000Z</t>
  </si>
  <si>
    <t>Battlelog Fix 2014-05-03T23:32:25.000Z</t>
  </si>
  <si>
    <t>Better Ctrl-W 2020-05-03T04:20:29.000Z</t>
  </si>
  <si>
    <t>ServiceNow tool belt 2021-03-18T03:54:23.000Z</t>
  </si>
  <si>
    <t>GameHunters.Club Share Bonus Links 2018-10-19T05:46:04.000Z</t>
  </si>
  <si>
    <t>養股 2022-11-24T09:58:55.000Z</t>
  </si>
  <si>
    <t>Language Learning with Frogly 2022-12-15T06:39:10.000Z</t>
  </si>
  <si>
    <t>GSConnect 2019-05-04T04:02:45.000Z</t>
  </si>
  <si>
    <t>arXiv Vanity 2021-12-28T11:30:00.000Z</t>
  </si>
  <si>
    <t>ViewportDimension 2017-04-13T13:06:27.000Z</t>
  </si>
  <si>
    <t>Quickview for YouTube 2018-09-10T03:56:39.000Z</t>
  </si>
  <si>
    <t>SA ID Number Tools 2020-04-22T16:03:20.000Z</t>
  </si>
  <si>
    <t>Tyda 2014-04-17T09:29:29.000Z</t>
  </si>
  <si>
    <t>Robux Worth Counter 2023-04-25T11:28:05.000Z</t>
  </si>
  <si>
    <t>Coinhub 2021-06-05T13:18:48.000Z</t>
  </si>
  <si>
    <t>Query params 2020-07-07T07:47:00.000Z</t>
  </si>
  <si>
    <t>Descargas 2016-02-09T16:51:12.000Z</t>
  </si>
  <si>
    <t>Simple Image Resizer for Bloggers 2017-03-21T09:10:59.000Z</t>
  </si>
  <si>
    <t>Workflowy Web Clipper 2023-06-25T04:40:16.000Z</t>
  </si>
  <si>
    <t>Lenny Face Copy for Google Chrome™ 2020-10-06T10:33:58.000Z</t>
  </si>
  <si>
    <t>Ubilling stats 2016-11-07T11:22:57.000Z</t>
  </si>
  <si>
    <t>Memento Time Travel 2018-03-28T22:31:55.000Z</t>
  </si>
  <si>
    <t>_bem_tv ext 2021-07-20T05:22:30.000Z</t>
  </si>
  <si>
    <t>WorkFlowy to Google Calendar 2020-03-16T09:45:11.000Z</t>
  </si>
  <si>
    <t>web page preserver 2018-04-28T06:42:28.000Z</t>
  </si>
  <si>
    <t>Telegram 2019-03-08T16:18:39.000Z</t>
  </si>
  <si>
    <t>Autify Recorder (Legacy) 2024-06-25T10:56:50.000Z</t>
  </si>
  <si>
    <t>HBOMax Keyboard Control 2020-10-01T08:19:53.000Z</t>
  </si>
  <si>
    <t>Paste to download 2020-09-07T04:03:25.000Z</t>
  </si>
  <si>
    <t>Change JPEG/JFIF to JPG 2019-10-20T09:08:32.000Z</t>
  </si>
  <si>
    <t>Visual Inspector(前端重构+视觉走查辅助工具) 2022-07-26T12:47:33.000Z</t>
  </si>
  <si>
    <t>Manheim Media Player (Mac) 2014-09-19T22:53:24.000Z</t>
  </si>
  <si>
    <t>Chaff 2015-12-20T22:48:03.000Z</t>
  </si>
  <si>
    <t>Sura Observatorio 2019-09-02T15:08:49.000Z</t>
  </si>
  <si>
    <t>Productivity Pet 2015-05-12T20:54:16.000Z</t>
  </si>
  <si>
    <t>D-ToolBox 2014-07-30T08:57:22.000Z</t>
  </si>
  <si>
    <t>Roblox Friend Removal Button 2023-05-10T09:41:34.000Z</t>
  </si>
  <si>
    <t>Steward 2021-08-03T04:21:04.000Z</t>
  </si>
  <si>
    <t>ClipIt 2018-06-20T17:34:00.000Z</t>
  </si>
  <si>
    <t>FlowTime 1 2017-02-18T18:43:10.000Z</t>
  </si>
  <si>
    <t>Playback Rate 2022-12-27T04:38:12.000Z</t>
  </si>
  <si>
    <t>HTML Editey 2013-11-12T16:58:56.000Z</t>
  </si>
  <si>
    <t>Crowdfire 2024-05-03T04:33:41.000Z</t>
  </si>
  <si>
    <t>Accelerated Mobile Pages(AMP) Test 2021-05-07T07:42:23.000Z</t>
  </si>
  <si>
    <t>TimeCat Chrome 2021-09-01T04:38:48.000Z</t>
  </si>
  <si>
    <t>ColorDeck for Tweetdeck 2021-09-06T09:52:51.000Z</t>
  </si>
  <si>
    <t>Ancestry DNA Paths (beta) 2020-12-18T21:59:34.000Z</t>
  </si>
  <si>
    <t>EDrop - Drop Shipping Tool 2021-12-23T15:29:15.000Z</t>
  </si>
  <si>
    <t>Delicious Reloaded 2016-10-15T06:21:14.000Z</t>
  </si>
  <si>
    <t>Codeception TestTools 2016-11-15T06:28:14.000Z</t>
  </si>
  <si>
    <t>Instagram Downloader 2023-12-20T03:46:40.000Z</t>
  </si>
  <si>
    <t>WebPageTest 2016-02-08T20:40:21.000Z</t>
  </si>
  <si>
    <t>Regram Later - Instagram Repost for Later 2020-11-18T08:48:37.000Z</t>
  </si>
  <si>
    <t>HiddenTools for Google Chrome™ 2022-10-18T13:36:35.000Z</t>
  </si>
  <si>
    <t>Datahug Relationship Manager 2019-06-18T03:33:28.000Z</t>
  </si>
  <si>
    <t>GBF Raiders 2: The Chrome Extenstion Identity 2019-04-13T03:02:21.000Z</t>
  </si>
  <si>
    <t>LionBlock 2017-05-02T16:22:30.000Z</t>
  </si>
  <si>
    <t>Jazz-MIDI 2020-10-05T07:09:36.000Z</t>
  </si>
  <si>
    <t>Add to Shaarli 2021-03-20T03:51:53.000Z</t>
  </si>
  <si>
    <t>CS:GO Lounge Bump Bot 2017-04-03T13:38:25.000Z</t>
  </si>
  <si>
    <t>Amazon Warehouse Deals Finder 2021-04-13T05:43:20.000Z</t>
  </si>
  <si>
    <t>JPG to SVG Converter 2020-05-29T03:44:49.000Z</t>
  </si>
  <si>
    <t>Inspect Device 2015-09-12T15:32:13.000Z</t>
  </si>
  <si>
    <t>Screely: Instant Browser Mockups 2021-02-28T12:49:53.000Z</t>
  </si>
  <si>
    <t>Vecteezy 2013-06-10T15:59:00.000Z</t>
  </si>
  <si>
    <t>SteemKeychain 2024-01-30T07:00:22.000Z</t>
  </si>
  <si>
    <t>Secure Kit 2024-09-05T10:39:08.000Z</t>
  </si>
  <si>
    <t>Panda | Hacker News</t>
  </si>
  <si>
    <t>Adblock Web - Adblocker for Chrome 2023-07-24T07:30:07.000Z</t>
  </si>
  <si>
    <t>Millennials to Snake People 2019-03-11T02:48:25.000Z</t>
  </si>
  <si>
    <t>Horiz.io 2024-04-15T09:33:58.000Z</t>
  </si>
  <si>
    <t>Certificate Info 2020-04-18T03:32:23.000Z</t>
  </si>
  <si>
    <t>Secret Server Clipboard Utility 2020-07-14T07:44:13.000Z</t>
  </si>
  <si>
    <t>APEX Builder Extension by FOS 2023-09-15T08:15:48.000Z</t>
  </si>
  <si>
    <t>Zeroqode Extension for Bubble! 2019-09-18T13:38:01.000Z</t>
  </si>
  <si>
    <t>Yamli 2019-05-28T09:32:42.000Z</t>
  </si>
  <si>
    <t>Youtube Video Effects 2019-08-11T11:00:22.000Z</t>
  </si>
  <si>
    <t>Read Up - look up a book’s reading level 2021-08-03T12:11:59.000Z</t>
  </si>
  <si>
    <t>Salesla 2021-04-13T13:01:36.000Z</t>
  </si>
  <si>
    <t>Kanjidex 2022-04-27T03:35:32.000Z</t>
  </si>
  <si>
    <t>Net Usage Item 2018-01-04T12:33:42.000Z</t>
  </si>
  <si>
    <t>Responsively Helper 2020-06-17T08:03:13.000Z</t>
  </si>
  <si>
    <t>VLIVE Downloader 2021-03-13T09:51:06.000Z</t>
  </si>
  <si>
    <t>Mi-SigNature 2017-03-22T03:05:45.000Z</t>
  </si>
  <si>
    <t>Solo mode for Google Docs 2020-05-28T10:50:11.000Z</t>
  </si>
  <si>
    <t>Color Contrast Checker 2017-05-12T13:06:17.000Z</t>
  </si>
  <si>
    <t>Among Us New Tab 2023-05-25T07:27:41.000Z</t>
  </si>
  <si>
    <t>Amazon Invoice Downloader 2023-03-03T11:25:27.000Z</t>
  </si>
  <si>
    <t>Post on VK Button 2012-07-16T12:42:09.000Z</t>
  </si>
  <si>
    <t>Password Tote 2023-02-16T08:49:15.000Z</t>
  </si>
  <si>
    <t>Web Data Monitor 2022-02-28T03:52:23.000Z</t>
  </si>
  <si>
    <t>FreestylersEmotes 2017-10-22T10:30:15.000Z</t>
  </si>
  <si>
    <t>REKKITZ+ 2022-03-08T10:07:04.000Z</t>
  </si>
  <si>
    <t>In-page Highlighter 2014-03-22T15:44:00.000Z</t>
  </si>
  <si>
    <t>JW What is New? 2022-02-24T05:51:41.000Z</t>
  </si>
  <si>
    <t>Aesthetic Symbols 2021-07-14T07:59:01.000Z</t>
  </si>
  <si>
    <t>Ninja Cookie 2021-04-21T15:27:17.000Z</t>
  </si>
  <si>
    <t>DRCast 2015-03-04T10:43:47.000Z</t>
  </si>
  <si>
    <t>labur.eus 2017-06-30T11:41:53.000Z</t>
  </si>
  <si>
    <t>Track this! 2015-10-15T13:47:35.000Z</t>
  </si>
  <si>
    <t>Emoji copy and paste 2018-08-23T04:40:50.000Z</t>
  </si>
  <si>
    <t>Tab for Black Lives Matter 2021-12-04T23:49:26.000Z</t>
  </si>
  <si>
    <t>Cute Horses 2021-07-20T05:33:07.000Z</t>
  </si>
  <si>
    <t>扩展管理 2018-06-26T07:49:25.000Z</t>
  </si>
  <si>
    <t>ِفَاذْكُرُونِي أَذْكُرْكُمْ 2022-02-14T08:56:48.000Z</t>
  </si>
  <si>
    <t>Alerta de ofertas e descontos 2019-11-01T04:39:34.000Z</t>
  </si>
  <si>
    <t>Dinimiz islam 2015-12-11T14:20:18.000Z</t>
  </si>
  <si>
    <t>Paczka Rozszerzeń/Extensions Pack 2023-03-26T08:14:00.000Z</t>
  </si>
  <si>
    <t>Simple To-Do List 2017-02-05T09:59:51.000Z</t>
  </si>
  <si>
    <t>gDrivePrint - Google Drive Print Folder 2021-06-17T05:29:56.000Z</t>
  </si>
  <si>
    <t>Redirect2 2022-09-21T09:13:27.000Z</t>
  </si>
  <si>
    <t>Violentmonkey 2024-12-03T05:01:47.000Z</t>
  </si>
  <si>
    <t>Picture in Picture Button 2020-09-21T12:50:36.000Z</t>
  </si>
  <si>
    <t>Simplifly 2018-09-05T20:31:27.000Z</t>
  </si>
  <si>
    <t>Google Analytics Debugger 2017-04-11T19:17:16.000Z</t>
  </si>
  <si>
    <t>VKfoxx 2021-03-06T07:09:15.000Z</t>
  </si>
  <si>
    <t>Udemy Video Playback Speed 2021-01-09T04:19:01.000Z</t>
  </si>
  <si>
    <t>GameHelper - Tentlan 2018-02-26T15:01:46.000Z</t>
  </si>
  <si>
    <t>Word Changer 2021-03-08T05:54:59.000Z</t>
  </si>
  <si>
    <t>Closure 2022-06-16T02:08:29.000Z</t>
  </si>
  <si>
    <t>Cambridge Dictionary In Total 2021-03-29T08:40:39.000Z</t>
  </si>
  <si>
    <t>Chrome playback speed controller 2019-06-05T03:46:51.000Z</t>
  </si>
  <si>
    <t>Wordie! 2017-02-08T07:22:11.000Z</t>
  </si>
  <si>
    <t>KenGoo 2014-04-03T16:05:50.000Z</t>
  </si>
  <si>
    <t>速卖通商品价格分析 2024-08-20T10:31:23.000Z</t>
  </si>
  <si>
    <t>Easy Url Shortener + QRCode generator 2020-05-03T07:46:40.000Z</t>
  </si>
  <si>
    <t>一起惠购物助手 2022-01-25T05:34:23.000Z</t>
  </si>
  <si>
    <t>Bitcoin Auto-Converter 2020-05-24T06:48:15.000Z</t>
  </si>
  <si>
    <t>HiztegiBar 2017-10-31T10:39:30.000Z</t>
  </si>
  <si>
    <t>kinemaster mod apk - Download For Smartphones 2020-12-09T06:05:38.000Z</t>
  </si>
  <si>
    <t>Ads Killer 2023-02-12T07:20:35.000Z</t>
  </si>
  <si>
    <t>OSIRIS: OSINT Reputation Intelligent Search 2021-07-08T00:24:19.000Z</t>
  </si>
  <si>
    <t>Tic Tac Toe 2014-08-24T21:37:04.000Z</t>
  </si>
  <si>
    <t>Nakupuj bez Andreje 2021-02-07T13:15:44.000Z</t>
  </si>
  <si>
    <t>偏爱微软雅黑字体 2017-09-15T15:56:02.000Z</t>
  </si>
  <si>
    <t>Zebra Printer 2021-09-30T07:51:42.000Z</t>
  </si>
  <si>
    <t>Table Tools 2022-05-13T10:59:50.000Z</t>
  </si>
  <si>
    <t>Citizen Ex 2018-02-25T08:34:12.000Z</t>
  </si>
  <si>
    <t>MoonTab 新标签页 2022-03-07T13:12:55.000Z</t>
  </si>
  <si>
    <t>Ipcam Viewer 2019-08-15T18:30:14.000Z</t>
  </si>
  <si>
    <t>Troywell - ad blocker 2021-10-08T09:55:33.000Z</t>
  </si>
  <si>
    <t>Bookmark All 2013-08-26T22:58:58.000Z</t>
  </si>
  <si>
    <t>Dardasim.net - Free Games 2020-03-06T11:37:12.000Z</t>
  </si>
  <si>
    <t>Amazon FBA Keyword Research Tool &amp; Optimizer 2022-03-31T05:30:51.000Z</t>
  </si>
  <si>
    <t>Alexa BrowserHelp 2017-06-23T19:26:46.000Z</t>
  </si>
  <si>
    <t>McQueen Monitor 2021-10-29T06:50:09.000Z</t>
  </si>
  <si>
    <t>Trellix Endpoint Security Web Control 2023-10-27T04:59:30.000Z</t>
  </si>
  <si>
    <t>Mosaic 2016-03-14T09:02:47.000Z</t>
  </si>
  <si>
    <t>Image Zoomer 2019-10-15T09:54:37.000Z</t>
  </si>
  <si>
    <t>Sotel.vn 2020-10-24T11:33:08.000Z</t>
  </si>
  <si>
    <t>Multi Forward for Gmail 2016-11-11T16:05:26.000Z</t>
  </si>
  <si>
    <t>Quick View for Google Calendar 2021-03-17T10:39:38.000Z</t>
  </si>
  <si>
    <t>TLDR This - Free automatic text summary tool 2023-11-08T04:29:39.000Z</t>
  </si>
  <si>
    <t>EmailOnGitHub 2021-02-14T09:51:00.000Z</t>
  </si>
  <si>
    <t>Tags Generator 2017-12-14T23:09:52.000Z</t>
  </si>
  <si>
    <t>Quick Get QR &amp; Short URL 2020-07-11T09:53:28.000Z</t>
  </si>
  <si>
    <t>Automation Anywhere 2020-06-25T07:51:30.000Z</t>
  </si>
  <si>
    <t>Nextcloud Passwords 2021-03-13T10:26:52.000Z</t>
  </si>
  <si>
    <t>Mixkit Art - New Tab 2019-11-01T01:16:59.000Z</t>
  </si>
  <si>
    <t>Impero Backdrop 2024-11-27T16:38:57.000Z</t>
  </si>
  <si>
    <t>🎅🏻 Snowlord's Bag of Quizlet Exploits! 2021-08-18T08:52:49.000Z</t>
  </si>
  <si>
    <t>Social Revealer Plus 2019-07-23T09:31:30.000Z</t>
  </si>
  <si>
    <t>CFCA CertEnrollment.Hebbank Extension 2019-09-19T03:52:47.000Z</t>
  </si>
  <si>
    <t>Seelie 2021-04-30T16:39:43.000Z</t>
  </si>
  <si>
    <t>Youtube Ad Skipper 2017-12-08T04:09:39.000Z</t>
  </si>
  <si>
    <t>whos.amung.us Users Online Counter 2022-10-29T12:02:39.000Z</t>
  </si>
  <si>
    <t>Utah Law Formatting 2022-10-05T17:12:37.000Z</t>
  </si>
  <si>
    <t>Hyland NilRead WinMan 2020-12-05T05:29:52.000Z</t>
  </si>
  <si>
    <t>Video Favorites 2022-04-09T04:55:52.000Z</t>
  </si>
  <si>
    <t>Meet Transcript 2022-04-13T04:10:26.000Z</t>
  </si>
  <si>
    <t>Batch Reply for GMail 2015-05-28T20:49:18.000Z</t>
  </si>
  <si>
    <t>Save to Polar 2021-11-05T17:58:40.000Z</t>
  </si>
  <si>
    <t>Cherry Blossom Petals 2017-03-30T17:16:06.000Z</t>
  </si>
  <si>
    <t>HP Network Check Launcher 2021-08-15T06:40:11.000Z</t>
  </si>
  <si>
    <t>Edit Hidden Fields 2016-03-12T21:16:17.000Z</t>
  </si>
  <si>
    <t>Wikipedia IPA Speaker 2017-07-06T00:14:03.000Z</t>
  </si>
  <si>
    <t>XKCD substitutions 2016-03-13T08:13:46.000Z</t>
  </si>
  <si>
    <t>Unblocker 2022-10-10T07:13:19.000Z</t>
  </si>
  <si>
    <t>Chrome Dashboard 2021-06-01T09:25:28.000Z</t>
  </si>
  <si>
    <t>Enhanced grave search 2014-09-03T19:38:08.000Z</t>
  </si>
  <si>
    <t>Cookie Clicker 2018-01-06T04:46:05.000Z</t>
  </si>
  <si>
    <t>Scrolller Extended 2021-03-04T02:31:20.000Z</t>
  </si>
  <si>
    <t>Android Calculator 2020-09-05T10:56:09.000Z</t>
  </si>
  <si>
    <t>YouTube Features — Analytics and Tools 2023-10-12T18:47:05.000Z</t>
  </si>
  <si>
    <t>BitMeeting Screen Sharing 2017-10-26T07:43:55.000Z</t>
  </si>
  <si>
    <t>Html Scan 2020-02-03T00:38:11.000Z</t>
  </si>
  <si>
    <t>Real Madrid Monitor 2017-07-19T11:03:59.000Z</t>
  </si>
  <si>
    <t>PBVidCast - Chromecast™ for Pinkbike videos 2016-02-16T10:07:26.000Z</t>
  </si>
  <si>
    <t>Salesforce Data/Metadata Utility 2023-02-22T05:25:10.000Z</t>
  </si>
  <si>
    <t>Zoom on doubleclick 2012-12-04T11:56:18.000Z</t>
  </si>
  <si>
    <t>Кэшбэк-сервис Moneta.ua 2021-09-26T08:14:04.000Z</t>
  </si>
  <si>
    <t>Local Time - Automatic Time Zone Converter 2022-04-01T04:48:18.000Z</t>
  </si>
  <si>
    <t>Ad 'n Popup-Blocker 2021-10-05T07:37:19.000Z</t>
  </si>
  <si>
    <t>VoiceTube Dictionary 2021-10-06T12:10:42.000Z</t>
  </si>
  <si>
    <t>Youtube Theme 2020-07-14T07:46:20.000Z</t>
  </si>
  <si>
    <t>WorldWeatherOnline 2021-06-15T11:51:51.000Z</t>
  </si>
  <si>
    <t>KGen 2013-10-29T12:55:36.000Z</t>
  </si>
  <si>
    <t>GeoGuessr Cheat 2021-07-13T11:51:48.000Z</t>
  </si>
  <si>
    <t>CNFT Predator 2023-04-30T18:45:10.000Z</t>
  </si>
  <si>
    <t>Cloud Skills Academy 2022-07-19T08:58:23.000Z</t>
  </si>
  <si>
    <t>Bandcast 2015-02-10T04:05:00.000Z</t>
  </si>
  <si>
    <t>Cocomelon - Youtube for Kids 2021-01-08T08:59:06.000Z</t>
  </si>
  <si>
    <t>Outwrite — Grammar checker &amp; rewrite tool 2023-08-28T04:38:57.000Z</t>
  </si>
  <si>
    <t>Win95 NewTab 2023-03-21T10:36:22.000Z</t>
  </si>
  <si>
    <t>Automation 2019-09-28T18:30:04.000Z</t>
  </si>
  <si>
    <t>Google Meets Attendance Names 2021-02-17T04:25:44.000Z</t>
  </si>
  <si>
    <t>Alice Keeler QuickShare Screenshot 2021-04-18T00:13:12.000Z</t>
  </si>
  <si>
    <t>Showroom Toolbox 2020-11-07T10:55:49.000Z</t>
  </si>
  <si>
    <t>Kahoot name bypass 2021-01-05T11:14:34.000Z</t>
  </si>
  <si>
    <t>a9 Web Protection: safe web filter 2023-11-08T06:27:40.000Z</t>
  </si>
  <si>
    <t>なぞり検索 for 楽天市場 2016-05-21T10:08:59.000Z</t>
  </si>
  <si>
    <t>Nothing 2 All | Blackjack 2020-05-31T04:52:00.000Z</t>
  </si>
  <si>
    <t>UMP Timer 2021-06-14T03:24:14.000Z</t>
  </si>
  <si>
    <t>Golden Ratio 2019-08-12T08:04:22.000Z</t>
  </si>
  <si>
    <t>Bhagavad Gita Quotes 2018-06-02T04:11:54.000Z</t>
  </si>
  <si>
    <t>Spin Page In 2015-03-13T10:52:28.000Z</t>
  </si>
  <si>
    <t>GreenTerp Extension 2023-01-17T05:44:50.000Z</t>
  </si>
  <si>
    <t>VK friends manager 2020-01-11T05:12:10.000Z</t>
  </si>
  <si>
    <t>M1 Plus 2020-10-21T12:27:22.000Z</t>
  </si>
  <si>
    <t>simple-debug.css 2015-01-23T21:03:15.000Z</t>
  </si>
  <si>
    <t>webPass 2020-06-04T13:04:43.000Z</t>
  </si>
  <si>
    <t>Video Downloader 2023-03-23T07:33:46.000Z</t>
  </si>
  <si>
    <t>OctoLinker 2022-11-13T20:22:58.000Z</t>
  </si>
  <si>
    <t>Kill fbclid 2020-11-10T07:46:19.000Z</t>
  </si>
  <si>
    <t>webviruscheck Extension 2022-04-01T11:45:19.000Z</t>
  </si>
  <si>
    <t>AJAX Cross Origin 2014-08-05T06:53:08.000Z</t>
  </si>
  <si>
    <t>Discord System-Wide PTT 2021-09-15T09:53:01.000Z</t>
  </si>
  <si>
    <t>Công Cụ Đặt Hàng Ptite1688 2023-12-29T08:16:22.000Z</t>
  </si>
  <si>
    <t>راديو القرآن الكريم - Islamic Quran Radio 2015-05-06T02:25:58.000Z</t>
  </si>
  <si>
    <t>Super Search Agent 2021-01-12T14:28:26.000Z</t>
  </si>
  <si>
    <t>성능점검 접속 Plug-in 2021-12-01T08:29:47.000Z</t>
  </si>
  <si>
    <t>RemoteLiveReload 2014-12-15T23:20:44.000Z</t>
  </si>
  <si>
    <t>QR Code Maker 2015-07-12T14:54:27.000Z</t>
  </si>
  <si>
    <t>Short links service 2022-10-06T11:10:10.000Z</t>
  </si>
  <si>
    <t>Caged 2014-04-16T23:23:50.000Z</t>
  </si>
  <si>
    <t>Power JoJo 2022-02-22T06:43:38.000Z</t>
  </si>
  <si>
    <t>Change Website Background 2016-10-10T17:18:05.000Z</t>
  </si>
  <si>
    <t>Hebrew in notion 2020-07-26T13:57:14.000Z</t>
  </si>
  <si>
    <t>Подборка-Туров.ру 2021-09-10T09:42:50.000Z</t>
  </si>
  <si>
    <t>VK color changer - смена цвета и фона в ВК 2016-08-18T18:37:26.000Z</t>
  </si>
  <si>
    <t>Hong Kong Weather Extension （香港天氣） 2024-02-22T06:54:59.000Z</t>
  </si>
  <si>
    <t>Save to Facebook 2021-06-12T04:59:35.000Z</t>
  </si>
  <si>
    <t>FontMe 2022-01-18T03:55:22.000Z</t>
  </si>
  <si>
    <t>Tabby - Window and Tab Manager 2022-08-22T10:25:03.000Z</t>
  </si>
  <si>
    <t>Multiple Images to PDF 2017-10-07T11:06:59.000Z</t>
  </si>
  <si>
    <t>Add to Pinry 2020-06-29T08:16:53.000Z</t>
  </si>
  <si>
    <t>XML Plus 2019-02-20T08:02:50.000Z</t>
  </si>
  <si>
    <t>Cúram File Edit Native Messaging Bridge 2023-06-07T02:18:10.000Z</t>
  </si>
  <si>
    <t>Multi-Tab Controller for YouTube 2019-09-19T05:29:21.000Z</t>
  </si>
  <si>
    <t>html Fire 2013-08-21T01:02:44.000Z</t>
  </si>
  <si>
    <t>Popper Stopper Pro 2021-02-11T21:52:28.000Z</t>
  </si>
  <si>
    <t>TrackCheck for SoundCloud 2021-09-13T11:19:59.000Z</t>
  </si>
  <si>
    <t>About Chrome Page List 2018-02-05T07:36:53.000Z</t>
  </si>
  <si>
    <t>Aviasales — поиск авиабилетов 2014-11-06T10:25:11.000Z</t>
  </si>
  <si>
    <t>Zoho Expense 2024-10-06T13:44:22.000Z</t>
  </si>
  <si>
    <t>Knasta 2021-08-11T05:15:59.000Z</t>
  </si>
  <si>
    <t>Miro Search 2024-09-09T03:23:00.000Z</t>
  </si>
  <si>
    <t>Zona для Кинопоиска 2016-06-17T13:19:12.000Z</t>
  </si>
  <si>
    <t>雅婷逐字稿: 即時字幕，會議紀錄 2022-03-18T02:07:47.000Z</t>
  </si>
  <si>
    <t>Jiraya 2018-12-27T21:59:19.000Z</t>
  </si>
  <si>
    <t>FileBound Connect 2022-03-26T06:36:35.000Z</t>
  </si>
  <si>
    <t>Auto refresh actual webpage 2013-09-21T11:50:08.000Z</t>
  </si>
  <si>
    <t>PixelBlock 2024-03-12T05:51:08.000Z</t>
  </si>
  <si>
    <t>AcFun助手 2021-09-10T11:01:45.000Z</t>
  </si>
  <si>
    <t>Clear Cache Shortcut 2021-04-09T08:49:33.000Z</t>
  </si>
  <si>
    <t>Power Saver 2016-06-21T17:11:44.000Z</t>
  </si>
  <si>
    <t>Open with Photoscape 2020-12-09T05:10:37.000Z</t>
  </si>
  <si>
    <t>Zeeromed Multi-monitor 2022-06-07T07:08:02.000Z</t>
  </si>
  <si>
    <t>Amazon Killer 2020-11-11T09:57:58.000Z</t>
  </si>
  <si>
    <t>SAML DevTools extension 2015-11-09T11:35:38.000Z</t>
  </si>
  <si>
    <t>SwissNow - ServiceNOW toolbox 2023-07-05T12:43:15.000Z</t>
  </si>
  <si>
    <t>W Zoom 2016-07-12T13:32:08.000Z</t>
  </si>
  <si>
    <t>Erinome RSS 2020-06-21T11:26:12.000Z</t>
  </si>
  <si>
    <t>The Snap 2024-08-26T03:59:13.000Z</t>
  </si>
  <si>
    <t>salesforce-tool 2015-10-01T08:19:44.000Z</t>
  </si>
  <si>
    <t>Modify Content-Type 2013-11-15T23:18:31.000Z</t>
  </si>
  <si>
    <t>Sanity 2021-11-14T01:46:49.000Z</t>
  </si>
  <si>
    <t>Oracle Eloqua Sales Tools 2024-06-21T04:53:41.000Z</t>
  </si>
  <si>
    <t>PlayTo for Chromecast™ 2020-06-16T15:16:43.000Z</t>
  </si>
  <si>
    <t>PawBlock 2022-12-26T06:01:37.000Z</t>
  </si>
  <si>
    <t>Mine Control 2017-12-12T14:02:11.000Z</t>
  </si>
  <si>
    <t>Senso Client 2024-09-20T06:48:02.000Z</t>
  </si>
  <si>
    <t>Printix 2024-07-19T10:37:42.000Z</t>
  </si>
  <si>
    <t>Black theme for Ebay 2021-09-07T12:24:07.000Z</t>
  </si>
  <si>
    <t>vREST - REST API Testing Tool 2021-03-02T10:14:32.000Z</t>
  </si>
  <si>
    <t>LiveReload 2015-04-08T14:28:50.000Z</t>
  </si>
  <si>
    <t>Easy Cleaner 2016-05-07T12:46:12.000Z</t>
  </si>
  <si>
    <t>Biblia en Español 2013-07-02T22:02:05.000Z</t>
  </si>
  <si>
    <t>TDK Türkçe Sözlük 2020-05-06T17:55:03.000Z</t>
  </si>
  <si>
    <t>Reddit Slideshow 2023-11-23T07:36:19.000Z</t>
  </si>
  <si>
    <t>YesWeHack VDP Finder 2020-02-07T11:25:47.000Z</t>
  </si>
  <si>
    <t>CashbackDeals.de Cashback-Melder 2018-04-16T12:34:58.000Z</t>
  </si>
  <si>
    <t>Gooreplacer 2022-05-21T04:20:23.000Z</t>
  </si>
  <si>
    <t>Canvas Dashboard Grades 2019-12-10T01:19:39.000Z</t>
  </si>
  <si>
    <t>MUA Web Unicode Converter 2020-10-06T04:24:14.000Z</t>
  </si>
  <si>
    <t>Laya Tree 2021-11-15T13:03:26.000Z</t>
  </si>
  <si>
    <t>GB Browser 2018-01-31T09:31:20.000Z</t>
  </si>
  <si>
    <t>Codelf-Best GitHub Stars organizer 2018-03-27T07:29:32.000Z</t>
  </si>
  <si>
    <t>Inglourious Grammer 2017-06-29T20:47:43.000Z</t>
  </si>
  <si>
    <t>simple translate - google网页翻译 2018-12-11T02:31:43.000Z</t>
  </si>
  <si>
    <t>Treendly — Discover rising trends 2020-12-05T06:23:42.000Z</t>
  </si>
  <si>
    <t>Link Finder 2013-12-25T05:12:26.000Z</t>
  </si>
  <si>
    <t>Corporate Video Production 2018-07-16T09:35:50.000Z</t>
  </si>
  <si>
    <t>Global Mobile 2016-09-09T23:01:02.000Z</t>
  </si>
  <si>
    <t>7StarHD Bollywood</t>
  </si>
  <si>
    <t>Showroom 投げカウントはワンクリックで回収も補助するちゃん1号 2021-07-22T09:18:08.000Z</t>
  </si>
  <si>
    <t>Mute for Google Meet™ 2021-06-11T01:02:32.000Z</t>
  </si>
  <si>
    <t>My First Browser 2022-03-28T04:53:40.000Z</t>
  </si>
  <si>
    <t>Semantic inspector 2017-01-20T02:29:34.000Z</t>
  </si>
  <si>
    <t>Recent Searches 2021-02-08T06:36:39.000Z</t>
  </si>
  <si>
    <t>VkSaved 2021-12-31T12:21:55.000Z</t>
  </si>
  <si>
    <t>Clean Timer 2020-04-10T15:25:21.000Z</t>
  </si>
  <si>
    <t>Avaya Click To Dial 2021-09-09T12:26:58.000Z</t>
  </si>
  <si>
    <t>Vimbox Субтитры от Skyeng 2020-02-20T18:01:15.000Z</t>
  </si>
  <si>
    <t>JSON Formatter 2016-07-28T02:15:44.000Z</t>
  </si>
  <si>
    <t>React Stores Devtools Extension 2020-03-05T07:11:40.000Z</t>
  </si>
  <si>
    <t>Search Trends 2019-04-26T22:25:43.000Z</t>
  </si>
  <si>
    <t>Daily Bible Verse 2017-05-02T16:33:11.000Z</t>
  </si>
  <si>
    <t>URL Specific Notepad - AnnoPad 2019-10-10T05:21:44.000Z</t>
  </si>
  <si>
    <t>HiFrame - The Hyper IFRAME extension! 2023-08-10T07:47:30.000Z</t>
  </si>
  <si>
    <t>有道云笔记网页剪报 2022-08-23T05:22:20.000Z</t>
  </si>
  <si>
    <t>Mango Helper 2024-07-30T09:02:32.000Z</t>
  </si>
  <si>
    <t>Linkedroid - The LinkedIn™ Helper 2023-03-09T19:36:12.000Z</t>
  </si>
  <si>
    <t>Sans Forgetica: Study Mode by RMIT University 2018-10-12T01:15:34.000Z</t>
  </si>
  <si>
    <t>Who Is Hosting? 2016-02-05T16:10:04.000Z</t>
  </si>
  <si>
    <t>Naver Cafe Free Pass 2021-08-31T21:30:20.000Z</t>
  </si>
  <si>
    <t>YT End Cards Hider 2020-05-07T23:10:59.000Z</t>
  </si>
  <si>
    <t>Group Extractor 2021-05-10T09:44:22.000Z</t>
  </si>
  <si>
    <t>FPS Control 2019-10-23T16:23:56.000Z</t>
  </si>
  <si>
    <t>Wordpress Admin Bar Control 2015-02-09T13:23:11.000Z</t>
  </si>
  <si>
    <t>MTG Remote 2023-06-15T03:54:22.000Z</t>
  </si>
  <si>
    <t>CRXcavator Gatherer 2021-03-03T18:56:40.000Z</t>
  </si>
  <si>
    <t>Impero Client Extension 8.6.23 2023-05-11T04:06:00.000Z</t>
  </si>
  <si>
    <t>Spider-Man Miles Morales APK Download Mod 2020-11-09T04:38:37.000Z</t>
  </si>
  <si>
    <t>Amazon AppStream Example Client 2015-05-11T22:28:08.000Z</t>
  </si>
  <si>
    <t>Spectrum 2016-04-16T17:41:19.000Z</t>
  </si>
  <si>
    <t>MemoRISE 2021-08-08T21:29:45.000Z</t>
  </si>
  <si>
    <t>Mobicip Parental Control with Screen Time 2022-08-26T09:46:27.000Z</t>
  </si>
  <si>
    <t>Slideshow Wallpaper Gadget 2019-07-05T03:27:33.000Z</t>
  </si>
  <si>
    <t>Tab Thumbnails Switcher 2025-01-07T10:37:11.000Z</t>
  </si>
  <si>
    <t>URL Blocker 2021-10-12T11:52:40.000Z</t>
  </si>
  <si>
    <t>Просмотр изображений 2015-07-07T18:05:46.000Z</t>
  </si>
  <si>
    <t>Inject Code 2024-03-09T08:09:14.000Z</t>
  </si>
  <si>
    <t>Save In… 2023-02-14T04:20:31.000Z</t>
  </si>
  <si>
    <t>Atavi - bookmark manager 2020-05-05T10:27:31.000Z</t>
  </si>
  <si>
    <t>YouTube Playlist Deleted Tracker 2019-04-07T23:16:40.000Z</t>
  </si>
  <si>
    <t>SFR / NEUF Hotspot AutoFill 2014-12-21T12:37:01.000Z</t>
  </si>
  <si>
    <t>cookie快速模拟 2014-04-20T18:10:31.000Z</t>
  </si>
  <si>
    <t>ER-help Extension 2023-02-02T08:41:43.000Z</t>
  </si>
  <si>
    <t>Unblock Bilibili - The only official version 2022-02-26T07:32:45.000Z</t>
  </si>
  <si>
    <t>GAFE Force Copy - Curt Schleibaum &amp; ETH 2016-03-02T15:13:00.000Z</t>
  </si>
  <si>
    <t>Twice New Tab 2019-10-01T04:21:26.000Z</t>
  </si>
  <si>
    <t>Namaz Vakti 2013-10-01T22:41:46.000Z</t>
  </si>
  <si>
    <t>DBG debugger toolbar 2013-07-10T13:34:20.000Z</t>
  </si>
  <si>
    <t>LJ Account Juggler 2022-05-24T09:47:13.000Z</t>
  </si>
  <si>
    <t>Scrutinizer for GitHub and Bitbucket 2022-11-11T05:02:35.000Z</t>
  </si>
  <si>
    <t>Shippii 2021-11-09T07:59:39.000Z</t>
  </si>
  <si>
    <t>Multi Twitch Extension 2021-02-03T08:56:32.000Z</t>
  </si>
  <si>
    <t>かんたんCSVダウンロード 2021-06-27T10:19:40.000Z</t>
  </si>
  <si>
    <t>Smarty.Sale Cash Back 2020-05-05T04:56:22.000Z</t>
  </si>
  <si>
    <t>Вконтакте без рекламы (VK without ads) 2020-12-01T09:56:46.000Z</t>
  </si>
  <si>
    <t>Block Website Notification Requests 2022-06-22T06:56:20.000Z</t>
  </si>
  <si>
    <t>Document and Image Converter Toolbox 2024-04-07T07:16:47.000Z</t>
  </si>
  <si>
    <t>Easy Dice Roller 2014-06-20T16:03:50.000Z</t>
  </si>
  <si>
    <t>PhishArm 2022-04-19T17:15:14.000Z</t>
  </si>
  <si>
    <t>Easy Urban Dictionary Lookup 2017-01-12T20:03:17.000Z</t>
  </si>
  <si>
    <t>Salesmsg - Business Text Messaging 2024-10-07T13:52:32.000Z</t>
  </si>
  <si>
    <t>Cabal 2024-12-06T00:16:19.000Z</t>
  </si>
  <si>
    <t>nnm-club seed helper 2018-08-05T18:18:31.000Z</t>
  </si>
  <si>
    <t>Live Chat Overlay 2021-03-17T04:44:07.000Z</t>
  </si>
  <si>
    <t>IMDB Torrent Search 2021-04-29T03:04:33.000Z</t>
  </si>
  <si>
    <t>MQTTBox 2017-05-10T03:05:10.000Z</t>
  </si>
  <si>
    <t>Cards 2013-08-14T06:45:09.000Z</t>
  </si>
  <si>
    <t>Agentium: User agent switcher 2018-11-10T08:03:50.000Z</t>
  </si>
  <si>
    <t>Pholody Slideshow 2018-10-26T00:19:08.000Z</t>
  </si>
  <si>
    <t>Evince on rollApp 2015-11-13T09:50:22.000Z</t>
  </si>
  <si>
    <t>Emparazon 2024-08-28T07:53:07.000Z</t>
  </si>
  <si>
    <t>Origin Requests Only (Firewall) 2021-02-26T06:26:19.000Z</t>
  </si>
  <si>
    <t>Trello Card Numbers 2017-10-27T17:15:53.000Z</t>
  </si>
  <si>
    <t>Trellix Endpoint Security For Mac Web Control 2023-05-04T06:10:02.000Z</t>
  </si>
  <si>
    <t>AliBaba Image Downloader &amp; Editor 2024-04-03T11:02:22.000Z</t>
  </si>
  <si>
    <t>Photo To Cartoon Editor 2016-01-20T21:21:27.000Z</t>
  </si>
  <si>
    <t>Speak 2018-11-18T08:04:16.000Z</t>
  </si>
  <si>
    <t>I've a feeling we're not in a Sandbox anymore 2015-07-09T12:00:40.000Z</t>
  </si>
  <si>
    <t>Directly Zoom Client Opener 2020-08-06T12:58:49.000Z</t>
  </si>
  <si>
    <t>Jarvis AI 2017-01-30T23:43:27.000Z</t>
  </si>
  <si>
    <t>Messenger &amp; Notifier for Facebook™ 2018-11-01T08:48:25.000Z</t>
  </si>
  <si>
    <t>Postcron 2017-11-13T14:43:32.000Z</t>
  </si>
  <si>
    <t>SimpleUndoRecents 2020-11-14T06:33:40.000Z</t>
  </si>
  <si>
    <t>Chrometana - Redirect Bing Somewhere Better 2017-07-28T18:16:09.000Z</t>
  </si>
  <si>
    <t>Goko Dominion Salvager 2016-06-02T06:00:57.000Z</t>
  </si>
  <si>
    <t>Dolby Voice 1.2 2016-03-06T15:09:48.000Z</t>
  </si>
  <si>
    <t>Habitica 2016-10-19T04:47:45.000Z</t>
  </si>
  <si>
    <t>直播关注助手 2021-03-29T05:25:43.000Z</t>
  </si>
  <si>
    <t>❤️Fancy Font Generator 😎 🅵🅰🅽🅲🆈 🅵🅾🅽🆃 2021-03-17T11:29:25.000Z</t>
  </si>
  <si>
    <t>Компоновщик URL 2018-05-03T15:02:30.000Z</t>
  </si>
  <si>
    <t>Grids &amp; Rulers 2020-05-22T07:18:21.000Z</t>
  </si>
  <si>
    <t>Request Maker 2017-03-08T09:20:05.000Z</t>
  </si>
  <si>
    <t>Disney Plus Helper 2020-09-22T06:59:25.000Z</t>
  </si>
  <si>
    <t>Link Preserver for Trello 2021-08-08T09:13:22.000Z</t>
  </si>
  <si>
    <t>Barcodes &amp; address labels for seller central 2024-12-13T13:59:50.000Z</t>
  </si>
  <si>
    <t>Mail Checker 2014-12-19T03:35:57.000Z</t>
  </si>
  <si>
    <t>S1 Demo 2016-06-09T15:46:06.000Z</t>
  </si>
  <si>
    <t>Fearch 2018-04-02T21:59:13.000Z</t>
  </si>
  <si>
    <t>WinchPass 2021-03-04T10:01:42.000Z</t>
  </si>
  <si>
    <t>whereby.com/appear.in meeting room helper 2019-08-21T12:56:31.000Z</t>
  </si>
  <si>
    <t>滑らかな日本語フォント化 2022-02-20T07:57:24.000Z</t>
  </si>
  <si>
    <t>EdScreen 2017-10-08T23:04:14.000Z</t>
  </si>
  <si>
    <t>Automation 360 2022-09-22T14:17:52.000Z</t>
  </si>
  <si>
    <t>CleanTube 2024-10-04T08:49:12.000Z</t>
  </si>
  <si>
    <t>gRPC-Web Developer Tools 2024-07-25T06:19:07.000Z</t>
  </si>
  <si>
    <t>Azbuka 2020-02-28T11:39:36.000Z</t>
  </si>
  <si>
    <t>URL Query Editor 2013-05-28T06:20:09.000Z</t>
  </si>
  <si>
    <t>Very Annoying High Pitch Dog Whistle Sound 2019-06-16T09:04:56.000Z</t>
  </si>
  <si>
    <t>Emoji Polyfill 2022-06-22T10:58:38.000Z</t>
  </si>
  <si>
    <t>Merch Research Free 2021-04-18T05:38:22.000Z</t>
  </si>
  <si>
    <t>Screen sharing for attendanywhere.co.uk 2021-01-11T23:18:08.000Z</t>
  </si>
  <si>
    <t>Lifetime Deal Alert for AppSumo &amp; Dealify 2021-04-19T09:14:33.000Z</t>
  </si>
  <si>
    <t>Dark Reader Dark 2020-05-06T08:02:49.000Z</t>
  </si>
  <si>
    <t>Fteaser.Ru 2021-03-25T07:56:13.000Z</t>
  </si>
  <si>
    <t>Dev Helper 2021-05-12T07:59:43.000Z</t>
  </si>
  <si>
    <t>AdBlock Shield 2021-12-23T11:50:39.000Z</t>
  </si>
  <si>
    <t>Twitch HTML5 2015-09-10T17:34:22.000Z</t>
  </si>
  <si>
    <t>Image Autosizer 2017-02-03T22:04:52.000Z</t>
  </si>
  <si>
    <t>Daydream Night Mode 2020-11-20T14:31:35.000Z</t>
  </si>
  <si>
    <t>Page saver 2021-01-24T05:12:53.000Z</t>
  </si>
  <si>
    <t>rminder - WinTenDev 2021-05-26T06:37:09.000Z</t>
  </si>
  <si>
    <t>Ma Moyenne MBN 2022-02-12T21:35:39.000Z</t>
  </si>
  <si>
    <t>Search AliExpress Products By Image 2022-01-05T09:07:28.000Z</t>
  </si>
  <si>
    <t>Water Reminder 2016-06-28T00:55:28.000Z</t>
  </si>
  <si>
    <t>Insta-Wow! 2019-08-04T20:14:05.000Z</t>
  </si>
  <si>
    <t>Hide 'Like' Notifications 2021-02-14T10:33:22.000Z</t>
  </si>
  <si>
    <t>JWT 2018-09-01T18:41:35.000Z</t>
  </si>
  <si>
    <t>集装箱 2020-12-13T10:37:11.000Z</t>
  </si>
  <si>
    <t>Auto form filler 2021-09-15T04:30:01.000Z</t>
  </si>
  <si>
    <t>简 Tab (SimpTab) - 新标签页 2019-12-04T08:48:13.000Z</t>
  </si>
  <si>
    <t>ZenMail 2021-11-30T12:01:00.000Z</t>
  </si>
  <si>
    <t>Scraper Crawler V3 2020-03-17T04:36:03.000Z</t>
  </si>
  <si>
    <t>Chrome Response Override 2022-06-24T04:39:50.000Z</t>
  </si>
  <si>
    <t>MeetChatSave: Salvar chat do Google Meet 2021-06-07T15:17:16.000Z</t>
  </si>
  <si>
    <t>DictationBox 2022-09-22T05:05:17.000Z</t>
  </si>
  <si>
    <t>Xbrl signing 2025-01-06T12:20:44.000Z</t>
  </si>
  <si>
    <t>Lookup Word in Dictionary 2022-05-21T12:21:35.000Z</t>
  </si>
  <si>
    <t>Serial Projector 2020-03-11T12:19:19.000Z</t>
  </si>
  <si>
    <t>MobX Developer Tools Pro 2022-11-17T07:54:17.000Z</t>
  </si>
  <si>
    <t>Vanmaram English Malayalam dictionary 2019-10-31T06:42:59.000Z</t>
  </si>
  <si>
    <t>reCAPTCHA Autoclicker 2019-09-20T00:02:46.000Z</t>
  </si>
  <si>
    <t>Text.ai - Intelligent Text Extractor 2023-02-28T08:09:37.000Z</t>
  </si>
  <si>
    <t>Celebrity Voice Changer 2021-07-14T04:34:24.000Z</t>
  </si>
  <si>
    <t>Shareaholic for Google Chrome™ 2022-07-20T04:31:47.000Z</t>
  </si>
  <si>
    <t>HBO GO Quality Enforcer 2018-10-09T19:29:14.000Z</t>
  </si>
  <si>
    <t>Filmaffinity búsqueda rápida 2020-06-15T12:00:36.000Z</t>
  </si>
  <si>
    <t>Squanchify 2017-08-30T08:40:58.000Z</t>
  </si>
  <si>
    <t>GTM Helper 2021-10-17T05:07:59.000Z</t>
  </si>
  <si>
    <t>Exponator Live! 2018-08-22T14:23:09.000Z</t>
  </si>
  <si>
    <t>Kardashian Filter 2016-02-10T18:31:48.000Z</t>
  </si>
  <si>
    <t>Link Save 2015-06-17T04:08:43.000Z</t>
  </si>
  <si>
    <t>Merch Text - Streamline Merch By Amazon 2017-03-19T22:31:56.000Z</t>
  </si>
  <si>
    <t>Loadify - Smart Image Downloader 2019-09-22T17:48:36.000Z</t>
  </si>
  <si>
    <t>TVple Eraser 2017-10-18T15:29:47.000Z</t>
  </si>
  <si>
    <t>Amazon SEO Assistant 2022-02-17T09:00:25.000Z</t>
  </si>
  <si>
    <t>Website Locker 2022-04-07T04:29:44.000Z</t>
  </si>
  <si>
    <t>Semantic Scholar 2020-10-29T22:18:42.000Z</t>
  </si>
  <si>
    <t>Kill The Clones 2018-04-01T15:07:37.000Z</t>
  </si>
  <si>
    <t>Collamark 2019-02-24T17:44:23.000Z</t>
  </si>
  <si>
    <t>Yandex search 2016-09-10T02:45:30.000Z</t>
  </si>
  <si>
    <t>Youtube Ads Killer 2019-09-07T14:37:03.000Z</t>
  </si>
  <si>
    <t>Double Read 2014-04-07T13:01:02.000Z</t>
  </si>
  <si>
    <t>Map Replace 2013-11-15T12:44:29.000Z</t>
  </si>
  <si>
    <t>Поиск на Яндекс.Маркет 2020-05-27T07:15:52.000Z</t>
  </si>
  <si>
    <t>Call a Number via Fritz!Box 2024-06-05T12:34:27.000Z</t>
  </si>
  <si>
    <t>VK Player 2014-09-23T19:28:33.000Z</t>
  </si>
  <si>
    <t>Fuuz Browser Extension 2024-06-20T14:38:05.000Z</t>
  </si>
  <si>
    <t>AutoXu for Shopee 2021-12-23T11:16:52.000Z</t>
  </si>
  <si>
    <t>Sales Assist by Uberflip 2023-07-11T12:55:09.000Z</t>
  </si>
  <si>
    <t>魔方换算 2021-09-10T09:21:37.000Z</t>
  </si>
  <si>
    <t>Right Click to Search Amazon 2016-12-09T11:51:37.000Z</t>
  </si>
  <si>
    <t>Kudo Presentation Mode 2018-01-31T16:02:47.000Z</t>
  </si>
  <si>
    <t>QuickTube Youtube Video Summarizer 2020-09-01T04:55:44.000Z</t>
  </si>
  <si>
    <t>Color Picker 2022-01-13T04:37:44.000Z</t>
  </si>
  <si>
    <t>SP REST JSON 2021-01-26T06:50:36.000Z</t>
  </si>
  <si>
    <t>Text Zoom to increase font sizes 2023-04-20T11:29:23.000Z</t>
  </si>
  <si>
    <t>Fuze for Chrome 2023-01-12T06:35:46.000Z</t>
  </si>
  <si>
    <t>Block NSFW posts from Reddit at work 2016-10-18T21:15:14.000Z</t>
  </si>
  <si>
    <t>Google Looker Studio™ Helper - Porter 2023-03-19T06:42:12.000Z</t>
  </si>
  <si>
    <t>Viewport Dimensions 2016-09-18T00:05:50.000Z</t>
  </si>
  <si>
    <t>RaidViewer 2019-04-18T19:10:50.000Z</t>
  </si>
  <si>
    <t>Tubidy 2020-12-06T11:14:08.000Z</t>
  </si>
  <si>
    <t>Meteor 2024-02-27T04:08:22.000Z</t>
  </si>
  <si>
    <t>flomoplus 2023-11-24T02:09:49.000Z</t>
  </si>
  <si>
    <t>Cálculos Mercado Livre 2022-09-14T17:51:08.000Z</t>
  </si>
  <si>
    <t>PubMed for Omnibox 2012-08-05T10:22:35.000Z</t>
  </si>
  <si>
    <t>Twitch Chat Replay 2019-03-08T16:29:32.000Z</t>
  </si>
  <si>
    <t>Browser Fingerprint Protector 2022-02-02T07:00:17.000Z</t>
  </si>
  <si>
    <t>SJW to Skeleton 2014-11-16T22:58:16.000Z</t>
  </si>
  <si>
    <t>Snap It Button 2020-10-17T04:58:52.000Z</t>
  </si>
  <si>
    <t>Aerys - Tab Manager 2020-06-15T09:38:24.000Z</t>
  </si>
  <si>
    <t>Rakuten Anti Mail Magazine 2014-06-28T10:30:49.000Z</t>
  </si>
  <si>
    <t>Redux Saga Dev Tools 2018-09-26T23:15:09.000Z</t>
  </si>
  <si>
    <t>boom! – Declutter pages</t>
  </si>
  <si>
    <t>Chrome Dino T-Rex RPG 2021-06-23T05:04:30.000Z</t>
  </si>
  <si>
    <t>Custom Shortcut Button 2017-01-31T20:18:17.000Z</t>
  </si>
  <si>
    <t>Orchestra NG Integration 2023-07-29T07:08:43.000Z</t>
  </si>
  <si>
    <t>Xbox 360 emulator for PC - New Tab Background 2022-01-24T07:31:42.000Z</t>
  </si>
  <si>
    <t>WaitBlock 2020-11-23T04:48:58.000Z</t>
  </si>
  <si>
    <t>Sources de Confiance 2023-07-12T12:21:23.000Z</t>
  </si>
  <si>
    <t>Design Mode 2012-08-28T14:15:37.000Z</t>
  </si>
  <si>
    <t>Tooltip Editor 2022-08-15T12:50:56.000Z</t>
  </si>
  <si>
    <t>Proxybonanza Proxy Manager 2019-05-10T12:12:12.000Z</t>
  </si>
  <si>
    <t>Open in VS Code 2021-07-22T06:23:04.000Z</t>
  </si>
  <si>
    <t>Tracking Token Stripper 2024-12-19T19:31:31.000Z</t>
  </si>
  <si>
    <t>1 frame forward 2023-03-09T07:55:21.000Z</t>
  </si>
  <si>
    <t>Outliner 2012-10-01T15:49:56.000Z</t>
  </si>
  <si>
    <t>Betaflight - Configurator 2018-08-24T09:34:43.000Z</t>
  </si>
  <si>
    <t>Strikethrough</t>
  </si>
  <si>
    <t>Running Challenges 2023-06-29T22:43:22.000Z</t>
  </si>
  <si>
    <t>nCena 2017-12-31T02:39:39.000Z</t>
  </si>
  <si>
    <t>ペタサーチ 2019-10-15T10:11:55.000Z</t>
  </si>
  <si>
    <t>Retinex - online photo editor 2012-11-23T05:39:53.000Z</t>
  </si>
  <si>
    <t>My T-Mo Helper 2021-04-14T13:40:26.000Z</t>
  </si>
  <si>
    <t>Double Shot Search: Query side-by-side 2021-03-16T10:31:12.000Z</t>
  </si>
  <si>
    <t>Dictionnaire : définitions mots français 2021-11-27T12:17:13.000Z</t>
  </si>
  <si>
    <t>Copy Selected Links 2023-06-26T10:30:04.000Z</t>
  </si>
  <si>
    <t>VK Custom Stickers 2014-07-05T17:11:10.000Z</t>
  </si>
  <si>
    <t>SAIS Timetable 2020-05-25T07:28:33.000Z</t>
  </si>
  <si>
    <t>Copy Link Address 2016-01-04T06:43:49.000Z</t>
  </si>
  <si>
    <t>Pokemon Legends Extension 2021-02-07T15:55:57.000Z</t>
  </si>
  <si>
    <t>SaleSource: Extension 2022-08-25T11:20:49.000Z</t>
  </si>
  <si>
    <t>Plurk-HoverZoom 2018-06-02T13:17:02.000Z</t>
  </si>
  <si>
    <t>block-taxes-img 2023-05-15T10:20:41.000Z</t>
  </si>
  <si>
    <t>dyslexia simulator 2016-10-14T21:52:16.000Z</t>
  </si>
  <si>
    <t>Tab Cookie Remover 2018-01-30T13:57:16.000Z</t>
  </si>
  <si>
    <t>API Proxy Agent for Google Chrome™ 2016-06-29T20:59:19.000Z</t>
  </si>
  <si>
    <t>Pongball 2019-03-08T16:30:15.000Z</t>
  </si>
  <si>
    <t>EasyIQ IdP – Hørsholm Kommune 2023-11-23T06:16:16.000Z</t>
  </si>
  <si>
    <t>Easy Video Converter 2020-05-29T03:54:51.000Z</t>
  </si>
  <si>
    <t>Archetype Code Editor 2021-01-23T15:37:51.000Z</t>
  </si>
  <si>
    <t>WebWall - Internet Security &amp; Privacy Safety 2021-08-30T08:32:05.000Z</t>
  </si>
  <si>
    <t>Active Collab Inline Timers 2022-03-23T03:29:37.000Z</t>
  </si>
  <si>
    <t>Google Docs Image Viewer 2019-04-09T17:57:32.000Z</t>
  </si>
  <si>
    <t>New Tab Helper 72 2020-05-26T06:24:47.000Z</t>
  </si>
  <si>
    <t>Random Proxy Switcher 2014-10-24T11:55:24.000Z</t>
  </si>
  <si>
    <t>Yet Another YouTube Comment Filter 2022-05-03T04:50:22.000Z</t>
  </si>
  <si>
    <t>Theia for Facebook 2019-10-13T14:29:22.000Z</t>
  </si>
  <si>
    <t>Trello Boosted Boards 2017-08-10T13:26:10.000Z</t>
  </si>
  <si>
    <t>EXE Creator for Go Language 2019-04-15T17:36:36.000Z</t>
  </si>
  <si>
    <t>Can I Fly There 2020-09-07T07:30:05.000Z</t>
  </si>
  <si>
    <t>LMS++ 2021-05-09T04:28:09.000Z</t>
  </si>
  <si>
    <t>Norton Setup Help 2021-01-17T07:14:13.000Z</t>
  </si>
  <si>
    <t>My Reading List 2015-07-15T04:57:47.000Z</t>
  </si>
  <si>
    <t>Email From Github 2019-04-20T16:48:32.000Z</t>
  </si>
  <si>
    <t>Drive PhotoMap</t>
  </si>
  <si>
    <t>Google Meet Hide Video 2020-11-17T12:31:17.000Z</t>
  </si>
  <si>
    <t>History Blocker by Site 2017-10-02T17:40:51.000Z</t>
  </si>
  <si>
    <t>FantasyGuru ESPN Connector 2020-08-27T06:35:46.000Z</t>
  </si>
  <si>
    <t>ترجمة انجليزي الى عربي عن طريق تظليل النص 2014-01-29T08:18:37.000Z</t>
  </si>
  <si>
    <t>JIRA RTL 2019-12-12T13:30:10.000Z</t>
  </si>
  <si>
    <t>6Activate 2020-12-20T06:09:17.000Z</t>
  </si>
  <si>
    <t>CodeTree 2019-05-21T06:28:09.000Z</t>
  </si>
  <si>
    <t>Heading Tag Markup 2019-09-06T12:05:29.000Z</t>
  </si>
  <si>
    <t>33mail - Defend your Inbox 2020-04-21T13:24:48.000Z</t>
  </si>
  <si>
    <t>Auto Overlay Remover 2017-05-07T14:52:53.000Z</t>
  </si>
  <si>
    <t>Website Color Palette 2020-12-14T04:23:04.000Z</t>
  </si>
  <si>
    <t>IDN Safe 2020-07-07T08:29:10.000Z</t>
  </si>
  <si>
    <t>Plex Speed 2021-07-16T07:19:29.000Z</t>
  </si>
  <si>
    <t>Photobucket Hotlink Fix 2023-09-12T10:51:05.000Z</t>
  </si>
  <si>
    <t>JSONEdit 2015-05-31T17:46:41.000Z</t>
  </si>
  <si>
    <t>Astro 2024-08-16T00:25:30.000Z</t>
  </si>
  <si>
    <t>스마트스토어 판매건수 뷰어 2023-09-06T11:47:50.000Z</t>
  </si>
  <si>
    <t>Image Remover 2016-03-03T03:00:08.000Z</t>
  </si>
  <si>
    <t>ClickOnce for Google Chrome 2018-04-04T19:34:03.000Z</t>
  </si>
  <si>
    <t>Custom Redirects 2014-02-12T21:19:38.000Z</t>
  </si>
  <si>
    <t>AgroMod: The Only Agar.io Merge Timer 2016-08-19T12:41:29.000Z</t>
  </si>
  <si>
    <t>Sleep Mode 2019-11-21T16:40:42.000Z</t>
  </si>
  <si>
    <t>Play Open Beta Finder 2016-06-07T07:12:58.000Z</t>
  </si>
  <si>
    <t>TSU Schedule Organizer 2014-09-15T14:07:59.000Z</t>
  </si>
  <si>
    <t>짤줍 2021-10-01T02:29:58.000Z</t>
  </si>
  <si>
    <t>Paywall 2016-10-19T06:26:56.000Z</t>
  </si>
  <si>
    <t>Auto Boomerang by Siege Media 2013-12-09T23:45:26.000Z</t>
  </si>
  <si>
    <t>Copy Css Selector 2018-10-20T22:25:45.000Z</t>
  </si>
  <si>
    <t>Paraphraser 2021-08-17T10:14:05.000Z</t>
  </si>
  <si>
    <t>WARCreate 2021-06-30T10:19:51.000Z</t>
  </si>
  <si>
    <t>JPG to JPEG Converter 2020-05-29T05:53:27.000Z</t>
  </si>
  <si>
    <t>Add to Google Bookmarks (context menu) 2013-03-27T11:24:03.000Z</t>
  </si>
  <si>
    <t>Pixiz 2016-07-08T10:22:45.000Z</t>
  </si>
  <si>
    <t>Erica Synths Firmware upgrader v2 2021-01-24T13:06:18.000Z</t>
  </si>
  <si>
    <t>Leo Dictionary Widget 2017-04-20T22:10:31.000Z</t>
  </si>
  <si>
    <t>Screensharing for Nextcloud Video calls app 2017-03-07T11:43:23.000Z</t>
  </si>
  <si>
    <t>Padvish Antiphishing 2020-12-23T06:41:38.000Z</t>
  </si>
  <si>
    <t>Amazon Unsponsor 2024-09-06T10:08:47.000Z</t>
  </si>
  <si>
    <t>Iris 3D Viewer 2018-06-26T21:52:14.000Z</t>
  </si>
  <si>
    <t>在线随机数生成器 2018-04-27T02:10:01.000Z</t>
  </si>
  <si>
    <t>Chrome Mouse Gesture 2013-07-13T03:33:30.000Z</t>
  </si>
  <si>
    <t>Remote Transmission ++ 2024-02-07T08:34:34.000Z</t>
  </si>
  <si>
    <t>UF LogMeIn by joshuac.com 2013-05-11T00:02:42.000Z</t>
  </si>
  <si>
    <t>一键下载到小米路由器 2014-05-08T06:05:46.000Z</t>
  </si>
  <si>
    <t>DoctorN for Torn 2020-01-23T12:17:43.000Z</t>
  </si>
  <si>
    <t>Chromemacs 2021-06-06T12:55:53.000Z</t>
  </si>
  <si>
    <t>Contact Editor for Google Contacts 2020-08-22T10:28:58.000Z</t>
  </si>
  <si>
    <t>Play Next 2018-12-31T08:08:30.000Z</t>
  </si>
  <si>
    <t>Apps Script Sortable List Files 2020-01-16T11:26:57.000Z</t>
  </si>
  <si>
    <t>HTML5 Gamepad Detector 2020-02-20T13:54:03.000Z</t>
  </si>
  <si>
    <t>Checkvist 2019-12-23T17:10:46.000Z</t>
  </si>
  <si>
    <t>Writing Prompt Generator 2020-10-12T05:27:25.000Z</t>
  </si>
  <si>
    <t>Youtube Audio Fixer 2019-10-10T10:57:57.000Z</t>
  </si>
  <si>
    <t>WebGL Earth 2014-07-03T18:12:53.000Z</t>
  </si>
  <si>
    <t>Collocation Dictionary Lookup 2021-08-17T06:45:08.000Z</t>
  </si>
  <si>
    <t>Automatic Twitch: Drops</t>
  </si>
  <si>
    <t>Invite All 2016-04-06T05:08:14.000Z</t>
  </si>
  <si>
    <t>Take a note 2013-09-30T13:27:15.000Z</t>
  </si>
  <si>
    <t>Crazy Page 2018-07-21T16:56:30.000Z</t>
  </si>
  <si>
    <t>Simple Notepad 2021-08-15T11:08:30.000Z</t>
  </si>
  <si>
    <t>OPALS Catalog Search Extension 2020-11-29T23:03:45.000Z</t>
  </si>
  <si>
    <t>NoPremium.pl 2022-06-08T08:03:42.000Z</t>
  </si>
  <si>
    <t>Shareaholic for Pinterest 2012-12-05T23:04:50.000Z</t>
  </si>
  <si>
    <t>Download Statusbar 2020-05-29T05:12:34.000Z</t>
  </si>
  <si>
    <t>AntiBrowserSpy TrackingBlocker - SE 2022-09-19T07:02:35.000Z</t>
  </si>
  <si>
    <t>Saviscio eID Reader 2019-10-10T15:43:40.000Z</t>
  </si>
  <si>
    <t>Opera Cashback 2024-03-08T10:02:53.000Z</t>
  </si>
  <si>
    <t>YouTube Auto Reply 2020-03-27T01:57:16.000Z</t>
  </si>
  <si>
    <t>VoiceHack 2019-11-23T19:09:30.000Z</t>
  </si>
  <si>
    <t>Bootstrap Viewport 2014-09-15T15:42:37.000Z</t>
  </si>
  <si>
    <t>BigBlueButton Screenshare Extension 2018-10-19T22:35:32.000Z</t>
  </si>
  <si>
    <t>Diginow Serial Terminal 2014-01-08T04:28:07.000Z</t>
  </si>
  <si>
    <t>soychile.cl  - Noticias de todo nuestro país 2018-11-30T20:21:44.000Z</t>
  </si>
  <si>
    <t>Midi and Music Xml Player 2014-11-05T08:23:08.000Z</t>
  </si>
  <si>
    <t>Autosave webpage 2022-04-07T06:40:29.000Z</t>
  </si>
  <si>
    <t>にこさぽ （ニコ生サポート） 2023-06-26T12:46:19.000Z</t>
  </si>
  <si>
    <t>WA - Bulk Messages Sender 2021-02-26T11:55:35.000Z</t>
  </si>
  <si>
    <t>DevDocs 2016-01-13T15:31:24.000Z</t>
  </si>
  <si>
    <t>Simplified Twitter 2023-11-22T03:31:27.000Z</t>
  </si>
  <si>
    <t>Serasa Experian - Certificado Digital 2021-10-21T03:53:21.000Z</t>
  </si>
  <si>
    <t>LearnDeck subtitles: Learn Chinese via WeTV 2020-08-26T11:02:16.000Z</t>
  </si>
  <si>
    <t>Environment Indicator 2021-12-21T05:47:13.000Z</t>
  </si>
  <si>
    <t>Happy Birthday Cards 2014-12-28T09:23:39.000Z</t>
  </si>
  <si>
    <t>Privacy Extension 2015-06-15T12:33:26.000Z</t>
  </si>
  <si>
    <t>Switcher for Lastpass 2017-06-17T10:49:50.000Z</t>
  </si>
  <si>
    <t>PhishDetector - True Phishing Detection 2021-12-31T10:55:17.000Z</t>
  </si>
  <si>
    <t>Screen Reader 2024-04-21T06:58:25.000Z</t>
  </si>
  <si>
    <t>Talkify 2017-04-05T21:12:52.000Z</t>
  </si>
  <si>
    <t>WhatWeb Plus 2021-07-21T13:41:45.000Z</t>
  </si>
  <si>
    <t>2IP сервисы 2013-02-01T12:50:47.000Z</t>
  </si>
  <si>
    <t>OPEN IN VLC™ MEDIA PLAYER 2023-04-23T03:42:37.000Z</t>
  </si>
  <si>
    <t>Material Design New Tab 2018-11-21T14:01:04.000Z</t>
  </si>
  <si>
    <t>Disable links. 2022-06-18T10:53:23.000Z</t>
  </si>
  <si>
    <t>Twisty Timer 2013-09-01T22:20:13.000Z</t>
  </si>
  <si>
    <t>Prime Party 2020-09-09T12:00:37.000Z</t>
  </si>
  <si>
    <t>Better Youtube Subscriptions 2023-04-21T23:35:43.000Z</t>
  </si>
  <si>
    <t>Full Width Zerodha Kite Trading Platform 2019-01-12T11:21:31.000Z</t>
  </si>
  <si>
    <t>Dropdown Search 2017-05-17T14:12:09.000Z</t>
  </si>
  <si>
    <t>Beyondpad 2015-08-11T12:47:17.000Z</t>
  </si>
  <si>
    <t>Chrome Music Player Ext 2016-05-04T10:33:47.000Z</t>
  </si>
  <si>
    <t>Host name rewriter 2017-10-14T14:33:21.000Z</t>
  </si>
  <si>
    <t>Roam Portal 2022-10-31T11:03:32.000Z</t>
  </si>
  <si>
    <t>Zimbra Mail Notifier 2021-03-31T04:11:36.000Z</t>
  </si>
  <si>
    <t>bikeroute.xyz for chrome 2019-02-26T05:06:48.000Z</t>
  </si>
  <si>
    <t>Emoty 2015-11-13T04:11:07.000Z</t>
  </si>
  <si>
    <t>Palettes for Tumblr 2024-06-03T08:37:01.000Z</t>
  </si>
  <si>
    <t>Crowdcast Screensharing 2018-05-02T17:10:20.000Z</t>
  </si>
  <si>
    <t>nDocuSoft 2024-12-02T21:58:42.000Z</t>
  </si>
  <si>
    <t>Newstrition 2021-03-11T12:23:47.000Z</t>
  </si>
  <si>
    <t>Tab Snooze - Works as of Nov 7 2021 2021-11-17T22:24:59.000Z</t>
  </si>
  <si>
    <t>Remove Twitch Recommended Channels</t>
  </si>
  <si>
    <t>Rewriter 2015-02-26T06:33:42.000Z</t>
  </si>
  <si>
    <t>Task Remainder 2020-08-11T06:28:29.000Z</t>
  </si>
  <si>
    <t>Plurk Savior 2022-07-25T12:06:09.000Z</t>
  </si>
  <si>
    <t>Vertabelo 2014-09-02T08:15:29.000Z</t>
  </si>
  <si>
    <t>DCSimpler 2023-05-29T05:40:56.000Z</t>
  </si>
  <si>
    <t>JavaScript Breakpoint Collection 2018-11-08T15:23:45.000Z</t>
  </si>
  <si>
    <t>Sync Sofa - Online Video Synchronizer 2021-02-15T14:33:20.000Z</t>
  </si>
  <si>
    <t>Image Search 2015-02-22T12:14:45.000Z</t>
  </si>
  <si>
    <t>Tree Style History 2024-07-23T09:56:09.000Z</t>
  </si>
  <si>
    <t>JSON-As-Table Viewer 2022-06-04T07:24:21.000Z</t>
  </si>
  <si>
    <t>Spotify Web Now Playing 2021-11-26T05:17:38.000Z</t>
  </si>
  <si>
    <t>MEETboard 2021-05-13T07:36:45.000Z</t>
  </si>
  <si>
    <t>Rainbow Tabs 2017-02-08T03:46:01.000Z</t>
  </si>
  <si>
    <t>Pipedrive CRM Helper 2015-02-23T05:26:42.000Z</t>
  </si>
  <si>
    <t>AcFun Video Download 2019-03-08T16:34:22.000Z</t>
  </si>
  <si>
    <t>EZ Copy Plaintext 2013-03-03T06:23:24.000Z</t>
  </si>
  <si>
    <t>ニコニコ動画 Link Opener 2013-06-15T10:04:18.000Z</t>
  </si>
  <si>
    <t>Real Debrid Download Manager 2021-02-16T10:02:22.000Z</t>
  </si>
  <si>
    <t>QR Code generator with logo – QRTiger 2020-03-24T11:33:32.000Z</t>
  </si>
  <si>
    <t>NCU Helper 2022-05-08T21:32:33.000Z</t>
  </si>
  <si>
    <t>Volume Stabilizer 2021-10-08T10:01:31.000Z</t>
  </si>
  <si>
    <t>Exploratory Testing Chrome Extension 2022-05-21T04:02:40.000Z</t>
  </si>
  <si>
    <t>MS Doc Link 2019-08-21T20:51:06.000Z</t>
  </si>
  <si>
    <t>Focale - Study Pal 2021-06-22T09:02:02.000Z</t>
  </si>
  <si>
    <t>Zenoti Weekly Schedule Viewer 2022-10-18T21:28:58.000Z</t>
  </si>
  <si>
    <t>WordPress.com 2013-03-28T19:04:46.000Z</t>
  </si>
  <si>
    <t>Pick Color 2024-10-24T07:26:25.000Z</t>
  </si>
  <si>
    <t>Fastr 2018-09-29T05:58:56.000Z</t>
  </si>
  <si>
    <t>Gif Frames 2021-07-23T05:10:33.000Z</t>
  </si>
  <si>
    <t>GWars.io: уведомления о событиях в игре 2022-05-22T21:30:47.000Z</t>
  </si>
  <si>
    <t>Mind Screen Sharing 2018-07-24T14:10:47.000Z</t>
  </si>
  <si>
    <t>Lichess Text To Speech 2023-08-11T05:17:59.000Z</t>
  </si>
  <si>
    <t>Sticky Note 2021-05-01T08:28:35.000Z</t>
  </si>
  <si>
    <t>Prettier Chrome Extension 2017-03-23T13:21:22.000Z</t>
  </si>
  <si>
    <t>Scroll to Top 2020-12-24T12:20:59.000Z</t>
  </si>
  <si>
    <t>table to csv 2013-04-30T00:39:58.000Z</t>
  </si>
  <si>
    <t>PDFBEAR - Convert</t>
  </si>
  <si>
    <t>Inbox Checker for ProtonMail 2016-01-20T15:56:08.000Z</t>
  </si>
  <si>
    <t>Recognize 2022-06-07T11:13:50.000Z</t>
  </si>
  <si>
    <t>GIFit! 2019-06-17T02:52:33.000Z</t>
  </si>
  <si>
    <t>Pronto Auto Login 2016-10-23T12:03:04.000Z</t>
  </si>
  <si>
    <t>Unsplash image downloader 2019-08-16T14:33:02.000Z</t>
  </si>
  <si>
    <t>Hide Google Drive features 2020-05-28T07:43:30.000Z</t>
  </si>
  <si>
    <t>utubehits.com 2023-11-14T11:34:35.000Z</t>
  </si>
  <si>
    <t>Smart Card Connector 2024-11-19T00:29:56.000Z</t>
  </si>
  <si>
    <t>MIDI Player 2021-09-14T04:09:43.000Z</t>
  </si>
  <si>
    <t>HEX 2022-04-26T14:12:07.000Z</t>
  </si>
  <si>
    <t>Twitch Bonus Chest Auto Clicker (Enhanced) 2021-01-28T06:21:33.000Z</t>
  </si>
  <si>
    <t>Play With Docker 2017-05-18T18:58:23.000Z</t>
  </si>
  <si>
    <t>Tooltip Dictionary 2017-11-02T08:48:29.000Z</t>
  </si>
  <si>
    <t>Swell 2021-01-14T06:22:42.000Z</t>
  </si>
  <si>
    <t>HBO Enhanced 2020-05-05T18:34:50.000Z</t>
  </si>
  <si>
    <t>LUZit - Click your text to the calendar 2023-01-28T20:40:53.000Z</t>
  </si>
  <si>
    <t>Resurrectio 2014-04-24T13:20:45.000Z</t>
  </si>
  <si>
    <t>Translation Comparison 2023-11-07T03:56:04.000Z</t>
  </si>
  <si>
    <t>Chrome Do Not Disturb 2020-11-20T04:42:53.000Z</t>
  </si>
  <si>
    <t>5i01 自動轉址 2012-07-21T01:40:07.000Z</t>
  </si>
  <si>
    <t>NooBox 2023-02-04T05:45:36.000Z</t>
  </si>
  <si>
    <t>MD5 Generator 2012-08-12T00:19:35.000Z</t>
  </si>
  <si>
    <t>Random Student Generator for Google Classroom 2018-04-20T12:56:38.000Z</t>
  </si>
  <si>
    <t>Bug Recorder 2019-04-26T09:43:09.000Z</t>
  </si>
  <si>
    <t>1337 enhancer 2020-12-19T14:39:47.000Z</t>
  </si>
  <si>
    <t>Smart Words 2018-02-05T06:17:27.000Z</t>
  </si>
  <si>
    <t>WebRTC Leak Prevent Toggle 2018-05-17T06:35:36.000Z</t>
  </si>
  <si>
    <t>GO-Global 2014-02-06T15:00:57.000Z</t>
  </si>
  <si>
    <t>Quick Emoji 2014-08-05T23:59:44.000Z</t>
  </si>
  <si>
    <t>Trellonet 2020-08-24T12:22:13.000Z</t>
  </si>
  <si>
    <t>SFDC Magic Toolkit 2016-03-29T13:49:35.000Z</t>
  </si>
  <si>
    <t>YouTube Captions Search 2020-12-15T07:38:25.000Z</t>
  </si>
  <si>
    <t>Open in SpyFu 2013-01-03T17:24:02.000Z</t>
  </si>
  <si>
    <t>getURL - Link Parameter Extractor 2021-02-22T14:05:37.000Z</t>
  </si>
  <si>
    <t>Plan - Calendar &amp; Tasks 2021-12-29T05:54:29.000Z</t>
  </si>
  <si>
    <t>Ad Blocker for Facebook™ 2022-09-15T07:27:07.000Z</t>
  </si>
  <si>
    <t>Tiny D20 2020-02-19T10:29:01.000Z</t>
  </si>
  <si>
    <t>Better Image Viewer - Like Picasa 2021-08-08T11:54:12.000Z</t>
  </si>
  <si>
    <t>Easy QrCode 2019-06-07T12:13:57.000Z</t>
  </si>
  <si>
    <t>Captain Drop 2021-04-21T09:53:21.000Z</t>
  </si>
  <si>
    <t>DeadMouse 2012-09-29T05:42:57.000Z</t>
  </si>
  <si>
    <t>NPO Uitzending Gemist helper 2017-01-30T20:41:53.000Z</t>
  </si>
  <si>
    <t>海贼王 主题 pick新标签页 1080P高清壁纸 2021-11-03T05:17:53.000Z</t>
  </si>
  <si>
    <t>Online Tekken 3 2020-08-25T12:59:59.000Z</t>
  </si>
  <si>
    <t>Twitter AdBlock 2021-01-30T06:33:32.000Z</t>
  </si>
  <si>
    <t>Text Customizer 2015-01-17T14:46:26.000Z</t>
  </si>
  <si>
    <t>AutoMute 2017-04-10T12:50:17.000Z</t>
  </si>
  <si>
    <t>Browser Clock 2014-06-17T15:34:37.000Z</t>
  </si>
  <si>
    <t>Maps with what3words 2021-06-27T19:33:13.000Z</t>
  </si>
  <si>
    <t>Auto Login 2022-10-17T11:01:09.000Z</t>
  </si>
  <si>
    <t>Twitch VOD Unspoiler 2023-11-06T07:38:37.000Z</t>
  </si>
  <si>
    <t>Převod měn 2019-03-18T12:22:37.000Z</t>
  </si>
  <si>
    <t>Font Awesome Icon Finder 2018-12-15T21:13:25.000Z</t>
  </si>
  <si>
    <t>Dark Mode for Outlook 2023-08-25T05:00:56.000Z</t>
  </si>
  <si>
    <t>Posture Reminder 2022-07-02T06:37:52.000Z</t>
  </si>
  <si>
    <t>Bearer/Authorization access with JWT decoder 2019-04-28T16:03:02.000Z</t>
  </si>
  <si>
    <t>Netflix Controller 2020-10-26T05:14:18.000Z</t>
  </si>
  <si>
    <t>CraftyText 2021-10-19T07:45:06.000Z</t>
  </si>
  <si>
    <t>Anti Adblock Detector 2020-09-08T05:02:47.000Z</t>
  </si>
  <si>
    <t>PopupSound 2021-05-09T10:04:28.000Z</t>
  </si>
  <si>
    <t>Anime Tab 2018-12-16T19:17:24.000Z</t>
  </si>
  <si>
    <t>GraphQL Playground for Chrome 2021-04-29T06:41:59.000Z</t>
  </si>
  <si>
    <t>Convert Column to Comma Separated List (CSV) 2021-04-07T11:41:58.000Z</t>
  </si>
  <si>
    <t>Purify 2013-01-10T18:25:13.000Z</t>
  </si>
  <si>
    <t>EXIF QuickView 2019-04-08T05:28:28.000Z</t>
  </si>
  <si>
    <t>写真加工.com | 無料の画像編集Webアプリ 2016-06-04T11:01:02.000Z</t>
  </si>
  <si>
    <t>Link Hints 2024-09-03T03:40:46.000Z</t>
  </si>
  <si>
    <t>Download video from facebook 2020-09-16T10:41:14.000Z</t>
  </si>
  <si>
    <t>Favorites - New Tab Page 2021-02-09T10:06:16.000Z</t>
  </si>
  <si>
    <t>One Hadith 2021-04-09T05:22:29.000Z</t>
  </si>
  <si>
    <t>RGBlind 2017-01-06T16:59:04.000Z</t>
  </si>
  <si>
    <t>Vali property valuation 2022-06-02T02:17:40.000Z</t>
  </si>
  <si>
    <t>Load URLs At Interval 2019-12-16T18:27:49.000Z</t>
  </si>
  <si>
    <t>Memorai – AI memory assistant for Anki 2021-01-24T15:58:12.000Z</t>
  </si>
  <si>
    <t>C-Connection 2019-09-26T00:58:37.000Z</t>
  </si>
  <si>
    <t>NPR one 2018-03-03T23:23:19.000Z</t>
  </si>
  <si>
    <t>Copy Markup Markdown 2019-02-24T16:03:49.000Z</t>
  </si>
  <si>
    <t>Bkav Pro plugin - Tiện ích bảo vệ trình duyệt 2022-04-02T01:59:50.000Z</t>
  </si>
  <si>
    <t>CouponBot - Discover voucher codes &amp; coupons 2022-11-14T07:44:18.000Z</t>
  </si>
  <si>
    <t>Sessions for Google Chrome™ 2016-04-16T17:11:00.000Z</t>
  </si>
  <si>
    <t>IE8 User-Agent 2016-12-02T09:51:28.000Z</t>
  </si>
  <si>
    <t>TabIt - Wolfram Alpha: Productivity in Access 2021-09-17T08:19:32.000Z</t>
  </si>
  <si>
    <t>Nextcloud (unofficial) 2021-08-01T11:48:37.000Z</t>
  </si>
  <si>
    <t>KW Index Checker and Amazon Rank Tracker 2022-07-23T03:31:28.000Z</t>
  </si>
  <si>
    <t>Tab Organizer 2016-05-12T00:16:34.000Z</t>
  </si>
  <si>
    <t>Seç Çevir 2020-12-17T04:28:34.000Z</t>
  </si>
  <si>
    <t>Battery Monitor 2017-01-12T23:26:05.000Z</t>
  </si>
  <si>
    <t>PeerName 2023-11-06T12:08:44.000Z</t>
  </si>
  <si>
    <t>GO-Global 2017-06-22T20:10:50.000Z</t>
  </si>
  <si>
    <t>Laitis Browser Extension 2020-06-26T04:56:29.000Z</t>
  </si>
  <si>
    <t>WhiteBuster 2017-09-14T11:21:22.000Z</t>
  </si>
  <si>
    <t>Easy Button 2016-11-14T04:12:48.000Z</t>
  </si>
  <si>
    <t>Cosmo VPN 2022-03-10T05:32:11.000Z</t>
  </si>
  <si>
    <t>Visual Studio Code Extension Downloader 2016-08-14T08:01:14.000Z</t>
  </si>
  <si>
    <t>Center'd - Center the new YT 2016-07-22T10:30:19.000Z</t>
  </si>
  <si>
    <t>Tab Position Customizer - Modified 2021-11-15T17:09:19.000Z</t>
  </si>
  <si>
    <t>다음 사전 (Daum Dictionary) 2013-12-09T01:55:30.000Z</t>
  </si>
  <si>
    <t>Form+ 2019-08-01T15:44:28.000Z</t>
  </si>
  <si>
    <t>School Loop Easy Loop 2019-01-16T08:10:14.000Z</t>
  </si>
  <si>
    <t>Doodler 2013-02-12T08:19:01.000Z</t>
  </si>
  <si>
    <t>网课小工具 2021-07-09T06:12:49.000Z</t>
  </si>
  <si>
    <t>Push To Talk For Google Meet 2020-07-25T11:48:19.000Z</t>
  </si>
  <si>
    <t>CeloExtensionWallet 2024-01-19T12:33:10.000Z</t>
  </si>
  <si>
    <t>JSBeautify for Google Chrome™ 2013-01-14T02:26:39.000Z</t>
  </si>
  <si>
    <t>Office redirector 2022-08-24T08:10:22.000Z</t>
  </si>
  <si>
    <t>Org Capture 2018-10-29T06:39:20.000Z</t>
  </si>
  <si>
    <t>IP Address Finder 2023-09-09T07:18:43.000Z</t>
  </si>
  <si>
    <t>Totoro Zero Inbox for Google Inbox 2017-08-18T02:38:11.000Z</t>
  </si>
  <si>
    <t>Phys.org Spotlight Science News 2017-01-18T07:26:20.000Z</t>
  </si>
  <si>
    <t>Animate! 2019-07-14T02:25:51.000Z</t>
  </si>
  <si>
    <t>Meditation Exercises &amp; Breathing Techniques 2022-02-24T22:32:12.000Z</t>
  </si>
  <si>
    <t>SEO Meta Insights 2018-03-07T01:02:35.000Z</t>
  </si>
  <si>
    <t>Better Network Panel 2021-01-28T22:40:15.000Z</t>
  </si>
  <si>
    <t>Raise.com extension 2019-06-11T00:32:39.000Z</t>
  </si>
  <si>
    <t>Formily DevTools 2021-01-31T10:47:50.000Z</t>
  </si>
  <si>
    <t>GitHub File Icons 2020-08-26T09:00:40.000Z</t>
  </si>
  <si>
    <t>Image-saver 2021-02-15T07:00:41.000Z</t>
  </si>
  <si>
    <t>Any School Rate My Professors Extension 2022-10-05T07:41:08.000Z</t>
  </si>
  <si>
    <t>World Clock Toolbar 2021-07-08T08:27:26.000Z</t>
  </si>
  <si>
    <t>Awesome Lorem Ipsum Generator &amp; Form Filler 2018-04-01T10:59:29.000Z</t>
  </si>
  <si>
    <t>Server Switcher for Google Chrome™ 2013-06-15T12:37:37.000Z</t>
  </si>
  <si>
    <t>dideo.ir downloader 2019-04-15T05:47:23.000Z</t>
  </si>
  <si>
    <t>Rust Home Page 2021-02-02T14:03:34.000Z</t>
  </si>
  <si>
    <t>Old New Tab 2014-03-15T02:01:57.000Z</t>
  </si>
  <si>
    <t>CC Generator 2019-02-01T14:05:36.000Z</t>
  </si>
  <si>
    <t>Noisli 2020-11-21T14:05:53.000Z</t>
  </si>
  <si>
    <t>ClassroomAPP 2021-02-03T17:01:31.000Z</t>
  </si>
  <si>
    <t>Quicker Connector 2023-12-04T04:34:07.000Z</t>
  </si>
  <si>
    <t>Collusion Image Alt Text Viewer 2016-10-31T11:01:58.000Z</t>
  </si>
  <si>
    <t>List Progress Bar for Trello 2015-02-11T08:37:37.000Z</t>
  </si>
  <si>
    <t>Walmart Deals 2015-03-22T01:38:50.000Z</t>
  </si>
  <si>
    <t>QR Code Generator for Google Play™ on Web 2013-06-29T18:43:58.000Z</t>
  </si>
  <si>
    <t>Free Conference Calls 2019-10-07T16:09:35.000Z</t>
  </si>
  <si>
    <t>Literary Clock 2018-08-18T18:00:44.000Z</t>
  </si>
  <si>
    <t>Paste Enforcer 2018-12-12T08:06:02.000Z</t>
  </si>
  <si>
    <t>Make Medium Readable Again 2018-10-22T20:23:21.000Z</t>
  </si>
  <si>
    <t>Image Search Options 2023-06-14T07:07:12.000Z</t>
  </si>
  <si>
    <t>Hyperlink 2017-02-25T22:15:25.000Z</t>
  </si>
  <si>
    <t>Lumen5 2020-06-17T23:52:27.000Z</t>
  </si>
  <si>
    <t>2048 2019-04-11T15:18:50.000Z</t>
  </si>
  <si>
    <t>Clarín+Nación - Sin registro ni publicidades 2015-09-11T16:05:30.000Z</t>
  </si>
  <si>
    <t>Highlighter + Notes 2020-05-31T05:14:38.000Z</t>
  </si>
  <si>
    <t>ADZbuzz uBlock 2016-12-13T09:57:06.000Z</t>
  </si>
  <si>
    <t>Throttle 2021-02-22T17:34:46.000Z</t>
  </si>
  <si>
    <t>Git Master 2022-01-25T09:15:01.000Z</t>
  </si>
  <si>
    <t>Twitch Channel Points Auto Redeem 2021-05-19T04:27:34.000Z</t>
  </si>
  <si>
    <t>Rightmove Improver 2016-08-13T12:46:07.000Z</t>
  </si>
  <si>
    <t>Buscar en Mercado Libre 2020-05-17T22:46:15.000Z</t>
  </si>
  <si>
    <t>Wayback Machine Auto-Archiver 2022-07-24T10:03:22.000Z</t>
  </si>
  <si>
    <t>Word Of The Day! 2014-09-04T21:30:03.000Z</t>
  </si>
  <si>
    <t>ReadabilityCopy 2019-06-09T00:28:03.000Z</t>
  </si>
  <si>
    <t>Table range select and copy like in Firefox! 2021-04-20T03:06:00.000Z</t>
  </si>
  <si>
    <t>Cloud disk player helper 2017-01-06T13:41:17.000Z</t>
  </si>
  <si>
    <t>BigConsole 2023-12-06T04:41:08.000Z</t>
  </si>
  <si>
    <t>JobDiva Chrome Extension 2024-09-12T15:55:16.000Z</t>
  </si>
  <si>
    <t>Remoku 2012-08-20T22:36:20.000Z</t>
  </si>
  <si>
    <t>ImTranslator Text-to-Speech audio downloader 2019-04-26T05:23:44.000Z</t>
  </si>
  <si>
    <t>TKG Chrome App 2019-07-10T02:28:53.000Z</t>
  </si>
  <si>
    <t>ClassPlus 2022-04-12T18:04:00.000Z</t>
  </si>
  <si>
    <t>Web to Plex 2018-05-19T14:25:17.000Z</t>
  </si>
  <si>
    <t>Locket 2015-11-06T00:16:48.000Z</t>
  </si>
  <si>
    <t>Bookmarks Tagging 2014-07-16T02:52:17.000Z</t>
  </si>
  <si>
    <t>IP Whois &amp; Flags Chrome &amp; Websites Rating 2018-01-14T11:22:02.000Z</t>
  </si>
  <si>
    <t>URL Encoder and Decoder 2013-10-05T05:36:26.000Z</t>
  </si>
  <si>
    <t>タブ保存＆復元 2014-11-27T16:53:30.000Z</t>
  </si>
  <si>
    <t>Majuscules/minuscules 2020-12-09T07:21:45.000Z</t>
  </si>
  <si>
    <t>Blocked Website Bypass 2021-04-22T03:08:20.000Z</t>
  </si>
  <si>
    <t>Assinatura Digital - FP2 Tecnologia 2015-11-26T15:57:53.000Z</t>
  </si>
  <si>
    <t>Launcher for Facebook™ 2023-10-27T16:29:54.000Z</t>
  </si>
  <si>
    <t>ReRoute 2017-11-20T15:14:46.000Z</t>
  </si>
  <si>
    <t>Limber 2017-08-08T03:35:49.000Z</t>
  </si>
  <si>
    <t>Pdf Converter 2015-12-23T19:24:11.000Z</t>
  </si>
  <si>
    <t>IndiaGlitz Hindi Tamil Telugu 2015-06-25T09:56:10.000Z</t>
  </si>
  <si>
    <t>Rutracker Visual наглядный вид раздач 2016-03-19T07:49:49.000Z</t>
  </si>
  <si>
    <t>iboss cloud Enterprise 2024-08-19T17:04:46.000Z</t>
  </si>
  <si>
    <t>myTaste Browser Button 2017-05-17T10:54:08.000Z</t>
  </si>
  <si>
    <t>NSFW Filter 2023-09-20T14:17:06.000Z</t>
  </si>
  <si>
    <t>Календарь Mail.Ru 2016-07-26T13:12:39.000Z</t>
  </si>
  <si>
    <t>Scraping Helper 2021-05-31T11:47:38.000Z</t>
  </si>
  <si>
    <t>Inspect Devices 2021-07-20T09:47:38.000Z</t>
  </si>
  <si>
    <t>Youtube Chat in Fullscreen 2022-04-02T11:11:47.000Z</t>
  </si>
  <si>
    <t>Wonde 2022-06-21T07:40:13.000Z</t>
  </si>
  <si>
    <t>Reddit Hide Sidebar 2017-05-14T23:32:34.000Z</t>
  </si>
  <si>
    <t>Parental Control: Porn Blocker 2019-05-09T17:38:47.000Z</t>
  </si>
  <si>
    <t>部分強制メイリオちゃん 2014-02-01T15:40:43.000Z</t>
  </si>
  <si>
    <t>TweetDeck Launcher 2015-08-18T10:16:02.000Z</t>
  </si>
  <si>
    <t>Little Star - Github Stars Manager 2022-03-31T10:10:18.000Z</t>
  </si>
  <si>
    <t>My Snapp 2021-07-25T13:32:52.000Z</t>
  </si>
  <si>
    <t>Scrollr 2013-07-26T03:58:03.000Z</t>
  </si>
  <si>
    <t>LinkedNotes 2012-08-04T19:16:57.000Z</t>
  </si>
  <si>
    <t>行云管家 2022-07-08T10:59:34.000Z</t>
  </si>
  <si>
    <t>ZUNI Plant-It (Plant-It to ZUNI) 2020-12-30T13:17:32.000Z</t>
  </si>
  <si>
    <t>h4ck3r 2021-09-14T14:17:17.000Z</t>
  </si>
  <si>
    <t>Tchatche 2020-08-31T19:03:07.000Z</t>
  </si>
  <si>
    <t>Darken text 2015-09-03T02:14:50.000Z</t>
  </si>
  <si>
    <t>Genshin Impact Cursor 2022-01-27T05:45:58.000Z</t>
  </si>
  <si>
    <t>Emoji Pets 2018-08-04T18:37:29.000Z</t>
  </si>
  <si>
    <t>Dyknow Cloud 2024-06-04T18:35:48.000Z</t>
  </si>
  <si>
    <t>אתרים נפוצים - נטפרי 2019-06-28T02:08:20.000Z</t>
  </si>
  <si>
    <t>Chrome Download Helper 2015-04-09T14:30:44.000Z</t>
  </si>
  <si>
    <t>Alarm Me! 2021-12-16T08:19:34.000Z</t>
  </si>
  <si>
    <t>TrackingTime | Time Tracker 2016-09-06T20:34:38.000Z</t>
  </si>
  <si>
    <t>Guru VPN &amp; Proxy</t>
  </si>
  <si>
    <t>Fotoefectos</t>
  </si>
  <si>
    <t>Diff Tool 2013-07-16T18:34:33.000Z</t>
  </si>
  <si>
    <t>Anonymous 2020-02-01T01:43:02.000Z</t>
  </si>
  <si>
    <t>Loginas - Login as your Salesforce Users 2018-12-14T16:22:25.000Z</t>
  </si>
  <si>
    <t>KTX Macro 2023-08-31T09:57:40.000Z</t>
  </si>
  <si>
    <t>iWallet 2022-01-13T08:03:01.000Z</t>
  </si>
  <si>
    <t>Force Scroll 2020-12-24T03:58:18.000Z</t>
  </si>
  <si>
    <t>Roblox LMaD Forum+ 2014-06-26T18:10:19.000Z</t>
  </si>
  <si>
    <t>Robot Mesh Connect Extension 2019-10-10T06:29:33.000Z</t>
  </si>
  <si>
    <t>No Link Underline 2014-03-06T07:12:00.000Z</t>
  </si>
  <si>
    <t>Yuno 2024-01-25T10:30:49.000Z</t>
  </si>
  <si>
    <t>Locale Switcher 2022-12-27T04:58:53.000Z</t>
  </si>
  <si>
    <t>全球网站流量查询 2020-02-19T11:30:27.000Z</t>
  </si>
  <si>
    <t>My Hotspots 2015-04-15T14:27:06.000Z</t>
  </si>
  <si>
    <t>My Java Zone Extension 2013-09-20T22:21:45.000Z</t>
  </si>
  <si>
    <t>Soliya Screensharing 2017-07-12T23:55:43.000Z</t>
  </si>
  <si>
    <t>SimpleExtManager 2021-06-12T05:46:07.000Z</t>
  </si>
  <si>
    <t>V-CUBE Screen Share 2017-06-06T04:14:09.000Z</t>
  </si>
  <si>
    <t>Slapdash 2022-07-23T05:14:11.000Z</t>
  </si>
  <si>
    <t>Red Block 2024-08-16T09:51:02.000Z</t>
  </si>
  <si>
    <t>Little Alchemy 2017-08-23T13:40:31.000Z</t>
  </si>
  <si>
    <t>Hangul 2021-03-09T04:34:37.000Z</t>
  </si>
  <si>
    <t>LikeMe – накрутка лайков и просмотров ВК 2024-10-08T20:36:34.000Z</t>
  </si>
  <si>
    <t>Bitglass Gmail Conversation Reverser 2020-02-25T09:42:36.000Z</t>
  </si>
  <si>
    <t>Stardust Cookie Cutter 2022-04-17T07:24:25.000Z</t>
  </si>
  <si>
    <t>CB.click 2020-02-19T03:45:28.000Z</t>
  </si>
  <si>
    <t>CommerceIQ Insights 2024-10-29T16:53:40.000Z</t>
  </si>
  <si>
    <t>Launch for Google Meet 2020-12-09T05:10:59.000Z</t>
  </si>
  <si>
    <t>JavaScript Injector 2014-08-21T11:17:05.000Z</t>
  </si>
  <si>
    <t>The Hindu 2017-02-23T03:56:29.000Z</t>
  </si>
  <si>
    <t>Tab auto reloader 2020-11-19T06:15:08.000Z</t>
  </si>
  <si>
    <t>UC Sync 2013-12-11T02:22:00.000Z</t>
  </si>
  <si>
    <t>YouPost - video to article converter 2023-09-11T06:31:12.000Z</t>
  </si>
  <si>
    <t>Vandal 2021-06-13T01:53:19.000Z</t>
  </si>
  <si>
    <t>Read Across The Aisle 2018-09-05T23:57:15.000Z</t>
  </si>
  <si>
    <t>Live Helper Chat 2020-10-08T06:49:52.000Z</t>
  </si>
  <si>
    <t>Direct Download Link Finder 2021-02-16T21:16:18.000Z</t>
  </si>
  <si>
    <t>Monolith 2020-01-27T02:03:16.000Z</t>
  </si>
  <si>
    <t>One Browser Agent 2016-06-13T03:09:15.000Z</t>
  </si>
  <si>
    <t>简会桌面共享 2018-08-07T16:10:23.000Z</t>
  </si>
  <si>
    <t>Battlelog BF4 Player Count Checker 2021-07-31T04:21:01.000Z</t>
  </si>
  <si>
    <t>AntiTestportal 2021-12-27T07:21:22.000Z</t>
  </si>
  <si>
    <t>PII Viewer for Google Analytics 2021-03-06T06:07:58.000Z</t>
  </si>
  <si>
    <t>Telegram Messenger (Pin Tab) 2020-03-27T19:29:59.000Z</t>
  </si>
  <si>
    <t>Roadmap 2016-07-29T04:52:20.000Z</t>
  </si>
  <si>
    <t>APEX Developer Addon 2015-02-03T07:48:00.000Z</t>
  </si>
  <si>
    <t>JSON Format 2014-03-19T14:14:31.000Z</t>
  </si>
  <si>
    <t>EyeContact demo extension 2021-01-12T05:22:23.000Z</t>
  </si>
  <si>
    <t>LinksTamed SEO Tool 2023-04-02T04:59:40.000Z</t>
  </si>
  <si>
    <t>Exact Time Viewer for Instagram 2021-10-25T09:39:51.000Z</t>
  </si>
  <si>
    <t>New네이버 2020-03-08T09:43:24.000Z</t>
  </si>
  <si>
    <t>דף הבית 2024-09-19T04:31:21.000Z</t>
  </si>
  <si>
    <t>Picture Printer 2018-04-02T19:18:59.000Z</t>
  </si>
  <si>
    <t>Heartbeat 2016-07-21T11:52:41.000Z</t>
  </si>
  <si>
    <t>Snake Game For Chrome 2021-11-03T07:44:18.000Z</t>
  </si>
  <si>
    <t>Combat Online 2020-06-01T05:39:14.000Z</t>
  </si>
  <si>
    <t>Omnibox NCR 2016-11-28T09:19:02.000Z</t>
  </si>
  <si>
    <t>Chromodoro 2019-07-22T03:12:18.000Z</t>
  </si>
  <si>
    <t>WhiteSlash - White background flash fix 2017-05-10T02:51:37.000Z</t>
  </si>
  <si>
    <t>Simple Space Invaders 2020-12-25T07:20:04.000Z</t>
  </si>
  <si>
    <t>КиноПоиск Бесплатно 2020-10-21T11:53:36.000Z</t>
  </si>
  <si>
    <t>Classwork 2020-11-18T10:27:21.000Z</t>
  </si>
  <si>
    <t>WELearn网课助手 2022-04-26T10:25:52.000Z</t>
  </si>
  <si>
    <t>Easy URL Editor 2019-11-21T07:09:33.000Z</t>
  </si>
  <si>
    <t>Popsters Addon for Tiktok analysis 2023-08-02T13:28:28.000Z</t>
  </si>
  <si>
    <t>Crispy Subtitles from Lay’s 2021-04-05T11:43:24.000Z</t>
  </si>
  <si>
    <t>Nanoleaf Aurora Controller 2021-02-17T05:03:45.000Z</t>
  </si>
  <si>
    <t>Crunchbase Enhancer 2014-05-29T15:18:34.000Z</t>
  </si>
  <si>
    <t>iStockLargeComp 2016-08-23T19:39:13.000Z</t>
  </si>
  <si>
    <t>Timestamp Converter 2017-01-23T12:38:39.000Z</t>
  </si>
  <si>
    <t>TRF2 Download Manager 2022-09-13T11:19:59.000Z</t>
  </si>
  <si>
    <t>Helppier 2021-03-22T23:55:01.000Z</t>
  </si>
  <si>
    <t>Cloud Browser 2020-05-09T08:03:02.000Z</t>
  </si>
  <si>
    <t>ReadIt 2018-09-14T11:30:59.000Z</t>
  </si>
  <si>
    <t>AdvEar.Ru 2021-01-02T07:46:49.000Z</t>
  </si>
  <si>
    <t>Super Quick Note 2016-11-28T22:39:14.000Z</t>
  </si>
  <si>
    <t>Coupons Udemy 2020-07-20T11:30:00.000Z</t>
  </si>
  <si>
    <t>RSI Companion 2023-05-11T04:52:43.000Z</t>
  </si>
  <si>
    <t>Salesforce code coverage monitor 2016-12-13T00:30:02.000Z</t>
  </si>
  <si>
    <t>ТСН 2014-10-29T09:30:00.000Z</t>
  </si>
  <si>
    <t>AVRChick 2014-10-30T03:54:15.000Z</t>
  </si>
  <si>
    <t>Auto.Sky Platform Plugin 2019-08-07T10:55:19.000Z</t>
  </si>
  <si>
    <t>GTD: Trello Card Links 2020-08-19T12:38:41.000Z</t>
  </si>
  <si>
    <t>Sims 4 random game generator 2021-06-25T16:19:08.000Z</t>
  </si>
  <si>
    <t>Video Looper for Youtube/Dailymotion/others 2016-01-01T21:28:38.000Z</t>
  </si>
  <si>
    <t>Utime 2015-01-29T17:47:29.000Z</t>
  </si>
  <si>
    <t>everyday.app | Do it every day! 2024-01-11T12:59:22.000Z</t>
  </si>
  <si>
    <t>Montage Screen Sharing 2019-03-21T20:29:33.000Z</t>
  </si>
  <si>
    <t>Hidup Cuan Scraper - Tokopedia 2022-06-22T08:23:43.000Z</t>
  </si>
  <si>
    <t>Jitsi Meetings (meet.uvasc.net) 2019-01-07T08:00:54.000Z</t>
  </si>
  <si>
    <t>URL Redirector 2014-01-23T16:22:17.000Z</t>
  </si>
  <si>
    <t>Google Classroom Peer Review 2021-07-04T06:42:13.000Z</t>
  </si>
  <si>
    <t>Selenium Capture + Excel Generator 2017-09-21T22:09:49.000Z</t>
  </si>
  <si>
    <t>Enable Spreadsheet Copy 2020-05-16T07:16:25.000Z</t>
  </si>
  <si>
    <t>WebSecurity 2022-10-13T10:17:14.000Z</t>
  </si>
  <si>
    <t>Disable F12 2013-06-19T10:15:14.000Z</t>
  </si>
  <si>
    <t>עלמהרידר 2021-02-16T04:53:32.000Z</t>
  </si>
  <si>
    <t>Stopwatch Tab 2016-12-22T02:54:01.000Z</t>
  </si>
  <si>
    <t>Rewrtite Article 2021-08-02T06:33:38.000Z</t>
  </si>
  <si>
    <t>Tax Rate Calculator 2014-02-28T12:08:24.000Z</t>
  </si>
  <si>
    <t>Nimvelo for Chrome™ 2022-07-26T05:59:36.000Z</t>
  </si>
  <si>
    <t>Clear Read 2016-01-14T20:57:10.000Z</t>
  </si>
  <si>
    <t>AdBlocker for YouTube™ 2021-09-14T10:59:14.000Z</t>
  </si>
  <si>
    <t>LexisNexis PatentAdvisor® Extension 2024-02-02T14:50:14.000Z</t>
  </si>
  <si>
    <t>PageProbe - Automatic Page Monitor 2022-09-24T06:30:08.000Z</t>
  </si>
  <si>
    <t>URL Throttler 2021-05-06T03:02:28.000Z</t>
  </si>
  <si>
    <t>SiteLauncher Startup Edition 2017-11-25T11:57:06.000Z</t>
  </si>
  <si>
    <t>Smart e-correspondence Native Extension 2022-12-09T04:33:31.000Z</t>
  </si>
  <si>
    <t>Digital Signature Extension 2018-01-26T10:13:55.000Z</t>
  </si>
  <si>
    <t>Copy Url (from TabInfoCopy) 2014-04-03T14:06:34.000Z</t>
  </si>
  <si>
    <t>Khan Academy Helper 2014-04-07T20:48:11.000Z</t>
  </si>
  <si>
    <t>Tweepi Bulk Default Action (aka Select All) 2016-09-04T11:35:34.000Z</t>
  </si>
  <si>
    <t>Coursera HD Video Downloader 2022-05-21T04:35:18.000Z</t>
  </si>
  <si>
    <t>Extension Live Skyyart 2020-06-05T05:39:39.000Z</t>
  </si>
  <si>
    <t>Free Gmail Signature - Light Pink 2019-04-10T00:10:19.000Z</t>
  </si>
  <si>
    <t>Nukem 2017-01-31T08:20:56.000Z</t>
  </si>
  <si>
    <t>Blog Comment Killfile 2017-02-26T03:05:13.000Z</t>
  </si>
  <si>
    <t>Rucola - доступ к закрытым промокодам 2022-02-22T08:12:05.000Z</t>
  </si>
  <si>
    <t>Open New Tab Here 2021-04-14T12:56:44.000Z</t>
  </si>
  <si>
    <t>Comics Downloader 2021-05-01T13:33:51.000Z</t>
  </si>
  <si>
    <t>leaf browser 2022-01-27T08:43:07.000Z</t>
  </si>
  <si>
    <t>Paste without spaces 2020-12-04T08:41:56.000Z</t>
  </si>
  <si>
    <t>SSL Server Test 2021-01-30T21:55:25.000Z</t>
  </si>
  <si>
    <t>Youtube Colorful Themes 2023-01-17T05:14:41.000Z</t>
  </si>
  <si>
    <t>Social Media and Website Analytics 2018-01-13T03:35:07.000Z</t>
  </si>
  <si>
    <t>RPi-youtube 2016-07-11T19:03:56.000Z</t>
  </si>
  <si>
    <t>FlightScanner 2019-04-27T13:34:33.000Z</t>
  </si>
  <si>
    <t>Replace Duolingo cartoons with anime girls 2022-12-15T15:37:56.000Z</t>
  </si>
  <si>
    <t>SyncMyCookie 2019-01-23T06:53:39.000Z</t>
  </si>
  <si>
    <t>Spreed.ME screen sharing 2015-02-12T11:01:35.000Z</t>
  </si>
  <si>
    <t>Paste Email 2014-04-02T16:58:09.000Z</t>
  </si>
  <si>
    <t>StretchView 2020-09-30T05:38:53.000Z</t>
  </si>
  <si>
    <t>OP.GG Darkmode 2022-04-30T00:51:13.000Z</t>
  </si>
  <si>
    <t>Twambit ScreenCast Recorder 2017-05-02T19:13:19.000Z</t>
  </si>
  <si>
    <t>Image Size Check 2017-01-10T04:07:22.000Z</t>
  </si>
  <si>
    <t>Chiasenhac Download Plugin 2022-08-10T06:48:01.000Z</t>
  </si>
  <si>
    <t>webfont|test 2015-03-25T09:12:40.000Z</t>
  </si>
  <si>
    <t>WhiteBox 2023-05-11T10:15:20.000Z</t>
  </si>
  <si>
    <t>Persona 5 Wallpaper - New Tab Theme 2021-06-30T04:56:16.000Z</t>
  </si>
  <si>
    <t>Dark Theme for Planner Web App 2022-03-04T05:45:41.000Z</t>
  </si>
  <si>
    <t>Calligraphy Font Generator 2022-06-09T09:02:38.000Z</t>
  </si>
  <si>
    <t>Datadog-to-Terraform Converter 2023-06-23T03:18:10.000Z</t>
  </si>
  <si>
    <t>Dropdown Filter 2019-06-24T03:41:53.000Z</t>
  </si>
  <si>
    <t>Record and Metadata Comparator for Salesforce 2020-02-04T00:02:44.000Z</t>
  </si>
  <si>
    <t>Git History Browser Extension 2023-10-14T09:28:50.000Z</t>
  </si>
  <si>
    <t>Smart Tab Manager 2017-02-24T08:34:50.000Z</t>
  </si>
  <si>
    <t>BibTexMe 2016-06-28T17:54:34.000Z</t>
  </si>
  <si>
    <t>merge files to pdf - with PDFzorro 2017-09-20T06:26:32.000Z</t>
  </si>
  <si>
    <t>Roblox Pro 2022-06-04T05:37:24.000Z</t>
  </si>
  <si>
    <t>FileWave Engage Extension 2019-03-22T11:02:47.000Z</t>
  </si>
  <si>
    <t>LinkedBoost 2020-04-27T05:40:01.000Z</t>
  </si>
  <si>
    <t>Video Playback Speed (2x-4x-16x) 2021-04-11T10:28:33.000Z</t>
  </si>
  <si>
    <t>Working time counter 2022-08-16T04:57:21.000Z</t>
  </si>
  <si>
    <t>Flipper 2015-03-13T09:45:53.000Z</t>
  </si>
  <si>
    <t>Hola ad remover 2023-08-17T03:49:06.000Z</t>
  </si>
  <si>
    <t>ServiceNow Lookup 2014-10-31T15:43:02.000Z</t>
  </si>
  <si>
    <t>DSers - WooCommerce store connection helper 2024-09-05T04:11:39.000Z</t>
  </si>
  <si>
    <t>ترجمة الإنجليزية إلى العربية 2015-10-24T14:56:55.000Z</t>
  </si>
  <si>
    <t>OmniChat by Freshchat 2020-01-11T16:02:45.000Z</t>
  </si>
  <si>
    <t>SVGOMG 2021-04-07T03:52:26.000Z</t>
  </si>
  <si>
    <t>Allow Select And Copy 2018-01-06T20:09:27.000Z</t>
  </si>
  <si>
    <t>Gratitutab 2021-09-07T06:07:17.000Z</t>
  </si>
  <si>
    <t>Web Highlighter 2020-07-17T13:14:54.000Z</t>
  </si>
  <si>
    <t>Ro-Customize 2019-06-23T22:05:47.000Z</t>
  </si>
  <si>
    <t>Ultra Timer 2015-06-12T10:55:00.000Z</t>
  </si>
  <si>
    <t>ColumnCopy 2017-11-04T12:38:10.000Z</t>
  </si>
  <si>
    <t>SB Angular Inspector 2020-03-23T14:03:16.000Z</t>
  </si>
  <si>
    <t>Make Trump Burger Again 2016-11-11T03:52:27.000Z</t>
  </si>
  <si>
    <t>/r/xtrill Tools 2019-06-13T07:55:19.000Z</t>
  </si>
  <si>
    <t>WebChats Incognito mode 2018-03-24T07:37:10.000Z</t>
  </si>
  <si>
    <t>TinyURL 2013-04-07T07:04:45.000Z</t>
  </si>
  <si>
    <t>Suberflix 2020-04-02T16:04:14.000Z</t>
  </si>
  <si>
    <t>DrawR 2019-10-02T11:07:09.000Z</t>
  </si>
  <si>
    <t>Asset Search 2022-03-28T06:47:11.000Z</t>
  </si>
  <si>
    <t>Screen Recorder by Klip 2023-04-28T20:52:50.000Z</t>
  </si>
  <si>
    <t>CryptoTabs 2019-07-17T02:43:07.000Z</t>
  </si>
  <si>
    <t>Slitherio Score Recording 2020-09-14T12:11:14.000Z</t>
  </si>
  <si>
    <t>Push Protocol (Alpha) 2023-03-22T10:37:08.000Z</t>
  </si>
  <si>
    <t>User Agent Switcher 2023-11-01T06:12:08.000Z</t>
  </si>
  <si>
    <t>Tick Time Tracking 2018-06-27T15:08:19.000Z</t>
  </si>
  <si>
    <t>444hsz 2023-10-31T10:06:35.000Z</t>
  </si>
  <si>
    <t>Domain Switcher 2016-05-24T21:33:26.000Z</t>
  </si>
  <si>
    <t>Faster Panopto 2021-12-27T09:48:56.000Z</t>
  </si>
  <si>
    <t>List Goal 2022-06-23T06:13:00.000Z</t>
  </si>
  <si>
    <t>tachyons-x-ray 2016-09-14T23:08:17.000Z</t>
  </si>
  <si>
    <t>Evernote Web 2014-12-11T17:03:00.000Z</t>
  </si>
  <si>
    <t>Lofi Radio 2019-10-30T06:00:48.000Z</t>
  </si>
  <si>
    <t>PassBrow: Browser Password/Site Blocking 2023-12-01T02:18:26.000Z</t>
  </si>
  <si>
    <t>Kulabrands 2020-03-14T10:01:59.000Z</t>
  </si>
  <si>
    <t>Quick &amp; Dirty Proxy Flipper 2012-06-06T22:15:38.000Z</t>
  </si>
  <si>
    <t>Twitch Giveaways Reloaded 2021-08-23T09:27:37.000Z</t>
  </si>
  <si>
    <t>Nielsen SDK Inspector 2020-07-09T08:45:44.000Z</t>
  </si>
  <si>
    <t>Jira HotLinker 2022-02-22T05:48:14.000Z</t>
  </si>
  <si>
    <t>Checksub - Custom Subtitles 2021-07-08T08:49:34.000Z</t>
  </si>
  <si>
    <t>OpenSeadragonizer 2020-03-09T07:14:47.000Z</t>
  </si>
  <si>
    <t>Saba Org Planning Admin Chrome Connector 2.0 2020-12-06T11:13:11.000Z</t>
  </si>
  <si>
    <t>Мишээл Солонгос-Монгол Толь - Misheel Study 2022-03-06T09:41:39.000Z</t>
  </si>
  <si>
    <t>Messenger Connector | Messenger Toolkit 2021-12-14T11:09:29.000Z</t>
  </si>
  <si>
    <t>Визуальные закладки 2020-09-08T06:47:58.000Z</t>
  </si>
  <si>
    <t>Thaana Phonetic Keyboard 2020-07-14T07:56:31.000Z</t>
  </si>
  <si>
    <t>Salesforce Advanced Search 2021-01-11T21:12:24.000Z</t>
  </si>
  <si>
    <t>Googlifier 2018-10-03T00:00:42.000Z</t>
  </si>
  <si>
    <t>Ivacy VPN - Best Free VPN to Unblock Websites 2023-08-31T09:02:01.000Z</t>
  </si>
  <si>
    <t>Sutherland Robility WebSpy 2023-06-22T07:11:51.000Z</t>
  </si>
  <si>
    <t>Omni World Timezone Map 2017-10-31T19:54:34.000Z</t>
  </si>
  <si>
    <t>Page Auto Refresher 2015-06-30T13:58:40.000Z</t>
  </si>
  <si>
    <t>Blue Prism 7.0 Browser Extension 2022-12-07T10:36:37.000Z</t>
  </si>
  <si>
    <t>一键管理扩展 2019-02-25T04:55:40.000Z</t>
  </si>
  <si>
    <t>ВидеоКлип Про 2023-05-02T21:59:10.000Z</t>
  </si>
  <si>
    <t>Tab Keeper 2020-06-05T10:37:04.000Z</t>
  </si>
  <si>
    <t>Bookmarks Bar Switcher 2019-02-10T23:22:41.000Z</t>
  </si>
  <si>
    <t>Free Invoice Generator - InvoiceStal 2021-04-26T00:16:25.000Z</t>
  </si>
  <si>
    <t>dejavu 2016-11-10T11:10:12.000Z</t>
  </si>
  <si>
    <t>xBrowserSync 2020-04-09T22:15:37.000Z</t>
  </si>
  <si>
    <t>Rainy 2015-06-23T10:54:35.000Z</t>
  </si>
  <si>
    <t>秋津洲の目 - かものめ 2024-12-31T05:22:55.000Z</t>
  </si>
  <si>
    <t>Awesome EML Viewer 2015-08-03T22:52:02.000Z</t>
  </si>
  <si>
    <t>Close Duplicate Tab 2020-05-11T18:47:06.000Z</t>
  </si>
  <si>
    <t>Alarm Clock 2012-06-02T03:38:17.000Z</t>
  </si>
  <si>
    <t>Harry Potter: Hogwarts Mystery 2021-04-08T08:58:37.000Z</t>
  </si>
  <si>
    <t>eMule Search Extension 2015-10-16T17:48:49.000Z</t>
  </si>
  <si>
    <t>哔哩助手 2021-08-23T06:42:12.000Z</t>
  </si>
  <si>
    <t>Memorize 2018-11-30T10:47:47.000Z</t>
  </si>
  <si>
    <t>ALI Tracker - Alibaba.com Searching Made Easy 2016-03-01T09:43:56.000Z</t>
  </si>
  <si>
    <t>Week Number 2019-08-22T07:48:16.000Z</t>
  </si>
  <si>
    <t>GMX Go! 2022-10-19T07:39:51.000Z</t>
  </si>
  <si>
    <t>AQUARIUM PRO (New Tab) 2021-05-20T14:17:02.000Z</t>
  </si>
  <si>
    <t>Secured Downloads 2020-09-15T09:15:10.000Z</t>
  </si>
  <si>
    <t>Disable Extensions Temporarily 2020-03-17T06:34:37.000Z</t>
  </si>
  <si>
    <t>Quick Shortcuts 2017-10-15T16:49:03.000Z</t>
  </si>
  <si>
    <t>S-CSS-P 2020-08-12T16:43:26.000Z</t>
  </si>
  <si>
    <t>Akamai debug headers 2015-02-20T05:00:22.000Z</t>
  </si>
  <si>
    <t>Tracy 2021-05-21T15:29:09.000Z</t>
  </si>
  <si>
    <t>TotallyLayouts 2014-08-24T19:11:40.000Z</t>
  </si>
  <si>
    <t>ekill 2019-07-12T13:41:27.000Z</t>
  </si>
  <si>
    <t>Content Farm Terminator 2024-07-18T10:35:15.000Z</t>
  </si>
  <si>
    <t>ShiftEdit 2018-04-16T13:55:17.000Z</t>
  </si>
  <si>
    <t>English &lt;-&gt; Thai Dictionary 2021-11-22T13:27:18.000Z</t>
  </si>
  <si>
    <t>Find Replace 2023-02-23T05:36:14.000Z</t>
  </si>
  <si>
    <t>Twine Enhancer 2020-09-02T12:58:59.000Z</t>
  </si>
  <si>
    <t>Video Play Speed 2024-01-16T12:31:19.000Z</t>
  </si>
  <si>
    <t>Reproductor M3U8 - HLS + DASH Player 2022-04-12T04:49:36.000Z</t>
  </si>
  <si>
    <t>Student Randomizer 2019-02-07T17:05:33.000Z</t>
  </si>
  <si>
    <t>Snakou 2023-11-27T21:31:18.000Z</t>
  </si>
  <si>
    <t>HTML5 Video Controller 2018-05-06T19:34:27.000Z</t>
  </si>
  <si>
    <t>ClearURLs 2022-11-19T04:30:15.000Z</t>
  </si>
  <si>
    <t>马帮卖家中心通用助手 2023-09-21T11:39:56.000Z</t>
  </si>
  <si>
    <t>Password Peek 2012-04-22T21:47:29.000Z</t>
  </si>
  <si>
    <t>ruTanos 2022-11-08T12:58:25.000Z</t>
  </si>
  <si>
    <t>BetterCanvas 2021-10-25T05:36:31.000Z</t>
  </si>
  <si>
    <t>AmazonasPLAY 2015-11-26T01:38:29.000Z</t>
  </si>
  <si>
    <t>Bornali -English to Bengali Dictionary 2014-10-20T02:42:15.000Z</t>
  </si>
  <si>
    <t>otto JavaScript Security 2022-10-13T13:54:31.000Z</t>
  </si>
  <si>
    <t>UberFlow DropShipping 2020-12-07T18:19:04.000Z</t>
  </si>
  <si>
    <t>Pic Maker 2017-03-16T16:46:50.000Z</t>
  </si>
  <si>
    <t>Contacts+ Social Clip 2020-11-25T19:20:02.000Z</t>
  </si>
  <si>
    <t>JSONView-HATEOAS 2020-03-27T16:03:11.000Z</t>
  </si>
  <si>
    <t>Simple OTP Token Generator 2018-07-20T23:11:40.000Z</t>
  </si>
  <si>
    <t>Knockout Context Hover 2021-01-30T05:34:58.000Z</t>
  </si>
  <si>
    <t>Music Control 2016-08-28T16:19:49.000Z</t>
  </si>
  <si>
    <t>TVox Click to Call 2020-01-17T08:03:47.000Z</t>
  </si>
  <si>
    <t>CrossBrowserTesting Local Connection 2019-03-17T09:33:14.000Z</t>
  </si>
  <si>
    <t>New Window With Tabs To Right 2024-07-19T11:33:22.000Z</t>
  </si>
  <si>
    <t>QSB - Quick Simple Bot 2022-08-26T08:34:24.000Z</t>
  </si>
  <si>
    <t>Spletni val 2019-03-30T20:54:14.000Z</t>
  </si>
  <si>
    <t>PxtoRem 2020-03-11T09:06:58.000Z</t>
  </si>
  <si>
    <t>Adblocker For YT 2022-04-20T12:04:41.000Z</t>
  </si>
  <si>
    <t>VRooms - Test Figma Designs in VR 2019-05-25T19:00:45.000Z</t>
  </si>
  <si>
    <t>GeoKrety Toolbox 2016-02-13T06:52:11.000Z</t>
  </si>
  <si>
    <t>TW2Overflow 2021-05-23T16:41:32.000Z</t>
  </si>
  <si>
    <t>Youtube Defender 2019-10-19T17:26:20.000Z</t>
  </si>
  <si>
    <t>ParsGet 2022-03-25T06:00:30.000Z</t>
  </si>
  <si>
    <t>Magnet Link and .torrent to Transmission 2020-12-13T10:05:54.000Z</t>
  </si>
  <si>
    <t>AsanaTabs 2023-02-06T03:58:29.000Z</t>
  </si>
  <si>
    <t>NoteIt 2017-01-16T22:34:35.000Z</t>
  </si>
  <si>
    <t>Simple Notes 2015-10-27T02:41:15.000Z</t>
  </si>
  <si>
    <t>Handsfree for Web - Voice Control 2020-09-06T10:52:47.000Z</t>
  </si>
  <si>
    <t>Fee Calculator 2016-02-02T16:49:09.000Z</t>
  </si>
  <si>
    <t>PHP Compiler Editor 2019-06-08T00:56:21.000Z</t>
  </si>
  <si>
    <t>問卷助手︰南台科大版 2022-06-23T04:37:22.000Z</t>
  </si>
  <si>
    <t>Play Store Reviews 2014-01-13T02:19:36.000Z</t>
  </si>
  <si>
    <t>Ugly Email 2024-03-07T12:03:45.000Z</t>
  </si>
  <si>
    <t>RadioTube - watch Radio songs on YouTube™ 2017-02-05T21:03:50.000Z</t>
  </si>
  <si>
    <t>Click&amp;Note - Notes Vault 2020-07-06T05:07:39.000Z</t>
  </si>
  <si>
    <t>Turbo.net Extension 2019-03-14T15:58:51.000Z</t>
  </si>
  <si>
    <t>italki classroom screen sharing 2018-11-05T09:14:34.000Z</t>
  </si>
  <si>
    <t>Искать на торрентах 2016-12-27T14:02:00.000Z</t>
  </si>
  <si>
    <t>Crossover Chrome Extension 2016-08-16T03:52:17.000Z</t>
  </si>
  <si>
    <t>Force.com LOGINS 2022-08-05T05:57:40.000Z</t>
  </si>
  <si>
    <t>AdBlock Unicorn 2020-11-17T04:20:35.000Z</t>
  </si>
  <si>
    <t>Hex Color Code 2021-09-01T05:12:01.000Z</t>
  </si>
  <si>
    <t>随机抽签器 2017-11-22T07:32:50.000Z</t>
  </si>
  <si>
    <t>Cisco Network Setup Assistant 2024-10-21T04:58:53.000Z</t>
  </si>
  <si>
    <t>Bulletchat for YouTube 2020-12-14T09:33:34.000Z</t>
  </si>
  <si>
    <t>KMineSweeper 2013-08-11T18:18:28.000Z</t>
  </si>
  <si>
    <t>Semi-Colon List Delimiter 2019-05-07T23:12:24.000Z</t>
  </si>
  <si>
    <t>Wikipedia Quick Hints 2017-07-08T09:51:34.000Z</t>
  </si>
  <si>
    <t>Aurelia 2 Inspector 2021-12-28T02:46:00.000Z</t>
  </si>
  <si>
    <t>DNS lookup - HTTP status 2018-07-06T20:40:41.000Z</t>
  </si>
  <si>
    <t>Day Translations Free Translation Tool 2017-05-11T18:11:08.000Z</t>
  </si>
  <si>
    <t>Smart TV Emulator 2020-04-02T00:03:41.000Z</t>
  </si>
  <si>
    <t>Tabs Protection Password 2016-10-27T09:56:25.000Z</t>
  </si>
  <si>
    <t>Zhuyin 2017-09-21T00:52:34.000Z</t>
  </si>
  <si>
    <t>Free Image Converter 2016-11-16T21:32:06.000Z</t>
  </si>
  <si>
    <t>마트모어 - 이마트</t>
  </si>
  <si>
    <t>Gerrit Monitor 2023-07-31T08:41:14.000Z</t>
  </si>
  <si>
    <t>IMAGE DOWNLOADER 2021-06-27T15:46:26.000Z</t>
  </si>
  <si>
    <t>Openload Video Only 2019-04-04T04:24:54.000Z</t>
  </si>
  <si>
    <t>Chrome History Cleaner 2021-09-09T09:40:38.000Z</t>
  </si>
  <si>
    <t>稀土掘金 2022-11-29T04:22:50.000Z</t>
  </si>
  <si>
    <t>Ethiq 2023-08-08T06:45:01.000Z</t>
  </si>
  <si>
    <t>Rock Hand 2013-08-26T08:54:07.000Z</t>
  </si>
  <si>
    <t>Watermark.ws: Batch Watermark Photos &amp; Videos 2017-04-13T18:43:42.000Z</t>
  </si>
  <si>
    <t>PortChecker 2020-02-27T12:48:35.000Z</t>
  </si>
  <si>
    <t>ImageX 2012-05-15T11:21:43.000Z</t>
  </si>
  <si>
    <t>2ConnectMe Screen Sharing 2018-11-17T23:27:40.000Z</t>
  </si>
  <si>
    <t>Ilias Video Downloader 2020-11-18T09:39:06.000Z</t>
  </si>
  <si>
    <t>Codenvy 2017-10-27T13:02:18.000Z</t>
  </si>
  <si>
    <t>directUC 2022-10-26T15:55:42.000Z</t>
  </si>
  <si>
    <t>PlantUML Viewer 2021-04-09T11:58:32.000Z</t>
  </si>
  <si>
    <t>Auto Redeem Twitch Bonus 2020-09-03T06:18:52.000Z</t>
  </si>
  <si>
    <t>Tailwind Devtools 2020-07-07T04:42:10.000Z</t>
  </si>
  <si>
    <t>Quick PDF Combine Extension 2024-01-12T10:29:29.000Z</t>
  </si>
  <si>
    <t>谷歌搜索助手 2014-06-24T04:14:10.000Z</t>
  </si>
  <si>
    <t>Inline Manual Authoring tool 2022-06-22T05:27:59.000Z</t>
  </si>
  <si>
    <t>M-Lab Measure 2023-06-06T11:06:14.000Z</t>
  </si>
  <si>
    <t>The New York Times Podcasts 2024-10-10T04:07:45.000Z</t>
  </si>
  <si>
    <t>uVPN 2021-02-14T06:23:59.000Z</t>
  </si>
  <si>
    <t>Block Malicious File Downloads 2021-02-22T08:38:16.000Z</t>
  </si>
  <si>
    <t>Quick Ant Ext 2022-08-30T03:17:37.000Z</t>
  </si>
  <si>
    <t>Kill-Sticky 2019-06-06T05:42:35.000Z</t>
  </si>
  <si>
    <t>Cookie Clone 2020-04-28T16:04:44.000Z</t>
  </si>
  <si>
    <t>Parse Youtube Links and Create Playlist 2018-03-01T09:20:07.000Z</t>
  </si>
  <si>
    <t>Pewdiepie Subscriptions Counter 2019-08-25T09:48:08.000Z</t>
  </si>
  <si>
    <t>Outside Simulator 2020-07-03T04:42:59.000Z</t>
  </si>
  <si>
    <t>RSS Alert 2014-12-01T06:13:10.000Z</t>
  </si>
  <si>
    <t>MoneyControl It 2022-06-18T06:12:07.000Z</t>
  </si>
  <si>
    <t>Social Toolkit Pro 2023-07-20T15:16:59.000Z</t>
  </si>
  <si>
    <t>Etsy Clickathons 2018-01-21T11:14:57.000Z</t>
  </si>
  <si>
    <t>Swift Snake 3D [Popup] 2022-09-12T04:51:01.000Z</t>
  </si>
  <si>
    <t>Brightness control 2021-09-28T04:44:35.000Z</t>
  </si>
  <si>
    <t>Secure Bookmarks 2013-12-09T16:07:13.000Z</t>
  </si>
  <si>
    <t>Top Shot Helper 2021-03-03T13:02:30.000Z</t>
  </si>
  <si>
    <t>OneTab Plus:Tab Manage &amp; Productivity 2018-09-06T09:15:01.000Z</t>
  </si>
  <si>
    <t>Twitch Auto Looter 2020-12-21T12:14:18.000Z</t>
  </si>
  <si>
    <t>Commanders Act Assistant 2024-06-22T05:29:51.000Z</t>
  </si>
  <si>
    <t>YouTube - Don't Stop 2020-01-15T07:26:12.000Z</t>
  </si>
  <si>
    <t>superQuery - BigQuery AI optimization engine 2020-03-18T05:11:58.000Z</t>
  </si>
  <si>
    <t>D365-UI-Test-Designer 2021-02-04T05:46:02.000Z</t>
  </si>
  <si>
    <t>Pantip Filter 2017-01-09T07:18:55.000Z</t>
  </si>
  <si>
    <t>Desprotetor - BaixarPremium Plugin 2022-11-24T13:29:41.000Z</t>
  </si>
  <si>
    <t>subWatch 3 2020-12-02T11:26:35.000Z</t>
  </si>
  <si>
    <t>Comic Webcam 2013-07-17T13:40:17.000Z</t>
  </si>
  <si>
    <t>IPFS Search 2021-03-28T11:21:05.000Z</t>
  </si>
  <si>
    <t>Button Counter G 2022-01-01T04:11:37.000Z</t>
  </si>
  <si>
    <t>disable-HTML 2013-12-30T10:28:29.000Z</t>
  </si>
  <si>
    <t>CORS Unblock 2024-02-11T07:37:47.000Z</t>
  </si>
  <si>
    <t>eAngel Proofreading for Emails 2022-01-28T09:16:33.000Z</t>
  </si>
  <si>
    <t>VMware Horizon URL Content Redirection Helper 2023-03-16T08:57:21.000Z</t>
  </si>
  <si>
    <t>Track24.ru 2023-06-08T04:43:08.000Z</t>
  </si>
  <si>
    <t>CALLIDO™ Argument Mapper 2018-11-09T04:02:53.000Z</t>
  </si>
  <si>
    <t>Idiots with Idioms 2021-10-05T04:15:11.000Z</t>
  </si>
  <si>
    <t>MyNewsFree 2022-09-01T05:04:03.000Z</t>
  </si>
  <si>
    <t>EndTime2 for Toodledo 2021-06-16T05:40:29.000Z</t>
  </si>
  <si>
    <t>Lionel Messi Reactions 2016-03-04T05:51:56.000Z</t>
  </si>
  <si>
    <t>Show-English.club extension 2022-06-16T12:40:17.000Z</t>
  </si>
  <si>
    <t>MeetMe Dolby Voice 1.1 2021-11-23T05:09:04.000Z</t>
  </si>
  <si>
    <t>Mass follow for Twitter 2020-02-10T18:33:16.000Z</t>
  </si>
  <si>
    <t>Meet Extension 2019-02-15T01:38:32.000Z</t>
  </si>
  <si>
    <t>PlayIt on XBMC 2013-07-02T07:21:41.000Z</t>
  </si>
  <si>
    <t>Freshhh 2017-04-20T01:21:14.000Z</t>
  </si>
  <si>
    <t>Figma Search 2021-04-29T08:05:37.000Z</t>
  </si>
  <si>
    <t>Проверка уникальности Copylancer 2017-08-14T06:53:57.000Z</t>
  </si>
  <si>
    <t>VK+ Switcher 2020-04-04T04:56:53.000Z</t>
  </si>
  <si>
    <t>hCaptcha Solver 2022-10-03T05:59:32.000Z</t>
  </si>
  <si>
    <t>Linkclump 2024-04-10T13:01:59.000Z</t>
  </si>
  <si>
    <t>Google Music Lyrics 2015-12-27T11:54:46.000Z</t>
  </si>
  <si>
    <t>Quick Zoom 2020-12-24T03:26:04.000Z</t>
  </si>
  <si>
    <t>Examine Offline Data (Cookies</t>
  </si>
  <si>
    <t>Email This 2021-08-29T08:00:02.000Z</t>
  </si>
  <si>
    <t>Скрипт Дизайнер виджет 2021-05-15T13:17:45.000Z</t>
  </si>
  <si>
    <t>Playmoss - Add Track Chrome Extension 2015-10-03T20:05:26.000Z</t>
  </si>
  <si>
    <t>Plants vs Zombies Custom Cursor 2021-10-12T08:14:20.000Z</t>
  </si>
  <si>
    <t>Readio Speed Reader 2019-06-01T07:31:22.000Z</t>
  </si>
  <si>
    <t>Notifyer 2022-08-02T11:15:31.000Z</t>
  </si>
  <si>
    <t>Find Hot Product and Keyword 2022-01-02T07:12:57.000Z</t>
  </si>
  <si>
    <t>Amazon Shopping Assistant 2022-09-05T06:59:12.000Z</t>
  </si>
  <si>
    <t>AIRHORN 2022-08-10T06:36:58.000Z</t>
  </si>
  <si>
    <t>Moment - #1 Personal Dashboard for Chrome 2023-05-24T05:04:42.000Z</t>
  </si>
  <si>
    <t>Finder.io - Email Finder from Websites 2022-12-28T12:47:47.000Z</t>
  </si>
  <si>
    <t>Jumpscare Tab 2020-10-29T05:43:04.000Z</t>
  </si>
  <si>
    <t>Real Jewish calendar 2021-03-23T11:30:09.000Z</t>
  </si>
  <si>
    <t>Meetflip 2021-12-08T10:29:49.000Z</t>
  </si>
  <si>
    <t>Twitch Auto-Redeem Channel Points 2023-07-07T13:13:50.000Z</t>
  </si>
  <si>
    <t>Bell of Mindfulness 2015-04-24T03:28:17.000Z</t>
  </si>
  <si>
    <t>琼斯医生 2020-01-26T10:45:45.000Z</t>
  </si>
  <si>
    <t>VK helper 2020-05-05T13:31:45.000Z</t>
  </si>
  <si>
    <t>Advanced WebSocket Client 2020-11-28T07:49:57.000Z</t>
  </si>
  <si>
    <t>Utility functions for main add-on 2016-10-17T07:42:09.000Z</t>
  </si>
  <si>
    <t>SEO-HTML 2014-01-06T22:01:37.000Z</t>
  </si>
  <si>
    <t>ShoreTel Web Dialer 2017-12-06T21:58:03.000Z</t>
  </si>
  <si>
    <t>WEBX Recordings Controls Automator 2022-06-05T10:49:43.000Z</t>
  </si>
  <si>
    <t>Breakpoint media-queries 2013-06-05T18:44:37.000Z</t>
  </si>
  <si>
    <t>Button: Clear Browsing Data 2016-04-21T06:36:33.000Z</t>
  </si>
  <si>
    <t>PageLoad times 2022-01-24T08:42:22.000Z</t>
  </si>
  <si>
    <t>Google Drive Background Color Changer 2017-05-15T20:48:34.000Z</t>
  </si>
  <si>
    <t>Headline Highlighter 2017-08-28T16:04:40.000Z</t>
  </si>
  <si>
    <t>Tab Rename 2021-02-23T07:30:33.000Z</t>
  </si>
  <si>
    <t>HackerNew 2021-04-20T07:56:34.000Z</t>
  </si>
  <si>
    <t>Reload All Tabs 2014-01-16T16:20:08.000Z</t>
  </si>
  <si>
    <t>Wpp Web Customizer 2017-03-25T15:07:52.000Z</t>
  </si>
  <si>
    <t>Thanos It 2019-05-13T10:33:03.000Z</t>
  </si>
  <si>
    <t>SNUON Assistant 2022-08-26T02:11:55.000Z</t>
  </si>
  <si>
    <t>OKIOCAM Snapshot and Recorder 2024-07-08T08:52:30.000Z</t>
  </si>
  <si>
    <t>Ao3 Series Downloader 2021-09-16T11:33:20.000Z</t>
  </si>
  <si>
    <t>Material Freebox OS 2018-03-07T22:16:58.000Z</t>
  </si>
  <si>
    <t>Huruf 2016-09-04T00:21:33.000Z</t>
  </si>
  <si>
    <t>CFCA CertEnrollment.PLA Extension 2019-11-08T06:13:54.000Z</t>
  </si>
  <si>
    <t>Get Cookies file 2020-08-27T11:49:55.000Z</t>
  </si>
  <si>
    <t>MangoShare 2024-06-07T09:12:35.000Z</t>
  </si>
  <si>
    <t>Shopify App Detector by Fera.ai 2021-07-07T15:27:44.000Z</t>
  </si>
  <si>
    <t>No Seen 2019-03-01T08:28:08.000Z</t>
  </si>
  <si>
    <t>Roblox Trade Enhancer 2015-07-14T18:56:34.000Z</t>
  </si>
  <si>
    <t>Cookie copier 2020-10-20T08:39:13.000Z</t>
  </si>
  <si>
    <t>Monosnap 2023-02-07T03:38:38.000Z</t>
  </si>
  <si>
    <t>Swimlanes for Trello 2024-04-07T04:35:52.000Z</t>
  </si>
  <si>
    <t>Wordcounter 2018-08-02T01:51:30.000Z</t>
  </si>
  <si>
    <t>Tempo VPN - Free and unlimited vpn proxy 2020-08-25T04:30:06.000Z</t>
  </si>
  <si>
    <t>Whats The Expression 2018-06-12T11:39:56.000Z</t>
  </si>
  <si>
    <t>Downloads Pro 2021-04-03T03:22:00.000Z</t>
  </si>
  <si>
    <t>Google Meet virtual backgrounds 2022-09-22T07:21:42.000Z</t>
  </si>
  <si>
    <t>Přeložit pomocí slovnik.cz 2018-12-02T15:37:02.000Z</t>
  </si>
  <si>
    <t>Content Security Policy Override 2018-06-16T05:00:25.000Z</t>
  </si>
  <si>
    <t>GitHub Highlight Selected 2019-10-09T01:08:26.000Z</t>
  </si>
  <si>
    <t>Gunun Hava Durumu 2015-05-05T15:03:42.000Z</t>
  </si>
  <si>
    <t>TabTree 2015-07-29T05:44:38.000Z</t>
  </si>
  <si>
    <t>Flash Block (Plus) 2018-10-23T11:27:40.000Z</t>
  </si>
  <si>
    <t>哔哩哔哩音乐：bilibili.com 辅助扩展 2023-11-29T06:37:07.000Z</t>
  </si>
  <si>
    <t>Image info 2020-07-24T08:44:04.000Z</t>
  </si>
  <si>
    <t>Word Counter Extension 2019-01-05T16:14:44.000Z</t>
  </si>
  <si>
    <t>Clean Street View 2019-10-17T20:55:50.000Z</t>
  </si>
  <si>
    <t>JSON Editor 2016-10-21T13:13:34.000Z</t>
  </si>
  <si>
    <t>Blocklist 2021-02-21T11:04:15.000Z</t>
  </si>
  <si>
    <t>Local Image File Viewer 2019-11-26T09:25:59.000Z</t>
  </si>
  <si>
    <t>Pushsafer 2021-07-30T04:36:12.000Z</t>
  </si>
  <si>
    <t>Notepad 2012-07-26T15:27:56.000Z</t>
  </si>
  <si>
    <t>Link Saver 2020-05-31T20:26:44.000Z</t>
  </si>
  <si>
    <t>NATO Alphabet 2013-08-24T14:07:10.000Z</t>
  </si>
  <si>
    <t>FileZigZag - Online Free Converter 2020-04-21T12:52:46.000Z</t>
  </si>
  <si>
    <t>Clock 2015-02-02T01:27:50.000Z</t>
  </si>
  <si>
    <t>Tab Manager (by shimomire) 2012-11-23T19:04:07.000Z</t>
  </si>
  <si>
    <t>Learn Darklight 2021-01-31T05:59:18.000Z</t>
  </si>
  <si>
    <t>Trump Filter 2020-03-19T05:44:34.000Z</t>
  </si>
  <si>
    <t>NoPush 2019-06-28T09:01:38.000Z</t>
  </si>
  <si>
    <t>Muldic 2022-07-11T11:44:27.000Z</t>
  </si>
  <si>
    <t>Freshdesk Contact Center - Click to Call 2022-07-12T07:30:28.000Z</t>
  </si>
  <si>
    <t>FSRAR CryptoPlugin 2021-06-28T15:59:06.000Z</t>
  </si>
  <si>
    <t>HexString Converter 2013-08-06T19:40:31.000Z</t>
  </si>
  <si>
    <t>Fix Hootsuite Ext 2016-07-10T02:57:13.000Z</t>
  </si>
  <si>
    <t>Unsplash Free Hi-Resolution Photos Previewer 2014-09-05T02:26:31.000Z</t>
  </si>
  <si>
    <t>TV for Google Chrome™ 2019-01-26T06:20:17.000Z</t>
  </si>
  <si>
    <t>Nomovdo - Video Blocker 2018-03-24T10:08:44.000Z</t>
  </si>
  <si>
    <t>Chess - the board game 2013-02-10T15:45:36.000Z</t>
  </si>
  <si>
    <t>Email this page (ver I. DUMAIRE) 2021-01-28T06:11:37.000Z</t>
  </si>
  <si>
    <t>Practice Mindfulness 2016-09-22T15:34:35.000Z</t>
  </si>
  <si>
    <t>Easy Cookie Editor 2020-03-18T05:51:40.000Z</t>
  </si>
  <si>
    <t>Skype 2022-05-12T12:43:58.000Z</t>
  </si>
  <si>
    <t>Web Socket Client 2021-07-25T05:05:11.000Z</t>
  </si>
  <si>
    <t>Element Theme Roller 2019-07-29T09:55:39.000Z</t>
  </si>
  <si>
    <t>Lyrics Here by Rob W 2019-07-01T13:10:15.000Z</t>
  </si>
  <si>
    <t>Netflix Subtitles Translator 2018-11-23T21:25:34.000Z</t>
  </si>
  <si>
    <t>Image Optimizer for the Web 2017-03-21T09:10:31.000Z</t>
  </si>
  <si>
    <t>XML Editey 2013-11-12T16:52:01.000Z</t>
  </si>
  <si>
    <t>ATbar 2013-10-09T13:08:55.000Z</t>
  </si>
  <si>
    <t>Simple Weight Converter - Pound and Kilogram 2016-11-03T02:03:46.000Z</t>
  </si>
  <si>
    <t>Privacy Cleaner 2020-08-11T13:39:20.000Z</t>
  </si>
  <si>
    <t>Countdown 2015-01-26T23:33:00.000Z</t>
  </si>
  <si>
    <t>云盘万能钥匙-轻盈-免费-共享 2021-07-28T19:50:28.000Z</t>
  </si>
  <si>
    <t>Airbnb Price Per Night Corrector 2021-05-17T04:23:43.000Z</t>
  </si>
  <si>
    <t>ニコ生自動次枠移動 2019-03-25T10:01:28.000Z</t>
  </si>
  <si>
    <t>Pomowork - Pomodoro® and Todo Assistant 2021-09-12T15:29:55.000Z</t>
  </si>
  <si>
    <t>Avatar Maker Online 2019-08-02T10:07:03.000Z</t>
  </si>
  <si>
    <t>Dopely Colors 2022-09-27T07:04:05.000Z</t>
  </si>
  <si>
    <t>SaveTik - Tik Tok Downloader 2021-07-15T11:16:42.000Z</t>
  </si>
  <si>
    <t>Netflix Remote 2019-01-15T18:12:36.000Z</t>
  </si>
  <si>
    <t>Link Xtractor 2018-03-28T12:19:24.000Z</t>
  </si>
  <si>
    <t>Multitran search 2017-02-21T21:44:51.000Z</t>
  </si>
  <si>
    <t>PACWeb 2024-07-14T18:34:43.000Z</t>
  </si>
  <si>
    <t>Find this pic 2013-06-15T06:37:15.000Z</t>
  </si>
  <si>
    <t>Recx Security Analyser 2014-03-18T15:26:29.000Z</t>
  </si>
  <si>
    <t>RegX 2013-01-09T17:04:06.000Z</t>
  </si>
  <si>
    <t>No History 2013-07-01T05:00:18.000Z</t>
  </si>
  <si>
    <t>Improver of hc 2023-04-26T05:19:56.000Z</t>
  </si>
  <si>
    <t>Globe - Your 3D Homepage 2021-04-27T04:41:10.000Z</t>
  </si>
  <si>
    <t>한댓: 유튜브 한글 댓글만 보기 2020-10-08T04:44:03.000Z</t>
  </si>
  <si>
    <t>Slack 2017-07-11T17:09:55.000Z</t>
  </si>
  <si>
    <t>YouTube subtitles viewer 2020-09-22T05:37:53.000Z</t>
  </si>
  <si>
    <t>VK Flex 2021-07-05T09:15:13.000Z</t>
  </si>
  <si>
    <t>Google Meet Meters 2020-06-12T04:34:06.000Z</t>
  </si>
  <si>
    <t>Habit 2016-04-01T14:34:16.000Z</t>
  </si>
  <si>
    <t>History On/Off 2018-01-09T07:10:28.000Z</t>
  </si>
  <si>
    <t>swqa-request 2021-07-26T12:53:21.000Z</t>
  </si>
  <si>
    <t>SkyRoom Assistant 2021-10-11T22:30:41.000Z</t>
  </si>
  <si>
    <t>ThreatPinch Lookup 2022-10-26T10:49:43.000Z</t>
  </si>
  <si>
    <t>My Style 2019-01-20T12:58:35.000Z</t>
  </si>
  <si>
    <t>Google Inbox Checker (Inbox by Gmail) 2015-08-14T12:26:59.000Z</t>
  </si>
  <si>
    <t>Ecustsd signature on website 2024-11-04T05:43:27.000Z</t>
  </si>
  <si>
    <t>Qlik Sense Console 2015-07-07T20:53:32.000Z</t>
  </si>
  <si>
    <t>IP Address Tool 2015-05-02T11:11:36.000Z</t>
  </si>
  <si>
    <t>YouTube Popup Tamer 2021-05-29T11:13:08.000Z</t>
  </si>
  <si>
    <t>Thich Nhat Hanh Calligraphy 2022-06-26T05:38:25.000Z</t>
  </si>
  <si>
    <t>Ahoy! 2020-04-05T19:22:35.000Z</t>
  </si>
  <si>
    <t>Alice Keeler Webcam Record 2019-03-23T21:47:04.000Z</t>
  </si>
  <si>
    <t>SEO Checker Tool - Get Free SEO Audit 2021-10-01T10:55:03.000Z</t>
  </si>
  <si>
    <t>HybridTV Dev Environment 2020-10-04T04:56:49.000Z</t>
  </si>
  <si>
    <t>TabBlock 2020-08-09T08:57:48.000Z</t>
  </si>
  <si>
    <t>Pretty Pull Requests (Github) 2018-01-31T15:07:53.000Z</t>
  </si>
  <si>
    <t>Edit with Emacs 2023-12-05T07:42:51.000Z</t>
  </si>
  <si>
    <t>Pano View 2015-04-27T08:18:26.000Z</t>
  </si>
  <si>
    <t>Pic info 2018-09-28T04:11:31.000Z</t>
  </si>
  <si>
    <t>Knotes 2021-06-28T09:48:29.000Z</t>
  </si>
  <si>
    <t>Full Window YouTube 2017-03-03T00:31:29.000Z</t>
  </si>
  <si>
    <t>Chainlove Countdown Timer 2018-08-08T22:34:34.000Z</t>
  </si>
  <si>
    <t>Simple Word Count 2014-07-10T14:36:39.000Z</t>
  </si>
  <si>
    <t>AutoControl: Keyboard shortcuts</t>
  </si>
  <si>
    <t>NerdeRegion 2022-05-16T07:04:57.000Z</t>
  </si>
  <si>
    <t>שירות.נט 2018-01-25T15:17:54.000Z</t>
  </si>
  <si>
    <t>Dark theme for TikTok 2021-09-06T17:42:27.000Z</t>
  </si>
  <si>
    <t>Wowsearch 2020-07-20T08:04:17.000Z</t>
  </si>
  <si>
    <t>One click translate 2021-06-19T07:56:24.000Z</t>
  </si>
  <si>
    <t>StarLeaf Scheduler for Google Calendar 2021-09-09T09:39:54.000Z</t>
  </si>
  <si>
    <t>Open in Instapaper Text 2017-08-31T20:42:22.000Z</t>
  </si>
  <si>
    <t>TwojLimit.pl 2022-06-10T04:02:30.000Z</t>
  </si>
  <si>
    <t>Linkirani 2020-02-18T10:54:07.000Z</t>
  </si>
  <si>
    <t>Ultracarweb Signer 2017-09-22T23:23:08.000Z</t>
  </si>
  <si>
    <t>Beast Drop 2024-11-06T10:16:11.000Z</t>
  </si>
  <si>
    <t>Verse of the Day 2013-08-01T22:08:46.000Z</t>
  </si>
  <si>
    <t>Галерея поздравлений (открытки и музыка) 2020-07-05T09:21:43.000Z</t>
  </si>
  <si>
    <t>Ploxia – Free Instagram Bot 2019-11-02T09:11:01.000Z</t>
  </si>
  <si>
    <t>CookieAquila 2022-01-24T10:10:24.000Z</t>
  </si>
  <si>
    <t>Super-SMM VK</t>
  </si>
  <si>
    <t>SendToFreebox 2020-05-23T04:18:32.000Z</t>
  </si>
  <si>
    <t>IPP / CUPS printing for Chrome &amp; Chromebooks 2019-11-22T18:25:53.000Z</t>
  </si>
  <si>
    <t>GIFS.com Downloader ß 2014-02-23T23:15:29.000Z</t>
  </si>
  <si>
    <t>Trello card counter 2017-05-30T07:25:11.000Z</t>
  </si>
  <si>
    <t>Chrome Radio Player 2020-07-03T12:00:01.000Z</t>
  </si>
  <si>
    <t>Font Size Changer for AppsScript 2018-07-06T22:48:43.000Z</t>
  </si>
  <si>
    <t>Close Tab in Context Menu 2015-12-09T18:24:21.000Z</t>
  </si>
  <si>
    <t>Gitmoji Browser Extension 2021-12-05T20:21:15.000Z</t>
  </si>
  <si>
    <t>123movies 2020-10-20T09:46:45.000Z</t>
  </si>
  <si>
    <t>HTTP Graph Collector 2022-09-07T16:05:56.000Z</t>
  </si>
  <si>
    <t>Video Tape 2019-11-27T07:03:57.000Z</t>
  </si>
  <si>
    <t>SEO Peek 2024-02-11T10:25:16.000Z</t>
  </si>
  <si>
    <t>Obox Tools - Friend Remover 2020 2021-02-12T07:19:14.000Z</t>
  </si>
  <si>
    <t>Snoozz - Snooze Tabs &amp; Windows for later 2021-12-11T04:58:03.000Z</t>
  </si>
  <si>
    <t>Stample 2022-11-24T06:55:52.000Z</t>
  </si>
  <si>
    <t>Group Maker 2018-11-04T05:51:22.000Z</t>
  </si>
  <si>
    <t>Distract Me Not 2022-08-01T08:45:41.000Z</t>
  </si>
  <si>
    <t>Disable Cookies 2020-03-20T06:57:37.000Z</t>
  </si>
  <si>
    <t>하루 보이스 2023-01-17T07:06:54.000Z</t>
  </si>
  <si>
    <t>User-Agent Switcher 2013-03-15T03:12:29.000Z</t>
  </si>
  <si>
    <t>Tab Save 2014-07-01T00:07:44.000Z</t>
  </si>
  <si>
    <t>Developer Cookie 2014-06-19T18:03:43.000Z</t>
  </si>
  <si>
    <t>20/20/20 Vision 2019-04-19T00:03:06.000Z</t>
  </si>
  <si>
    <t>Firefox Relay 2023-12-07T08:53:41.000Z</t>
  </si>
  <si>
    <t>养基宝 - 实时查看基金收益 2022-07-13T08:26:54.000Z</t>
  </si>
  <si>
    <t>Visual Hashing 2013-01-22T23:45:22.000Z</t>
  </si>
  <si>
    <t>Mixcloud Tracklist 2017-08-21T12:26:36.000Z</t>
  </si>
  <si>
    <t>FindThatLead - Email Finder Extension 2023-11-27T11:22:33.000Z</t>
  </si>
  <si>
    <t>AniSched 2021-02-11T05:03:38.000Z</t>
  </si>
  <si>
    <t>Easy Clipboard 2021-02-15T13:28:44.000Z</t>
  </si>
  <si>
    <t>xblock 2019-06-12T04:59:02.000Z</t>
  </si>
  <si>
    <t>Mannco.store Antiscam 2022-05-05T09:35:50.000Z</t>
  </si>
  <si>
    <t>Social tools 2021-03-29T05:27:58.000Z</t>
  </si>
  <si>
    <t>PHP Editey 2013-11-12T16:36:25.000Z</t>
  </si>
  <si>
    <t>Internet-Start 2022-12-06T05:38:07.000Z</t>
  </si>
  <si>
    <t>Remove Most Visited Pages 2019-01-28T16:41:19.000Z</t>
  </si>
  <si>
    <t>FlixSubs - Subtitles Plugin For Netflix 2016-05-07T11:24:17.000Z</t>
  </si>
  <si>
    <t>BetterViewer 2022-09-16T03:41:15.000Z</t>
  </si>
  <si>
    <t>Net iD for Chrome OS 2024-09-11T04:33:10.000Z</t>
  </si>
  <si>
    <t>NAVER Dictionary - Right Click Context Menu 2020-06-07T05:48:41.000Z</t>
  </si>
  <si>
    <t>LazySec 2021-11-09T10:14:07.000Z</t>
  </si>
  <si>
    <t>Salesforce select all function for FLS setup 2016-03-30T07:50:31.000Z</t>
  </si>
  <si>
    <t>Auto Refresh Page 2023-07-02T06:00:47.000Z</t>
  </si>
  <si>
    <t>FoxBound DataScout - B2B Email Finder 2020-06-18T06:35:01.000Z</t>
  </si>
  <si>
    <t>SelectorLib 2020-06-19T08:23:53.000Z</t>
  </si>
  <si>
    <t>迅雷离线Aria2 2017-06-13T08:38:20.000Z</t>
  </si>
  <si>
    <t>Button: Settings 2016-04-21T06:39:04.000Z</t>
  </si>
  <si>
    <t>Exify 2023-11-22T08:44:19.000Z</t>
  </si>
  <si>
    <t>Early 2022-08-07T12:43:40.000Z</t>
  </si>
  <si>
    <t>Universal Now Playing Companion 2020-05-18T08:23:49.000Z</t>
  </si>
  <si>
    <t>Download Converter Free 2020-07-15T16:14:43.000Z</t>
  </si>
  <si>
    <t>PowerSwitch 2020-04-01T18:45:50.000Z</t>
  </si>
  <si>
    <t>RESTful Stress 2017-06-13T20:15:31.000Z</t>
  </si>
  <si>
    <t>W3bin.com - Who is hosting that website? 2014-11-02T15:52:18.000Z</t>
  </si>
  <si>
    <t>SLERPEE SERP SEO Tool 2015-02-24T03:46:33.000Z</t>
  </si>
  <si>
    <t>Rutor Torrent Search Pro 2021-08-16T05:45:21.000Z</t>
  </si>
  <si>
    <t>Velocity 2020-12-21T21:26:56.000Z</t>
  </si>
  <si>
    <t>Snake game 2019-08-19T03:47:06.000Z</t>
  </si>
  <si>
    <t>screenreader standalone 2015-12-26T19:13:14.000Z</t>
  </si>
  <si>
    <t>AI-Proctor 2021-08-21T20:38:16.000Z</t>
  </si>
  <si>
    <t>Ctrl + A (Select All) 2018-02-24T11:49:51.000Z</t>
  </si>
  <si>
    <t>유튜브 반복 재생 크롬 확장프로그램 2016-09-17T13:52:55.000Z</t>
  </si>
  <si>
    <t>Cauta cel mai mic pret 2018-11-21T16:59:01.000Z</t>
  </si>
  <si>
    <t>Edgar 2019-01-29T16:04:19.000Z</t>
  </si>
  <si>
    <t>Server IP 2013-07-04T04:14:45.000Z</t>
  </si>
  <si>
    <t>Code Plunker (Live HTML CSS Editor) 2019-03-08T12:55:23.000Z</t>
  </si>
  <si>
    <t>Realize for React 2020-06-20T07:31:47.000Z</t>
  </si>
  <si>
    <t>Pirate Bay Ad Remover 2021-11-15T06:32:07.000Z</t>
  </si>
  <si>
    <t>Tongji Helper 2021-04-20T14:07:21.000Z</t>
  </si>
  <si>
    <t>PagalWorld MP3 Song 2020 Free Download Online 2021-02-26T12:10:14.000Z</t>
  </si>
  <si>
    <t>YouTube Music Last.fm Scrobbler 2022-01-27T04:17:11.000Z</t>
  </si>
  <si>
    <t>Search Helper 2019-04-24T21:35:33.000Z</t>
  </si>
  <si>
    <t>Nurture 2019-12-06T06:53:25.000Z</t>
  </si>
  <si>
    <t>age.tv，Agefans动漫追番扩展 2023-04-10T02:44:53.000Z</t>
  </si>
  <si>
    <t>Vivi 2024-12-18T06:36:52.000Z</t>
  </si>
  <si>
    <t>Google Meet Push to Talk 2021-05-28T07:49:47.000Z</t>
  </si>
  <si>
    <t>Tide - Focus Timer &amp; White Noise 2020-02-09T10:26:02.000Z</t>
  </si>
  <si>
    <t>갤질도우미 2021-08-16T04:08:13.000Z</t>
  </si>
  <si>
    <t>Toca Life: World 2021-10-30T10:04:30.000Z</t>
  </si>
  <si>
    <t>QR Clip and Scan 2020-10-28T13:19:39.000Z</t>
  </si>
  <si>
    <t>#ДАНСwithme 2014-01-13T12:33:27.000Z</t>
  </si>
  <si>
    <t>Cachebuster 2022-06-24T04:33:48.000Z</t>
  </si>
  <si>
    <t>Web.TV Screen Sharing 2017-04-05T11:35:19.000Z</t>
  </si>
  <si>
    <t>GetDigest Add-On 2020-05-17T07:39:32.000Z</t>
  </si>
  <si>
    <t>Paste as Markdown 2020-02-19T12:48:30.000Z</t>
  </si>
  <si>
    <t>Soapbox —  Video Recorder 2023-08-08T04:16:10.000Z</t>
  </si>
  <si>
    <t>Ketnooi Paid Link Bypasser 2014-10-27T02:56:45.000Z</t>
  </si>
  <si>
    <t>Spreadsheet to JIRA 2017-12-13T11:23:56.000Z</t>
  </si>
  <si>
    <t>BetterGaia 2016-08-11T02:48:23.000Z</t>
  </si>
  <si>
    <t>Formalyse: Debug your web form 2018-03-08T15:01:56.000Z</t>
  </si>
  <si>
    <t>Pin Last Tab 2015-03-13T15:42:45.000Z</t>
  </si>
  <si>
    <t>WideWizard 2022-06-22T02:37:41.000Z</t>
  </si>
  <si>
    <t>LocalService Web Plug-in 2 2022-10-20T06:29:55.000Z</t>
  </si>
  <si>
    <t>Rest API Inspector 2021-08-19T11:09:24.000Z</t>
  </si>
  <si>
    <t>Opal: Focus &amp; Save Time 2023-01-07T06:51:59.000Z</t>
  </si>
  <si>
    <t>LOC 2019-06-16T21:40:27.000Z</t>
  </si>
  <si>
    <t>Run Javascript 2024-06-14T10:01:35.000Z</t>
  </si>
  <si>
    <t>Puppies &amp; Dogs Cursor 2021-10-07T07:49:36.000Z</t>
  </si>
  <si>
    <t>ImageRight PDF Import 2020-12-03T10:20:21.000Z</t>
  </si>
  <si>
    <t>Adblock Must Go On 2022-09-16T06:20:58.000Z</t>
  </si>
  <si>
    <t>VidGrid Beta 2021-05-05T10:16:12.000Z</t>
  </si>
  <si>
    <t>Unicorn Revealer 2019-11-08T03:19:20.000Z</t>
  </si>
  <si>
    <t>CRX Inspector 2014-09-04T21:30:22.000Z</t>
  </si>
  <si>
    <t>Webzapper: Browser Remote Control 2019-08-19T07:25:24.000Z</t>
  </si>
  <si>
    <t>Trove 2021-04-14T10:57:44.000Z</t>
  </si>
  <si>
    <t>CroxyProxy Free Web Proxy 2024-06-09T07:17:28.000Z</t>
  </si>
  <si>
    <t>Translate for Tosbase 2016-09-22T10:33:42.000Z</t>
  </si>
  <si>
    <t>Beanfun 懶人包 2015-05-06T10:27:56.000Z</t>
  </si>
  <si>
    <t>رابط پژوهیار 2022-09-22T06:00:08.000Z</t>
  </si>
  <si>
    <t>CFCA CryptoKit.Paperless.zybank Extension 2021-12-14T11:30:46.000Z</t>
  </si>
  <si>
    <t>Easy Notes 2017-01-07T04:51:47.000Z</t>
  </si>
  <si>
    <t>Song Vocal Extractor 2022-04-25T07:58:39.000Z</t>
  </si>
  <si>
    <t>ツイキャスコメント再生 2020-02-13T15:15:53.000Z</t>
  </si>
  <si>
    <t>dlvr.it 2022-05-28T04:16:32.000Z</t>
  </si>
  <si>
    <t>Fancy Text Generator 2022-01-20T03:32:35.000Z</t>
  </si>
  <si>
    <t>ChatWork DarkSkin 2021-09-01T01:34:39.000Z</t>
  </si>
  <si>
    <t>百度搜索 2012-08-22T05:43:51.000Z</t>
  </si>
  <si>
    <t>DevTools Theme: New Moon 2019-06-05T01:33:42.000Z</t>
  </si>
  <si>
    <t>No Per-Script Font! 2012-08-02T08:53:45.000Z</t>
  </si>
  <si>
    <t>GitHub Plus 2017-02-17T05:45:46.000Z</t>
  </si>
  <si>
    <t>URL Networks number2url 2014-04-01T00:49:32.000Z</t>
  </si>
  <si>
    <t>Naruto Anime Cursor 2021-06-16T08:21:07.000Z</t>
  </si>
  <si>
    <t>SVG link viewer 2015-10-26T20:29:53.000Z</t>
  </si>
  <si>
    <t>SVG Viewer 2017-05-22T09:23:41.000Z</t>
  </si>
  <si>
    <t>Text Transform 2020-12-27T06:18:29.000Z</t>
  </si>
  <si>
    <t>right-click QRcode reader 2017-07-28T15:13:45.000Z</t>
  </si>
  <si>
    <t>Button: Apps 2016-04-22T02:42:06.000Z</t>
  </si>
  <si>
    <t>YouMix 2015-07-30T23:14:09.000Z</t>
  </si>
  <si>
    <t>OKIOCAM Stop Motion 2021-10-22T09:44:11.000Z</t>
  </si>
  <si>
    <t>TR-Line FSA Integration 2024-01-31T05:28:09.000Z</t>
  </si>
  <si>
    <t>Snake 2021-05-06T02:48:30.000Z</t>
  </si>
  <si>
    <t>Yellow highlighter pen for web 2021-09-03T06:14:02.000Z</t>
  </si>
  <si>
    <t>Scrollizy - Facebook Optimizer 2020-08-25T04:22:52.000Z</t>
  </si>
  <si>
    <t>LipSurf - Voice Control for the Web 2023-08-06T05:29:56.000Z</t>
  </si>
  <si>
    <t>MYDIGIPASS eID card reader extension 2015-10-05T14:13:03.000Z</t>
  </si>
  <si>
    <t>Brackets on rollApp 2018-03-28T08:31:37.000Z</t>
  </si>
  <si>
    <t>Quick Ant 2022-08-28T11:24:34.000Z</t>
  </si>
  <si>
    <t>Ad-free YouTube 2019-09-01T12:08:24.000Z</t>
  </si>
  <si>
    <t>Dark Theme for Instagram™ 2019-05-28T07:38:09.000Z</t>
  </si>
  <si>
    <t>Inventor 2018-10-01T17:19:48.000Z</t>
  </si>
  <si>
    <t>Etsy Shop Tools 2017-05-23T13:23:46.000Z</t>
  </si>
  <si>
    <t>Coil 2023-03-18T10:33:24.000Z</t>
  </si>
  <si>
    <t>Quick Design - Free Online Design Courses 2019-09-17T01:08:45.000Z</t>
  </si>
  <si>
    <t>Cookie Eater 2021-12-14T09:04:47.000Z</t>
  </si>
  <si>
    <t>Video Speed Controls 2023-06-13T10:29:17.000Z</t>
  </si>
  <si>
    <t>Tab Slideshow 2022-05-25T13:59:34.000Z</t>
  </si>
  <si>
    <t>SelfScroll 2018-11-13T14:19:56.000Z</t>
  </si>
  <si>
    <t>prajnAM - Screen Capturing 2018-07-12T11:41:11.000Z</t>
  </si>
  <si>
    <t>Which Hogwarts House Do You Belong In? 2019-05-12T16:40:18.000Z</t>
  </si>
  <si>
    <t>Shopify 日本語 Japanese 2017-12-03T13:09:13.000Z</t>
  </si>
  <si>
    <t>Screen Recorder 2021-12-21T10:12:04.000Z</t>
  </si>
  <si>
    <t>WWDChrome 2017-10-11T00:37:25.000Z</t>
  </si>
  <si>
    <t>change all UI fonts 2021-01-07T06:31:56.000Z</t>
  </si>
  <si>
    <t>Tab Separator 2017-04-19T18:44:59.000Z</t>
  </si>
  <si>
    <t>亚马逊卖家助手 2019-02-19T11:02:13.000Z</t>
  </si>
  <si>
    <t>Google Verified Access by Duo 2021-04-22T07:34:49.000Z</t>
  </si>
  <si>
    <t>Marinara: Pomodoro® Assistant 2021-01-20T14:06:07.000Z</t>
  </si>
  <si>
    <t>Marvel Unlimited Enhanced 2021-08-31T14:55:59.000Z</t>
  </si>
  <si>
    <t>CFCA CryptoKit.CIMCFinance Extension 2021-09-14T16:15:15.000Z</t>
  </si>
  <si>
    <t>Code Cola 2013-05-01T13:40:57.000Z</t>
  </si>
  <si>
    <t>Bizzy Beaver 2021-08-20T08:54:20.000Z</t>
  </si>
  <si>
    <t>XM Helper 2024-11-10T10:53:08.000Z</t>
  </si>
  <si>
    <t>Ios Calculator 2017-11-02T18:05:03.000Z</t>
  </si>
  <si>
    <t>Juegos 3D | AppbBack.pw 2018-06-04T22:28:52.000Z</t>
  </si>
  <si>
    <t>DNATV Chrome -laajennus 2016-08-08T07:36:01.000Z</t>
  </si>
  <si>
    <t>Public IP Display 2023-06-26T11:01:08.000Z</t>
  </si>
  <si>
    <t>MBDictionary(English/Chinese/Japanese/Korean) 2015-07-18T09:15:49.000Z</t>
  </si>
  <si>
    <t>AlphaText - Make text readable! 2017-05-21T10:31:39.000Z</t>
  </si>
  <si>
    <t>Form History Control (II) 2021-04-14T20:58:28.000Z</t>
  </si>
  <si>
    <t>Nobody Gives A Shit. (Filthy Frank) 2016-10-13T07:02:27.000Z</t>
  </si>
  <si>
    <t>Similar Pages 2019-04-09T08:05:20.000Z</t>
  </si>
  <si>
    <t>NerdeFocus 2022-01-12T04:01:00.000Z</t>
  </si>
  <si>
    <t>Markdown阅读器 2017-03-17T07:11:08.000Z</t>
  </si>
  <si>
    <t>Ecosia Dark-Mode 2022-06-14T03:18:48.000Z</t>
  </si>
  <si>
    <t>Refind New Tab 2019-12-04T17:04:28.000Z</t>
  </si>
  <si>
    <t>Popup To Tab 2021-07-08T02:37:20.000Z</t>
  </si>
  <si>
    <t>Best Games 2020-08-09T03:26:29.000Z</t>
  </si>
  <si>
    <t>Messenger Sneaky Mode - Hide what needs to be 2020-04-16T21:01:21.000Z</t>
  </si>
  <si>
    <t>CleanUp 2020-04-19T00:01:59.000Z</t>
  </si>
  <si>
    <t>Open PinnedTab Link 2013-06-28T08:12:11.000Z</t>
  </si>
  <si>
    <t>Asteroids 2019-05-08T23:32:15.000Z</t>
  </si>
  <si>
    <t>Faster Suite Browser Link 2020-12-07T18:08:45.000Z</t>
  </si>
  <si>
    <t>Reload All Tabs 2018-06-08T12:31:16.000Z</t>
  </si>
  <si>
    <t>Trend Micro Shell Shock Detector 2014-09-29T04:26:44.000Z</t>
  </si>
  <si>
    <t>Comic grabber 2 2021-09-14T12:04:28.000Z</t>
  </si>
  <si>
    <t>Emojify 2013-10-09T04:42:59.000Z</t>
  </si>
  <si>
    <t>Thesaurus: Synonym 4 Right Click 2014-10-13T16:25:05.000Z</t>
  </si>
  <si>
    <t>Ebay Button 2018-02-28T04:54:26.000Z</t>
  </si>
  <si>
    <t>HTML5 Media Rate Controller 2018-03-18T22:41:15.000Z</t>
  </si>
  <si>
    <t>History export 2018-03-26T07:16:01.000Z</t>
  </si>
  <si>
    <t>Cookiebro 2021-01-26T06:35:38.000Z</t>
  </si>
  <si>
    <t>Calendar + for Google Chrome™ 2017-10-22T20:59:28.000Z</t>
  </si>
  <si>
    <t>Unblock Please 2021-02-04T07:02:06.000Z</t>
  </si>
  <si>
    <t>Selectify 2016-02-23T17:04:52.000Z</t>
  </si>
  <si>
    <t>宜蘭教學廣播老師版 2023-04-17T11:08:46.000Z</t>
  </si>
  <si>
    <t>Telescope: AI-powered Web Clipper 2021-03-23T08:54:35.000Z</t>
  </si>
  <si>
    <t>Quick Dictionary 2022-11-25T05:24:45.000Z</t>
  </si>
  <si>
    <t>.MPD Detector 2020-01-02T16:03:10.000Z</t>
  </si>
  <si>
    <t>Bypass AdBlock Detection 2018-11-01T08:03:05.000Z</t>
  </si>
  <si>
    <t>Перевод раскладки онлайн GSgen.RU 2017-02-20T21:33:45.000Z</t>
  </si>
  <si>
    <t>Copy Tab Info 2019-02-18T09:41:40.000Z</t>
  </si>
  <si>
    <t>Refreshy 2021-05-18T13:31:02.000Z</t>
  </si>
  <si>
    <t>Online Dictionary Helper 2022-08-01T07:19:13.000Z</t>
  </si>
  <si>
    <t>AwardWallet 2020-09-02T03:22:47.000Z</t>
  </si>
  <si>
    <t>HTTP Header Modifier 2018-10-23T07:43:40.000Z</t>
  </si>
  <si>
    <t>Thank Mr Skeltal 2017-03-20T22:40:38.000Z</t>
  </si>
  <si>
    <t>Myyshop - Dropshipping Product Importer 2022-06-23T06:41:25.000Z</t>
  </si>
  <si>
    <t>Fast QR Code Generator 2017-07-10T10:22:29.000Z</t>
  </si>
  <si>
    <t>Mansion Poem 2020-03-13T14:17:46.000Z</t>
  </si>
  <si>
    <t>ElseWhere 2016-02-16T14:56:13.000Z</t>
  </si>
  <si>
    <t>Sync Salesforce Contacts to Google by cloudHQ 2020-05-11T04:18:19.000Z</t>
  </si>
  <si>
    <t>Pastebin Raw Text 2017-08-26T07:45:07.000Z</t>
  </si>
  <si>
    <t>Clear Session 2016-02-23T19:17:45.000Z</t>
  </si>
  <si>
    <t>Bestlaw 2017-08-13T01:11:33.000Z</t>
  </si>
  <si>
    <t>VIA Screen Share 2023-05-16T12:18:55.000Z</t>
  </si>
  <si>
    <t>AsinSeed - Amazon Product &amp; Keyword Tools 2021-05-06T10:10:35.000Z</t>
  </si>
  <si>
    <t>Daily Dilbert Comics 2019-01-23T15:33:35.000Z</t>
  </si>
  <si>
    <t>Codebender App 2016-07-18T04:48:32.000Z</t>
  </si>
  <si>
    <t>Pular Anúncios Youtube 2021-02-02T14:27:30.000Z</t>
  </si>
  <si>
    <t>Coppermine album downloader 2018-05-16T16:46:09.000Z</t>
  </si>
  <si>
    <t>Ням находки 2012-12-25T10:29:43.000Z</t>
  </si>
  <si>
    <t>Memrise Button 2016-05-06T16:04:34.000Z</t>
  </si>
  <si>
    <t>Gmail Image Border 2017-06-21T06:38:40.000Z</t>
  </si>
  <si>
    <t>BuxInside Extension 2022-01-01T00:43:07.000Z</t>
  </si>
  <si>
    <t>AutoScrolling 2019-03-26T08:02:46.000Z</t>
  </si>
  <si>
    <t>Show This Image 2017-06-19T02:36:47.000Z</t>
  </si>
  <si>
    <t>Quannected 2020-10-30T14:21:24.000Z</t>
  </si>
  <si>
    <t>Infogalactic Transporter 2021-04-26T08:04:56.000Z</t>
  </si>
  <si>
    <t>Quotebacks - quote the web 2022-01-22T13:06:05.000Z</t>
  </si>
  <si>
    <t>ARABEASY Keyboard type Arabic in English IME 2023-12-05T12:48:27.000Z</t>
  </si>
  <si>
    <t>כאן 2024-09-27T05:40:15.000Z</t>
  </si>
  <si>
    <t>Vue Component Finder 2017-10-23T09:46:26.000Z</t>
  </si>
  <si>
    <t>Netflix profanity filter 2015-12-31T09:44:28.000Z</t>
  </si>
  <si>
    <t>Abre.ai! Encurtador de URL 2021-02-02T07:04:12.000Z</t>
  </si>
  <si>
    <t>Torch for Chrome (Early Access) 2021-01-05T07:39:32.000Z</t>
  </si>
  <si>
    <t>VideoAdBlocker 2021-05-07T13:14:14.000Z</t>
  </si>
  <si>
    <t>VKTop | Темы для ВКонтакте 2020-12-09T04:23:41.000Z</t>
  </si>
  <si>
    <t>Url Editor PRO 2020-04-16T00:02:49.000Z</t>
  </si>
  <si>
    <t>URLRedirector 2019-05-05T08:33:26.000Z</t>
  </si>
  <si>
    <t>Sport Club do Recife 2020-07-14T05:01:05.000Z</t>
  </si>
  <si>
    <t>Robot Mesh Connect App 2019-05-24T21:09:57.000Z</t>
  </si>
  <si>
    <t>HW info 2019-12-23T02:43:00.000Z</t>
  </si>
  <si>
    <t>Extensions switcher 2019-06-08T18:24:47.000Z</t>
  </si>
  <si>
    <t>Get Gift 2020-05-30T06:57:17.000Z</t>
  </si>
  <si>
    <t>YouTube++ 2019-11-12T04:59:50.000Z</t>
  </si>
  <si>
    <t>马甲 2015-11-28T18:55:53.000Z</t>
  </si>
  <si>
    <t>LocalService Web Plug-in 2 RVi 2021-10-14T12:23:22.000Z</t>
  </si>
  <si>
    <t>Markdown Preview Plus Dz特别版 2014-06-03T01:44:16.000Z</t>
  </si>
  <si>
    <t>Typography Inspector 2017-04-03T11:11:31.000Z</t>
  </si>
  <si>
    <t>UA Expert Mode+ 2016-08-11T20:18:54.000Z</t>
  </si>
  <si>
    <t>EPUB READER 2021-04-28T12:25:18.000Z</t>
  </si>
  <si>
    <t>Zerodha Scrip Plus 2022-11-23T08:47:00.000Z</t>
  </si>
  <si>
    <t>FA Previewer 2017-03-14T23:46:36.000Z</t>
  </si>
  <si>
    <t>CSS Selector Finder for Chrome Devtools 2020-06-23T08:39:29.000Z</t>
  </si>
  <si>
    <t>Image Rotate Context 2018-12-01T16:05:00.000Z</t>
  </si>
  <si>
    <t>Looksee 2021-11-11T21:57:53.000Z</t>
  </si>
  <si>
    <t>SponsorSkip 2020-03-06T07:49:08.000Z</t>
  </si>
  <si>
    <t>Password Manager 2019-11-11T16:03:40.000Z</t>
  </si>
  <si>
    <t>Close Left tabs 2021-07-27T11:47:49.000Z</t>
  </si>
  <si>
    <t>はてなNG 2014-11-12T02:02:30.000Z</t>
  </si>
  <si>
    <t>CodeMode for Webflow 2021-06-13T02:17:53.000Z</t>
  </si>
  <si>
    <t>Only move 2020-05-20T10:23:37.000Z</t>
  </si>
  <si>
    <t>Family Movie Filter 2020-06-03T05:18:46.000Z</t>
  </si>
  <si>
    <t>SoundFixer 2019-11-16T05:47:49.000Z</t>
  </si>
  <si>
    <t>Avtohaker 2022-01-04T12:18:59.000Z</t>
  </si>
  <si>
    <t>Cisco Web Communicator 2021-07-27T06:53:53.000Z</t>
  </si>
  <si>
    <t>1COM 2025-01-01T13:45:47.000Z</t>
  </si>
  <si>
    <t>Scraper 2015-04-20T18:39:09.000Z</t>
  </si>
  <si>
    <t>Google App Launcher 2020-04-22T20:28:45.000Z</t>
  </si>
  <si>
    <t>Pomodoro Work + Stretch 2021-03-31T22:19:45.000Z</t>
  </si>
  <si>
    <t>Freedom to More Freedom 2014-07-05T05:57:48.000Z</t>
  </si>
  <si>
    <t>드래그 글자수 세기 2018-09-04T12:47:49.000Z</t>
  </si>
  <si>
    <t>Google Classroom LinkHub 2021-02-06T15:05:19.000Z</t>
  </si>
  <si>
    <t>TV for Youtube 2021-01-19T23:03:40.000Z</t>
  </si>
  <si>
    <t>SAGE2 Screen Capture 2021-09-06T04:47:00.000Z</t>
  </si>
  <si>
    <t>Ultimate Rickroller 2021-03-19T10:28:40.000Z</t>
  </si>
  <si>
    <t>Sendible 2023-12-11T12:33:02.000Z</t>
  </si>
  <si>
    <t>Grayscale the Web - Save Sites 2018-05-24T13:59:37.000Z</t>
  </si>
  <si>
    <t>Beyond Enhancement Suite 2019-04-16T06:01:35.000Z</t>
  </si>
  <si>
    <t>What Font 2017-06-03T05:43:22.000Z</t>
  </si>
  <si>
    <t>Blackboard Enhancement Suite 2015-12-20T05:55:26.000Z</t>
  </si>
  <si>
    <t>nFollowers – Unfollowers Tracker 2021-04-27T10:46:48.000Z</t>
  </si>
  <si>
    <t>R1 AdBlocker 2017-08-14T05:17:57.000Z</t>
  </si>
  <si>
    <t>FamilySearch Family Tree Show Sources 2020-10-13T15:17:10.000Z</t>
  </si>
  <si>
    <t>Docamatic - Add Sticky Notes to the Web 2023-01-19T04:35:35.000Z</t>
  </si>
  <si>
    <t>Cookies Scanner 2020-06-13T05:03:20.000Z</t>
  </si>
  <si>
    <t>Music Only for Youtube 2022-07-19T06:15:14.000Z</t>
  </si>
  <si>
    <t>GraphIQL Feen 2017-01-09T02:28:41.000Z</t>
  </si>
  <si>
    <t>Telescope 2016-02-01T01:43:39.000Z</t>
  </si>
  <si>
    <t>Dark Scrollbar for YouTube™ 2022-04-01T08:46:50.000Z</t>
  </si>
  <si>
    <t>Pearls Extension 2024-06-07T10:16:06.000Z</t>
  </si>
  <si>
    <t>Socialpeeks Influencer Analyzer 2021-05-04T10:36:57.000Z</t>
  </si>
  <si>
    <t>Like skippelő plugin 2014-01-21T21:41:42.000Z</t>
  </si>
  <si>
    <t>Beatport Key Changer 2020-11-26T06:17:57.000Z</t>
  </si>
  <si>
    <t>Photo Editor With Drive 2020-02-21T23:28:28.000Z</t>
  </si>
  <si>
    <t>Emisoras de Mexico 2013-10-03T14:44:35.000Z</t>
  </si>
  <si>
    <t>Ad Density - Measure In a Single Click 2021-02-05T11:21:32.000Z</t>
  </si>
  <si>
    <t>MXtoolbox lookup tool 2019-03-23T22:40:23.000Z</t>
  </si>
  <si>
    <t>AtCoder Color 2019-04-20T15:26:09.000Z</t>
  </si>
  <si>
    <t>Glider Screen 2019-11-25T05:25:33.000Z</t>
  </si>
  <si>
    <t>Font Awesome Icon Picker 2018-04-02T07:34:27.000Z</t>
  </si>
  <si>
    <t>ezView for Desktop Sharing Extension 2019-02-13T04:40:07.000Z</t>
  </si>
  <si>
    <t>Readable 2017-04-05T09:59:58.000Z</t>
  </si>
  <si>
    <t>Morse Chrome 2023-10-05T06:52:27.000Z</t>
  </si>
  <si>
    <t>Steam Context Menu 2017-05-19T02:52:54.000Z</t>
  </si>
  <si>
    <t>One Tap: Job Search Helper 2020-07-24T13:16:29.000Z</t>
  </si>
  <si>
    <t>FormRecycler 2021-08-26T06:55:27.000Z</t>
  </si>
  <si>
    <t>Tab Manager 2017-04-05T18:43:16.000Z</t>
  </si>
  <si>
    <t>Lenstag Rescue 2016-02-28T18:35:36.000Z</t>
  </si>
  <si>
    <t>Messages for web Shortcuts 2019-06-25T15:35:09.000Z</t>
  </si>
  <si>
    <t>YoutubePreamp 2021-04-25T06:11:17.000Z</t>
  </si>
  <si>
    <t>Roblox On Laptop &amp; PC 2021-04-07T08:05:19.000Z</t>
  </si>
  <si>
    <t>Web paint tool - Drawww 2023-09-27T05:01:09.000Z</t>
  </si>
  <si>
    <t>1-2-3 Kupovina s Jeftinije.hr 2021-05-19T09:47:14.000Z</t>
  </si>
  <si>
    <t>Power Yuque 2021-09-15T10:13:37.000Z</t>
  </si>
  <si>
    <t>Gmail Gifline 2019-06-04T20:44:58.000Z</t>
  </si>
  <si>
    <t>SSRS in Chrome 2017-05-20T20:55:37.000Z</t>
  </si>
  <si>
    <t>Copy page title and url 2018-01-26T17:25:11.000Z</t>
  </si>
  <si>
    <t>Dom Size Analyzer 2019-09-04T16:02:44.000Z</t>
  </si>
  <si>
    <t>Roam-highlighter 2020-11-01T22:36:26.000Z</t>
  </si>
  <si>
    <t>Кэшбек сервис - SecretDiscounter.com 2020-06-05T11:07:27.000Z</t>
  </si>
  <si>
    <t>LeetPlug 2020-08-21T04:40:00.000Z</t>
  </si>
  <si>
    <t>Gelişmiş Sahibinden.com Özellikleri 2021-10-11T12:50:26.000Z</t>
  </si>
  <si>
    <t>谷歌汇率转换小工具 2019-04-09T10:25:42.000Z</t>
  </si>
  <si>
    <t>Free Visio Viewer (Mac</t>
  </si>
  <si>
    <t>Lightroom Preset Generator 2020-07-20T04:05:39.000Z</t>
  </si>
  <si>
    <t>Education Bhaskar 2018-05-08T18:31:04.000Z</t>
  </si>
  <si>
    <t>RKN Alert 2019-05-21T06:28:32.000Z</t>
  </si>
  <si>
    <t>Craft for Google Chrome™ 2019-07-28T10:50:52.000Z</t>
  </si>
  <si>
    <t>Fast Tabs 2014-03-23T11:06:31.000Z</t>
  </si>
  <si>
    <t>Meet Auto Accept 2021-03-16T22:15:34.000Z</t>
  </si>
  <si>
    <t>CatBlock 2022-05-22T06:48:41.000Z</t>
  </si>
  <si>
    <t>Conectores Textuales 2020-11-04T07:16:12.000Z</t>
  </si>
  <si>
    <t>TeacherView - Teacher Tools 2022-12-19T02:38:38.000Z</t>
  </si>
  <si>
    <t>Tamper Dev 2021-01-09T13:27:16.000Z</t>
  </si>
  <si>
    <t>Palettes from Coolors 2021-09-14T04:33:53.000Z</t>
  </si>
  <si>
    <t>LinkMaster 2015-02-05T21:37:57.000Z</t>
  </si>
  <si>
    <t>SubDAO 2021-12-06T07:28:33.000Z</t>
  </si>
  <si>
    <t>REVE Chat- Screen Sharing &amp; Cobrowsing Plugin 2019-11-21T16:03:47.000Z</t>
  </si>
  <si>
    <t>Site Labeler 2015-11-12T11:53:02.000Z</t>
  </si>
  <si>
    <t>Fjordkraft Netthandelvarsler 2019-01-12T00:45:07.000Z</t>
  </si>
  <si>
    <t>Coding HTML 2014-03-25T21:50:47.000Z</t>
  </si>
  <si>
    <t>SnappySnippet 2020-12-27T06:37:29.000Z</t>
  </si>
  <si>
    <t>Browser WebSocket Client 2020-03-10T13:33:42.000Z</t>
  </si>
  <si>
    <t>Tab-less 2019-04-25T09:38:52.000Z</t>
  </si>
  <si>
    <t>Night mode 2022-11-11T15:18:40.000Z</t>
  </si>
  <si>
    <t>SEOkit - Quick Test on Free SEO Tools! 2021-10-07T06:18:32.000Z</t>
  </si>
  <si>
    <t>Ruby (IRB) 2013-11-05T23:56:53.000Z</t>
  </si>
  <si>
    <t>Live News Cloud 2015-09-17T16:07:13.000Z</t>
  </si>
  <si>
    <t>Blackboard Video Speed 2020-10-06T04:11:17.000Z</t>
  </si>
  <si>
    <t>Disable Ctrl + Scroll Wheel Zoom 2023-08-24T11:19:29.000Z</t>
  </si>
  <si>
    <t>Trustpilot 2024-08-21T04:48:42.000Z</t>
  </si>
  <si>
    <t>俄罗斯方块 2020-01-02T06:05:26.000Z</t>
  </si>
  <si>
    <t>LinkedIn Extension 2022-07-12T07:17:53.000Z</t>
  </si>
  <si>
    <t>Librus Average 2023-01-10T05:46:00.000Z</t>
  </si>
  <si>
    <t>Download Sorter 2016-10-31T11:07:40.000Z</t>
  </si>
  <si>
    <t>Among Us Hack| Always Imposter Hack 2021-03-03T08:56:44.000Z</t>
  </si>
  <si>
    <t>Jitsi Desktop Streamer 2014-11-17T10:16:31.000Z</t>
  </si>
  <si>
    <t>FotoJet 2017-11-01T02:13:30.000Z</t>
  </si>
  <si>
    <t>SplitCast 2019-10-20T08:49:44.000Z</t>
  </si>
  <si>
    <t>Unlimited Medium 2022-03-06T09:10:48.000Z</t>
  </si>
  <si>
    <t>Zephyr Capture for JIRA 2021-05-05T08:06:39.000Z</t>
  </si>
  <si>
    <t>GoBrunch Screen Share 2018-10-25T11:34:02.000Z</t>
  </si>
  <si>
    <t>Fulcro Inspect 2021-07-02T22:41:11.000Z</t>
  </si>
  <si>
    <t>Feedbro 2024-03-25T04:12:20.000Z</t>
  </si>
  <si>
    <t>AdSpoiler 2020-04-12T16:27:19.000Z</t>
  </si>
  <si>
    <t>Cookie Clicker Extended 2013-08-16T11:38:52.000Z</t>
  </si>
  <si>
    <t>SessionBox - Multi login to any website 2024-09-10T12:20:58.000Z</t>
  </si>
  <si>
    <t>ShopSavvy 2024-03-20T11:19:41.000Z</t>
  </si>
  <si>
    <t>Warframe Helper 2018-06-17T23:02:30.000Z</t>
  </si>
  <si>
    <t>Friends Who Listen 2021-02-04T20:06:19.000Z</t>
  </si>
  <si>
    <t>Double Click Closes Tab 2013-06-29T03:50:56.000Z</t>
  </si>
  <si>
    <t>Nested Folders for Google Photos 2017-05-07T21:28:21.000Z</t>
  </si>
  <si>
    <t>Sigaa UNB - Volta Horário 2021-01-30T07:54:45.000Z</t>
  </si>
  <si>
    <t>Make Google Search great again 2021-01-25T16:17:55.000Z</t>
  </si>
  <si>
    <t>BLHeli - Configurator 2017-12-22T10:15:40.000Z</t>
  </si>
  <si>
    <t>Classic Retweet 2014-05-03T20:35:57.000Z</t>
  </si>
  <si>
    <t>RAW to JPG Converter 2020-09-07T05:14:41.000Z</t>
  </si>
  <si>
    <t>android messages 2018-06-18T17:22:26.000Z</t>
  </si>
  <si>
    <t>Cite Marker 2012-04-15T18:39:37.000Z</t>
  </si>
  <si>
    <t>Toolbar Digital Clock (12-hour version) 2022-04-07T05:38:00.000Z</t>
  </si>
  <si>
    <t>Solong 2021-06-17T05:42:47.000Z</t>
  </si>
  <si>
    <t>Planner Default View 2020-03-12T11:42:03.000Z</t>
  </si>
  <si>
    <t>watchlist 2020-09-20T14:25:03.000Z</t>
  </si>
  <si>
    <t>User Agent Switcher 2018-08-28T06:23:48.000Z</t>
  </si>
  <si>
    <t>Canvas files Downloader 2020-01-10T01:53:24.000Z</t>
  </si>
  <si>
    <t>Dark Side 2019-09-23T10:16:47.000Z</t>
  </si>
  <si>
    <t>Promoted Pin Hider 2020-05-15T04:43:39.000Z</t>
  </si>
  <si>
    <t>ضد فیشینگ درگاه‌های بانکی 2021-03-17T09:13:53.000Z</t>
  </si>
  <si>
    <t>AssetView 2 2022-11-14T04:44:51.000Z</t>
  </si>
  <si>
    <t>Meet Auto Admit 2021-02-11T12:30:48.000Z</t>
  </si>
  <si>
    <t>SDFC Dev Console Data Exporter 2015-05-08T12:33:01.000Z</t>
  </si>
  <si>
    <t>JackDB - SQL Database Client 2014-09-25T17:32:40.000Z</t>
  </si>
  <si>
    <t>Library Scan: OverDrive + Goodreads 2021-09-14T16:28:53.000Z</t>
  </si>
  <si>
    <t>Odoo Manager Database 2022-10-13T12:00:38.000Z</t>
  </si>
  <si>
    <t>Botpath 2022-12-09T09:20:41.000Z</t>
  </si>
  <si>
    <t>Roblox Statistics 2022-09-02T07:20:24.000Z</t>
  </si>
  <si>
    <t>DOI Helper 2020-04-07T18:01:17.000Z</t>
  </si>
  <si>
    <t>ForgeCommander Integration 2021-07-19T03:26:52.000Z</t>
  </si>
  <si>
    <t>Epic Games Free Games List 2021-08-04T12:39:38.000Z</t>
  </si>
  <si>
    <t>Tabby Face 2016-01-18T19:14:16.000Z</t>
  </si>
  <si>
    <t>ezASIN powered by eLister Pro 2016-08-21T18:00:47.000Z</t>
  </si>
  <si>
    <t>Emoji Go 2021-05-12T07:26:47.000Z</t>
  </si>
  <si>
    <t>Tab Glue 2013-10-07T03:47:21.000Z</t>
  </si>
  <si>
    <t>Kickass torrent search 2017-07-22T13:47:13.000Z</t>
  </si>
  <si>
    <t>Netflix Pause Removal 2018-07-26T17:33:23.000Z</t>
  </si>
  <si>
    <t>SiteTalk Cashback Add-on 2017-03-28T13:14:23.000Z</t>
  </si>
  <si>
    <t>Committed - NewTab Todo and Goal Manager 2019-10-28T12:14:16.000Z</t>
  </si>
  <si>
    <t>Man in the Middle 2022-03-02T05:45:33.000Z</t>
  </si>
  <si>
    <t>Bookmark World Clock 2020-12-04T18:44:20.000Z</t>
  </si>
  <si>
    <t>Link Fixer 2019-07-07T00:16:15.000Z</t>
  </si>
  <si>
    <t>StarMask 2023-05-29T03:25:17.000Z</t>
  </si>
  <si>
    <t>Парсер сайтов · мониторинг цен конкурентов 2023-02-01T11:13:49.000Z</t>
  </si>
  <si>
    <t>FreeConferenceCall.com Scheduler 2020-11-06T06:14:35.000Z</t>
  </si>
  <si>
    <t>네이버 뉴스 댓글 플러스 2015-10-25T13:11:56.000Z</t>
  </si>
  <si>
    <t>BrowserStack Local 2022-09-14T13:37:18.000Z</t>
  </si>
  <si>
    <t>Trello Night 2018-05-16T03:30:55.000Z</t>
  </si>
  <si>
    <t>Ultra Password Generator 2015-05-11T18:45:49.000Z</t>
  </si>
  <si>
    <t>Mapbox Vector Tiles 2022-05-31T05:02:38.000Z</t>
  </si>
  <si>
    <t>DuckDuckGo Search Engines for Chrome 2022-01-15T14:13:27.000Z</t>
  </si>
  <si>
    <t>Udemy Custom Speed Changer 2023-09-18T10:13:22.000Z</t>
  </si>
  <si>
    <t>QuickGoDownloads 2016-08-22T09:48:35.000Z</t>
  </si>
  <si>
    <t>Save CSS 2012-08-23T08:30:06.000Z</t>
  </si>
  <si>
    <t>Current Time in US Time Zones 2019-06-14T01:54:58.000Z</t>
  </si>
  <si>
    <t>Linguee-Translator 2020-04-08T11:30:00.000Z</t>
  </si>
  <si>
    <t>Scroll Speed 2020-04-27T00:02:49.000Z</t>
  </si>
  <si>
    <t>HostAdmin App 2014-05-04T14:51:01.000Z</t>
  </si>
  <si>
    <t>太空饭否 2019-09-16T01:35:42.000Z</t>
  </si>
  <si>
    <t>CastImage for Chrome 2014-06-17T20:55:14.000Z</t>
  </si>
  <si>
    <t>Escra Downloader 2022-04-12T12:08:30.000Z</t>
  </si>
  <si>
    <t>ReaderQ Edu En 2022-06-23T04:14:02.000Z</t>
  </si>
  <si>
    <t>Safeweb Plugin de Assinatura 2022-09-21T05:51:58.000Z</t>
  </si>
  <si>
    <t>waboxapp 2022-02-28T10:31:20.000Z</t>
  </si>
  <si>
    <t>VoiceFiller Speech To Text for Website Forms 2021-03-06T13:58:08.000Z</t>
  </si>
  <si>
    <t>Quran Radio 2024-05-12T05:54:11.000Z</t>
  </si>
  <si>
    <t>CodeRaven's CryptoBlade Battle Simulator 2021-08-16T13:06:16.000Z</t>
  </si>
  <si>
    <t>New Tab Motivational Quotes 2019-04-02T12:42:38.000Z</t>
  </si>
  <si>
    <t>5000兆円コンバーター 2018-06-08T14:02:33.000Z</t>
  </si>
  <si>
    <t>Page Speed checker by OptiPic.io 2018-05-01T15:09:06.000Z</t>
  </si>
  <si>
    <t>Juego de la serpiente 2018-03-12T19:57:03.000Z</t>
  </si>
  <si>
    <t>Stop-it 2022-11-21T10:05:50.000Z</t>
  </si>
  <si>
    <t>wipeyy - Controllable "picture in picture". 2020-05-01T06:18:45.000Z</t>
  </si>
  <si>
    <t>Rutracker Magnet 2014-09-12T09:39:22.000Z</t>
  </si>
  <si>
    <t>Invisible Kahoot Name 2018-04-15T02:55:41.000Z</t>
  </si>
  <si>
    <t>101.RU | Radio Online 2018-12-22T07:22:47.000Z</t>
  </si>
  <si>
    <t>Duolingo Boost 2021-03-07T05:44:34.000Z</t>
  </si>
  <si>
    <t>NoAdPlayer 2013-10-24T04:11:04.000Z</t>
  </si>
  <si>
    <t>Page Speed Analysis 2017-08-15T01:25:13.000Z</t>
  </si>
  <si>
    <t>Tab Search 2020-01-21T12:43:21.000Z</t>
  </si>
  <si>
    <t>Start your search with eBay™ + Right Click 2020-04-24T04:12:08.000Z</t>
  </si>
  <si>
    <t>One Key Full Screen 2015-03-01T01:49:55.000Z</t>
  </si>
  <si>
    <t>Bass Boost: HD Audio 2021-05-03T12:53:07.000Z</t>
  </si>
  <si>
    <t>Web Essentials 2017-06-14T22:27:24.000Z</t>
  </si>
  <si>
    <t>Session Manager 2016-10-14T00:23:08.000Z</t>
  </si>
  <si>
    <t>SpotiAds - Ads remover for Spotify™ 2024-04-14T04:51:42.000Z</t>
  </si>
  <si>
    <t>Cookie Compliance Audit Tool 2019-11-19T16:03:45.000Z</t>
  </si>
  <si>
    <t>TruePath 2020-08-04T06:53:38.000Z</t>
  </si>
  <si>
    <t>NONIOBlocker | remove o popup do NONIO 2020-12-16T12:49:51.000Z</t>
  </si>
  <si>
    <t>danime-another-comment 2021-11-07T09:44:22.000Z</t>
  </si>
  <si>
    <t>Black Bars Begone 2015-08-07T17:12:53.000Z</t>
  </si>
  <si>
    <t>Awesome New Tab Page 2023-08-20T11:29:51.000Z</t>
  </si>
  <si>
    <t>Tabs aside 2023-08-25T06:47:06.000Z</t>
  </si>
  <si>
    <t>Вконтакте Загрузка 2021-04-28T05:23:02.000Z</t>
  </si>
  <si>
    <t>WaniKanify 2.0 2021-04-28T09:17:34.000Z</t>
  </si>
  <si>
    <t>Drawing 2012-10-02T06:51:05.000Z</t>
  </si>
  <si>
    <t>Pronote Autoconnect 2018-09-11T23:33:51.000Z</t>
  </si>
  <si>
    <t>Aspect Ratio 21:9 2020-10-26T01:27:18.000Z</t>
  </si>
  <si>
    <t>SCTPextension 2022-07-01T04:29:03.000Z</t>
  </si>
  <si>
    <t>iWeb2x - URL to PDF &amp; Image 2024-04-07T09:56:36.000Z</t>
  </si>
  <si>
    <t>CopyChat Five9 Connector 2020-09-23T07:16:13.000Z</t>
  </si>
  <si>
    <t>Fortnite Wallpapers and New Tab 2021-11-23T05:08:43.000Z</t>
  </si>
  <si>
    <t>Hebrew Tooltip Translation for Google Chrome™ 2019-03-06T14:57:47.000Z</t>
  </si>
  <si>
    <t>TiffOne 2020-04-08T07:26:02.000Z</t>
  </si>
  <si>
    <t>Link to Bookmark 2017-03-24T04:50:31.000Z</t>
  </si>
  <si>
    <t>Keyword Wrapper &amp; Permutation Tool 2019-12-12T15:05:10.000Z</t>
  </si>
  <si>
    <t>Table Booster for Google Analytics 2018-02-15T15:07:03.000Z</t>
  </si>
  <si>
    <t>Open Cookie Editor 2023-12-08T06:16:51.000Z</t>
  </si>
  <si>
    <t>XTag Google Analytics: Record &amp; check UA</t>
  </si>
  <si>
    <t>Offcloud.com Extension 2021-06-16T05:32:05.000Z</t>
  </si>
  <si>
    <t>English-Chinese dictionary (select-&gt;control) 2015-10-10T06:35:50.000Z</t>
  </si>
  <si>
    <t>Scraper Parsers - Free Web Scraping 2020-03-29T15:09:46.000Z</t>
  </si>
  <si>
    <t>Dropship N Paste 2020-03-10T09:27:45.000Z</t>
  </si>
  <si>
    <t>Presentations2Go - Screen Cast Recorder 2021-03-19T12:37:32.000Z</t>
  </si>
  <si>
    <t>Add "Mark All Read" button to GMail 2022-07-01T04:49:41.000Z</t>
  </si>
  <si>
    <t>Tab Notes 2019-03-11T09:08:21.000Z</t>
  </si>
  <si>
    <t>Advanced Page Language Switcher 2024-02-19T07:54:16.000Z</t>
  </si>
  <si>
    <t>Pass the Plebs 2020-02-04T13:17:11.000Z</t>
  </si>
  <si>
    <t>StormX: Shop &amp; Earn Crypto 2024-05-04T10:38:16.000Z</t>
  </si>
  <si>
    <t>GTM Copy Paste 2023-05-24T11:33:22.000Z</t>
  </si>
  <si>
    <t>Decision Roulette 2023-02-27T06:25:44.000Z</t>
  </si>
  <si>
    <t>Simple JavaScript Toggle 2014-07-20T15:05:00.000Z</t>
  </si>
  <si>
    <t>Chrome Protect — Smart Search 2021-01-05T09:16:21.000Z</t>
  </si>
  <si>
    <t>Improvements for Google Tasks™ 2013-09-25T06:16:23.000Z</t>
  </si>
  <si>
    <t>JSON Formatter 2017-05-08T12:17:17.000Z</t>
  </si>
  <si>
    <t>Testpad 2018-06-09T14:32:17.000Z</t>
  </si>
  <si>
    <t>Speak Selected Text by elabueloeduca.com 2016-01-13T07:23:39.000Z</t>
  </si>
  <si>
    <t>Custom Background Facebook Theme 2020-03-02T06:56:24.000Z</t>
  </si>
  <si>
    <t>Circuit by Unify 2024-09-16T16:34:14.000Z</t>
  </si>
  <si>
    <t>YAC ⇋ YouTube Auto Confirm 2020-07-31T07:24:26.000Z</t>
  </si>
  <si>
    <t>Salesforce Schema Builder Expander 2015-02-16T12:31:17.000Z</t>
  </si>
  <si>
    <t>Lickshot 2013-08-03T17:57:47.000Z</t>
  </si>
  <si>
    <t>VAC-BAN.com Add/View 2016-08-26T08:45:38.000Z</t>
  </si>
  <si>
    <t>HTML Live 2019-03-08T17:03:48.000Z</t>
  </si>
  <si>
    <t>Atlanta Flash Enabler 2020-02-17T13:32:22.000Z</t>
  </si>
  <si>
    <t>Make Screenshot for Chrome™ 2020-05-05T15:09:53.000Z</t>
  </si>
  <si>
    <t>Foca Files Finder 2018-12-22T16:06:08.000Z</t>
  </si>
  <si>
    <t>Illumify 2020-01-07T16:49:29.000Z</t>
  </si>
  <si>
    <t>Dialpad Extension 2024-11-07T04:03:11.000Z</t>
  </si>
  <si>
    <t>Random Netflix 2014-02-03T06:03:14.000Z</t>
  </si>
  <si>
    <t>Newsela Google Classroom Extension 2020-11-18T03:47:22.000Z</t>
  </si>
  <si>
    <t>Ever Accountable For Chrome 2022-12-19T03:59:32.000Z</t>
  </si>
  <si>
    <t>AcFun-CIP 2019-03-14T08:45:24.000Z</t>
  </si>
  <si>
    <t>incogni-tab 2020-11-18T20:29:01.000Z</t>
  </si>
  <si>
    <t>BizStore Công cụ ký điện tử 2022-07-22T12:16:08.000Z</t>
  </si>
  <si>
    <t>Do It! Shia Labeouf (Super Pack) 2015-11-03T20:48:37.000Z</t>
  </si>
  <si>
    <t>Supreme Size Selector + ATC 2023-07-12T04:51:28.000Z</t>
  </si>
  <si>
    <t>Callee 2021-04-12T06:22:20.000Z</t>
  </si>
  <si>
    <t>Disable Numpad for Youtube 2019-01-27T10:09:09.000Z</t>
  </si>
  <si>
    <t>Make Up Games 2018-12-03T09:24:40.000Z</t>
  </si>
  <si>
    <t>Eboost Ad Spy 2022-03-08T08:49:49.000Z</t>
  </si>
  <si>
    <t>VkAdvHide - убирает рекламу вконтакте 2017-10-01T20:08:13.000Z</t>
  </si>
  <si>
    <t>Netflix Awesome Extensions 2020-05-18T07:30:26.000Z</t>
  </si>
  <si>
    <t>Trello App 2016-02-13T00:16:49.000Z</t>
  </si>
  <si>
    <t>Prime Video Downloader 2021-05-20T10:55:31.000Z</t>
  </si>
  <si>
    <t>WebSite IP Information Query 2021-08-22T05:31:51.000Z</t>
  </si>
  <si>
    <t>Calculator for Chrome 2016-01-25T14:07:21.000Z</t>
  </si>
  <si>
    <t>Virtual Desktops 2018-06-18T18:31:36.000Z</t>
  </si>
  <si>
    <t>Arduino IOT Controller 2022-02-26T03:21:49.000Z</t>
  </si>
  <si>
    <t>Devtools for Tailwind CSS 2023-08-02T12:37:35.000Z</t>
  </si>
  <si>
    <t>Trump to Poop 2017-02-19T19:17:55.000Z</t>
  </si>
  <si>
    <t>JD Extractor 2023-01-20T05:32:56.000Z</t>
  </si>
  <si>
    <t>DWR Explorer 2017-08-31T06:14:12.000Z</t>
  </si>
  <si>
    <t>Scripty - Javascript Injector 2024-09-02T09:44:53.000Z</t>
  </si>
  <si>
    <t>Redesign 2016-05-04T18:07:54.000Z</t>
  </si>
  <si>
    <t>VRChat Profile 2021-02-01T10:24:04.000Z</t>
  </si>
  <si>
    <t>CrossTec SchoolVue Student 2022-05-13T06:40:59.000Z</t>
  </si>
  <si>
    <t>XPress for Chrome 2019-01-25T13:03:26.000Z</t>
  </si>
  <si>
    <t>Trello Grid Layout and Confetti Extension 2020-10-04T08:25:09.000Z</t>
  </si>
  <si>
    <t>SwagLyrics for Spotify 2020-05-23T04:04:05.000Z</t>
  </si>
  <si>
    <t>Fednat Flash Enabler 2019-03-28T18:49:38.000Z</t>
  </si>
  <si>
    <t>XSurf Log 2023-07-17T11:20:18.000Z</t>
  </si>
  <si>
    <t>HTML5 Audio Description (via screenreader) 2012-08-10T20:13:31.000Z</t>
  </si>
  <si>
    <t>碎影截图 - 在线视频截图 2021-11-21T06:30:42.000Z</t>
  </si>
  <si>
    <t>Movies</t>
  </si>
  <si>
    <t>Twitch multistream 2020-05-23T07:03:23.000Z</t>
  </si>
  <si>
    <t>Ace Script 2023-10-04T04:27:42.000Z</t>
  </si>
  <si>
    <t>View background image 2016-08-07T15:02:41.000Z</t>
  </si>
  <si>
    <t>1 click Google Draw 2023-10-29T12:50:18.000Z</t>
  </si>
  <si>
    <t>ABBAdata CSS Selector Finder 2020-12-12T10:43:59.000Z</t>
  </si>
  <si>
    <t>GSuite Custom Toolbar 2020-05-05T05:28:03.000Z</t>
  </si>
  <si>
    <t>Laboratory 2021-02-18T10:06:57.000Z</t>
  </si>
  <si>
    <t>Encoder / Decoder 2013-08-31T10:31:31.000Z</t>
  </si>
  <si>
    <t>3C-Capture Crop Create 2018-07-06T03:34:42.000Z</t>
  </si>
  <si>
    <t>Holodex Plus 2024-05-03T11:35:43.000Z</t>
  </si>
  <si>
    <t>ConvergeHub Lead Generator 2022-07-20T11:21:24.000Z</t>
  </si>
  <si>
    <t>GoToMeeting Redirect 2016-07-27T18:23:26.000Z</t>
  </si>
  <si>
    <t>WebXR API Emulator 2021-01-29T03:44:12.000Z</t>
  </si>
  <si>
    <t>DF Tube (Distraction Free for YouTube™) 2019-11-20T02:41:45.000Z</t>
  </si>
  <si>
    <t>goodbye "Zenkaku" - さよなら全角英数 2012-07-03T16:00:31.000Z</t>
  </si>
  <si>
    <t>Git Cheat Sheet 2014-02-25T21:29:11.000Z</t>
  </si>
  <si>
    <t>NonAd Block 2016-02-11T18:47:49.000Z</t>
  </si>
  <si>
    <t>Hashtagpirate - Instagram like bot 2018-11-23T11:35:33.000Z</t>
  </si>
  <si>
    <t>Sonatype Nexus IQ Evaluation 2023-07-14T05:35:37.000Z</t>
  </si>
  <si>
    <t>Polynesian Keyboard 2014-02-20T07:53:35.000Z</t>
  </si>
  <si>
    <t>Customize Facebook Style 2019-05-07T23:46:36.000Z</t>
  </si>
  <si>
    <t>IDA 2024-08-28T08:10:49.000Z</t>
  </si>
  <si>
    <t>その本、メルカリで! 2019-11-30T06:28:08.000Z</t>
  </si>
  <si>
    <t>Torrent Search 2020-07-15T04:22:14.000Z</t>
  </si>
  <si>
    <t>VoiceSissy (Speech-to-Text-to-Speech TTS STT) 2021-08-16T07:03:12.000Z</t>
  </si>
  <si>
    <t>Pixiv Ranking New Tab 2023-02-20T12:29:50.000Z</t>
  </si>
  <si>
    <t>ChromeGuard 2024-08-31T11:18:19.000Z</t>
  </si>
  <si>
    <t>LeadDesk Talk 2024-11-20T12:39:30.000Z</t>
  </si>
  <si>
    <t>FoG - Oddschecker o/r calculator 2022-10-01T06:57:35.000Z</t>
  </si>
  <si>
    <t>Postfity.com 2021-08-04T06:05:26.000Z</t>
  </si>
  <si>
    <t>Localhost 2014-11-20T22:52:54.000Z</t>
  </si>
  <si>
    <t>DarkCloud 2023-11-08T13:16:47.000Z</t>
  </si>
  <si>
    <t>多瑙影院 dnvod plugins 2020-05-23T02:07:33.000Z</t>
  </si>
  <si>
    <t>Qikfox 2021-02-01T09:10:52.000Z</t>
  </si>
  <si>
    <t>AdGuard: Free Ad Blocker For Chrome 2022-06-06T09:48:53.000Z</t>
  </si>
  <si>
    <t>Rick Roller 2018-04-01T01:51:22.000Z</t>
  </si>
  <si>
    <t>Worship Leader 2020-03-03T05:29:52.000Z</t>
  </si>
  <si>
    <t>Add to Sonos Queue 2015-03-29T19:46:18.000Z</t>
  </si>
  <si>
    <t>Steam Profile Assistant 2022-08-09T11:21:51.000Z</t>
  </si>
  <si>
    <t>WHA Quotes &amp; Clock New Tab 2019-10-06T09:36:32.000Z</t>
  </si>
  <si>
    <t>SignDoc DeviceConnector 2018-02-12T13:11:52.000Z</t>
  </si>
  <si>
    <t>Notion Quick Notes 2021-04-05T04:38:02.000Z</t>
  </si>
  <si>
    <t>Friends Tracker 2021-03-08T12:36:58.000Z</t>
  </si>
  <si>
    <t>SEO Checker Plus 2020-03-26T09:13:47.000Z</t>
  </si>
  <si>
    <t>UploadCC: Screen Capture Tool (Share or Save) 2020-10-31T09:30:25.000Z</t>
  </si>
  <si>
    <t>Roblox DevEst 2017-07-22T18:42:25.000Z</t>
  </si>
  <si>
    <t>Job Fill 2021-05-11T12:13:54.000Z</t>
  </si>
  <si>
    <t>Favicon Generator 2014-06-01T09:13:24.000Z</t>
  </si>
  <si>
    <t>Steaser.Ru 2021-04-07T06:14:52.000Z</t>
  </si>
  <si>
    <t>GroupDocs Online Document Viewer Plugin 2013-12-11T15:38:23.000Z</t>
  </si>
  <si>
    <t>Org Search for Salesforce 2019-03-12T00:10:36.000Z</t>
  </si>
  <si>
    <t>DataLink™ for TriCaster™ 2021-08-17T11:00:49.000Z</t>
  </si>
  <si>
    <t>Slack Cleaner</t>
  </si>
  <si>
    <t>Instant Tracking Monitor for Google Analytics 2021-08-13T08:44:54.000Z</t>
  </si>
  <si>
    <t>F1 TV Enhanced 2019-07-29T15:03:32.000Z</t>
  </si>
  <si>
    <t>Points for Trello 2012-09-11T20:48:57.000Z</t>
  </si>
  <si>
    <t>Echo for ArcGIS 2020-11-17T14:35:28.000Z</t>
  </si>
  <si>
    <t>RtL Fixer 2020-03-05T10:37:53.000Z</t>
  </si>
  <si>
    <t>AngularJS Console 2014-03-26T01:44:05.000Z</t>
  </si>
  <si>
    <t>MultiTimer ZN 2013-08-12T10:44:33.000Z</t>
  </si>
  <si>
    <t>Google Master 2016-01-05T15:49:33.000Z</t>
  </si>
  <si>
    <t>Save Text to File 2021-09-06T21:37:24.000Z</t>
  </si>
  <si>
    <t>BioSeek Reader 2019-02-11T16:03:44.000Z</t>
  </si>
  <si>
    <t>froglogic Squish Integration 2024-06-22T04:18:59.000Z</t>
  </si>
  <si>
    <t>Travelpayouts 2021-07-12T08:10:11.000Z</t>
  </si>
  <si>
    <t>Instant Dat Boi 2016-08-12T14:51:35.000Z</t>
  </si>
  <si>
    <t>MindMap Tab 2020-05-12T07:07:55.000Z</t>
  </si>
  <si>
    <t>Image blocker 2020-06-07T10:09:45.000Z</t>
  </si>
  <si>
    <t>CoinMarketCap 2021-01-29T09:19:45.000Z</t>
  </si>
  <si>
    <t>Flutter Search Extension 2019-11-18T06:57:00.000Z</t>
  </si>
  <si>
    <t>WebRank SEO 2019-08-08T06:23:42.000Z</t>
  </si>
  <si>
    <t>Netflix List Exporter 2022-08-07T06:42:22.000Z</t>
  </si>
  <si>
    <t>WPintel - WordPress Vulnerability Scanner 2019-03-08T13:07:28.000Z</t>
  </si>
  <si>
    <t>TV WatchList 2022-02-25T09:30:42.000Z</t>
  </si>
  <si>
    <t>Roblox Reviews 2021-12-20T13:11:22.000Z</t>
  </si>
  <si>
    <t>TabMark - NewTab Speed Dial Extension 2021-03-24T12:33:49.000Z</t>
  </si>
  <si>
    <t>Parallax Background Builder (Desktop Edition) 2013-10-15T17:42:04.000Z</t>
  </si>
  <si>
    <t>Babyknop Yes Baby 2020-06-23T04:09:44.000Z</t>
  </si>
  <si>
    <t>Ramz 2022-12-12T06:43:47.000Z</t>
  </si>
  <si>
    <t>Link 2021-03-12T13:24:31.000Z</t>
  </si>
  <si>
    <t>Pasar lista Google Meet y Classroom 2022-02-01T03:06:38.000Z</t>
  </si>
  <si>
    <t>xOmator - AliExpress DropShipping 2023-05-05T06:12:46.000Z</t>
  </si>
  <si>
    <t>ToDo List 2013-07-30T14:32:55.000Z</t>
  </si>
  <si>
    <t>划词翻译(柯林斯词典)+扇贝生词本 2022-07-12T12:24:37.000Z</t>
  </si>
  <si>
    <t>Timebite - Online wasted time tracker 2020-04-20T08:20:39.000Z</t>
  </si>
  <si>
    <t>Easy disposable email address 2017-02-19T14:47:04.000Z</t>
  </si>
  <si>
    <t>Lequipe Abblock Go To Hell 2016-09-07T13:21:56.000Z</t>
  </si>
  <si>
    <t>DraftNight Draft Board 2021-07-28T14:12:36.000Z</t>
  </si>
  <si>
    <t>QR Kod Oluşturucu 2020-09-27T13:11:58.000Z</t>
  </si>
  <si>
    <t>Speedtest by Ookla 2025-01-06T07:12:55.000Z</t>
  </si>
  <si>
    <t>Tranquility Reader 2020-09-02T03:38:31.000Z</t>
  </si>
  <si>
    <t>Barracuda Chromebook Security Extension 2022-03-03T00:39:35.000Z</t>
  </si>
  <si>
    <t>Linux Scroll Speed Fix 2021-09-07T07:28:00.000Z</t>
  </si>
  <si>
    <t>Site Bleacher 2019-11-12T00:03:40.000Z</t>
  </si>
  <si>
    <t>Omni 2023-07-28T04:27:07.000Z</t>
  </si>
  <si>
    <t>Linguee Audio Download 2018-04-10T22:30:29.000Z</t>
  </si>
  <si>
    <t>SCP Wiki Tools 2019-01-29T03:34:54.000Z</t>
  </si>
  <si>
    <t>CandyJar 2021-05-18T12:54:26.000Z</t>
  </si>
  <si>
    <t>PopupFilter 2018-10-29T16:55:29.000Z</t>
  </si>
  <si>
    <t>Smartiez</t>
  </si>
  <si>
    <t>TabIt - G Keep : Productivity in Access 2021-09-17T08:17:47.000Z</t>
  </si>
  <si>
    <t>OpenBook It! 2013-03-03T12:29:08.000Z</t>
  </si>
  <si>
    <t>UbiChr - Ubiquity for Chrome 2024-08-18T11:42:02.000Z</t>
  </si>
  <si>
    <t>微博助手 2022-12-07T04:50:55.000Z</t>
  </si>
  <si>
    <t>SuperTabs 2018-05-28T21:10:42.000Z</t>
  </si>
  <si>
    <t>qTLS 2017-07-25T18:16:09.000Z</t>
  </si>
  <si>
    <t>ktab 2019-10-14T14:22:47.000Z</t>
  </si>
  <si>
    <t>OmniStudio Project Explorer 2021-02-28T22:05:09.000Z</t>
  </si>
  <si>
    <t>AIO APK Downloader 2019-12-20T10:59:20.000Z</t>
  </si>
  <si>
    <t>さてはフォロワー買いました？今すぐチェックボタン - Chrome 拡張 2018-07-19T04:11:44.000Z</t>
  </si>
  <si>
    <t>Wicked Good Unarchiver 2022-10-08T14:57:26.000Z</t>
  </si>
  <si>
    <t>MicroWeather 2015-11-22T21:25:34.000Z</t>
  </si>
  <si>
    <t>Reddit Check 2017-05-07T03:54:26.000Z</t>
  </si>
  <si>
    <t>Anime Logger 2017-12-26T21:17:48.000Z</t>
  </si>
  <si>
    <t>Strava Club Annual Leaderboard 2021-04-20T13:27:13.000Z</t>
  </si>
  <si>
    <t>Flush DNS &amp; close sockets 2016-09-25T20:29:22.000Z</t>
  </si>
  <si>
    <t>aelf-explorer-extension 2022-10-25T13:27:57.000Z</t>
  </si>
  <si>
    <t>Make Link of All tabs 2014-02-08T01:03:58.000Z</t>
  </si>
  <si>
    <t>KUKU.io 2018-08-24T18:20:48.000Z</t>
  </si>
  <si>
    <t>Easy English - учим слова и фразы 2019-12-25T10:59:53.000Z</t>
  </si>
  <si>
    <t>Where's My Book? 2018-05-25T03:35:57.000Z</t>
  </si>
  <si>
    <t>Kaomoji Me Up 2019-02-04T03:33:58.000Z</t>
  </si>
  <si>
    <t>Chemistry Reference Resolver 2020-06-01T04:27:37.000Z</t>
  </si>
  <si>
    <t>The 20 Second Rule 2014-10-26T22:52:59.000Z</t>
  </si>
  <si>
    <t>Starwars HD themes 2018-03-04T22:52:28.000Z</t>
  </si>
  <si>
    <t>Matlock 2024-03-25T07:18:49.000Z</t>
  </si>
  <si>
    <t>Big Tech Funding 2022-05-22T21:05:50.000Z</t>
  </si>
  <si>
    <t>Voice Chat API 2014-01-31T03:46:52.000Z</t>
  </si>
  <si>
    <t>Tidy Bookmarks Tree 2017-02-15T10:09:56.000Z</t>
  </si>
  <si>
    <t>Hotkeys 2021-05-05T13:50:15.000Z</t>
  </si>
  <si>
    <t>EdPage 2021-04-20T08:21:21.000Z</t>
  </si>
  <si>
    <t>Lightweight Alarm Clock</t>
  </si>
  <si>
    <t>Open New Tab After Current Tab 2024-01-17T13:54:24.000Z</t>
  </si>
  <si>
    <t>Stock Chart 2018-10-02T03:40:39.000Z</t>
  </si>
  <si>
    <t>Bookmarks by date 2016-11-17T22:06:04.000Z</t>
  </si>
  <si>
    <t>Step Tracker 2022-01-13T05:11:58.000Z</t>
  </si>
  <si>
    <t>udata - data visualization plugin 2024-09-09T10:02:10.000Z</t>
  </si>
  <si>
    <t>Vip Crack 2021-07-29T12:14:18.000Z</t>
  </si>
  <si>
    <t>MixrElixr 2020-06-05T05:09:36.000Z</t>
  </si>
  <si>
    <t>Sims 4 MM addon 2020-11-07T10:18:11.000Z</t>
  </si>
  <si>
    <t>PoD(Simplest Website Blocker</t>
  </si>
  <si>
    <t>VietHome - Trang Tab Mới tuyệt vời 2017-11-20T03:08:23.000Z</t>
  </si>
  <si>
    <t>Daily Motivation 2017-06-21T01:54:37.000Z</t>
  </si>
  <si>
    <t>RedOrbit HbbTV Emulator 2022-08-10T11:30:09.000Z</t>
  </si>
  <si>
    <t>Nopad 2018-01-13T02:32:19.000Z</t>
  </si>
  <si>
    <t>Bandwidth Hero - Live Image Compression 2019-08-25T05:15:46.000Z</t>
  </si>
  <si>
    <t>PageRank Display 2013-06-19T11:56:06.000Z</t>
  </si>
  <si>
    <t>Falcon 2019-03-08T17:07:33.000Z</t>
  </si>
  <si>
    <t>Announcify 2015-11-08T14:24:41.000Z</t>
  </si>
  <si>
    <t>Better Group Tabs 2021-06-24T03:47:12.000Z</t>
  </si>
  <si>
    <t>Font Picker 2021-08-26T05:18:38.000Z</t>
  </si>
  <si>
    <t>Unseenly 2019-02-07T08:39:01.000Z</t>
  </si>
  <si>
    <t>Chronicle for YouTube 2021-01-10T08:17:47.000Z</t>
  </si>
  <si>
    <t>Такском Выпуск сертификатов 2015-10-02T05:16:47.000Z</t>
  </si>
  <si>
    <t>App for IW 2020-05-02T09:03:14.000Z</t>
  </si>
  <si>
    <t>Multi Highlight 2019-05-23T08:02:53.000Z</t>
  </si>
  <si>
    <t>Disable Ynet auto refresh 2015-07-19T22:14:58.000Z</t>
  </si>
  <si>
    <t>Your YouTube Views 2013-04-26T02:36:38.000Z</t>
  </si>
  <si>
    <t>hipda helper 2022-06-14T06:32:09.000Z</t>
  </si>
  <si>
    <t>Bookmarked tabs to the front 2021-06-07T07:28:42.000Z</t>
  </si>
  <si>
    <t>Timewarp 2020-02-03T19:12:47.000Z</t>
  </si>
  <si>
    <t>Ophirofox 2024-05-14T09:34:25.000Z</t>
  </si>
  <si>
    <t>CFCA CryptoKit.PLA Extension 2019-11-12T05:38:05.000Z</t>
  </si>
  <si>
    <t>ExVTOP (Extended VTOP) 2022-10-30T11:10:55.000Z</t>
  </si>
  <si>
    <t>Code Injector 2020-02-06T15:41:04.000Z</t>
  </si>
  <si>
    <t>GitHub Hovercard 2021-05-13T06:14:53.000Z</t>
  </si>
  <si>
    <t>Guillotined Chemist's Handbook 2020-05-06T23:48:29.000Z</t>
  </si>
  <si>
    <t>Monaco Markdown Editor For GitHub 2022-11-09T22:42:32.000Z</t>
  </si>
  <si>
    <t>Pragma Header 2013-11-05T14:47:31.000Z</t>
  </si>
  <si>
    <t>FormGet - Online Contact Form Builder 2013-10-23T11:01:33.000Z</t>
  </si>
  <si>
    <t>Easy Account Switcher for Google</t>
  </si>
  <si>
    <t>AppLauncher 2013-03-29T13:27:16.000Z</t>
  </si>
  <si>
    <t>Super timer 2013-02-21T12:13:44.000Z</t>
  </si>
  <si>
    <t>Share to Teams 2020-05-25T07:19:43.000Z</t>
  </si>
  <si>
    <t>Window Sticker Lookup 2019-05-03T08:03:18.000Z</t>
  </si>
  <si>
    <t>Turntable.fm Extended 2024-01-06T05:52:04.000Z</t>
  </si>
  <si>
    <t>Image Background Color Picker 2023-06-26T10:46:58.000Z</t>
  </si>
  <si>
    <t>Google Old Results 2020-10-13T04:22:31.000Z</t>
  </si>
  <si>
    <t>Pixels to me - 500px - Instagram - Flickr 2019-10-18T19:20:15.000Z</t>
  </si>
  <si>
    <t>Easy Crop - Crop the web 2020-01-12T16:39:47.000Z</t>
  </si>
  <si>
    <t>Todo.txt for Chrome - simple task management 2023-03-27T09:24:40.000Z</t>
  </si>
  <si>
    <t>店侦探&amp;看店宝-淘宝卖家数据分析工具 2023-06-03T07:23:26.000Z</t>
  </si>
  <si>
    <t>SSL Grade 2019-10-22T16:04:47.000Z</t>
  </si>
  <si>
    <t>Desk Yogi Reminder 2016-04-27T08:25:14.000Z</t>
  </si>
  <si>
    <t>Salesforce Credentials 2020-05-05T19:56:32.000Z</t>
  </si>
  <si>
    <t>Sudoku 2020-10-27T08:51:49.000Z</t>
  </si>
  <si>
    <t>Рамблер/погода 2018-07-16T13:27:07.000Z</t>
  </si>
  <si>
    <t>Jot 2014-10-04T02:33:15.000Z</t>
  </si>
  <si>
    <t>Twitch Clip Downloader 2020 2020-05-06T15:55:47.000Z</t>
  </si>
  <si>
    <t>ShoutMatch 2023-03-24T00:33:13.000Z</t>
  </si>
  <si>
    <t>TezBox - Tezos Wallet 2019-10-18T22:55:27.000Z</t>
  </si>
  <si>
    <t>Bookmark Pro 2020-06-15T05:01:36.000Z</t>
  </si>
  <si>
    <t>Sun Tabs 2022-11-20T04:02:29.000Z</t>
  </si>
  <si>
    <t>timimi 2020-05-01T21:33:08.000Z</t>
  </si>
  <si>
    <t>Pricely 2022-03-02T12:48:19.000Z</t>
  </si>
  <si>
    <t>UACH SEGA Average 2017-07-03T19:06:48.000Z</t>
  </si>
  <si>
    <t>FPTraffic 2016-12-09T02:19:04.000Z</t>
  </si>
  <si>
    <t>Панель Яндекс-Сервисов 2016-06-24T05:08:26.000Z</t>
  </si>
  <si>
    <t>速卖通长尾关键词采集 2023-11-18T10:15:17.000Z</t>
  </si>
  <si>
    <t>Vouch 2017-11-01T03:57:20.000Z</t>
  </si>
  <si>
    <t>Omnibox App Launcher 2017-02-21T15:53:29.000Z</t>
  </si>
  <si>
    <t>Search Best Sellers 2020-01-31T19:43:53.000Z</t>
  </si>
  <si>
    <t>Jenkins Notifier for Chrome™ 2015-07-11T07:54:42.000Z</t>
  </si>
  <si>
    <t>Dark New Tab 2021-02-15T04:40:41.000Z</t>
  </si>
  <si>
    <t>Where's My Video 2020-03-31T12:52:19.000Z</t>
  </si>
  <si>
    <t>Erica Synths Pico Drum Programmer 2019-05-25T17:55:44.000Z</t>
  </si>
  <si>
    <t>Chrome JS Error Icon 2020-02-14T18:06:10.000Z</t>
  </si>
  <si>
    <t>CHIẾT KHẤU 2022-04-28T09:46:50.000Z</t>
  </si>
  <si>
    <t>HackerRank Codepair 2019-01-22T13:43:45.000Z</t>
  </si>
  <si>
    <t>hckr news 2020-01-07T22:08:51.000Z</t>
  </si>
  <si>
    <t>Otkritkiok.ru 2019-10-10T04:47:01.000Z</t>
  </si>
  <si>
    <t>Coordinates Extractor 2021-11-16T11:08:55.000Z</t>
  </si>
  <si>
    <t>Salesforce Mass Editor 2022-11-13T10:35:01.000Z</t>
  </si>
  <si>
    <t>Breef for Gmail™ 2023-02-15T03:03:29.000Z</t>
  </si>
  <si>
    <t>Planner - Dark Mode 2021-03-09T06:30:11.000Z</t>
  </si>
  <si>
    <t>Corrupt-a-File.net 2015-06-16T20:52:51.000Z</t>
  </si>
  <si>
    <t>用GetBy.Download離線下載磁力鏈接 2021-02-11T11:29:12.000Z</t>
  </si>
  <si>
    <t>افزونه بورس سهمتو | Sahmeto 2021-12-30T05:46:44.000Z</t>
  </si>
  <si>
    <t>网页编码修改（Charset） 2020-04-22T11:39:25.000Z</t>
  </si>
  <si>
    <t>ft_logtime 2021-01-02T05:34:43.000Z</t>
  </si>
  <si>
    <t>Sparkles 2020-03-11T08:16:28.000Z</t>
  </si>
  <si>
    <t>Photo Paint Instant 2017-06-23T18:24:59.000Z</t>
  </si>
  <si>
    <t>Quickline Chrome Plugin 2019-10-10T18:03:46.000Z</t>
  </si>
  <si>
    <t>品聘插件 2025-01-07T12:38:01.000Z</t>
  </si>
  <si>
    <t>LiveTags in every eMail 2015-05-07T03:33:24.000Z</t>
  </si>
  <si>
    <t>Hover and Copy 2020-02-05T10:44:24.000Z</t>
  </si>
  <si>
    <t>Salesforce Searchbox 2014-09-22T12:21:19.000Z</t>
  </si>
  <si>
    <t>Rubrik API Code Capture 2020-06-09T17:02:10.000Z</t>
  </si>
  <si>
    <t>QuickSearch - חיפוש בטוח 2022-11-02T12:38:55.000Z</t>
  </si>
  <si>
    <t>Project Free TV Ad Bypass 2023-04-28T10:25:05.000Z</t>
  </si>
  <si>
    <t>Neopets mail enhancer 2024-07-13T02:41:21.000Z</t>
  </si>
  <si>
    <t>Media Player for YouTube™ 2017-01-01T11:43:06.000Z</t>
  </si>
  <si>
    <t>Ninja: Hide / Blur Windows &amp; Tabs 2019-02-12T16:03:53.000Z</t>
  </si>
  <si>
    <t>Durak - the card game 2013-02-10T07:07:27.000Z</t>
  </si>
  <si>
    <t>Selection Search for Google Chrome™ 2023-10-29T11:29:59.000Z</t>
  </si>
  <si>
    <t>CaptainA.co Helper Extension for AMAZON 2022-12-15T13:28:27.000Z</t>
  </si>
  <si>
    <t>Taqyeem 2018-12-10T14:07:08.000Z</t>
  </si>
  <si>
    <t>Fluig Identity 2020-07-03T08:23:14.000Z</t>
  </si>
  <si>
    <t>Polygon Gas Station 2021-07-05T07:14:17.000Z</t>
  </si>
  <si>
    <t>Über simple bookmark count 2014-02-17T17:36:47.000Z</t>
  </si>
  <si>
    <t>G RTF: Plain to Rich Text 2021-08-22T11:44:26.000Z</t>
  </si>
  <si>
    <t>Programmer Dvorak 2014-08-04T05:21:58.000Z</t>
  </si>
  <si>
    <t>Nitter Redirect 2020-07-27T01:22:35.000Z</t>
  </si>
  <si>
    <t>TurboMeet - Turbocharge your Google Meet 2020-08-18T08:38:55.000Z</t>
  </si>
  <si>
    <t>Acer VR Utility for WebVR (experimental) 2019-04-29T03:20:32.000Z</t>
  </si>
  <si>
    <t>2048 Multiplayer (beta) 2022-06-10T20:41:26.000Z</t>
  </si>
  <si>
    <t>AutEM Exportador V2.0 2018-11-09T08:31:58.000Z</t>
  </si>
  <si>
    <t>Roll20: Click &amp; Roll 2020-06-05T02:58:12.000Z</t>
  </si>
  <si>
    <t>retire.js 2023-09-21T09:30:30.000Z</t>
  </si>
  <si>
    <t>DLNA device inspector 2013-08-21T08:55:08.000Z</t>
  </si>
  <si>
    <t>Zendesk Quicktab 2020-11-06T06:38:23.000Z</t>
  </si>
  <si>
    <t>Google Wallpaper Art 2020-05-11T15:43:14.000Z</t>
  </si>
  <si>
    <t>Auto WhatsApp Translator 2021-05-20T05:50:11.000Z</t>
  </si>
  <si>
    <t>Time Tracker 2016-10-29T21:24:08.000Z</t>
  </si>
  <si>
    <t>Readr for Reddit 2017-06-06T17:19:08.000Z</t>
  </si>
  <si>
    <t>Project Naptha 2020-05-09T04:44:35.000Z</t>
  </si>
  <si>
    <t>JSON to CSV 2014-02-26T12:44:10.000Z</t>
  </si>
  <si>
    <t>Estatics Extension 2022-09-12T05:19:43.000Z</t>
  </si>
  <si>
    <t>Reward eShop plug-in 2020-05-19T06:48:27.000Z</t>
  </si>
  <si>
    <t>Funnel Search 2020-11-02T12:46:50.000Z</t>
  </si>
  <si>
    <t>The Ending of Evangelion 2024-06-25T05:01:02.000Z</t>
  </si>
  <si>
    <t>Instashare 2019-03-07T05:04:56.000Z</t>
  </si>
  <si>
    <t>Selenium IDE 2021-12-08T04:50:34.000Z</t>
  </si>
  <si>
    <t>Dragon Ball Super Clip Tab 2018-02-19T07:54:59.000Z</t>
  </si>
  <si>
    <t>Sheen 2016-11-27T01:22:31.000Z</t>
  </si>
  <si>
    <t>Steam All Region Price Checker 2020-10-05T10:02:21.000Z</t>
  </si>
  <si>
    <t>SAML Message Decoder 2017-11-28T17:58:50.000Z</t>
  </si>
  <si>
    <t>Etsy Heart Exchanger 2024-12-20T08:12:31.000Z</t>
  </si>
  <si>
    <t>Anki-leo - LinguaLeo dictionary export 2023-03-10T13:51:36.000Z</t>
  </si>
  <si>
    <t>Divider Tabs 2018-06-28T16:13:46.000Z</t>
  </si>
  <si>
    <t>SendPulse Gmail Extension 2019-08-30T16:27:47.000Z</t>
  </si>
  <si>
    <t>Stocks House 2021-09-27T07:12:25.000Z</t>
  </si>
  <si>
    <t>Who Is Hosting? by HostAdvice.com 2015-02-09T11:00:41.000Z</t>
  </si>
  <si>
    <t>NZB Unity 2024-10-12T22:13:03.000Z</t>
  </si>
  <si>
    <t>詐騙網站及內容農場評價系統 2021-01-12T13:10:48.000Z</t>
  </si>
  <si>
    <t>Hotstar Party 2021-08-16T14:09:18.000Z</t>
  </si>
  <si>
    <t>Drive Direct Download 2022-08-02T04:43:52.000Z</t>
  </si>
  <si>
    <t>TrackOFF 2019-02-28T18:15:11.000Z</t>
  </si>
  <si>
    <t>Deep Freeze MDM 2018-06-30T03:11:00.000Z</t>
  </si>
  <si>
    <t>Anylink - linkify/highlight any text anywhere 2020-04-28T05:43:18.000Z</t>
  </si>
  <si>
    <t>Tuya 2015-05-03T12:28:17.000Z</t>
  </si>
  <si>
    <t>Prestashop Dropshipping Aliexpress 2022-06-21T12:05:38.000Z</t>
  </si>
  <si>
    <t>Pinboard Plus 2023-04-01T06:25:05.000Z</t>
  </si>
  <si>
    <t>CoinEater 2019-04-02T12:29:50.000Z</t>
  </si>
  <si>
    <t>Screensy - screen recording 2021-11-23T12:04:23.000Z</t>
  </si>
  <si>
    <t>eScanner 2014-12-17T21:01:09.000Z</t>
  </si>
  <si>
    <t>Diablo III Server Status 2013-01-07T19:18:55.000Z</t>
  </si>
  <si>
    <t>Discord Profile Pic Preview 2021-12-20T19:29:21.000Z</t>
  </si>
  <si>
    <t>loop 2017-12-01T02:47:02.000Z</t>
  </si>
  <si>
    <t>YouTube TV Volume control 2020-12-28T08:13:42.000Z</t>
  </si>
  <si>
    <t>Who's Calling 2023-02-15T12:44:44.000Z</t>
  </si>
  <si>
    <t>TCS Webmail 2019-05-23T05:42:33.000Z</t>
  </si>
  <si>
    <t>Pitch shifter - HTML5 Video audio FX 2021-02-07T08:15:21.000Z</t>
  </si>
  <si>
    <t>Ncage 2020-03-03T12:32:12.000Z</t>
  </si>
  <si>
    <t>Cute Cat &amp; Kitten Cursor 2021-07-11T13:03:35.000Z</t>
  </si>
  <si>
    <t>Right click search in Target 2012-06-27T07:56:58.000Z</t>
  </si>
  <si>
    <t>Video Deck for YouTube™ 2017-04-08T10:31:14.000Z</t>
  </si>
  <si>
    <t>Alipay | Aliexpress paypal checker 2023-01-09T04:47:01.000Z</t>
  </si>
  <si>
    <t>GetFreshOffers - Save money everyday! 2019-03-08T17:11:17.000Z</t>
  </si>
  <si>
    <t>Meet Party 2020-07-09T12:14:06.000Z</t>
  </si>
  <si>
    <t>Baseflight - Configurator 2015-10-13T15:37:00.000Z</t>
  </si>
  <si>
    <t>Hangremote 2019-05-28T05:25:06.000Z</t>
  </si>
  <si>
    <t>Google with Favicons 2014-11-03T15:15:05.000Z</t>
  </si>
  <si>
    <t>Iron Updater 2016-12-06T15:24:06.000Z</t>
  </si>
  <si>
    <t>SeasonVar 2018-07-13T14:22:15.000Z</t>
  </si>
  <si>
    <t>Intercom Chrome Extension 2018-10-07T12:09:08.000Z</t>
  </si>
  <si>
    <t>Backstay 2015-10-01T10:11:34.000Z</t>
  </si>
  <si>
    <t>PDF Viewer for Vimium C 2022-08-09T07:06:03.000Z</t>
  </si>
  <si>
    <t>Web Highlight 2021-03-25T10:10:08.000Z</t>
  </si>
  <si>
    <t>postMessage Developer Tools 2020-09-14T05:34:59.000Z</t>
  </si>
  <si>
    <t>Dad Jokes New Tab 2020-06-05T04:18:19.000Z</t>
  </si>
  <si>
    <t>Blue Prism Browser Extension 2022-12-07T06:17:17.000Z</t>
  </si>
  <si>
    <t>E21Web Shortcut Manager 2021-04-15T04:01:44.000Z</t>
  </si>
  <si>
    <t>View Image 2022-08-01T06:23:58.000Z</t>
  </si>
  <si>
    <t>FilterBypass 2022-05-12T05:07:39.000Z</t>
  </si>
  <si>
    <t>Αναζήτηση στο Skroutz 2014-10-21T17:36:33.000Z</t>
  </si>
  <si>
    <t>Browserpass 2024-12-17T17:42:03.000Z</t>
  </si>
  <si>
    <t>Songrium Extension: 音楽視聴支援用ニコ動・YouTube拡張ツール 2015-11-19T07:29:23.000Z</t>
  </si>
  <si>
    <t>CFCA CryptoKit.CRBank Extension 2021-02-07T06:09:24.000Z</t>
  </si>
  <si>
    <t>Simple Bookmarks 2016-08-01T12:42:37.000Z</t>
  </si>
  <si>
    <t>Read Mode 2012-09-25T01:19:41.000Z</t>
  </si>
  <si>
    <t>Code Compiler Editor 2020-01-06T02:43:06.000Z</t>
  </si>
  <si>
    <t>Selective Cookie Remover 2015-04-09T20:53:45.000Z</t>
  </si>
  <si>
    <t>Chrome Bookmark Search 2019-02-08T14:42:15.000Z</t>
  </si>
  <si>
    <t>Bookmark 2015-07-25T05:39:04.000Z</t>
  </si>
  <si>
    <t>Mirinae for Chrome 2021-09-02T06:22:57.000Z</t>
  </si>
  <si>
    <t>CP Calendar 2024-07-03T11:44:19.000Z</t>
  </si>
  <si>
    <t>Rick Roll Detector 2016-06-30T07:43:38.000Z</t>
  </si>
  <si>
    <t>北汽财务网银签名控件 2020-04-28T05:25:55.000Z</t>
  </si>
  <si>
    <t>UET Tag Helper (by Microsoft Advertising) 2024-12-16T13:00:43.000Z</t>
  </si>
  <si>
    <t>Word Counter 2022-03-01T12:12:21.000Z</t>
  </si>
  <si>
    <t>ROBLOX Upload Enhancer 2018-10-31T10:48:27.000Z</t>
  </si>
  <si>
    <t>Nureva Screen Share 2019-01-02T22:39:33.000Z</t>
  </si>
  <si>
    <t>KuCoin:Bitcoin</t>
  </si>
  <si>
    <t>Read to me 2020-04-24T00:03:11.000Z</t>
  </si>
  <si>
    <t>百度一下，你就知道 2021-07-12T11:51:08.000Z</t>
  </si>
  <si>
    <t>Github Toc 2014-10-03T09:09:28.000Z</t>
  </si>
  <si>
    <t>Simple Print 2018-09-04T21:03:54.000Z</t>
  </si>
  <si>
    <t>PoE Wiki Search 2021-09-16T06:46:52.000Z</t>
  </si>
  <si>
    <t>Кто писал в сообщество 2017-07-18T16:35:04.000Z</t>
  </si>
  <si>
    <t>cTouch r5 (true) 2017-06-11T23:07:51.000Z</t>
  </si>
  <si>
    <t>TumTaster 2019-09-17T05:51:44.000Z</t>
  </si>
  <si>
    <t>Blank New Tab Page 2024-01-11T04:51:32.000Z</t>
  </si>
  <si>
    <t>Tab Ahead 2020-10-13T04:14:28.000Z</t>
  </si>
  <si>
    <t>iconfont-helper 2019-03-14T13:33:10.000Z</t>
  </si>
  <si>
    <t>1Command 2020-04-04T03:30:23.000Z</t>
  </si>
  <si>
    <t>Open Last Tab 2019-02-26T06:02:17.000Z</t>
  </si>
  <si>
    <t>Prioritab 2017-05-06T21:08:36.000Z</t>
  </si>
  <si>
    <t>Juice - Amazon Coupons Finder 2022-12-05T12:51:20.000Z</t>
  </si>
  <si>
    <t>Quotes 2018-01-15T05:55:05.000Z</t>
  </si>
  <si>
    <t>UiBot Native Message Plugin 2020-08-15T06:24:00.000Z</t>
  </si>
  <si>
    <t>SSL Checker 2018-04-16T08:30:22.000Z</t>
  </si>
  <si>
    <t>Megogo 2013-08-12T11:08:27.000Z</t>
  </si>
  <si>
    <t>Bonzo Presenter 2023-03-01T11:08:33.000Z</t>
  </si>
  <si>
    <t>ChromeReloadPlus 2022-02-19T07:54:48.000Z</t>
  </si>
  <si>
    <t>Share to WhatsApp 2019-01-13T13:10:40.000Z</t>
  </si>
  <si>
    <t>Daily Chess Puzzle 2022-05-04T09:35:06.000Z</t>
  </si>
  <si>
    <t>#wrap 2018-04-23T23:21:31.000Z</t>
  </si>
  <si>
    <t>Alternative greek keyboard layouts 2021-03-15T06:34:47.000Z</t>
  </si>
  <si>
    <t>Dot Lang Viewer 2016-02-26T15:48:43.000Z</t>
  </si>
  <si>
    <t>Saka 2021-03-23T09:09:56.000Z</t>
  </si>
  <si>
    <t>Full page screen capture 2022-02-28T10:30:07.000Z</t>
  </si>
  <si>
    <t>QNB eFinans İmza İşlemleri Yardımcı Eklentisi 2023-03-29T12:25:33.000Z</t>
  </si>
  <si>
    <t>Cloud9 2016-03-18T14:17:34.000Z</t>
  </si>
  <si>
    <t>Netflix Multi-Subtitles 2020-10-03T09:59:23.000Z</t>
  </si>
  <si>
    <t>Vocabulary Builder 2016-09-08T16:09:13.000Z</t>
  </si>
  <si>
    <t>Tech Tracker 2020-05-04T10:55:24.000Z</t>
  </si>
  <si>
    <t>Tab Copy/Paste 2015-02-21T18:24:07.000Z</t>
  </si>
  <si>
    <t>Trading Verifier 2018-03-11T00:44:31.000Z</t>
  </si>
  <si>
    <t>AI-Proctor-Moodle 2021-09-18T13:23:13.000Z</t>
  </si>
  <si>
    <t>Foxish live RSS 2023-10-05T09:33:52.000Z</t>
  </si>
  <si>
    <t>Django Debug Panel 2015-09-09T00:31:51.000Z</t>
  </si>
  <si>
    <t>Password Manager Authenticator 2022-01-17T10:45:34.000Z</t>
  </si>
  <si>
    <t>GitHub Issue Link Status 2024-06-30T03:31:56.000Z</t>
  </si>
  <si>
    <t>Book Covid-19 Vaccination Slots. 2021-06-08T07:06:50.000Z</t>
  </si>
  <si>
    <t>Webpad 2019-03-08T17:12:00.000Z</t>
  </si>
  <si>
    <t>Tealium Event Tracker 2023-07-10T07:46:21.000Z</t>
  </si>
  <si>
    <t>TreenoConnect 2016-12-19T17:41:55.000Z</t>
  </si>
  <si>
    <t>Hawaiian Keyboard 2020-09-15T04:03:13.000Z</t>
  </si>
  <si>
    <t>Homework Tracker 2017-04-21T13:46:24.000Z</t>
  </si>
  <si>
    <t>Cloud Vision 2016-03-25T18:28:08.000Z</t>
  </si>
  <si>
    <t>Translation Disabler for eBay 2015-08-05T15:23:09.000Z</t>
  </si>
  <si>
    <t>The Coupons App® 2024-02-05T11:28:49.000Z</t>
  </si>
  <si>
    <t>Amazon Price Tracker - Pricepulse 2020-11-13T23:11:34.000Z</t>
  </si>
  <si>
    <t>job hunt 2016-10-14T15:33:28.000Z</t>
  </si>
  <si>
    <t>SendWin 2023-02-09T07:23:41.000Z</t>
  </si>
  <si>
    <t>节假日日历 2022-12-09T06:16:34.000Z</t>
  </si>
  <si>
    <t>WikiTree Tools 2014-12-05T01:12:36.000Z</t>
  </si>
  <si>
    <t>Yumprint 2015-02-06T18:51:21.000Z</t>
  </si>
  <si>
    <t>CoinDetector Crypto price and volume scanner 2021-09-16T13:09:43.000Z</t>
  </si>
  <si>
    <t>GameEnable - Designed for Stadia™ &amp; xCloud™ 2021-10-10T08:08:12.000Z</t>
  </si>
  <si>
    <t>DNS Flusher 2017-09-19T08:48:37.000Z</t>
  </si>
  <si>
    <t>Self Control 2024-12-21T23:16:37.000Z</t>
  </si>
  <si>
    <t>YouTube Background Ad Skip Extension 2018-06-20T16:27:10.000Z</t>
  </si>
  <si>
    <t>Countdown Killer 2016-07-24T01:35:56.000Z</t>
  </si>
  <si>
    <t>Download 2015-07-13T00:56:43.000Z</t>
  </si>
  <si>
    <t>Reading Time 2018-02-20T22:38:11.000Z</t>
  </si>
  <si>
    <t>Shazify 2021-11-26T09:46:38.000Z</t>
  </si>
  <si>
    <t>Code Coverage Calculator 2022-06-29T09:37:21.000Z</t>
  </si>
  <si>
    <t>Meet view all 2021-03-06T15:45:47.000Z</t>
  </si>
  <si>
    <t>Google Meet Controls 2020-02-06T12:28:55.000Z</t>
  </si>
  <si>
    <t>WooCommerce Dropshipping Assistant 2022-09-02T16:02:55.000Z</t>
  </si>
  <si>
    <t>Relay Developer Tools 2021-08-03T23:32:09.000Z</t>
  </si>
  <si>
    <t>ColorHexa 2015-09-06T15:51:29.000Z</t>
  </si>
  <si>
    <t>co-trans-ext 翻译工具 2019-11-11T03:43:18.000Z</t>
  </si>
  <si>
    <t>DRIP 2022-08-31T07:27:52.000Z</t>
  </si>
  <si>
    <t>Smart Header 2016-04-04T17:06:46.000Z</t>
  </si>
  <si>
    <t>Displate Fullscreen Viewer 2022-10-11T10:09:49.000Z</t>
  </si>
  <si>
    <t>Bookmarks 2016-12-17T12:40:28.000Z</t>
  </si>
  <si>
    <t>Word Highlighter 2016-11-27T22:01:56.000Z</t>
  </si>
  <si>
    <t>International Keepa Charts 2020-11-21T07:23:40.000Z</t>
  </si>
  <si>
    <t>scrible 2016-04-14T03:32:23.000Z</t>
  </si>
  <si>
    <t>Font Identifier by WhatFontIs 2022-11-15T06:31:41.000Z</t>
  </si>
  <si>
    <t>Wikispy Ad Finder Spy Tool 2021-10-17T09:49:25.000Z</t>
  </si>
  <si>
    <t>Simple Dic (Instant Dictionary) 2013-10-29T01:10:04.000Z</t>
  </si>
  <si>
    <t>Twitter Interactions 2019-08-11T18:17:36.000Z</t>
  </si>
  <si>
    <t>Homestuck Notifier 2020-05-06T21:16:32.000Z</t>
  </si>
  <si>
    <t>Unblocker for BBC iPlayer 2022-01-20T11:12:47.000Z</t>
  </si>
  <si>
    <t>World of Tanks Wallpapers | New Tab Theme 2021-05-22T10:30:22.000Z</t>
  </si>
  <si>
    <t>[FNF] Friday Night Funkin' Songs 2021-05-15T12:47:39.000Z</t>
  </si>
  <si>
    <t>GP - LinkedIn &amp; Facebook Groups Auto Poster 2024-07-18T12:37:58.000Z</t>
  </si>
  <si>
    <t>Unblock Everything 2016-09-25T02:49:30.000Z</t>
  </si>
  <si>
    <t>AI-Powered Text Insights 2021-02-17T15:44:10.000Z</t>
  </si>
  <si>
    <t>flounder 2017-04-01T18:07:31.000Z</t>
  </si>
  <si>
    <t>Diablo 3 profile + 2014-05-27T01:40:46.000Z</t>
  </si>
  <si>
    <t>Better Battlelog Fix(BBLog) 2020-05-01T18:12:05.000Z</t>
  </si>
  <si>
    <t>tinyurl 2013-06-23T20:41:54.000Z</t>
  </si>
  <si>
    <t>Do Not Disturb 2013-07-28T14:59:35.000Z</t>
  </si>
  <si>
    <t>Open-as-Popup 2018-04-05T14:35:16.000Z</t>
  </si>
  <si>
    <t>Pin Them All 2015-03-13T15:32:34.000Z</t>
  </si>
  <si>
    <t>Betting Calculator 2021-07-07T04:09:18.000Z</t>
  </si>
  <si>
    <t>Roblox Trade Bot Defender 2022-07-27T23:25:37.000Z</t>
  </si>
  <si>
    <t>Add Watermark to Photos in Google Chrome™ 2022-04-27T10:29:33.000Z</t>
  </si>
  <si>
    <t>Flipper 2019-02-23T08:02:49.000Z</t>
  </si>
  <si>
    <t>EachWord Translator - expand your vocabulary 2023-10-11T10:08:12.000Z</t>
  </si>
  <si>
    <t>Hurry home &amp; 下班回家 2020-07-28T05:56:06.000Z</t>
  </si>
  <si>
    <t>脚本猫 2024-10-25T11:43:55.000Z</t>
  </si>
  <si>
    <t>YOURLS 2021-03-08T08:15:48.000Z</t>
  </si>
  <si>
    <t>Extension Manager 2021-04-15T14:06:51.000Z</t>
  </si>
  <si>
    <t>FinEye 2020-04-22T16:35:54.000Z</t>
  </si>
  <si>
    <t>Northguard Security 2020-05-20T12:59:46.000Z</t>
  </si>
  <si>
    <t>Unfriend Checker 2021-06-10T10:57:54.000Z</t>
  </si>
  <si>
    <t>SmarterTour 2019-10-10T12:01:09.000Z</t>
  </si>
  <si>
    <t>RankNFT.io - NFT ranks and rarity score 2024-03-25T20:54:12.000Z</t>
  </si>
  <si>
    <t>Chrome MySQL Admin 2021-11-23T07:27:54.000Z</t>
  </si>
  <si>
    <t>Puresolid IDE 2019-03-08T17:13:11.000Z</t>
  </si>
  <si>
    <t>YouTube Suggested Video SEO (Get More Views) 2022-01-30T04:54:38.000Z</t>
  </si>
  <si>
    <t>Amz superman seller tool 2021-05-20T07:35:53.000Z</t>
  </si>
  <si>
    <t>Add URL To Window Title 2019-02-22T08:03:23.000Z</t>
  </si>
  <si>
    <t>离线英汉词典 2018-11-02T23:25:50.000Z</t>
  </si>
  <si>
    <t>Fix Chrome middle click behavior 2013-12-20T01:30:57.000Z</t>
  </si>
  <si>
    <t>JS Digger 2021-01-13T08:12:01.000Z</t>
  </si>
  <si>
    <t>UPCZilla Search 2019-11-06T11:23:35.000Z</t>
  </si>
  <si>
    <t>CFCA CryptoKit.BDBank Extension 2021-08-01T12:19:56.000Z</t>
  </si>
  <si>
    <t>Rainbow Cursor for Google Docs 2020-01-13T22:44:47.000Z</t>
  </si>
  <si>
    <t>Cyberian Paste Pro 2020-07-04T10:19:10.000Z</t>
  </si>
  <si>
    <t>WaspLine Reader 2019-08-12T08:02:19.000Z</t>
  </si>
  <si>
    <t>Usability Hike: Find usability problems 2019-02-04T16:55:02.000Z</t>
  </si>
  <si>
    <t>Prayer Times 2019-04-07T21:49:42.000Z</t>
  </si>
  <si>
    <t>Button: Downloads 2017-06-13T10:23:16.000Z</t>
  </si>
  <si>
    <t>Advanced search on selected text 2013-09-02T11:48:08.000Z</t>
  </si>
  <si>
    <t>Google Tasks Fork 2015-02-18T21:09:01.000Z</t>
  </si>
  <si>
    <t>Open IE 2015-09-19T14:16:20.000Z</t>
  </si>
  <si>
    <t>Ryte structured data helper 2020-08-27T13:47:58.000Z</t>
  </si>
  <si>
    <t>ganesh 2015-05-13T08:37:41.000Z</t>
  </si>
  <si>
    <t>Công Cụ Đặt Hàng - TaoBaoDaNang.Com 2020-06-06T09:49:21.000Z</t>
  </si>
  <si>
    <t>AdSaver 2022-09-23T09:36:38.000Z</t>
  </si>
  <si>
    <t>Coupon Cat 2021-11-16T07:24:13.000Z</t>
  </si>
  <si>
    <t>YouTube Anti Translate 2024-06-30T09:04:37.000Z</t>
  </si>
  <si>
    <t>YouTube Distraction Remover 2016-10-14T20:24:03.000Z</t>
  </si>
  <si>
    <t>GitHub Wiki Search 2021-11-07T16:19:58.000Z</t>
  </si>
  <si>
    <t>Chrome Extension for guiyitongdao.com 2021-06-07T05:51:28.000Z</t>
  </si>
  <si>
    <t>每日限免精选 2019-01-27T06:36:11.000Z</t>
  </si>
  <si>
    <t>MesssengerPlus Old Version Archive 2019-08-15T19:11:12.000Z</t>
  </si>
  <si>
    <t>Google Voice Paginated Texts 2015-06-16T13:30:16.000Z</t>
  </si>
  <si>
    <t>Pagezii SEO + AdWords 2019-03-21T05:24:53.000Z</t>
  </si>
  <si>
    <t>Four in a Row (Connect 4) 2022-01-09T15:11:43.000Z</t>
  </si>
  <si>
    <t>SERPTrends SEO Extension 2021-07-01T13:56:20.000Z</t>
  </si>
  <si>
    <t>Minimal Consent 2020-06-07T11:17:14.000Z</t>
  </si>
  <si>
    <t>QuickText 2020-05-04T12:19:25.000Z</t>
  </si>
  <si>
    <t>Pricemetry - Premier sur les réductions 2014-09-18T09:11:04.000Z</t>
  </si>
  <si>
    <t>cnki 科研助手 2021-03-17T10:11:42.000Z</t>
  </si>
  <si>
    <t>Simple ChordPro 2019-07-26T04:38:52.000Z</t>
  </si>
  <si>
    <t>Streetview Screenshot 2020-08-14T12:20:58.000Z</t>
  </si>
  <si>
    <t>TorrentCloud torrent Upload 2016-04-19T08:44:54.000Z</t>
  </si>
  <si>
    <t>Okko Party 2020-12-07T11:41:41.000Z</t>
  </si>
  <si>
    <t>Summarizer 2013-07-27T05:06:37.000Z</t>
  </si>
  <si>
    <t>InterLogistic Tool 2023-03-06T13:49:15.000Z</t>
  </si>
  <si>
    <t>Dual Webpage Viewer 2014-10-13T21:04:23.000Z</t>
  </si>
  <si>
    <t>Linkseller - CRM em seu WA 2024-11-18T18:30:24.000Z</t>
  </si>
  <si>
    <t>KinoTracker 2016-10-29T18:53:18.000Z</t>
  </si>
  <si>
    <t>Little-Dictionary 小字典 2017-02-08T09:25:58.000Z</t>
  </si>
  <si>
    <t>Kahoot</t>
  </si>
  <si>
    <t>URL Alias 2015-08-27T06:19:29.000Z</t>
  </si>
  <si>
    <t>Musica 2014-11-11T11:22:10.000Z</t>
  </si>
  <si>
    <t>join.me for Google Calendar 2020-10-14T08:38:37.000Z</t>
  </si>
  <si>
    <t>Razer Keyboard Audio Visualizer 2019-06-25T06:49:12.000Z</t>
  </si>
  <si>
    <t>Enable Right Click 2015-02-02T14:49:53.000Z</t>
  </si>
  <si>
    <t>Workspace Launcher 2017-02-27T23:03:04.000Z</t>
  </si>
  <si>
    <t>Salesforce Lightning Grid System 2021-03-30T15:13:01.000Z</t>
  </si>
  <si>
    <t>Shopify Post-purchase Developer Tools 2022-06-29T19:24:44.000Z</t>
  </si>
  <si>
    <t>CSS Shapes Editor 2015-05-21T15:02:29.000Z</t>
  </si>
  <si>
    <t>Cute Puppies of The Day 2017-06-23T11:42:12.000Z</t>
  </si>
  <si>
    <t>Gnome Button 2019-03-08T13:14:52.000Z</t>
  </si>
  <si>
    <t>Magnet linker 2022-04-02T13:50:15.000Z</t>
  </si>
  <si>
    <t>Spinify 2020-04-30T02:06:46.000Z</t>
  </si>
  <si>
    <t>Pesticide for Chrome (without hover bar) 2015-11-04T00:50:51.000Z</t>
  </si>
  <si>
    <t>Glitch Text Generator - [Pro] -&gt; Glitch Fonts 2021-04-05T13:37:26.000Z</t>
  </si>
  <si>
    <t>BigQuery Mate 2019-11-09T16:48:36.000Z</t>
  </si>
  <si>
    <t>Deliverr Browser Extension 2022-06-30T10:32:17.000Z</t>
  </si>
  <si>
    <t>Free Instagram Web Client 2023-06-01T05:29:19.000Z</t>
  </si>
  <si>
    <t>ThreadHelper 2022-02-20T20:51:32.000Z</t>
  </si>
  <si>
    <t>SVG Screenshot 2021-05-24T01:57:33.000Z</t>
  </si>
  <si>
    <t>Статистика в Рекламном кабинете ВК 2017-10-26T23:35:10.000Z</t>
  </si>
  <si>
    <t>Endole QuickView 2020-07-26T08:08:57.000Z</t>
  </si>
  <si>
    <t>Save Webpages Offline As MHTML 2023-11-29T04:13:07.000Z</t>
  </si>
  <si>
    <t>page-web-skeleton 2021-03-13T08:56:40.000Z</t>
  </si>
  <si>
    <t>Z3X Free Downloads 2016-11-22T11:26:50.000Z</t>
  </si>
  <si>
    <t>Better YouTube 2022-06-27T05:16:19.000Z</t>
  </si>
  <si>
    <t>Webpage Default Encoding Changer 2017-01-10T04:26:00.000Z</t>
  </si>
  <si>
    <t>TLS/SSL checker and reminder - ElevenGuard 2021-12-09T10:50:52.000Z</t>
  </si>
  <si>
    <t>Linked Booster - Social Automation Tool 2024-03-09T05:45:17.000Z</t>
  </si>
  <si>
    <t>Zorin Connect 2022-05-18T13:54:48.000Z</t>
  </si>
  <si>
    <t>Ears: Bass Boost</t>
  </si>
  <si>
    <t>Share to ChatWork 2017-05-31T11:57:47.000Z</t>
  </si>
  <si>
    <t>Cloud Coloring Book 2018-03-09T12:37:33.000Z</t>
  </si>
  <si>
    <t>SendToQnap 2024-03-14T19:52:05.000Z</t>
  </si>
  <si>
    <t>Startpage — Private Search Engine &amp; New Tab 2022-03-29T15:29:26.000Z</t>
  </si>
  <si>
    <t>Mail.ru Checker 2023-05-08T07:30:17.000Z</t>
  </si>
  <si>
    <t>Better Pull Request for GitHub 2022-04-08T10:58:09.000Z</t>
  </si>
  <si>
    <t>BonPatron 2019-02-05T14:35:00.000Z</t>
  </si>
  <si>
    <t>Sizzy 2022-05-27T04:34:40.000Z</t>
  </si>
  <si>
    <t>WordPress.org Plugins SVN Link 2017-04-02T15:43:47.000Z</t>
  </si>
  <si>
    <t>Right Click to Dial - SIP Dialer 2014-04-24T10:35:16.000Z</t>
  </si>
  <si>
    <t>doubanIMDb 2020-05-19T18:22:36.000Z</t>
  </si>
  <si>
    <t>快读 2014-11-08T03:48:50.000Z</t>
  </si>
  <si>
    <t>Speed it up 2019-06-10T06:20:02.000Z</t>
  </si>
  <si>
    <t>OneUp 2023-10-30T18:33:31.000Z</t>
  </si>
  <si>
    <t>OSINT=* 2021-11-04T08:01:30.000Z</t>
  </si>
  <si>
    <t>Awesome Window &amp; Tab Manager 2016-09-22T22:02:11.000Z</t>
  </si>
  <si>
    <t>Discord Popup-Window 2024-05-04T10:21:51.000Z</t>
  </si>
  <si>
    <t>Genei: Browse Fast 2022-03-09T04:03:54.000Z</t>
  </si>
  <si>
    <t>Webpage Downloader 2021-10-28T12:45:02.000Z</t>
  </si>
  <si>
    <t>1&amp;1 Go! 2022-10-19T07:38:36.000Z</t>
  </si>
  <si>
    <t>Text Snippets 2024-12-26T08:58:11.000Z</t>
  </si>
  <si>
    <t>TabList Manager 2015-04-16T18:18:45.000Z</t>
  </si>
  <si>
    <t>UUID generator 2021-12-21T05:33:46.000Z</t>
  </si>
  <si>
    <t>Highlight Search Keywords 2019-08-21T19:01:04.000Z</t>
  </si>
  <si>
    <t>Wallpapers Home 2017-09-04T20:22:03.000Z</t>
  </si>
  <si>
    <t>Korail Macro 2016-02-16T02:02:38.000Z</t>
  </si>
  <si>
    <t>Odoo Debug Pro 2022-08-09T07:14:45.000Z</t>
  </si>
  <si>
    <t>Hide Feed 2021-03-20T12:01:53.000Z</t>
  </si>
  <si>
    <t>Smart Bookmark Manager 2019-11-24T04:58:30.000Z</t>
  </si>
  <si>
    <t>TypeGenie for Zendesk 2024-01-24T17:32:16.000Z</t>
  </si>
  <si>
    <t>Responsinator 2019-07-22T00:28:54.000Z</t>
  </si>
  <si>
    <t>IG+VSCO fullsize 2024-09-04T06:02:47.000Z</t>
  </si>
  <si>
    <t>CreaSign 2016-06-01T07:58:44.000Z</t>
  </si>
  <si>
    <t>Humble Pal 2021-01-11T07:52:59.000Z</t>
  </si>
  <si>
    <t>First Line 2021-04-08T11:03:26.000Z</t>
  </si>
  <si>
    <t>Admin tools 2017-01-29T04:32:49.000Z</t>
  </si>
  <si>
    <t>Scout Companion 2021-04-02T10:07:50.000Z</t>
  </si>
  <si>
    <t>Math Tools 2020-07-04T06:48:10.000Z</t>
  </si>
  <si>
    <t>Dark Mode Global 2018-02-07T09:48:09.000Z</t>
  </si>
  <si>
    <t>Block Archive &amp; Unenroll 2021-05-23T04:34:19.000Z</t>
  </si>
  <si>
    <t>Related Search 2012-07-01T17:14:42.000Z</t>
  </si>
  <si>
    <t>EasyIQ IdP – Svendborg Kommune 2023-12-04T12:10:24.000Z</t>
  </si>
  <si>
    <t>金山词霸右键查询 2013-07-22T14:49:19.000Z</t>
  </si>
  <si>
    <t>PC Protect Safe Site 2019-11-14T09:20:35.000Z</t>
  </si>
  <si>
    <t>Google Calendar Scroll Disabler 2018-10-14T15:15:13.000Z</t>
  </si>
  <si>
    <t>360 翻译-右键翻译 2017-12-22T11:22:17.000Z</t>
  </si>
  <si>
    <t>Tistory Text Counter 2021-12-19T03:11:22.000Z</t>
  </si>
  <si>
    <t>Subtle Tab 2020-06-07T05:48:32.000Z</t>
  </si>
  <si>
    <t>Unit Converter 2015-03-25T07:39:38.000Z</t>
  </si>
  <si>
    <t>Jujutsu Kaisen Anime Cursor 2021-07-06T10:29:47.000Z</t>
  </si>
  <si>
    <t>哔哩哔哩·猜你喜欢 2022-01-12T23:09:44.000Z</t>
  </si>
  <si>
    <t>Mail this link 2016-04-22T13:28:30.000Z</t>
  </si>
  <si>
    <t>E-commerce Product Image Downloader 2022-11-21T06:34:24.000Z</t>
  </si>
  <si>
    <t>Print 2015-08-25T21:09:15.000Z</t>
  </si>
  <si>
    <t>Bootstrap Grid for any Website 2019-01-18T03:55:22.000Z</t>
  </si>
  <si>
    <t>HelloWoofy.com Chrome Extension 2022-01-11T20:31:32.000Z</t>
  </si>
  <si>
    <t>1Click Resize Window 2018-06-17T19:45:47.000Z</t>
  </si>
  <si>
    <t>Webtor.io - Watch torrents online 2024-05-22T06:32:34.000Z</t>
  </si>
  <si>
    <t>ActivityWatch Web Watcher 2021-03-17T12:30:12.000Z</t>
  </si>
  <si>
    <t>Lingualeo Language Translator 2023-03-23T09:40:25.000Z</t>
  </si>
  <si>
    <t>Mobile Guardian 2024-08-23T15:16:24.000Z</t>
  </si>
  <si>
    <t>SEO audit by iwebchk 2020-01-31T09:04:53.000Z</t>
  </si>
  <si>
    <t>爱看豆找书 2013-03-10T11:53:20.000Z</t>
  </si>
  <si>
    <t>Canvas Grade Viewer 2021-02-13T06:13:16.000Z</t>
  </si>
  <si>
    <t>Colonist Dice History 2021-04-08T07:49:50.000Z</t>
  </si>
  <si>
    <t>YouTube Party 2024-10-15T10:27:39.000Z</t>
  </si>
  <si>
    <t>Bookmarks Extension for Google 2019-03-11T11:45:34.000Z</t>
  </si>
  <si>
    <t>IDM Integration Module 2024-09-19T12:00:29.000Z</t>
  </si>
  <si>
    <t>Brightspace Improvements 2019-03-03T05:49:17.000Z</t>
  </si>
  <si>
    <t>Clip Copy 2014-12-22T06:15:22.000Z</t>
  </si>
  <si>
    <t>Merch Informer Book Hunter 2019-08-13T14:20:02.000Z</t>
  </si>
  <si>
    <t>HappyGet 2 for QTS 4 2020-02-12T13:41:08.000Z</t>
  </si>
  <si>
    <t>Темная тема для Яндекса 2023-09-18T09:49:54.000Z</t>
  </si>
  <si>
    <t>Crosh Window 2020-06-17T03:32:42.000Z</t>
  </si>
  <si>
    <t>Chrome Bookmarks 2020-12-16T10:57:40.000Z</t>
  </si>
  <si>
    <t>Stop Scrolling Newsfeed for Facebook 2020-02-27T06:50:54.000Z</t>
  </si>
  <si>
    <t>VVLoad Task Manager 2022-07-04T16:02:37.000Z</t>
  </si>
  <si>
    <t>Screen Grabber 2021-11-09T08:54:47.000Z</t>
  </si>
  <si>
    <t>Export for Trello 2015-04-16T22:44:39.000Z</t>
  </si>
  <si>
    <t>恢复关闭的标签 2018-02-01T03:05:48.000Z</t>
  </si>
  <si>
    <t>Camera Effects &amp; Filters 2016-01-13T17:30:23.000Z</t>
  </si>
  <si>
    <t>Clicky Monitor 2014-03-26T18:24:33.000Z</t>
  </si>
  <si>
    <t>AMZBase - Free Amazon Product Research Tool 2021-03-22T11:16:29.000Z</t>
  </si>
  <si>
    <t>mailto 2015-08-24T20:41:59.000Z</t>
  </si>
  <si>
    <t>Turkish Deasciifier 2019-03-12T04:57:37.000Z</t>
  </si>
  <si>
    <t>Bleach Anime Custom Cursor 2021-10-12T07:12:00.000Z</t>
  </si>
  <si>
    <t>Page Crawler 2019-08-09T00:02:37.000Z</t>
  </si>
  <si>
    <t>500px Chrome Extension 2014-04-26T08:23:37.000Z</t>
  </si>
  <si>
    <t>Speed Downloader 2024-10-30T10:55:15.000Z</t>
  </si>
  <si>
    <t>ふたば@アプリ としあき(仮) 出張版 2020-01-22T10:31:24.000Z</t>
  </si>
  <si>
    <t>Waves Enterprise Wallet 2024-08-07T08:56:28.000Z</t>
  </si>
  <si>
    <t>Faster Browsing 2016-09-05T08:54:07.000Z</t>
  </si>
  <si>
    <t>pinner 2014-01-07T22:56:00.000Z</t>
  </si>
  <si>
    <t>取色器 2020-01-03T16:36:25.000Z</t>
  </si>
  <si>
    <t>Mic Note -Voice Recorder &amp; Notepad 2019-09-16T01:16:09.000Z</t>
  </si>
  <si>
    <t>.URL Handler 2012-09-03T15:58:41.000Z</t>
  </si>
  <si>
    <t>Trump Blocker 2016-06-11T00:54:20.000Z</t>
  </si>
  <si>
    <t>Yup 2022-11-02T18:00:16.000Z</t>
  </si>
  <si>
    <t>Papa Louie Game Launcher 2018-07-25T23:11:42.000Z</t>
  </si>
  <si>
    <t>ActiveGS 2014-01-31T08:27:42.000Z</t>
  </si>
  <si>
    <t>YouTube Auto Volume Changer 2020-04-26T10:59:32.000Z</t>
  </si>
  <si>
    <t>FiveX 2021-07-03T07:05:44.000Z</t>
  </si>
  <si>
    <t>Xdebug 2016-02-14T15:07:57.000Z</t>
  </si>
  <si>
    <t>Fetching Browser History Search 2016-01-30T23:39:46.000Z</t>
  </si>
  <si>
    <t>Save-Data: on 2021-06-11T05:36:25.000Z</t>
  </si>
  <si>
    <t>Seesu Music 2017-10-24T07:45:41.000Z</t>
  </si>
  <si>
    <t>vpnEstonia - Fastest VPN at lowest latency 2021-01-01T12:27:20.000Z</t>
  </si>
  <si>
    <t>Show Anchors 2021-05-08T06:55:07.000Z</t>
  </si>
  <si>
    <t>UFCGPro 2021-11-25T20:34:15.000Z</t>
  </si>
  <si>
    <t>WASP.inspector: Analytics Solution Profiler 2020-08-06T10:21:52.000Z</t>
  </si>
  <si>
    <t>BUGFIX Vue.js devtools 2019-03-08T13:18:22.000Z</t>
  </si>
  <si>
    <t>Kadiska 2024-01-11T14:13:35.000Z</t>
  </si>
  <si>
    <t>Break the wall 2022-08-16T17:33:04.000Z</t>
  </si>
  <si>
    <t>I'm Feeling Lucky 2017-05-04T13:52:23.000Z</t>
  </si>
  <si>
    <t>Dark Theme Everywhere 2016-06-29T22:42:46.000Z</t>
  </si>
  <si>
    <t>YouTube Aspect Ratio Control 2020-08-04T17:49:37.000Z</t>
  </si>
  <si>
    <t>GlobalProtect 2019-05-09T17:49:05.000Z</t>
  </si>
  <si>
    <t>LSD effect 2016-03-20T13:54:26.000Z</t>
  </si>
  <si>
    <t>minesweeper 2021-04-29T09:36:11.000Z</t>
  </si>
  <si>
    <t>Habivator - build a habit! 2021-04-28T11:53:07.000Z</t>
  </si>
  <si>
    <t>Parsys 2021-06-18T14:51:25.000Z</t>
  </si>
  <si>
    <t>Eng-Vi Dictionary 2016-07-03T01:05:41.000Z</t>
  </si>
  <si>
    <t>Live video recorder 2021-04-29T13:24:42.000Z</t>
  </si>
  <si>
    <t>Five9 Adapter for Velocify 2019-10-03T22:18:18.000Z</t>
  </si>
  <si>
    <t>Download Notify 2018-10-07T15:15:00.000Z</t>
  </si>
  <si>
    <t>Tiga - Github国内下载和克隆文件加速 2020-12-22T11:28:14.000Z</t>
  </si>
  <si>
    <t>Play Movies Fullscreen 2021-03-18T05:18:11.000Z</t>
  </si>
  <si>
    <t>Flat Colors Guide 2014-04-11T21:21:46.000Z</t>
  </si>
  <si>
    <t>Galleryzer 2020-12-21T12:16:15.000Z</t>
  </si>
  <si>
    <t>Trimless for Google Mail™ 2019-05-29T10:21:57.000Z</t>
  </si>
  <si>
    <t>Cisar 2019-03-08T17:18:05.000Z</t>
  </si>
  <si>
    <t>Easy Nepali Typing 2016-07-09T17:55:56.000Z</t>
  </si>
  <si>
    <t>Ghosty 2019-05-04T12:23:48.000Z</t>
  </si>
  <si>
    <t>IE View WE 2022-08-23T08:51:53.000Z</t>
  </si>
  <si>
    <t>Wudooh وضوح 2020-05-21T22:50:03.000Z</t>
  </si>
  <si>
    <t>Forever pinned 2019-02-02T12:13:47.000Z</t>
  </si>
  <si>
    <t>Google Earth Photo Taker 2020-11-01T08:17:39.000Z</t>
  </si>
  <si>
    <t>New Browser 2017-03-22T15:25:14.000Z</t>
  </si>
  <si>
    <t>Xframe Assassin 2016-08-18T23:53:12.000Z</t>
  </si>
  <si>
    <t>清大選課管家 2018-08-21T17:07:52.000Z</t>
  </si>
  <si>
    <t>Speak 2019-05-02T14:13:07.000Z</t>
  </si>
  <si>
    <t>Hello</t>
  </si>
  <si>
    <t>NoteOn 2013-05-22T21:20:17.000Z</t>
  </si>
  <si>
    <t>AliPriceCompare - price comparison 2022-02-24T13:03:30.000Z</t>
  </si>
  <si>
    <t>Prime Away 2021-03-03T04:59:18.000Z</t>
  </si>
  <si>
    <t>open vscode.dev by right click 2022-03-16T05:44:23.000Z</t>
  </si>
  <si>
    <t>Flip 2023-04-19T05:28:39.000Z</t>
  </si>
  <si>
    <t>Skribbl.io Hebrew Fix 2020-04-22T18:30:49.000Z</t>
  </si>
  <si>
    <t>VIN Lookup 2018-01-14T02:21:12.000Z</t>
  </si>
  <si>
    <t>Beanote - Note Taking on Web Pages 2021-10-12T04:39:21.000Z</t>
  </si>
  <si>
    <t>Cashbe - лучший кэшбэк сервис 2019-08-31T11:53:25.000Z</t>
  </si>
  <si>
    <t>TabsPlus 2013-06-24T06:36:02.000Z</t>
  </si>
  <si>
    <t>Zero Two Anime Cursor 2021-06-22T11:43:00.000Z</t>
  </si>
  <si>
    <t>Flatter Files 2022-07-22T19:39:42.000Z</t>
  </si>
  <si>
    <t>Do Not Merge WIP for GitHub 2024-06-04T06:46:36.000Z</t>
  </si>
  <si>
    <t>添加到aria2 2020-04-02T07:37:12.000Z</t>
  </si>
  <si>
    <t>Roblox Catalog and Develop dropdown menu 2022-01-18T05:02:02.000Z</t>
  </si>
  <si>
    <t>Tryit Editor 2013-05-15T15:53:51.000Z</t>
  </si>
  <si>
    <t>艦これタイマー連携ツール 2017-02-28T23:16:19.000Z</t>
  </si>
  <si>
    <t>Spreadsheet Shortcuts 2013-10-31T15:00:51.000Z</t>
  </si>
  <si>
    <t>Print email without logo 2015-03-11T03:21:05.000Z</t>
  </si>
  <si>
    <t>WebConf : Partage d'Écran 2018-02-21T09:54:49.000Z</t>
  </si>
  <si>
    <t>Pomu 2020-05-10T21:53:31.000Z</t>
  </si>
  <si>
    <t>Box Size 2022-12-18T07:11:55.000Z</t>
  </si>
  <si>
    <t>DevTools Theme: Gruvbox Dark 2015-10-26T15:31:04.000Z</t>
  </si>
  <si>
    <t>LocalCDN 2024-09-11T03:59:46.000Z</t>
  </si>
  <si>
    <t>Persistent Highlighter 2016-09-26T01:25:46.000Z</t>
  </si>
  <si>
    <t>Rotate Page in Google Books 2016-09-23T19:24:36.000Z</t>
  </si>
  <si>
    <t>スーパーセキュリティ パスワード管理 2021-07-28T10:54:33.000Z</t>
  </si>
  <si>
    <t>Cute Animals Wallpaper 2021-12-13T10:03:29.000Z</t>
  </si>
  <si>
    <t>FindFlix: Netflix Secret Category Finder 2018-07-27T10:17:55.000Z</t>
  </si>
  <si>
    <t>AIMS-Helper 2023-06-01T13:38:50.000Z</t>
  </si>
  <si>
    <t>ADB for Chrome 2019-03-08T17:19:07.000Z</t>
  </si>
  <si>
    <t>AKColor 2020-07-23T05:28:18.000Z</t>
  </si>
  <si>
    <t>CF stalker 2022-01-07T05:14:16.000Z</t>
  </si>
  <si>
    <t>Video Picture-in-Picture 2021-05-05T09:38:28.000Z</t>
  </si>
  <si>
    <t>Change GeoLocation 2015-08-13T03:32:00.000Z</t>
  </si>
  <si>
    <t>Domain Whitelist 2017-07-25T21:41:17.000Z</t>
  </si>
  <si>
    <t>Trace - Online Tracking Protection 2021-06-01T15:08:06.000Z</t>
  </si>
  <si>
    <t>ECP 2021-06-28T08:01:46.000Z</t>
  </si>
  <si>
    <t>New writeurl 2012-12-17T11:59:04.000Z</t>
  </si>
  <si>
    <t>Agile SCRUM for Trello boards 2022-04-10T07:18:08.000Z</t>
  </si>
  <si>
    <t>Amazon Price and Review check 2016-09-14T08:18:28.000Z</t>
  </si>
  <si>
    <t>Password Safe Box 2020-03-16T03:50:58.000Z</t>
  </si>
  <si>
    <t>Signal 2019-04-13T19:25:13.000Z</t>
  </si>
  <si>
    <t>Mitel Web Extension 2022-01-06T05:18:48.000Z</t>
  </si>
  <si>
    <t>Dashboard Refresher &amp; Tabs Revolver/Carousel 2020-06-12T04:16:02.000Z</t>
  </si>
  <si>
    <t>Webynar Recorder 2020-10-05T07:19:17.000Z</t>
  </si>
  <si>
    <t>Tab Switcher with Wheel 2020-09-11T04:12:51.000Z</t>
  </si>
  <si>
    <t>Button Generator 2015-04-24T12:19:17.000Z</t>
  </si>
  <si>
    <t>Free VPN 2020-08-24T07:05:36.000Z</t>
  </si>
  <si>
    <t>Colab Notifier 2020-04-08T07:10:00.000Z</t>
  </si>
  <si>
    <t>List Opened Tabs 2019-08-31T20:53:35.000Z</t>
  </si>
  <si>
    <t>Just a Day - the Day of Week 2020-11-19T03:55:00.000Z</t>
  </si>
  <si>
    <t>Walkway 2023-07-30T03:21:11.000Z</t>
  </si>
  <si>
    <t>Translator and Text to Speech (TTS) 2021-04-07T13:22:30.000Z</t>
  </si>
  <si>
    <t>AssinaturaCerta - Assinatura digital na Web 2019-06-13T00:30:22.000Z</t>
  </si>
  <si>
    <t>Funchatcam 2019-03-10T22:18:31.000Z</t>
  </si>
  <si>
    <t>Snapfont - Preview fonts on any page 2020-07-20T07:22:53.000Z</t>
  </si>
  <si>
    <t>כלים לסטודנטים של המרכז האקדמי לב 2022-12-22T20:39:56.000Z</t>
  </si>
  <si>
    <t>Подаркус 2023-04-11T15:08:12.000Z</t>
  </si>
  <si>
    <t>AppSpy - Mobile Tracker 2018-02-16T12:29:08.000Z</t>
  </si>
  <si>
    <t>Paint Header 2015-03-13T15:53:02.000Z</t>
  </si>
  <si>
    <t>NOW Proxy 2014-06-15T16:49:42.000Z</t>
  </si>
  <si>
    <t>Permission: Browse &amp; Earn Crypto 2021-08-27T18:33:20.000Z</t>
  </si>
  <si>
    <t>tota11y for Chrome 2016-02-14T12:57:05.000Z</t>
  </si>
  <si>
    <t>Video Speed Changer 2015-11-30T14:59:28.000Z</t>
  </si>
  <si>
    <t>New Tab Redirect to Apps - Axlg 2016-10-07T06:40:03.000Z</t>
  </si>
  <si>
    <t>PHP Offline Manual 2022-12-19T04:53:55.000Z</t>
  </si>
  <si>
    <t>Open in specific window 2018-07-17T13:39:39.000Z</t>
  </si>
  <si>
    <t>yuque-helper 2021-04-26T11:39:55.000Z</t>
  </si>
  <si>
    <t>Picture in Picture Everywhere 2020-05-25T04:05:15.000Z</t>
  </si>
  <si>
    <t>URL2QR 2015-11-10T11:53:18.000Z</t>
  </si>
  <si>
    <t>GTA 5 Cheats 2020-12-12T13:18:35.000Z</t>
  </si>
  <si>
    <t>FlipRobotServiceTools 2020-02-27T05:36:51.000Z</t>
  </si>
  <si>
    <t>Sencha Component Locator 2019-12-12T10:23:55.000Z</t>
  </si>
  <si>
    <t>The Printliminator 2015-10-11T19:41:39.000Z</t>
  </si>
  <si>
    <t>Dogpile Private Search 2017-03-22T17:54:46.000Z</t>
  </si>
  <si>
    <t>Gmail Date Time Formatter 2022-02-05T12:13:03.000Z</t>
  </si>
  <si>
    <t>Tenable.io Web Application Scanning 2024-01-24T19:40:23.000Z</t>
  </si>
  <si>
    <t>SoundCloud Likes to Playlist 2021-09-02T06:20:15.000Z</t>
  </si>
  <si>
    <t>Simple 2020-10-13T19:40:28.000Z</t>
  </si>
  <si>
    <t>Putlocker official - Putlocker - Putlockers 2021-02-04T04:55:05.000Z</t>
  </si>
  <si>
    <t>dict-cc 2017-10-03T14:13:43.000Z</t>
  </si>
  <si>
    <t>MP3 Player Online – LastPlayer.Online 2023-11-21T03:01:18.000Z</t>
  </si>
  <si>
    <t>tree.fm - listen to a random forest 2021-02-26T11:28:38.000Z</t>
  </si>
  <si>
    <t>Paper downloader 2012-08-21T18:48:24.000Z</t>
  </si>
  <si>
    <t>FileStream.Me - official Chrome extension 2017-10-13T11:16:54.000Z</t>
  </si>
  <si>
    <t>Moment 2013-05-19T17:26:31.000Z</t>
  </si>
  <si>
    <t>Redirect Google Redirects 2015-03-15T00:08:26.000Z</t>
  </si>
  <si>
    <t>signNow - Sign and Fill PDF &amp; Word Documents 2021-06-22T10:24:46.000Z</t>
  </si>
  <si>
    <t>CADLAB.io 2021-06-17T10:53:00.000Z</t>
  </si>
  <si>
    <t>Addon Everywhere 2018-08-04T13:50:55.000Z</t>
  </si>
  <si>
    <t>WebSocket Frame Inspector 2018-09-06T14:53:09.000Z</t>
  </si>
  <si>
    <t>Drag to download 2020-01-23T13:33:52.000Z</t>
  </si>
  <si>
    <t>Hotspot Shield 2024-08-20T02:59:00.000Z</t>
  </si>
  <si>
    <t>SAP Notes and Support 2021-01-11T11:00:40.000Z</t>
  </si>
  <si>
    <t>Readmoo分享書：逛網路書店的好幫手。 2015-11-01T08:29:51.000Z</t>
  </si>
  <si>
    <t>Your Python Editor (Beta) 2023-10-07T05:35:00.000Z</t>
  </si>
  <si>
    <t>calm - style your new tab 2020-05-17T10:54:44.000Z</t>
  </si>
  <si>
    <t>Decreased Productivity 2021-05-18T06:28:52.000Z</t>
  </si>
  <si>
    <t>CSV Export for Trello 2021-09-07T07:08:06.000Z</t>
  </si>
  <si>
    <t>Rabbit Hole for YouTube™ 2022-02-24T04:12:23.000Z</t>
  </si>
  <si>
    <t>DIM 2014-10-14T16:03:50.000Z</t>
  </si>
  <si>
    <t>YouGlish Lookup 2021-03-09T09:59:47.000Z</t>
  </si>
  <si>
    <t>Layout Manager 2015-02-01T10:45:56.000Z</t>
  </si>
  <si>
    <t>ExpressCurate 2015-06-08T14:50:21.000Z</t>
  </si>
  <si>
    <t>Subtly — Subtitles. Translator. Word training 2023-10-10T13:03:18.000Z</t>
  </si>
  <si>
    <t>TWF Buy Box Scope BETA 1.1 2020-04-21T04:07:20.000Z</t>
  </si>
  <si>
    <t>FeedPop: Simple RSS feed reader 2021-06-19T13:01:57.000Z</t>
  </si>
  <si>
    <t>Lingotek Workbench Extension (Beta) 2022-09-29T07:37:48.000Z</t>
  </si>
  <si>
    <t>Byone 2021-11-26T07:42:46.000Z</t>
  </si>
  <si>
    <t>Bible.com - Consulta Rápida 2022-06-11T04:09:10.000Z</t>
  </si>
  <si>
    <t>LocalStorage Sync 2022-02-03T03:25:42.000Z</t>
  </si>
  <si>
    <t>SCRIN.IO 2021-05-18T03:44:14.000Z</t>
  </si>
  <si>
    <t>Surveillance Client 2016-03-02T02:03:21.000Z</t>
  </si>
  <si>
    <t>Defonic 2015-12-08T14:52:29.000Z</t>
  </si>
  <si>
    <t>Desktopify 2020-08-24T06:50:34.000Z</t>
  </si>
  <si>
    <t>VeRo Checker Private 2022-07-11T05:08:57.000Z</t>
  </si>
  <si>
    <t>Polish - UX writing made easy 2022-01-20T06:25:26.000Z</t>
  </si>
  <si>
    <t>Sakura rain 2020-04-30T04:48:22.000Z</t>
  </si>
  <si>
    <t>Bandcamp Volume 2015-10-11T05:00:21.000Z</t>
  </si>
  <si>
    <t>MonaCam 2016-08-23T18:24:31.000Z</t>
  </si>
  <si>
    <t>HTTP Status Codes 2013-01-30T23:06:41.000Z</t>
  </si>
  <si>
    <t>Longdo Dictionary 2022-06-12T14:38:07.000Z</t>
  </si>
  <si>
    <t>model-kartei.de Notifier 2018-03-05T18:16:45.000Z</t>
  </si>
  <si>
    <t>QQ邮箱邮件提醒 2020-06-04T09:44:27.000Z</t>
  </si>
  <si>
    <t>豆瓣电台chrome版 2019-01-13T17:59:10.000Z</t>
  </si>
  <si>
    <t>DownThemAll! 2024-10-16T10:07:19.000Z</t>
  </si>
  <si>
    <t>Twitch DCCON extension 2020-10-22T09:03:39.000Z</t>
  </si>
  <si>
    <t>Netflix Light Mode 2020-06-01T12:16:22.000Z</t>
  </si>
  <si>
    <t>Selenide for Selenium IDE 2020-05-28T07:39:25.000Z</t>
  </si>
  <si>
    <t>pixiv-download-image-with-name 2017-09-24T05:00:40.000Z</t>
  </si>
  <si>
    <t>Twitter Video Downloader 2023-02-22T03:56:39.000Z</t>
  </si>
  <si>
    <t>Popout Video Player 2013-09-28T14:13:47.000Z</t>
  </si>
  <si>
    <t>Good Annotations</t>
  </si>
  <si>
    <t>Extensions Update Notifier 2016-06-14T05:45:38.000Z</t>
  </si>
  <si>
    <t>Thunder Download Manager 2021-10-29T05:30:21.000Z</t>
  </si>
  <si>
    <t>Better PTT (批踢踢) 2015-06-14T15:46:46.000Z</t>
  </si>
  <si>
    <t>Netcat 2019-12-30T03:10:55.000Z</t>
  </si>
  <si>
    <t>Authorize.Net Point of Sale 2018-03-12T15:07:33.000Z</t>
  </si>
  <si>
    <t>Angular watchers 2016-10-31T10:12:30.000Z</t>
  </si>
  <si>
    <t>Gantt chart for Trello 2019-05-13T21:11:26.000Z</t>
  </si>
  <si>
    <t>ADAC Cashback-Radar 2023-08-07T04:14:35.000Z</t>
  </si>
  <si>
    <t>Scroll it! 2017-12-02T01:24:23.000Z</t>
  </si>
  <si>
    <t>Capti Voice 2023-08-10T04:06:27.000Z</t>
  </si>
  <si>
    <t>Popout Tab 2019-06-23T14:30:11.000Z</t>
  </si>
  <si>
    <t>Scholar with Code 2021-12-31T11:10:50.000Z</t>
  </si>
  <si>
    <t>Tab Sorter 2019-07-11T22:13:01.000Z</t>
  </si>
  <si>
    <t>fillUp Formularze - dodatek 2021-04-22T06:40:51.000Z</t>
  </si>
  <si>
    <t>Google Classroom Suite 2020-09-10T03:49:12.000Z</t>
  </si>
  <si>
    <t>Strava Export Tracks 2019-07-08T08:10:10.000Z</t>
  </si>
  <si>
    <t>Cisco Phone Controller 2020-12-27T06:11:44.000Z</t>
  </si>
  <si>
    <t>12ft 2021-08-31T00:37:04.000Z</t>
  </si>
  <si>
    <t>JSView 2022-11-16T08:23:04.000Z</t>
  </si>
  <si>
    <t>V7 Gmail Zoom 2020-02-04T13:34:17.000Z</t>
  </si>
  <si>
    <t>Anime episode tracker 2014-08-16T19:00:05.000Z</t>
  </si>
  <si>
    <t>GeeksforGeeks Dark Mode 2022-02-07T12:10:36.000Z</t>
  </si>
  <si>
    <t>Zoho Mail Bookmarks 2020-03-28T06:47:55.000Z</t>
  </si>
  <si>
    <t>Influencer Engage 2021-06-16T05:20:06.000Z</t>
  </si>
  <si>
    <t>Genusly 2013-12-14T13:20:13.000Z</t>
  </si>
  <si>
    <t>Vtuber Live Subtitle 2019-05-21T13:58:54.000Z</t>
  </si>
  <si>
    <t>RootsFinder ToDos 2018-02-07T23:58:25.000Z</t>
  </si>
  <si>
    <t>DevTools Theme: NightLion Dark 2017-02-28T19:43:47.000Z</t>
  </si>
  <si>
    <t>Phytonic 2020-02-02T17:35:36.000Z</t>
  </si>
  <si>
    <t>Extension para compartir pantalla 2018-10-29T05:09:43.000Z</t>
  </si>
  <si>
    <t>WebApp Form Filler 2019-02-16T19:57:26.000Z</t>
  </si>
  <si>
    <t>Mini Militia Hack Mod 2018-10-30T11:38:30.000Z</t>
  </si>
  <si>
    <t>Calendar Selector for Google Calendar 2022-12-08T06:22:25.000Z</t>
  </si>
  <si>
    <t>IdentiFont 2016-09-24T20:34:57.000Z</t>
  </si>
  <si>
    <t>Quick Calendar Free 2015-10-22T17:42:48.000Z</t>
  </si>
  <si>
    <t>Tumblr Load HiRes Images 2012-09-25T21:14:09.000Z</t>
  </si>
  <si>
    <t>Car diagnostics with ELM327 2014-11-28T12:48:14.000Z</t>
  </si>
  <si>
    <t>Social Revealer 2019-07-23T09:30:14.000Z</t>
  </si>
  <si>
    <t>AliExpress/Shopify Dropshipping - SellersDash 2023-08-15T03:19:31.000Z</t>
  </si>
  <si>
    <t>TextForma 2016-04-08T12:21:33.000Z</t>
  </si>
  <si>
    <t>Groups Pro 2022-08-20T07:26:45.000Z</t>
  </si>
  <si>
    <t>KAT UI - Kickass Torrents Special 2015-10-07T07:33:40.000Z</t>
  </si>
  <si>
    <t>365Scores - Live Scores and Sports News 2021-03-22T15:47:24.000Z</t>
  </si>
  <si>
    <t>AddressTools extension 2022-09-16T06:52:42.000Z</t>
  </si>
  <si>
    <t>CFCA CryptoKit.CIB Extension 2021-08-03T10:41:38.000Z</t>
  </si>
  <si>
    <t>UfunR 2021-04-14T05:37:05.000Z</t>
  </si>
  <si>
    <t>Pronunciation 2018-08-11T13:39:17.000Z</t>
  </si>
  <si>
    <t>x3d-viewer 2018-12-18T21:03:17.000Z</t>
  </si>
  <si>
    <t>Lichess Flags 2021-12-10T06:14:10.000Z</t>
  </si>
  <si>
    <t>StartMeeting.com Scheduler 2020-11-03T10:54:09.000Z</t>
  </si>
  <si>
    <t>Adblock Fast 2024-01-09T10:02:31.000Z</t>
  </si>
  <si>
    <t>1Know - 翻轉你的學習 2022-10-26T04:02:49.000Z</t>
  </si>
  <si>
    <t>Fanatic 2019-11-26T19:25:32.000Z</t>
  </si>
  <si>
    <t>Wikipedia Reading Lists 2018-10-03T08:06:49.000Z</t>
  </si>
  <si>
    <t>Here Calendar 2022-08-11T07:46:00.000Z</t>
  </si>
  <si>
    <t>Onshape 2015-11-18T20:57:43.000Z</t>
  </si>
  <si>
    <t>QuickCode - Free Online Programming Courses 2022-02-20T05:23:49.000Z</t>
  </si>
  <si>
    <t>Aliexpress: Search similar cheap products 2023-01-17T04:56:10.000Z</t>
  </si>
  <si>
    <t>Баланс интернета Uplink.kz 2019-05-25T00:50:45.000Z</t>
  </si>
  <si>
    <t>Password Generator 2013-01-10T20:12:04.000Z</t>
  </si>
  <si>
    <t>WebDict 2021-06-29T06:04:30.000Z</t>
  </si>
  <si>
    <t>Whitelist All IPs for Salesforce 2016-03-03T05:21:29.000Z</t>
  </si>
  <si>
    <t>J CSS Reload 2013-11-25T08:05:26.000Z</t>
  </si>
  <si>
    <t>СТОП: неетична медия 2023-11-22T03:17:30.000Z</t>
  </si>
  <si>
    <t>Seedboxes.cc 2019-01-04T14:36:18.000Z</t>
  </si>
  <si>
    <t>Accessibility - A Powerful Web Assistant 2021-07-06T06:32:29.000Z</t>
  </si>
  <si>
    <t>Write Better 2022-03-24T11:10:40.000Z</t>
  </si>
  <si>
    <t>PubGuru Ad Inspector 2021-07-04T03:54:38.000Z</t>
  </si>
  <si>
    <t>Page Font Bolder 2016-04-21T02:26:56.000Z</t>
  </si>
  <si>
    <t>Zoom for Twitter® 2020-04-14T05:22:57.000Z</t>
  </si>
  <si>
    <t>Netflix Auto Skip Intro 2019-08-19T00:54:30.000Z</t>
  </si>
  <si>
    <t>Page365 2023-12-07T04:41:06.000Z</t>
  </si>
  <si>
    <t>Change Background</t>
  </si>
  <si>
    <t>Elephango 2024-05-03T05:11:49.000Z</t>
  </si>
  <si>
    <t>ConnectWise Service Ticket Tab Updater 2019-07-20T00:56:15.000Z</t>
  </si>
  <si>
    <t>ひらがなツールチップ 2020-01-08T13:29:41.000Z</t>
  </si>
  <si>
    <t>Tab Slider 2020-11-03T15:10:03.000Z</t>
  </si>
  <si>
    <t>RoKing 2023-06-01T09:54:43.000Z</t>
  </si>
  <si>
    <t>Tidy Gherkin 2019-03-08T17:23:28.000Z</t>
  </si>
  <si>
    <t>חיפושית 2021-08-12T20:14:28.000Z</t>
  </si>
  <si>
    <t>Teletekst 2013-03-22T13:01:45.000Z</t>
  </si>
  <si>
    <t>ArsonWarehouse 2021-06-10T15:16:51.000Z</t>
  </si>
  <si>
    <t>Rocket.Chat Screen Share 2017-05-20T18:51:33.000Z</t>
  </si>
  <si>
    <t>Pantip Plus 2023-03-31T07:02:42.000Z</t>
  </si>
  <si>
    <t>GiaoNhan247 Hỗ trợ mua sắm toàn cầu 2021-10-01T08:33:01.000Z</t>
  </si>
  <si>
    <t>谷歌搜索大内助手 2013-12-04T03:22:01.000Z</t>
  </si>
  <si>
    <t>ИНФОУРОК 2020-06-23T14:53:21.000Z</t>
  </si>
  <si>
    <t>Video Cutter 2014-11-25T11:07:39.000Z</t>
  </si>
  <si>
    <t>Card Colors for Trello 2017-06-28T13:39:14.000Z</t>
  </si>
  <si>
    <t>CBZ Maker 2016-08-12T20:07:07.000Z</t>
  </si>
  <si>
    <t>URL Browser 2020-03-25T18:08:33.000Z</t>
  </si>
  <si>
    <t>8-Ball Pool 2021-03-25T01:05:07.000Z</t>
  </si>
  <si>
    <t>FOP2 Extension 2022-09-30T08:48:54.000Z</t>
  </si>
  <si>
    <t>YouTube Live chat filter 2019-11-18T07:18:42.000Z</t>
  </si>
  <si>
    <t>FamilySearch Tools 2015-09-28T20:48:59.000Z</t>
  </si>
  <si>
    <t>Readnotify.com Web Plugin 2019-05-06T16:53:45.000Z</t>
  </si>
  <si>
    <t>Visicom Search 2023-09-07T07:09:11.000Z</t>
  </si>
  <si>
    <t>GoToChannel by Swap Meet Shops 2021-04-06T08:47:38.000Z</t>
  </si>
  <si>
    <t>Fortnite Free Vbux 2021-03-24T04:39:49.000Z</t>
  </si>
  <si>
    <t>Tagpacker's "Pack It" Button 2021-10-07T04:30:20.000Z</t>
  </si>
  <si>
    <t>Шаблоны сообщений ВКонтакте 2017-12-09T19:44:18.000Z</t>
  </si>
  <si>
    <t>MyAdFilter 2021-02-03T06:48:25.000Z</t>
  </si>
  <si>
    <t>Quire Anywhere 2021-05-27T04:03:59.000Z</t>
  </si>
  <si>
    <t>Music finder! 2019-05-11T16:40:25.000Z</t>
  </si>
  <si>
    <t>Volume Booster 2021-06-22T12:55:05.000Z</t>
  </si>
  <si>
    <t>Incognito Mode 2021-05-16T11:53:41.000Z</t>
  </si>
  <si>
    <t>Ghostery Private Search for Chrome 2023-11-17T12:43:30.000Z</t>
  </si>
  <si>
    <t>Twitch Legacy Chat 2018-03-04T20:29:01.000Z</t>
  </si>
  <si>
    <t>Word Discoverer: Expand your vocabulary 2020-07-28T06:39:57.000Z</t>
  </si>
  <si>
    <t>Read Receipt Decliner 2013-11-12T22:59:13.000Z</t>
  </si>
  <si>
    <t>Daily Motivation - Motivational Quotes 2018-12-21T14:54:06.000Z</t>
  </si>
  <si>
    <t>The Marvellous Suspender 2024-08-05T06:09:43.000Z</t>
  </si>
  <si>
    <t>Grammarly Dark 2022-01-09T21:45:18.000Z</t>
  </si>
  <si>
    <t>Password Alert 2018-02-13T21:21:05.000Z</t>
  </si>
  <si>
    <t>LeetSessionManager 2022-01-12T11:46:25.000Z</t>
  </si>
  <si>
    <t>Klondike Rise 2017-07-18T18:08:04.000Z</t>
  </si>
  <si>
    <t>Email Extractor 2022-09-05T10:54:49.000Z</t>
  </si>
  <si>
    <t>Piez 2020-10-23T11:31:31.000Z</t>
  </si>
  <si>
    <t>EliteStream | Series y Peliculas Online 2020-03-22T14:23:38.000Z</t>
  </si>
  <si>
    <t>Slideshow 2016-10-13T20:05:25.000Z</t>
  </si>
  <si>
    <t>Kawaii Faces (✿◠‿◠) 2021-04-06T05:21:06.000Z</t>
  </si>
  <si>
    <t>Pubmed Impact Factor 2021-09-20T15:09:00.000Z</t>
  </si>
  <si>
    <t>Chrome OS Wallpaper Info 2021-11-11T05:47:36.000Z</t>
  </si>
  <si>
    <t>Antivirus Online Scanner 2015-12-23T19:24:23.000Z</t>
  </si>
  <si>
    <t>TabCloud 2014-06-02T03:51:57.000Z</t>
  </si>
  <si>
    <t>Monaco Editor 2019-05-26T08:02:54.000Z</t>
  </si>
  <si>
    <t>Dyslexia Reader Chrome 2015-11-03T07:46:50.000Z</t>
  </si>
  <si>
    <t>Jetpuzzle 2018-03-14T15:05:06.000Z</t>
  </si>
  <si>
    <t>Gladiatus nBot 2021-01-18T11:30:47.000Z</t>
  </si>
  <si>
    <t>Gay? Wikipedia 2019-12-26T03:04:20.000Z</t>
  </si>
  <si>
    <t>Rainbow Tab 2018-06-11T09:51:35.000Z</t>
  </si>
  <si>
    <t>Обход блокировок Рунета 2024-08-26T12:12:15.000Z</t>
  </si>
  <si>
    <t>BelkaVPN is VPN</t>
  </si>
  <si>
    <t>Get Token &amp; Cookie 2022-11-03T13:44:10.000Z</t>
  </si>
  <si>
    <t>Shaparak Verifier 2016-07-30T13:33:58.000Z</t>
  </si>
  <si>
    <t>Count the length of the character 2013-11-01T06:41:23.000Z</t>
  </si>
  <si>
    <t>Venom Wallpaper - New Tab Theme 2019-02-12T15:17:42.000Z</t>
  </si>
  <si>
    <t>Marmoset 2019-03-08T17:24:35.000Z</t>
  </si>
  <si>
    <t>VK video saver - загрузчик видео из вконтакте 2021-03-18T11:25:03.000Z</t>
  </si>
  <si>
    <t>Fruumo - New Tab Page 2019-06-01T18:00:56.000Z</t>
  </si>
  <si>
    <t>1click Pick Color 2018-06-17T19:45:52.000Z</t>
  </si>
  <si>
    <t>Read Later 2020-05-27T08:40:15.000Z</t>
  </si>
  <si>
    <t>Zhongwen: Dictionnaire chinois-français 2019-03-08T17:24:45.000Z</t>
  </si>
  <si>
    <t>Disney+ Hotstar's Subtitle Editor 2021-07-03T11:03:55.000Z</t>
  </si>
  <si>
    <t>stockindesign 2013-05-02T04:39:42.000Z</t>
  </si>
  <si>
    <t>Invisible Kahoot Name 2020-06-13T12:36:47.000Z</t>
  </si>
  <si>
    <t>Simple AWS Console App 2016-10-30T12:14:03.000Z</t>
  </si>
  <si>
    <t>IncrediMail 2015-10-13T09:21:05.000Z</t>
  </si>
  <si>
    <t>Netsuite XML 2018-10-15T10:00:25.000Z</t>
  </si>
  <si>
    <t>SelectionSK 2023-01-07T05:41:15.000Z</t>
  </si>
  <si>
    <t>QR URL 2014-04-01T03:47:03.000Z</t>
  </si>
  <si>
    <t>Internet Explorer Countdown Timer 2020-09-02T13:08:31.000Z</t>
  </si>
  <si>
    <t>GLPI Reminders 2019-04-05T15:16:31.000Z</t>
  </si>
  <si>
    <t>界图-图片批量下载 2022-01-25T06:48:01.000Z</t>
  </si>
  <si>
    <t>Определение CMS - iTrack 2020-11-19T10:20:17.000Z</t>
  </si>
  <si>
    <t>Reddit DownVoter 2013-06-17T16:46:15.000Z</t>
  </si>
  <si>
    <t>Popsters Addon for Twitter analysis 2023-08-17T07:02:04.000Z</t>
  </si>
  <si>
    <t>LiveInternet.Дневники Offline 2016-04-18T11:16:53.000Z</t>
  </si>
  <si>
    <t>Remote Torrent Adder 2021-10-16T13:23:32.000Z</t>
  </si>
  <si>
    <t>MS Teams Beautifier 2020-03-03T06:00:03.000Z</t>
  </si>
  <si>
    <t>Pericles: Text to Speech Screen Reader 2023-08-18T12:49:00.000Z</t>
  </si>
  <si>
    <t>CIP - Picture In Picture (AKA. PIP) player 2018-11-23T09:29:26.000Z</t>
  </si>
  <si>
    <t>Cookies一键清除工具 2013-09-02T14:19:16.000Z</t>
  </si>
  <si>
    <t>SEI Bot 2021-11-27T04:33:17.000Z</t>
  </si>
  <si>
    <t>Youtube Replay (YTReplay Magic) 2016-02-10T16:19:21.000Z</t>
  </si>
  <si>
    <t>Yet Another REST Client 2016-06-01T19:37:23.000Z</t>
  </si>
  <si>
    <t>NeoBux AdAlert 2022-06-03T07:29:33.000Z</t>
  </si>
  <si>
    <t>WP Strona Startowa 2020-09-29T06:11:18.000Z</t>
  </si>
  <si>
    <t>Self Butler 2022-02-03T04:15:14.000Z</t>
  </si>
  <si>
    <t>Lead Arena Extension 2023-07-23T04:28:04.000Z</t>
  </si>
  <si>
    <t>Чекко 2021-11-09T10:43:48.000Z</t>
  </si>
  <si>
    <t>集诚信网购助手 2020-05-01T12:57:14.000Z</t>
  </si>
  <si>
    <t>ProductionCrate Connect 2024-04-17T19:18:30.000Z</t>
  </si>
  <si>
    <t>Neutral 2023-12-28T06:20:23.000Z</t>
  </si>
  <si>
    <t>TF2Center Tools 2022-11-24T22:33:49.000Z</t>
  </si>
  <si>
    <t>Single html downloader 2021-01-22T02:48:30.000Z</t>
  </si>
  <si>
    <t>Traxia Print Plugin 2018-01-26T21:03:53.000Z</t>
  </si>
  <si>
    <t>Multi Search &amp; Multi Jump 2024-10-01T09:34:19.000Z</t>
  </si>
  <si>
    <t>Significado Dicionário Priberam 2022-02-15T21:06:23.000Z</t>
  </si>
  <si>
    <t>See On BoardGameGeek 2021-01-19T12:56:31.000Z</t>
  </si>
  <si>
    <t>Koi Pixiv Extension 2017-07-31T07:54:34.000Z</t>
  </si>
  <si>
    <t>Enhanced Floating Video Player (PIP) 2021-07-19T10:35:29.000Z</t>
  </si>
  <si>
    <t>Hide eBay Items and Sellers 2021-07-26T03:44:04.000Z</t>
  </si>
  <si>
    <t>Hide morning in Calendar 2021-08-10T07:21:43.000Z</t>
  </si>
  <si>
    <t>Feature Toggle Extension 2021-10-30T21:52:42.000Z</t>
  </si>
  <si>
    <t>Extended Browse for Netflix 2020-10-03T10:56:30.000Z</t>
  </si>
  <si>
    <t>Tumblr Tag Copy 2016-03-12T09:00:30.000Z</t>
  </si>
  <si>
    <t>Twishort 2015-05-04T09:39:40.000Z</t>
  </si>
  <si>
    <t>Yandex Access 2020-09-28T15:00:10.000Z</t>
  </si>
  <si>
    <t>Studentkortets Plugin 2022-05-31T05:24:24.000Z</t>
  </si>
  <si>
    <t>Mata 2015-05-19T17:32:31.000Z</t>
  </si>
  <si>
    <t>Javascript &amp; Css auto injection 2021-12-30T09:53:39.000Z</t>
  </si>
  <si>
    <t>Clippy 2024-10-22T10:42:38.000Z</t>
  </si>
  <si>
    <t>PotatoSmile 2014-06-15T08:13:18.000Z</t>
  </si>
  <si>
    <t>Album Downloader for Facebook 2020-11-24T07:02:38.000Z</t>
  </si>
  <si>
    <t>Free Accounting Software by SlickPie 2017-06-14T09:25:10.000Z</t>
  </si>
  <si>
    <t>Click&amp;listen for Spotify 2016-12-28T11:59:46.000Z</t>
  </si>
  <si>
    <t>e-typing plus 2020-09-21T05:08:45.000Z</t>
  </si>
  <si>
    <t>自动回复隐藏帖 2016-01-27T04:10:50.000Z</t>
  </si>
  <si>
    <t>Redux DevTools - Next 2022-01-11T19:27:11.000Z</t>
  </si>
  <si>
    <t>East Control 2022-05-31T05:05:07.000Z</t>
  </si>
  <si>
    <t>Bongo Screenshare Extension 2018-09-04T19:55:58.000Z</t>
  </si>
  <si>
    <t>Rate My Vandy Professors 2016-04-19T21:48:58.000Z</t>
  </si>
  <si>
    <t>LiveNotif - Aypierre 2019-07-03T18:21:29.000Z</t>
  </si>
  <si>
    <t>ESPN Cookie Finder 2021-11-02T05:53:25.000Z</t>
  </si>
  <si>
    <t>Tiddly Drive 2019-05-31T11:40:11.000Z</t>
  </si>
  <si>
    <t>CrossBrowserTesting GO 2019-08-19T16:21:33.000Z</t>
  </si>
  <si>
    <t>Seasonvar - разблокировка сериалов 2018-10-25T11:52:47.000Z</t>
  </si>
  <si>
    <t>Kluk 2020-08-22T06:35:35.000Z</t>
  </si>
  <si>
    <t>Symbols Copy and Paste 2022-07-26T10:28:30.000Z</t>
  </si>
  <si>
    <t>FicLab 2025-01-06T06:42:36.000Z</t>
  </si>
  <si>
    <t>Daltonize 2017-08-09T20:26:39.000Z</t>
  </si>
  <si>
    <t>Sweatyboi 2019-07-09T00:03:33.000Z</t>
  </si>
  <si>
    <t>copy-base64 2014-01-23T15:46:30.000Z</t>
  </si>
  <si>
    <t>Your Emoji Keyboard 2022-01-20T09:00:41.000Z</t>
  </si>
  <si>
    <t>Language Transliteration 2019-03-07T06:57:56.000Z</t>
  </si>
  <si>
    <t>VocabBoost 2021-04-18T16:04:13.000Z</t>
  </si>
  <si>
    <t>Fast.Com - Display Network Speed in Bytes. 2020-01-23T10:02:23.000Z</t>
  </si>
  <si>
    <t>HabitLab 2021-04-24T05:59:32.000Z</t>
  </si>
  <si>
    <t>AIO Search 2020-12-07T11:35:31.000Z</t>
  </si>
  <si>
    <t>Song Instrumental Extractor 2022-04-26T07:57:57.000Z</t>
  </si>
  <si>
    <t>Haikyuu New Tab 2020-12-30T05:15:34.000Z</t>
  </si>
  <si>
    <t>Autoplay No More 2023-08-21T07:57:05.000Z</t>
  </si>
  <si>
    <t>comSlider 2019-02-02T13:18:56.000Z</t>
  </si>
  <si>
    <t>What's My Lot? 2015-04-01T20:47:13.000Z</t>
  </si>
  <si>
    <t>RandomGen 2015-07-11T05:15:19.000Z</t>
  </si>
  <si>
    <t>CDN Headers &amp; Cookies 2019-03-23T06:26:42.000Z</t>
  </si>
  <si>
    <t>Web Clipper for Dropbox 2019-03-08T17:26:49.000Z</t>
  </si>
  <si>
    <t>Automatic Affiliate Link &amp; Cashback Generator 2022-07-05T07:11:20.000Z</t>
  </si>
  <si>
    <t>设计师的百宝箱 2016-12-04T06:59:36.000Z</t>
  </si>
  <si>
    <t>Simple Click Counter 2021-01-01T11:02:50.000Z</t>
  </si>
  <si>
    <t>mitoYDNA File 2021-09-07T17:20:12.000Z</t>
  </si>
  <si>
    <t>MAC&amp;PARDUS EBA Canlı Ders 2020-09-30T07:35:54.000Z</t>
  </si>
  <si>
    <t>vx 2020-04-04T17:20:17.000Z</t>
  </si>
  <si>
    <t>RegretsReporter 2022-12-14T13:02:33.000Z</t>
  </si>
  <si>
    <t>Jupyter Notebook Viewer 2022-05-01T05:15:58.000Z</t>
  </si>
  <si>
    <t>blackboard-collab-speed-control 2020-11-11T11:43:56.000Z</t>
  </si>
  <si>
    <t>Oke.io Link Shortener 2017-11-12T05:11:07.000Z</t>
  </si>
  <si>
    <t>Disney Wallpapers New Tab 2021-07-13T13:24:34.000Z</t>
  </si>
  <si>
    <t>ChromeOS Visual 2015-02-25T05:32:48.000Z</t>
  </si>
  <si>
    <t>Cesium 2023-08-25T10:31:23.000Z</t>
  </si>
  <si>
    <t>Verbatim Search 2016-03-19T22:37:18.000Z</t>
  </si>
  <si>
    <t>Victoria's Secret Celebrity Pics 2013-05-20T03:12:36.000Z</t>
  </si>
  <si>
    <t>AutoScroll 2018-11-21T23:12:00.000Z</t>
  </si>
  <si>
    <t>piZap Photo Editor 2015-07-03T20:07:54.000Z</t>
  </si>
  <si>
    <t>Freecycle + trash nothing! 2013-06-07T21:06:26.000Z</t>
  </si>
  <si>
    <t>Feed Intent Viewer 2012-08-20T14:50:09.000Z</t>
  </si>
  <si>
    <t>PicMonkey &gt; WordPress 2012-12-28T01:33:53.000Z</t>
  </si>
  <si>
    <t>Kit Ilias OpenCast Downloader 2022-02-01T14:00:02.000Z</t>
  </si>
  <si>
    <t>Pantograph 2021-03-17T07:55:19.000Z</t>
  </si>
  <si>
    <t>Storage Area Explorer 2022-03-14T10:14:47.000Z</t>
  </si>
  <si>
    <t>Sportsy - Sport Live Streams 2020-05-12T08:18:03.000Z</t>
  </si>
  <si>
    <t>Ranorex Selocity 2020-04-01T16:03:45.000Z</t>
  </si>
  <si>
    <t>Redirector 2020-03-27T16:03:02.000Z</t>
  </si>
  <si>
    <t>MultiHighlighter 2014-12-03T05:41:38.000Z</t>
  </si>
  <si>
    <t>Save Animated GIFs to Drive 2017-10-28T22:28:44.000Z</t>
  </si>
  <si>
    <t>Meu Dim Dim - Cashback e Cupons de Descontos 2022-11-23T23:31:25.000Z</t>
  </si>
  <si>
    <t>Chromescape Navigator 2017-01-27T04:24:37.000Z</t>
  </si>
  <si>
    <t>CORE Discovery 2020-10-02T09:57:27.000Z</t>
  </si>
  <si>
    <t>Tribalwars Millisecond Clock 2020-08-05T05:22:46.000Z</t>
  </si>
  <si>
    <t>CFCA CryptoKit.Midea Extension 2022-02-12T05:26:08.000Z</t>
  </si>
  <si>
    <t>Study Buddy 2021-10-13T09:34:53.000Z</t>
  </si>
  <si>
    <t>Codeforces Enhancer 2020-07-23T04:59:00.000Z</t>
  </si>
  <si>
    <t>Sequence Wallet 2024-06-10T20:56:26.000Z</t>
  </si>
  <si>
    <t>Blue Prism 6.10.1 Browser Extension 2022-12-06T12:40:26.000Z</t>
  </si>
  <si>
    <t>RTrack 2021-10-18T16:17:33.000Z</t>
  </si>
  <si>
    <t>UC Manager 2020-09-04T11:21:26.000Z</t>
  </si>
  <si>
    <t>智媒助理 2021-03-22T10:54:31.000Z</t>
  </si>
  <si>
    <t>Goal Reminder 2014-07-25T08:33:23.000Z</t>
  </si>
  <si>
    <t>Free QR Code Generator 2014-03-16T21:23:34.000Z</t>
  </si>
  <si>
    <t>트위치 투표 추첨기 2021-02-06T04:57:17.000Z</t>
  </si>
  <si>
    <t>EasyIQ IdP – Solrød Kommune 2023-12-04T11:53:55.000Z</t>
  </si>
  <si>
    <t>Speak Ai - Import &amp; Analyze Text 2021-04-23T10:33:41.000Z</t>
  </si>
  <si>
    <t>Rivals Board Enhancements 2020-08-27T05:25:30.000Z</t>
  </si>
  <si>
    <t>simPRO Email Integration 2020-07-24T10:37:53.000Z</t>
  </si>
  <si>
    <t>Adblock by RoundRobin 2023-03-12T06:36:28.000Z</t>
  </si>
  <si>
    <t>The Great Tab Suspender 2021-03-08T12:18:46.000Z</t>
  </si>
  <si>
    <t>Export Tabs 2016-12-15T22:55:31.000Z</t>
  </si>
  <si>
    <t>Foto Rulez 2013-06-17T22:02:37.000Z</t>
  </si>
  <si>
    <t>Browser EQ 2022-07-15T07:35:22.000Z</t>
  </si>
  <si>
    <t>Disig Web Signer 1.0.7 2016-10-19T08:57:53.000Z</t>
  </si>
  <si>
    <t>Atlas Obscura Tabs 2019-12-18T22:52:37.000Z</t>
  </si>
  <si>
    <t>MageSpecialist DevTools for Magento 2022-10-09T06:38:06.000Z</t>
  </si>
  <si>
    <t>Clutterboard 2020-10-01T04:23:31.000Z</t>
  </si>
  <si>
    <t>LinkRedirector 2019-05-29T04:13:16.000Z</t>
  </si>
  <si>
    <t>Hugo 2022-06-28T11:01:28.000Z</t>
  </si>
  <si>
    <t>Subtitles for netflix 2021-04-18T01:54:55.000Z</t>
  </si>
  <si>
    <t>Network Requests Download 2022-06-30T07:04:22.000Z</t>
  </si>
  <si>
    <t>Open in YouTube for YouTube Music 2020-12-19T13:12:09.000Z</t>
  </si>
  <si>
    <t>Tribal Wars Resource Buyer 2021-11-10T18:29:53.000Z</t>
  </si>
  <si>
    <t>梦想划词翻译—聚合词典搜索 2022-07-14T10:30:43.000Z</t>
  </si>
  <si>
    <t>UProc for LinkedIn 2023-05-11T08:43:50.000Z</t>
  </si>
  <si>
    <t>蜜图插件 - 花瓣的好帮手 2021-11-30T06:12:21.000Z</t>
  </si>
  <si>
    <t>Pingler 2015-11-18T22:41:12.000Z</t>
  </si>
  <si>
    <t>No Pinterest Results 2021-04-22T03:16:28.000Z</t>
  </si>
  <si>
    <t>Highlight All Occurrences 2018-10-09T07:55:08.000Z</t>
  </si>
  <si>
    <t>Block Ads 2021-02-07T13:04:50.000Z</t>
  </si>
  <si>
    <t>云盘助手 2019-11-21T10:23:30.000Z</t>
  </si>
  <si>
    <t>easyCalc 2021-02-04T19:33:15.000Z</t>
  </si>
  <si>
    <t>IFrame New Tab 2021-09-01T06:56:21.000Z</t>
  </si>
  <si>
    <t>Cookie Notice Blocker 2020-05-25T23:35:51.000Z</t>
  </si>
  <si>
    <t>Hotplate localhost SOCKS proxy setup 2021-12-23T07:05:07.000Z</t>
  </si>
  <si>
    <t>JScript tricks 2020-09-24T11:56:43.000Z</t>
  </si>
  <si>
    <t>Dark theme for Telegram's Web version 2020-04-17T05:22:07.000Z</t>
  </si>
  <si>
    <t>Advanced Embedder for YouTube 2015-08-25T02:32:16.000Z</t>
  </si>
  <si>
    <t>Удаление рекламы Вконтакте и Одноклассники 2016-07-29T08:53:45.000Z</t>
  </si>
  <si>
    <t>Word Counter Plus 2021-07-22T08:23:35.000Z</t>
  </si>
  <si>
    <t>딴게이 메모 2015-06-01T09:12:10.000Z</t>
  </si>
  <si>
    <t>AlphaSense Web Clipper 2024-12-20T07:26:47.000Z</t>
  </si>
  <si>
    <t>Hand-me-down for Google Meet 2021-03-06T01:11:28.000Z</t>
  </si>
  <si>
    <t>Custom New Tab Background 2021-04-15T05:01:41.000Z</t>
  </si>
  <si>
    <t>Justify 2016-04-23T11:45:22.000Z</t>
  </si>
  <si>
    <t>setInterval sniffer 2013-09-18T02:41:53.000Z</t>
  </si>
  <si>
    <t>You(Tube) don't stop! 2019-06-23T12:22:50.000Z</t>
  </si>
  <si>
    <t>Foundation Overlay 2014-10-18T23:35:34.000Z</t>
  </si>
  <si>
    <t>AxeSO Extension 2021-02-09T06:27:38.000Z</t>
  </si>
  <si>
    <t>DeviantArt Filter 2024-01-24T04:24:09.000Z</t>
  </si>
  <si>
    <t>Desktop For Instagram 2021-04-19T12:10:45.000Z</t>
  </si>
  <si>
    <t>ChatGT 2014-09-21T13:21:25.000Z</t>
  </si>
  <si>
    <t>Snooze Tabby 2019-03-08T17:29:08.000Z</t>
  </si>
  <si>
    <t>Flah - flash enabler 2020-02-23T12:45:53.000Z</t>
  </si>
  <si>
    <t>Grayscale Tool 2014-10-19T23:24:29.000Z</t>
  </si>
  <si>
    <t>Leet Repeet 2022-12-26T04:59:11.000Z</t>
  </si>
  <si>
    <t>PLATO CALENDAR 2021-10-04T10:21:04.000Z</t>
  </si>
  <si>
    <t>Find Emails on Websites and Social Networks 2022-04-22T07:59:45.000Z</t>
  </si>
  <si>
    <t>JaSON 2021-04-23T09:32:18.000Z</t>
  </si>
  <si>
    <t>Outbox for Tumblr 2023-06-28T22:39:26.000Z</t>
  </si>
  <si>
    <t>Mooc Assistant 2020-05-26T07:19:08.000Z</t>
  </si>
  <si>
    <t>Wizdler 2016-02-16T19:03:25.000Z</t>
  </si>
  <si>
    <t>My JSON Editor 2016-06-20T02:47:58.000Z</t>
  </si>
  <si>
    <t>Insights validator 2021-02-19T03:58:18.000Z</t>
  </si>
  <si>
    <t>Video Speed Controller 2021-04-12T05:42:01.000Z</t>
  </si>
  <si>
    <t>MikutchビデオPlus：再生速度&amp;ループ&amp;回転 2020-11-29T04:00:01.000Z</t>
  </si>
  <si>
    <t>Night Reader 2017-11-17T10:32:09.000Z</t>
  </si>
  <si>
    <t>Content Cop (Idubbbztv Meme) 2016-11-07T14:44:03.000Z</t>
  </si>
  <si>
    <t>All Cheat Sheets 2012-11-26T06:00:26.000Z</t>
  </si>
  <si>
    <t>Akamai Developer Toolkit 2021-01-27T12:28:59.000Z</t>
  </si>
  <si>
    <t>庖丁解语: 查词句/收集/背单词/造句 2020-06-03T10:58:30.000Z</t>
  </si>
  <si>
    <t>Tamil FM and Online Radios 2013-09-23T06:56:08.000Z</t>
  </si>
  <si>
    <t>WebScrapBook 2024-11-04T12:53:32.000Z</t>
  </si>
  <si>
    <t>Image zoom and drag 2020-05-28T05:03:44.000Z</t>
  </si>
  <si>
    <t>BetBotz - yobit.io 2017-09-21T07:28:32.000Z</t>
  </si>
  <si>
    <t>CRM Science - Admin Assistant 2017-03-23T18:01:28.000Z</t>
  </si>
  <si>
    <t>ParsVT Asterisk Connector 2024-12-02T12:28:34.000Z</t>
  </si>
  <si>
    <t>iboss Chromebook App Compatibility Plugin 2023-07-31T15:38:17.000Z</t>
  </si>
  <si>
    <t>Click Translate 2014-01-12T20:53:19.000Z</t>
  </si>
  <si>
    <t>DNArboretum 2018-04-14T04:13:47.000Z</t>
  </si>
  <si>
    <t>Shades 2016-07-08T04:30:47.000Z</t>
  </si>
  <si>
    <t>Custom Background Roblox 2021-12-17T04:54:57.000Z</t>
  </si>
  <si>
    <t>Kanban WIP for Trello 2017-08-02T04:49:47.000Z</t>
  </si>
  <si>
    <t>Chrome Sound Effects 2018-03-28T12:13:17.000Z</t>
  </si>
  <si>
    <t>Google Ad Blocker 2018-02-16T11:11:32.000Z</t>
  </si>
  <si>
    <t>Webcollect 2020-01-16T16:08:03.000Z</t>
  </si>
  <si>
    <t>Live CSS Editor 2014-12-03T07:40:57.000Z</t>
  </si>
  <si>
    <t>SEO Header Highlighter 2022-01-17T15:07:16.000Z</t>
  </si>
  <si>
    <t>GPA FPT University 2019-06-15T05:06:46.000Z</t>
  </si>
  <si>
    <t>Online News App 2022-01-30T07:50:07.000Z</t>
  </si>
  <si>
    <t>Bitmoji 2020-03-22T14:20:40.000Z</t>
  </si>
  <si>
    <t>Enecuum 2024-02-17T19:09:24.000Z</t>
  </si>
  <si>
    <t>VkOptOptOpt 2021-01-28T07:51:33.000Z</t>
  </si>
  <si>
    <t>Lectio Colors 2018-10-08T14:44:02.000Z</t>
  </si>
  <si>
    <t>Charset 2020-12-09T10:39:08.000Z</t>
  </si>
  <si>
    <t>Auto Screenshot Translator Extension 2021-04-06T05:06:21.000Z</t>
  </si>
  <si>
    <t>UpGuard Cyber Security Ratings 2021-01-13T07:08:55.000Z</t>
  </si>
  <si>
    <t>Youtube Resizer 2015-07-05T04:36:47.000Z</t>
  </si>
  <si>
    <t>IC naming extensions 2022-08-02T06:33:26.000Z</t>
  </si>
  <si>
    <t>Wikipedia Copy 2021-01-11T09:18:27.000Z</t>
  </si>
  <si>
    <t>Page Size Inspector 2021-06-04T05:56:32.000Z</t>
  </si>
  <si>
    <t>Zoho Mail Tracker 2021-12-04T17:13:46.000Z</t>
  </si>
  <si>
    <t>TTV LOL 2021-04-20T04:28:02.000Z</t>
  </si>
  <si>
    <t>Delta for YouTube 2016-11-20T19:21:18.000Z</t>
  </si>
  <si>
    <t>Dillinger 2014-01-19T00:53:56.000Z</t>
  </si>
  <si>
    <t>Motivation 2014-07-18T01:45:02.000Z</t>
  </si>
  <si>
    <t>Handle Stalker 2016-10-06T16:52:28.000Z</t>
  </si>
  <si>
    <t>Service Worker Detector 2023-10-04T05:21:36.000Z</t>
  </si>
  <si>
    <t>Furigana 2019-04-14T08:03:31.000Z</t>
  </si>
  <si>
    <t>VK Feed Tweaks (aka VK Spoilers) 2016-04-03T12:13:18.000Z</t>
  </si>
  <si>
    <t>Canvas Titans 2023-06-06T06:09:10.000Z</t>
  </si>
  <si>
    <t>SingleFileZ 2024-02-16T04:42:08.000Z</t>
  </si>
  <si>
    <t>Browser Stealth Mode 2021-03-11T10:15:25.000Z</t>
  </si>
  <si>
    <t>XML Editor 2023-10-16T04:59:21.000Z</t>
  </si>
  <si>
    <t>Neater Bookmarks 2014-11-19T23:17:52.000Z</t>
  </si>
  <si>
    <t>Gmail image fit 2021-01-21T11:44:52.000Z</t>
  </si>
  <si>
    <t>WA - Group Contacts Enhancement 2021-03-02T05:20:39.000Z</t>
  </si>
  <si>
    <t>Email Stationery</t>
  </si>
  <si>
    <t>Web Server for Chrome 2021-04-07T04:45:12.000Z</t>
  </si>
  <si>
    <t>ChromeHue for Philips Hue 2018-02-05T11:02:00.000Z</t>
  </si>
  <si>
    <t>Sticky Notes Tab 2020-09-21T04:46:06.000Z</t>
  </si>
  <si>
    <t>EazyCSS 2022-07-05T15:15:45.000Z</t>
  </si>
  <si>
    <t>Jiga 3D CAD Viewer for Gmail 2021-10-11T18:21:54.000Z</t>
  </si>
  <si>
    <t>Music Visualizer for YouTube™ Music 2021-04-25T21:31:12.000Z</t>
  </si>
  <si>
    <t>Live On 2013-09-07T02:29:27.000Z</t>
  </si>
  <si>
    <t>Roblox Dark Mode [BETA] 2021-01-27T04:45:01.000Z</t>
  </si>
  <si>
    <t>Netflix++ 2017-08-13T07:32:23.000Z</t>
  </si>
  <si>
    <t>English-Thai Dictionary แปลอังกฤษ-ไทย 2017-12-06T16:06:40.000Z</t>
  </si>
  <si>
    <t>LMUR 2018-12-29T04:51:45.000Z</t>
  </si>
  <si>
    <t>字体检测 2021-07-13T05:00:33.000Z</t>
  </si>
  <si>
    <t>Reflektive 2024-05-10T04:51:41.000Z</t>
  </si>
  <si>
    <t>Georgify 2013-10-20T19:27:50.000Z</t>
  </si>
  <si>
    <t>FPL Mini-League Stats Calculator 2017-08-24T22:23:48.000Z</t>
  </si>
  <si>
    <t>Alert Control 2018-06-20T20:02:05.000Z</t>
  </si>
  <si>
    <t>unsub.ME 2015-10-20T01:07:18.000Z</t>
  </si>
  <si>
    <t>Avatar Maker 2022-01-18T10:07:45.000Z</t>
  </si>
  <si>
    <t>Website Dimmer 2019-11-28T14:22:25.000Z</t>
  </si>
  <si>
    <t>Link Audit Checker - depricated. 2024-07-27T07:35:40.000Z</t>
  </si>
  <si>
    <t>MOO Color Picker 2021-12-03T08:15:20.000Z</t>
  </si>
  <si>
    <t>Deadline 2013-11-29T11:26:28.000Z</t>
  </si>
  <si>
    <t>Camera 2015-12-18T04:19:34.000Z</t>
  </si>
  <si>
    <t>KDE Connect 2024-08-27T07:16:37.000Z</t>
  </si>
  <si>
    <t>Browser SIP Phone 2021-04-01T07:08:29.000Z</t>
  </si>
  <si>
    <t>Super Mania Ball 2018-06-05T13:49:42.000Z</t>
  </si>
  <si>
    <t>e-pity - dodatek 2021-04-22T06:58:20.000Z</t>
  </si>
  <si>
    <t>北汽财务网银签名下载控件 2020-04-28T05:25:58.000Z</t>
  </si>
  <si>
    <t>Simple 2019-12-22T15:05:29.000Z</t>
  </si>
  <si>
    <t>Download Manager 2021-12-17T12:09:10.000Z</t>
  </si>
  <si>
    <t>My Grabillas History 2014-08-19T11:29:20.000Z</t>
  </si>
  <si>
    <t>Плагин для сайта www.nnm.me v2.0 2016-02-20T21:34:52.000Z</t>
  </si>
  <si>
    <t>Risk Calculator 2020-12-16T17:16:11.000Z</t>
  </si>
  <si>
    <t>ASO Tools for Google Play Store™ 2021-03-15T06:10:26.000Z</t>
  </si>
  <si>
    <t>Simple PONG 2020-07-29T05:02:37.000Z</t>
  </si>
  <si>
    <t>StopItKids parental control 2020-06-02T06:20:44.000Z</t>
  </si>
  <si>
    <t>Dark Theme for Yandex™ 2019-04-30T14:26:43.000Z</t>
  </si>
  <si>
    <t>bargainez coupons 2014-05-28T03:57:10.000Z</t>
  </si>
  <si>
    <t>Bob Extension 2022-09-22T10:25:32.000Z</t>
  </si>
  <si>
    <t>选课助手 2020-09-14T10:35:03.000Z</t>
  </si>
  <si>
    <t>Percipio ELSA 2023-10-21T16:46:01.000Z</t>
  </si>
  <si>
    <t>Easy Pen: Auto suggestions and auto complete 2020-08-11T06:18:56.000Z</t>
  </si>
  <si>
    <t>LinkMiner 2016-03-15T20:00:41.000Z</t>
  </si>
  <si>
    <t>CoinGecko Candy Collector 2024-05-26T04:17:49.000Z</t>
  </si>
  <si>
    <t>Tumblr images downloader 2021-10-14T07:01:37.000Z</t>
  </si>
  <si>
    <t>Roblox Stream Browser 2017-01-14T01:42:35.000Z</t>
  </si>
  <si>
    <t>Кинориум 2023-04-22T03:55:47.000Z</t>
  </si>
  <si>
    <t>Ultimate Sudoku 2019-10-01T09:08:08.000Z</t>
  </si>
  <si>
    <t>Page Monitor 2024-04-22T11:06:09.000Z</t>
  </si>
  <si>
    <t>Easy Share 2013-10-24T17:16:12.000Z</t>
  </si>
  <si>
    <t>uMatrix 2021-07-20T14:04:19.000Z</t>
  </si>
  <si>
    <t>Night Video Tuner 2024-10-06T03:30:25.000Z</t>
  </si>
  <si>
    <t>Download by extension 2014-10-24T08:16:28.000Z</t>
  </si>
  <si>
    <t>Black-shrimp 2019-06-13T00:03:06.000Z</t>
  </si>
  <si>
    <t>Müllmail Schnellzugriff 2022-11-27T08:20:44.000Z</t>
  </si>
  <si>
    <t>Color Picker 2012-12-06T20:11:59.000Z</t>
  </si>
  <si>
    <t>Urbilog Compéthance Assistant RGAA 2024-06-24T12:16:48.000Z</t>
  </si>
  <si>
    <t>CaptionPop 2021-07-27T11:08:08.000Z</t>
  </si>
  <si>
    <t>Кэшбэк для Алиэкспресс и иных - Zozi.ru 2021-09-25T07:06:05.000Z</t>
  </si>
  <si>
    <t>ProductivityTab — Custom Homepage Dashboard 2023-12-05T03:33:52.000Z</t>
  </si>
  <si>
    <t>Colour Changer 2017-10-26T12:20:10.000Z</t>
  </si>
  <si>
    <t>HDBooth 2016-04-05T13:21:58.000Z</t>
  </si>
  <si>
    <t>Duolibro 2016-08-03T07:10:15.000Z</t>
  </si>
  <si>
    <t>HashFair reborn 2017-12-03T05:40:31.000Z</t>
  </si>
  <si>
    <t>Show - Highlighter for Google Slides 2020-08-14T11:44:01.000Z</t>
  </si>
  <si>
    <t>Open with Overleaf 2016-12-16T10:04:13.000Z</t>
  </si>
  <si>
    <t>Simple Tab Carousel 2020-04-26T18:55:11.000Z</t>
  </si>
  <si>
    <t>Merch Writer for Merch by Amazon 2021-05-27T21:02:48.000Z</t>
  </si>
  <si>
    <t>Lorem ipsum generator (using keyboard only) 2013-07-06T14:46:47.000Z</t>
  </si>
  <si>
    <t>Helix Tab 2020-12-17T12:17:19.000Z</t>
  </si>
  <si>
    <t>GameSkip 2023-11-17T11:34:14.000Z</t>
  </si>
  <si>
    <t>ACF Tools 2021-04-22T03:23:46.000Z</t>
  </si>
  <si>
    <t>MOODLE Exam Solver 2021-05-12T10:58:26.000Z</t>
  </si>
  <si>
    <t>ARCHS4 2017-07-28T03:04:55.000Z</t>
  </si>
  <si>
    <t>Swift Snap (Window Resizer) 2023-09-24T03:01:09.000Z</t>
  </si>
  <si>
    <t>Keybase 2018-10-08T17:00:12.000Z</t>
  </si>
  <si>
    <t>Flix - Watch Netflix with your buddies! 2020-01-12T03:36:55.000Z</t>
  </si>
  <si>
    <t>Response Box 2019-01-04T22:55:58.000Z</t>
  </si>
  <si>
    <t>Last Tab Keeper 2012-07-22T11:33:50.000Z</t>
  </si>
  <si>
    <t>performance-HTML 2013-12-30T11:12:26.000Z</t>
  </si>
  <si>
    <t>WowApp SmartWeb 2023-05-18T08:42:26.000Z</t>
  </si>
  <si>
    <t>1-Click Extension Manager 2016-06-18T06:03:22.000Z</t>
  </si>
  <si>
    <t>自動価格比較／ショッピング検索（Auto Price Checker）[アプリ版] 2023-10-15T10:05:29.000Z</t>
  </si>
  <si>
    <t>Goodbye minecraftuser.jp 2020-10-19T07:52:01.000Z</t>
  </si>
  <si>
    <t>GamersClub Enchancer 2021-04-09T13:01:34.000Z</t>
  </si>
  <si>
    <t>Google Meet Attendance 2021-02-16T15:34:28.000Z</t>
  </si>
  <si>
    <t>Linux Mint online server 2020-03-08T10:08:20.000Z</t>
  </si>
  <si>
    <t>Mercator Studio for Google Meet 2021-06-01T04:07:39.000Z</t>
  </si>
  <si>
    <t>ColorPick Eyedropper 2023-06-18T00:56:53.000Z</t>
  </si>
  <si>
    <t>U-NEXTで検索 2021-03-23T07:09:29.000Z</t>
  </si>
  <si>
    <t>Prime Video ads skip 2020-05-04T08:37:11.000Z</t>
  </si>
  <si>
    <t>Krutidev To Unicode Converter 2020-12-25T06:51:41.000Z</t>
  </si>
  <si>
    <t>Asana Extension 2013-04-20T01:22:26.000Z</t>
  </si>
  <si>
    <t>Converter365 - Free online converter 2021-02-04T10:54:03.000Z</t>
  </si>
  <si>
    <t>Pagemarker 2013-10-02T18:01:46.000Z</t>
  </si>
  <si>
    <t>PHP Cloud Hosting 2013-04-08T08:06:08.000Z</t>
  </si>
  <si>
    <t>ignore-x-frame-headers 2021-09-01T09:49:04.000Z</t>
  </si>
  <si>
    <t>RSS Alarm 2022-06-18T08:57:46.000Z</t>
  </si>
  <si>
    <t>Heart React for Messenger 2020-04-08T12:43:37.000Z</t>
  </si>
  <si>
    <t>Smooth Cursorify 2022-03-10T19:02:12.000Z</t>
  </si>
  <si>
    <t>Google Dark Theme 2024-02-02T03:43:07.000Z</t>
  </si>
  <si>
    <t>CamlJS Console 2022-02-25T05:49:04.000Z</t>
  </si>
  <si>
    <t>blatube.com 2021-02-22T07:05:19.000Z</t>
  </si>
  <si>
    <t>BingeBox - Watch movies with voice chat 2020-07-25T11:58:24.000Z</t>
  </si>
  <si>
    <t>Simple Image Viewer 2022-05-04T15:16:55.000Z</t>
  </si>
  <si>
    <t>JapariPedia 2017-06-28T16:01:11.000Z</t>
  </si>
  <si>
    <t>AmzRun Keyword Rank Checker (Amazon) 2021-07-01T05:34:24.000Z</t>
  </si>
  <si>
    <t>Ancestry Media Download 2023-06-06T04:52:16.000Z</t>
  </si>
  <si>
    <t>CFCA CryptoKit.ESUNBank Extension 2020-12-25T11:06:14.000Z</t>
  </si>
  <si>
    <t>AWS Favicon Update 2019-09-08T02:32:40.000Z</t>
  </si>
  <si>
    <t>Serial Monitor 2014-05-05T13:42:35.000Z</t>
  </si>
  <si>
    <t>领星ERP助手 2024-12-20T07:50:26.000Z</t>
  </si>
  <si>
    <t>Cumulus Web 2021-01-06T06:28:11.000Z</t>
  </si>
  <si>
    <t>Fast New Tab Redirect 2016-08-14T08:09:45.000Z</t>
  </si>
  <si>
    <t>Khan Academy Language Toggle 2020-11-01T10:32:23.000Z</t>
  </si>
  <si>
    <t>4chan X 2024-11-21T20:58:13.000Z</t>
  </si>
  <si>
    <t>Untamed File Access 2016-09-07T07:17:36.000Z</t>
  </si>
  <si>
    <t>Downloads Button 2019-11-07T12:51:30.000Z</t>
  </si>
  <si>
    <t>Translate into Urdu 2022-07-30T10:29:09.000Z</t>
  </si>
  <si>
    <t>iqhr-extension 2021-11-04T12:53:14.000Z</t>
  </si>
  <si>
    <t>Skribbl.io AutoDraw 2023-03-09T10:56:31.000Z</t>
  </si>
  <si>
    <t>International On-Screen Keyboard 2024-04-07T09:56:56.000Z</t>
  </si>
  <si>
    <t>iinterests - Interests Extractor 2018-03-09T14:56:00.000Z</t>
  </si>
  <si>
    <t>D&amp;D Beyond Campaign DM Screen 2022-07-26T12:40:46.000Z</t>
  </si>
  <si>
    <t>Bookmark RecycleBin 2017-03-24T04:51:41.000Z</t>
  </si>
  <si>
    <t>Blue Prism 6.10.3 Browser Extension 2022-12-06T12:40:24.000Z</t>
  </si>
  <si>
    <t>VectorDrawable Previewer 2020-05-31T05:48:49.000Z</t>
  </si>
  <si>
    <t>Gmail Contacts Card Updater 2015-05-29T05:19:00.000Z</t>
  </si>
  <si>
    <t>DOM Distiller Reading Mode 2024-09-16T08:16:26.000Z</t>
  </si>
  <si>
    <t>PayWallBlocker 2021-03-17T13:34:21.000Z</t>
  </si>
  <si>
    <t>Name Lookup 2015-11-08T01:12:30.000Z</t>
  </si>
  <si>
    <t>Duolingo Appearance 2020-03-31T08:24:20.000Z</t>
  </si>
  <si>
    <t>ARIA Validator 2014-08-06T10:46:54.000Z</t>
  </si>
  <si>
    <t>QR Code Maker 2014-02-16T22:44:58.000Z</t>
  </si>
  <si>
    <t>G-Recorder 2022-06-04T13:05:37.000Z</t>
  </si>
  <si>
    <t>ScriptSafe 2017-12-12T18:45:47.000Z</t>
  </si>
  <si>
    <t>DriveCast 2020-01-13T12:08:12.000Z</t>
  </si>
  <si>
    <t>StopFlash Flash Blocker 2014-11-10T05:13:05.000Z</t>
  </si>
  <si>
    <t>Forex Corporate MT4 ChromeTrader 2015-07-05T05:43:47.000Z</t>
  </si>
  <si>
    <t>Copy &amp; Paste 2020-06-29T03:01:48.000Z</t>
  </si>
  <si>
    <t>Bugs! for Mac - Plugin for Google Chrome™ 2014-08-12T05:02:28.000Z</t>
  </si>
  <si>
    <t>Brightery Website Builder 2021-05-27T04:12:13.000Z</t>
  </si>
  <si>
    <t>Instapaper highlights exporter 2016-09-02T20:29:33.000Z</t>
  </si>
  <si>
    <t>城プロランチャー 2022-04-17T03:13:45.000Z</t>
  </si>
  <si>
    <t>Backgrounds Every Day 2020-08-04T08:12:58.000Z</t>
  </si>
  <si>
    <t>JDE-xpansion 2019-02-07T02:28:33.000Z</t>
  </si>
  <si>
    <t>Markit - Highlighter and Note Taker. 2019-11-14T00:02:46.000Z</t>
  </si>
  <si>
    <t>Open With IrfanView 2020-12-09T07:13:50.000Z</t>
  </si>
  <si>
    <t>Topics by SEOmonitor 2020-10-23T10:05:01.000Z</t>
  </si>
  <si>
    <t>SIGAA Rural 2019-09-17T17:25:44.000Z</t>
  </si>
  <si>
    <t>Power Dat Google Map Search Routing 2023-01-18T11:16:29.000Z</t>
  </si>
  <si>
    <t>Codechef Ranking 2014-06-16T19:47:27.000Z</t>
  </si>
  <si>
    <t>Eigenfactorizer 2014-12-22T19:40:27.000Z</t>
  </si>
  <si>
    <t>Bookching 2019-10-31T08:38:10.000Z</t>
  </si>
  <si>
    <t>Kanbanly 2024-06-04T05:00:28.000Z</t>
  </si>
  <si>
    <t>EZ-Link B&amp;H Photo Affiliate Tools 2018-07-25T22:14:45.000Z</t>
  </si>
  <si>
    <t>Chinese-English Dictionary 2020-12-24T07:55:46.000Z</t>
  </si>
  <si>
    <t>ScaleWallet 2022-07-28T05:18:03.000Z</t>
  </si>
  <si>
    <t>StepUp Daily Math and English Practice 2022-07-20T12:59:03.000Z</t>
  </si>
  <si>
    <t>Safe2Search 2024-04-08T05:26:30.000Z</t>
  </si>
  <si>
    <t>Chrome Color Picker 2023-08-04T10:15:03.000Z</t>
  </si>
  <si>
    <t>百度云直链 2021-02-23T08:32:13.000Z</t>
  </si>
  <si>
    <t>Drag Design 2014-02-13T18:08:17.000Z</t>
  </si>
  <si>
    <t>YouTube Ad skipper 100% Working 2020-12-27T13:34:20.000Z</t>
  </si>
  <si>
    <t>PDF Forcedownload Blocker 2013-08-11T10:28:51.000Z</t>
  </si>
  <si>
    <t>Contact Finder 2024-03-07T13:50:25.000Z</t>
  </si>
  <si>
    <t>TradingView Alerts 2024-01-22T12:29:53.000Z</t>
  </si>
  <si>
    <t>Punchtime for Trello 2018-05-30T02:47:43.000Z</t>
  </si>
  <si>
    <t>Godville UI+ 2016-04-28T07:28:11.000Z</t>
  </si>
  <si>
    <t>Google Meet Attendance: Participants to CSV 2022-08-30T07:29:14.000Z</t>
  </si>
  <si>
    <t>AlertSite DejaClick 2024-10-10T07:12:56.000Z</t>
  </si>
  <si>
    <t>Price Tabs - Amazon</t>
  </si>
  <si>
    <t>퀵숙 Quick Sookmyung 2023-10-24T12:44:03.000Z</t>
  </si>
  <si>
    <t>AZROTV FREE LIVE TV 2022-06-27T07:15:09.000Z</t>
  </si>
  <si>
    <t>RarityRanks 2021-12-23T10:16:45.000Z</t>
  </si>
  <si>
    <t>IPVT Screen Capturing 2018-01-03T01:51:30.000Z</t>
  </si>
  <si>
    <t>Grid View for Google Meet (Works) 2022-06-14T10:32:41.000Z</t>
  </si>
  <si>
    <t>Programmatically Proxy Switcher 2021-03-24T04:46:57.000Z</t>
  </si>
  <si>
    <t>BlackBoard Helper 2022-03-17T11:37:45.000Z</t>
  </si>
  <si>
    <t>Force Microsoft Yahei Font 2020-02-18T09:29:49.000Z</t>
  </si>
  <si>
    <t>ImageToText 2020-05-13T09:59:21.000Z</t>
  </si>
  <si>
    <t>Remove Citations 2018-01-08T19:19:22.000Z</t>
  </si>
  <si>
    <t>SP REST Client 2016-10-10T14:39:58.000Z</t>
  </si>
  <si>
    <t>Hyperlink Text Selector 2015-01-03T08:17:13.000Z</t>
  </si>
  <si>
    <t>Audio Equalizer 2022-12-12T05:32:28.000Z</t>
  </si>
  <si>
    <t>NotionX ( for Notion ) 2021-08-06T01:44:07.000Z</t>
  </si>
  <si>
    <t>My Webrequest 2016-12-28T06:59:40.000Z</t>
  </si>
  <si>
    <t>Phone to Chrome 2020-05-08T08:33:35.000Z</t>
  </si>
  <si>
    <t>Google Events [ANTP] 2013-10-22T22:06:42.000Z</t>
  </si>
  <si>
    <t>AlloyDesigner 2018-02-06T08:08:40.000Z</t>
  </si>
  <si>
    <t>Old Gmail chat 2017-08-27T09:21:38.000Z</t>
  </si>
  <si>
    <t>Gulp Devtools 2014-05-15T04:05:56.000Z</t>
  </si>
  <si>
    <t>Panopticlone 2015-12-21T14:17:35.000Z</t>
  </si>
  <si>
    <t>国外网站加速器 Googleapi Redirector 2019-04-23T07:33:12.000Z</t>
  </si>
  <si>
    <t>SlideShare Clipper 2017-02-12T17:11:17.000Z</t>
  </si>
  <si>
    <t>Youtube playback control 2017-09-12T06:06:03.000Z</t>
  </si>
  <si>
    <t>video-screenshot 2023-01-29T07:08:49.000Z</t>
  </si>
  <si>
    <t>비드바이코리아 구매대행 2021-05-11T12:11:58.000Z</t>
  </si>
  <si>
    <t>UPPward (Network Defence Security) 2022-06-17T09:35:57.000Z</t>
  </si>
  <si>
    <t>Stopbleed 2014-05-28T07:39:51.000Z</t>
  </si>
  <si>
    <t>Cellar: Amazon seller's country as you browse 2020-10-27T04:30:10.000Z</t>
  </si>
  <si>
    <t>Autoview 2024-09-08T22:52:48.000Z</t>
  </si>
  <si>
    <t>Save Inspect 2020-02-28T13:26:55.000Z</t>
  </si>
  <si>
    <t>Change Case 2024-09-02T03:28:09.000Z</t>
  </si>
  <si>
    <t>Copy Image URL 2020-04-27T11:12:19.000Z</t>
  </si>
  <si>
    <t>Mobile DevTools 2019-08-30T03:07:03.000Z</t>
  </si>
  <si>
    <t>BTS Random Lyrics 2019-03-06T09:14:34.000Z</t>
  </si>
  <si>
    <t>Niche Hunter 2022-02-20T12:56:23.000Z</t>
  </si>
  <si>
    <t>Virtual Tour for Google Street View™ 2015-11-07T01:28:21.000Z</t>
  </si>
  <si>
    <t>Video Editor for Chromebook &amp; more: Free app 2019-09-24T23:35:26.000Z</t>
  </si>
  <si>
    <t>速卖通客服助手 2024-10-11T10:05:32.000Z</t>
  </si>
  <si>
    <t>Forget about this site 2021-06-15T17:36:27.000Z</t>
  </si>
  <si>
    <t>Freebookshub - Download Free eBooks for UK 2013-04-24T20:43:21.000Z</t>
  </si>
  <si>
    <t>Open in Spotify desktop client 2022-06-06T10:09:35.000Z</t>
  </si>
  <si>
    <t>JSON Viewer 2019-01-31T11:49:57.000Z</t>
  </si>
  <si>
    <t>Tropic Storm Access 2018-09-24T16:38:05.000Z</t>
  </si>
  <si>
    <t>PhotoKit 2021-12-27T05:49:53.000Z</t>
  </si>
  <si>
    <t>HostAdmin 2013-08-17T13:36:17.000Z</t>
  </si>
  <si>
    <t>Black Box 2021-11-03T17:30:36.000Z</t>
  </si>
  <si>
    <t>Roblox Quick Access 2014-01-11T17:38:03.000Z</t>
  </si>
  <si>
    <t>Social Extractor 2022-02-03T13:52:20.000Z</t>
  </si>
  <si>
    <t>Backlog Power Ups 2024-10-11T11:16:53.000Z</t>
  </si>
  <si>
    <t>Turn off Youtube Comments toggle 2015-12-27T02:41:15.000Z</t>
  </si>
  <si>
    <t>dmm-cookie-neatrabbit 2015-08-05T09:31:32.000Z</t>
  </si>
  <si>
    <t>ScreenSnip 2020-04-05T17:14:27.000Z</t>
  </si>
  <si>
    <t>Password Viewer 2019-09-27T08:02:58.000Z</t>
  </si>
  <si>
    <t>Github Sequence Diagrams 2016-10-15T14:44:14.000Z</t>
  </si>
  <si>
    <t>Ayah a Day 2022-04-15T00:02:12.000Z</t>
  </si>
  <si>
    <t>SABconnect++ 2024-04-24T09:25:32.000Z</t>
  </si>
  <si>
    <t>Pastel Tab 2017-02-21T19:47:47.000Z</t>
  </si>
  <si>
    <t>Make ReCaptcha's "I'm not a robot" accurate 2023-08-20T09:54:44.000Z</t>
  </si>
  <si>
    <t>Right-Click Tureng 2022-07-15T06:16:53.000Z</t>
  </si>
  <si>
    <t>30k 2018-12-24T04:01:18.000Z</t>
  </si>
  <si>
    <t>Don't Visit - Block Sites 2019-09-30T01:42:30.000Z</t>
  </si>
  <si>
    <t>Fullscreen Anything 2014-01-09T12:14:31.000Z</t>
  </si>
  <si>
    <t>Better Browse for Netflix 2020-04-05T16:10:31.000Z</t>
  </si>
  <si>
    <t>Link Checker 2014-08-28T14:16:15.000Z</t>
  </si>
  <si>
    <t>Recruitment management system</t>
  </si>
  <si>
    <t>SearchMage 2023-03-13T06:09:15.000Z</t>
  </si>
  <si>
    <t>JustClip Web Clipper 2022-05-16T05:00:02.000Z</t>
  </si>
  <si>
    <t>Headline and Subject Line Generator 2019-06-03T06:32:05.000Z</t>
  </si>
  <si>
    <t>Bloqueador Ley Propiedad Intelectual 2022-04-09T11:57:58.000Z</t>
  </si>
  <si>
    <t>Wondershare DemoAir - Screen Recorder 2023-03-06T12:16:28.000Z</t>
  </si>
  <si>
    <t>Screen Recorder 2023-03-06T07:49:46.000Z</t>
  </si>
  <si>
    <t>Retina Check Extension 2017-11-30T22:02:16.000Z</t>
  </si>
  <si>
    <t>MailCheck 2015-02-03T10:03:44.000Z</t>
  </si>
  <si>
    <t>Melanto Calculator 2018-09-17T07:34:52.000Z</t>
  </si>
  <si>
    <t>Emotesly 2022-06-07T07:21:14.000Z</t>
  </si>
  <si>
    <t>Profile Picture Viewer 2023-12-07T02:48:04.000Z</t>
  </si>
  <si>
    <t>Forkfile Download Manager 2020-02-27T06:00:57.000Z</t>
  </si>
  <si>
    <t>RocketLink.io - Track any link you share 2019-12-16T13:14:17.000Z</t>
  </si>
  <si>
    <t>Virus Cleaner</t>
  </si>
  <si>
    <t>Extension manager for Chrome™ 2024-03-30T08:51:35.000Z</t>
  </si>
  <si>
    <t>Apt-linker 2013-10-12T12:44:30.000Z</t>
  </si>
  <si>
    <t>No rick-roll 2021-05-18T04:03:40.000Z</t>
  </si>
  <si>
    <t>Eloquent: Quick Capture and Highlighting 2023-06-09T09:13:37.000Z</t>
  </si>
  <si>
    <t>Emotee 2013-04-28T14:45:06.000Z</t>
  </si>
  <si>
    <t>Esportal Enhancer 2020-04-25T21:24:11.000Z</t>
  </si>
  <si>
    <t>Hacker Tab 2020-08-27T11:20:14.000Z</t>
  </si>
  <si>
    <t>Google Meet Attendees &amp; Breakout Rooms 2021-07-09T14:21:01.000Z</t>
  </si>
  <si>
    <t>Docx to HTML Converter 2020-06-02T06:53:56.000Z</t>
  </si>
  <si>
    <t>Testing Library: which query 2020-06-18T03:38:21.000Z</t>
  </si>
  <si>
    <t>Recent Bookmarks 2014-07-29T00:41:37.000Z</t>
  </si>
  <si>
    <t>JS RAM memory consumption : usedJSHeapSize 2016-11-14T12:36:51.000Z</t>
  </si>
  <si>
    <t>1Click Save Screenshot 2018-03-13T16:47:03.000Z</t>
  </si>
  <si>
    <t>Google Chat Themes 2021-05-31T06:59:27.000Z</t>
  </si>
  <si>
    <t>Chrome Image Uncenterer 2017-02-11T00:58:57.000Z</t>
  </si>
  <si>
    <t>InstaShare 2023-12-15T02:29:53.000Z</t>
  </si>
  <si>
    <t>Tăng Follow Theo Dõi TikTok 2020-07-06T04:46:32.000Z</t>
  </si>
  <si>
    <t>2x Speed 2019-07-18T02:48:55.000Z</t>
  </si>
  <si>
    <t>Rofocus: Increase your Focus and Productivity 2021-06-10T04:14:08.000Z</t>
  </si>
  <si>
    <t>Retrowave Radio 2016-03-28T07:55:37.000Z</t>
  </si>
  <si>
    <t>HTML template Gmail 2020-07-27T07:27:49.000Z</t>
  </si>
  <si>
    <t>知乎历史助手 2022-06-14T12:33:25.000Z</t>
  </si>
  <si>
    <t>NewTabTodo 2024-05-16T05:31:07.000Z</t>
  </si>
  <si>
    <t>Smart Websocket Client 2016-01-22T10:56:16.000Z</t>
  </si>
  <si>
    <t>My IP Address - Country/Browser/Blacklist ™ 2013-10-09T22:57:56.000Z</t>
  </si>
  <si>
    <t>CSTimer Makeover 2016-11-30T04:04:40.000Z</t>
  </si>
  <si>
    <t>Auto Refresh 2016-06-26T14:02:27.000Z</t>
  </si>
  <si>
    <t>Scholar Updates 2019-02-22T15:38:38.000Z</t>
  </si>
  <si>
    <t>iZhihu 2016-04-25T13:20:23.000Z</t>
  </si>
  <si>
    <t>slack emoji meister 2022-01-27T11:52:15.000Z</t>
  </si>
  <si>
    <t>FACEIT+ 2021-11-13T11:22:49.000Z</t>
  </si>
  <si>
    <t>Trial Anatomy Sprite Animator 2 2014-06-19T17:46:36.000Z</t>
  </si>
  <si>
    <t>CourseGem 2013-12-19T09:51:52.000Z</t>
  </si>
  <si>
    <t>TabNotes 2020-04-11T13:00:06.000Z</t>
  </si>
  <si>
    <t>Twitch DVR 2018-08-11T23:46:08.000Z</t>
  </si>
  <si>
    <t>Find That Email : Email Address Generator 2018-04-13T19:24:08.000Z</t>
  </si>
  <si>
    <t>Yu-Gi-Oh-Deck-Downloader 2016-11-15T11:51:58.000Z</t>
  </si>
  <si>
    <t>Chrome Extension for VMware Cloud Director 2020-05-29T03:47:48.000Z</t>
  </si>
  <si>
    <t>ChromeGateMJD 2019-03-08T13:33:58.000Z</t>
  </si>
  <si>
    <t>Svadba/Affiliact - Мультиаккаунт чаты/письма 2022-12-28T09:49:08.000Z</t>
  </si>
  <si>
    <t>Color Icons for Gmail 2019-06-05T17:38:02.000Z</t>
  </si>
  <si>
    <t>The Octa Domain Checker 2023-12-12T12:13:09.000Z</t>
  </si>
  <si>
    <t>Adaptive Bitrate Manifest Viewer 2022-07-14T08:35:37.000Z</t>
  </si>
  <si>
    <t>Memotes 2019-06-07T08:02:54.000Z</t>
  </si>
  <si>
    <t>Doigby 2016-09-16T15:49:07.000Z</t>
  </si>
  <si>
    <t>TypeScript-Console 2020-03-17T05:58:31.000Z</t>
  </si>
  <si>
    <t>RESTED APS 2018-06-01T14:55:37.000Z</t>
  </si>
  <si>
    <t>SPO View It 2020-07-09T12:30:15.000Z</t>
  </si>
  <si>
    <t>FEHeader 2022-07-06T10:30:52.000Z</t>
  </si>
  <si>
    <t>Greek Alphabet 2022-04-18T07:55:31.000Z</t>
  </si>
  <si>
    <t>single player ping pong 2018-04-19T16:52:43.000Z</t>
  </si>
  <si>
    <t>Monopoly Deal Online Plus 2017-02-02T21:47:17.000Z</t>
  </si>
  <si>
    <t>eID Chrome OS Extension 2022-07-01T03:44:35.000Z</t>
  </si>
  <si>
    <t>Add Doc to Classroom 2019-02-06T09:35:46.000Z</t>
  </si>
  <si>
    <t>Virtual Driving for Dollars 2022-09-30T19:16:03.000Z</t>
  </si>
  <si>
    <t>PowerSchool Grade Calculator 2023-06-15T15:08:01.000Z</t>
  </si>
  <si>
    <t>Planner Helper 2017-02-28T22:58:43.000Z</t>
  </si>
  <si>
    <t>IPBurger Proxy Manager 2021-09-14T16:50:04.000Z</t>
  </si>
  <si>
    <t>Diver - Web Traffic Monitor Tool 2019-03-08T17:35:45.000Z</t>
  </si>
  <si>
    <t>Screen Reader by UserWay 2021-06-10T10:42:58.000Z</t>
  </si>
  <si>
    <t>Media Grabber 2021-02-09T14:38:03.000Z</t>
  </si>
  <si>
    <t>Planet eStream Screen Capture 2019-02-04T16:04:24.000Z</t>
  </si>
  <si>
    <t>Simple Material Design Palette 2022-03-05T04:27:16.000Z</t>
  </si>
  <si>
    <t>Yandex Wordstat Keywords Add 2016-07-20T15:57:24.000Z</t>
  </si>
  <si>
    <t>Next Page 2014-09-17T02:05:11.000Z</t>
  </si>
  <si>
    <t>ClickUp RTL 2022-10-12T07:47:52.000Z</t>
  </si>
  <si>
    <t>Binance Toolkit 2021-03-24T05:30:26.000Z</t>
  </si>
  <si>
    <t>Ali Epacket 2022-01-01T06:21:49.000Z</t>
  </si>
  <si>
    <t>N-bot - Microsoft Teams Online class Attender 2021-07-24T05:44:00.000Z</t>
  </si>
  <si>
    <t>Statista4Students 2021-04-15T06:38:06.000Z</t>
  </si>
  <si>
    <t>Disqus Downvote Exposer 2020-01-07T06:50:10.000Z</t>
  </si>
  <si>
    <t>Marketplace Fox 2023-02-07T11:57:54.000Z</t>
  </si>
  <si>
    <t>13 Months</t>
  </si>
  <si>
    <t>F Business Leads 2023-06-18T07:45:30.000Z</t>
  </si>
  <si>
    <t>Catchpoint Script Recorder 2021-05-27T11:16:40.000Z</t>
  </si>
  <si>
    <t>SMG music display 2023-02-05T23:04:51.000Z</t>
  </si>
  <si>
    <t>GOK eProcurement Digital Signer 2024-12-26T05:36:48.000Z</t>
  </si>
  <si>
    <t>JW Lens 2023-03-10T04:33:19.000Z</t>
  </si>
  <si>
    <t>Stark VPN - Unlimited VPN Proxy 2022-01-25T04:22:57.000Z</t>
  </si>
  <si>
    <t>Exposure New Tab 2020-11-03T05:19:45.000Z</t>
  </si>
  <si>
    <t>Beam 2017-01-19T17:13:47.000Z</t>
  </si>
  <si>
    <t>Searchonymous 2023-07-20T07:24:40.000Z</t>
  </si>
  <si>
    <t>WordPress Dashboard Shortcut 2020-11-21T04:37:30.000Z</t>
  </si>
  <si>
    <t>Quick Domain WHOIS 2015-08-05T18:42:16.000Z</t>
  </si>
  <si>
    <t>YouTube™ TV Desktop 2022-02-13T04:32:48.000Z</t>
  </si>
  <si>
    <t>Adfly Notification Bypass 2023-06-19T10:41:46.000Z</t>
  </si>
  <si>
    <t>网易云音乐下载插件 2014-03-27T07:49:35.000Z</t>
  </si>
  <si>
    <t>Samespace Dock 2024-04-01T05:15:32.000Z</t>
  </si>
  <si>
    <t>Scissors 2023-07-11T14:54:53.000Z</t>
  </si>
  <si>
    <t>AcFun HTML5 Player 2021-12-08T08:44:54.000Z</t>
  </si>
  <si>
    <t>Keyword Grabber for Amazon Keywords 2017-10-18T04:03:57.000Z</t>
  </si>
  <si>
    <t>Kanbanello for Trello 2017-01-24T19:15:00.000Z</t>
  </si>
  <si>
    <t>LAN Portscanner 2015-11-20T19:53:05.000Z</t>
  </si>
  <si>
    <t>Focusmate - Supercharge Your Dashboard 2022-07-25T12:10:31.000Z</t>
  </si>
  <si>
    <t>Careerscore: Job Search Save Button 2022-08-23T07:50:37.000Z</t>
  </si>
  <si>
    <t>Apk Downloader by Appsapk 2020-05-07T07:16:57.000Z</t>
  </si>
  <si>
    <t>Custom Right-Click Menu 2021-02-10T12:12:52.000Z</t>
  </si>
  <si>
    <t>Twitch Ad Muter 2020-12-29T08:19:01.000Z</t>
  </si>
  <si>
    <t>Arinaz - For Amazon KDP 2020-11-11T06:51:42.000Z</t>
  </si>
  <si>
    <t>Jadisco.pl 2022-07-19T18:05:50.000Z</t>
  </si>
  <si>
    <t>Translator Instantaneous Above 2021-05-24T12:44:58.000Z</t>
  </si>
  <si>
    <t>VeilDuck 2020-05-26T07:39:21.000Z</t>
  </si>
  <si>
    <t>Programming Tips 2018-06-20T08:37:36.000Z</t>
  </si>
  <si>
    <t>Tab Bundler 2022-12-26T08:23:50.000Z</t>
  </si>
  <si>
    <t>TeamLogger 2021-05-26T06:27:45.000Z</t>
  </si>
  <si>
    <t>ProtectedSEARCH 2020-08-19T07:28:45.000Z</t>
  </si>
  <si>
    <t>9anime App | Watch Anime for Free 2021-10-04T09:30:47.000Z</t>
  </si>
  <si>
    <t>[DEPRECATED] Fanatical Assistant 2023-11-22T08:00:05.000Z</t>
  </si>
  <si>
    <t>Озвучка Михаил для OfflinePVZ Wildberries 2024-06-01T04:16:46.000Z</t>
  </si>
  <si>
    <t>I-Know 2021-05-06T01:56:03.000Z</t>
  </si>
  <si>
    <t>Shdr 2016-12-12T07:06:46.000Z</t>
  </si>
  <si>
    <t>艦これタイマー for Google Chrome™ 2013-09-11T06:20:07.000Z</t>
  </si>
  <si>
    <t>Overlay Clock 2024-01-22T06:49:55.000Z</t>
  </si>
  <si>
    <t>Avantajix Hatırlatıcı 2024-01-10T05:16:30.000Z</t>
  </si>
  <si>
    <t>Among Us Wallpapers New Tab 2021-04-08T03:28:31.000Z</t>
  </si>
  <si>
    <t>start.xyz - Video Backgrounds 2022-07-23T07:34:36.000Z</t>
  </si>
  <si>
    <t>Center Pages 2020-10-02T06:50:15.000Z</t>
  </si>
  <si>
    <t>买买买购物助手 2017-04-18T03:54:35.000Z</t>
  </si>
  <si>
    <t>Merch Mastermind Toolkit 2018-07-17T23:52:30.000Z</t>
  </si>
  <si>
    <t>Magnet To Peerflix 2017-05-19T16:41:02.000Z</t>
  </si>
  <si>
    <t>actiTIME Time Tracking &amp; Project Management 2023-05-10T11:06:36.000Z</t>
  </si>
  <si>
    <t>UI5 Development Tools 2016-03-14T07:25:41.000Z</t>
  </si>
  <si>
    <t>UoA MediaplayerPlus 2020-06-14T12:20:39.000Z</t>
  </si>
  <si>
    <t>Hangouts RTL fixer 2019-07-05T15:53:38.000Z</t>
  </si>
  <si>
    <t>YouTube Time 2020-11-30T10:15:30.000Z</t>
  </si>
  <si>
    <t>Smart Ads Finder 2020-10-14T04:55:46.000Z</t>
  </si>
  <si>
    <t>Bhagavad Gita 2013-09-26T01:20:50.000Z</t>
  </si>
  <si>
    <t>CSFD Vyhledáváni &amp; Rozšíření 2018-10-28T21:29:21.000Z</t>
  </si>
  <si>
    <t>Omelette News &amp; Language Learning 2022-07-15T04:09:13.000Z</t>
  </si>
  <si>
    <t>Immobilienscout24 Rendite und Mietpreis 2020-11-06T09:57:26.000Z</t>
  </si>
  <si>
    <t>Download Reddit™ Videos ~ RVDL 2021-07-15T14:01:19.000Z</t>
  </si>
  <si>
    <t>LiveKeyword by BiQ 2022-02-18T03:50:03.000Z</t>
  </si>
  <si>
    <t>Pop Art Studio Online 2012-11-30T21:02:50.000Z</t>
  </si>
  <si>
    <t>英辞郎 on the WEB 拡張機能 2021-07-07T14:56:56.000Z</t>
  </si>
  <si>
    <t>Close Figma Tab 2019-04-05T05:20:57.000Z</t>
  </si>
  <si>
    <t>Magoosh Vocabulary 2021-01-04T05:54:03.000Z</t>
  </si>
  <si>
    <t>Countdown to New Year's Day 2020-07-30T03:17:46.000Z</t>
  </si>
  <si>
    <t>Unspoiler 2014-01-24T00:11:13.000Z</t>
  </si>
  <si>
    <t>Startup Tracker 2016-03-10T15:33:01.000Z</t>
  </si>
  <si>
    <t>AutoSearch 2013-03-07T10:01:22.000Z</t>
  </si>
  <si>
    <t>Time Is Money 2021-05-17T04:40:10.000Z</t>
  </si>
  <si>
    <t>Best Reader View 2021-05-13T10:05:05.000Z</t>
  </si>
  <si>
    <t>PhotoTracker Lite 2021-04-19T04:32:50.000Z</t>
  </si>
  <si>
    <t>Girl's Day Daily 2013-12-22T19:03:23.000Z</t>
  </si>
  <si>
    <t>SSSnip! 2014-08-09T22:04:46.000Z</t>
  </si>
  <si>
    <t>Mute Tab Shortcuts 2021-10-13T07:22:05.000Z</t>
  </si>
  <si>
    <t>Agility RPA 2023-10-22T05:01:48.000Z</t>
  </si>
  <si>
    <t>Profit Sniper Strategy Finder Pro 2021-03-20T18:15:07.000Z</t>
  </si>
  <si>
    <t>taecel.com - Recarga Electrónica y Servicios 2020-09-15T16:40:00.000Z</t>
  </si>
  <si>
    <t>Age Counter 2017-07-15T19:16:38.000Z</t>
  </si>
  <si>
    <t>Bittrex Enhanced 2017-12-24T08:16:20.000Z</t>
  </si>
  <si>
    <t>AMZ Review to Order Matching 2022-10-02T06:02:38.000Z</t>
  </si>
  <si>
    <t>Ludwig Dictionary 2018-01-11T15:43:25.000Z</t>
  </si>
  <si>
    <t>Copy Real Url 2016-03-13T00:16:55.000Z</t>
  </si>
  <si>
    <t>IP Location Lookup Tool 2015-07-13T20:33:21.000Z</t>
  </si>
  <si>
    <t>AVIM - Vietnamese Input Method 2021-04-08T09:09:53.000Z</t>
  </si>
  <si>
    <t>Arduino Chrome Serial Monitor 2022-11-22T05:16:31.000Z</t>
  </si>
  <si>
    <t>LocalGalleryViewerExtension 2014-03-19T23:32:01.000Z</t>
  </si>
  <si>
    <t>Somiibo 2024-07-17T20:01:05.000Z</t>
  </si>
  <si>
    <t>Picture in Picture 2021-12-22T11:04:41.000Z</t>
  </si>
  <si>
    <t>MindHero 2024-02-08T11:15:38.000Z</t>
  </si>
  <si>
    <t>Command &amp; Conquer TA POIs Analyser 2013-10-21T09:58:30.000Z</t>
  </si>
  <si>
    <t>Viborg Skole/Dagtilbud login hjælper 2020-10-06T06:56:08.000Z</t>
  </si>
  <si>
    <t>Последняя вкладка браузера. 2018-07-20T10:48:20.000Z</t>
  </si>
  <si>
    <t>CFCA CryptoKit.cmcleasing Extension 2021-01-07T03:40:00.000Z</t>
  </si>
  <si>
    <t>Cursor Stickers 2021-10-18T02:14:32.000Z</t>
  </si>
  <si>
    <t>Tab Freezer 2022-11-15T17:47:19.000Z</t>
  </si>
  <si>
    <t>Remove Youtube Comments 2017-12-22T11:49:30.000Z</t>
  </si>
  <si>
    <t>WordXPress - WordPress fastest posting tool 2015-07-19T01:28:32.000Z</t>
  </si>
  <si>
    <t>Violentmonkey BETA 2024-12-19T10:58:05.000Z</t>
  </si>
  <si>
    <t>YellowHeart - Wallet 2022-11-21T18:24:58.000Z</t>
  </si>
  <si>
    <t>Tilt Shift 2012-11-30T21:03:21.000Z</t>
  </si>
  <si>
    <t>In Zoom 2019-05-17T08:03:25.000Z</t>
  </si>
  <si>
    <t>clipinc® 2023-09-04T13:37:07.000Z</t>
  </si>
  <si>
    <t>Tab Keeper 2015-03-14T19:28:22.000Z</t>
  </si>
  <si>
    <t>Relay DevTools 2017-09-28T22:47:58.000Z</t>
  </si>
  <si>
    <t>VIT WiFi Auto Login 2019-10-20T14:00:01.000Z</t>
  </si>
  <si>
    <t>WebLabel 2015-01-28T01:52:56.000Z</t>
  </si>
  <si>
    <t>FashionReps Tools 2019-03-03T11:55:04.000Z</t>
  </si>
  <si>
    <t>Messenger Unread 2021-05-06T03:50:07.000Z</t>
  </si>
  <si>
    <t>Remove Cookie Banners 2022-05-25T05:37:19.000Z</t>
  </si>
  <si>
    <t>Save to Cloud 2019-09-07T13:41:47.000Z</t>
  </si>
  <si>
    <t>Volume Manager PRO 2024-05-31T11:10:31.000Z</t>
  </si>
  <si>
    <t>Proxy SwitchyOmega 2020-11-22T22:10:17.000Z</t>
  </si>
  <si>
    <t>Sun-Asterisk Alert 2020-10-12T09:34:33.000Z</t>
  </si>
  <si>
    <t>Netflix Go 2016-01-26T20:45:01.000Z</t>
  </si>
  <si>
    <t>SpongeWise Flashcard Clipper 2018-10-16T01:08:56.000Z</t>
  </si>
  <si>
    <t>Filma24 | Filma dhe seriale me Titra Shqip HD 2020-11-10T08:50:13.000Z</t>
  </si>
  <si>
    <t>TagPredict 2019-12-17T13:42:41.000Z</t>
  </si>
  <si>
    <t>AdSkipper 2021-06-27T14:11:38.000Z</t>
  </si>
  <si>
    <t>autoPass 2023-12-19T04:10:33.000Z</t>
  </si>
  <si>
    <t>Hand Tool 2021-04-22T04:54:02.000Z</t>
  </si>
  <si>
    <t>MXO Extension 2023-02-07T07:50:05.000Z</t>
  </si>
  <si>
    <t>Drop Ship Supplier Scraper &amp; Lister 2021-12-04T05:33:10.000Z</t>
  </si>
  <si>
    <t>CoScreen 2023-10-25T06:41:08.000Z</t>
  </si>
  <si>
    <t>123 Password 2013-12-15T07:15:47.000Z</t>
  </si>
  <si>
    <t>Watchtower Online Library Search - Unofficial 2019-03-27T16:06:40.000Z</t>
  </si>
  <si>
    <t>quebrador de links 2013-09-22T03:01:58.000Z</t>
  </si>
  <si>
    <t>Runrun.it 2022-08-16T12:20:40.000Z</t>
  </si>
  <si>
    <t>Redirector 2013-07-28T04:46:59.000Z</t>
  </si>
  <si>
    <t>Vocabulary Highlighter 2019-09-22T16:02:54.000Z</t>
  </si>
  <si>
    <t>CFCA CryptoKit.CFAE Extension 2019-01-08T02:11:34.000Z</t>
  </si>
  <si>
    <t>HoofSounds 2019-04-05T02:58:44.000Z</t>
  </si>
  <si>
    <t>Select filter 2014-06-16T20:55:47.000Z</t>
  </si>
  <si>
    <t>Timer 2018-01-10T01:01:40.000Z</t>
  </si>
  <si>
    <t>TTSReader | Text to Speech In Page Reader 2023-02-16T05:57:06.000Z</t>
  </si>
  <si>
    <t>Popup Notes 2020-10-02T10:38:50.000Z</t>
  </si>
  <si>
    <t>Paytaca 2024-12-24T07:27:42.000Z</t>
  </si>
  <si>
    <t>Single Tab Zoom 2017-02-10T06:32:32.000Z</t>
  </si>
  <si>
    <t>https://chromewebstore.google.com/detail/ienkeacpabjckghdhdbogicopahccimc</t>
  </si>
  <si>
    <t>https://chromewebstore.google.com/detail/ondhkkolbekkggkoaealjellfcoecima</t>
  </si>
  <si>
    <t>https://chromewebstore.google.com/detail/hieejlcohhkjbpiihgphcnaaiehphike</t>
  </si>
  <si>
    <t>https://chromewebstore.google.com/detail/ojhbpfjdbcmlkmpcanmmachdgikeomoi</t>
  </si>
  <si>
    <t>https://chromewebstore.google.com/detail/pnigdoplofihnihlkaoenaijpkpgaoaa</t>
  </si>
  <si>
    <t>https://chromewebstore.google.com/detail/olddfhipinhhfbhhfodcnaalbcgmbida</t>
  </si>
  <si>
    <t>https://chromewebstore.google.com/detail/fljcgdiejmmkldmmpnoaijajjgpcncnb</t>
  </si>
  <si>
    <t>https://chromewebstore.google.com/detail/gofoiidmaddmkhlbdijenihhboliecop</t>
  </si>
  <si>
    <t>https://chromewebstore.google.com/detail/cohnecpfcfoihjedibnggaoaibnphoeo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</si>
</sst>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5" numFmtId="3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2" numFmtId="3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chromewebstore.google.com/detail/ofmmceeclfikkokflnpckaomdaojhpgd" TargetMode="External"/><Relationship Id="rId9618" Type="http://schemas.openxmlformats.org/officeDocument/2006/relationships/hyperlink" Target="https://chromewebstore.google.com/detail/ohfhlhjhkmnldjcbkaifnmppnimfolec" TargetMode="External"/><Relationship Id="rId9619" Type="http://schemas.openxmlformats.org/officeDocument/2006/relationships/hyperlink" Target="https://chromewebstore.google.com/detail/okdekadbjjhbnlmldheinccioijofhgc" TargetMode="External"/><Relationship Id="rId9613" Type="http://schemas.openxmlformats.org/officeDocument/2006/relationships/hyperlink" Target="https://chromewebstore.google.com/detail/hcohjlndjjikkfmiafbifjboghndpian" TargetMode="External"/><Relationship Id="rId9614" Type="http://schemas.openxmlformats.org/officeDocument/2006/relationships/hyperlink" Target="https://chromewebstore.google.com/detail/jcelngmdejifnkjgioppgemojfpbkejn" TargetMode="External"/><Relationship Id="rId9615" Type="http://schemas.openxmlformats.org/officeDocument/2006/relationships/hyperlink" Target="https://chromewebstore.google.com/detail/llcjbplmeedpplcgabakfhdikbgmajna" TargetMode="External"/><Relationship Id="rId9616" Type="http://schemas.openxmlformats.org/officeDocument/2006/relationships/hyperlink" Target="https://chromewebstore.google.com/detail/obeffifkdkfbpodhaoelcjdljgiapjnl" TargetMode="External"/><Relationship Id="rId9610" Type="http://schemas.openxmlformats.org/officeDocument/2006/relationships/hyperlink" Target="https://chromewebstore.google.com/detail/adddkaonokkecefokdanjpaamfajogel" TargetMode="External"/><Relationship Id="rId9611" Type="http://schemas.openxmlformats.org/officeDocument/2006/relationships/hyperlink" Target="https://chromewebstore.google.com/detail/fjpcnacjhlajeobikegbgeeelokemgdf" TargetMode="External"/><Relationship Id="rId9612" Type="http://schemas.openxmlformats.org/officeDocument/2006/relationships/hyperlink" Target="https://chromewebstore.google.com/detail/glfmlcifdhfpibfmokbcojfkbgfigeph" TargetMode="External"/><Relationship Id="rId9606" Type="http://schemas.openxmlformats.org/officeDocument/2006/relationships/hyperlink" Target="https://chromewebstore.google.com/detail/bocbjjpebcmehmadhaiefilfieahhcmo" TargetMode="External"/><Relationship Id="rId9607" Type="http://schemas.openxmlformats.org/officeDocument/2006/relationships/hyperlink" Target="https://chromewebstore.google.com/detail/dmnkmiehcabgdjcpgiedbmiecnpbcehd" TargetMode="External"/><Relationship Id="rId9608" Type="http://schemas.openxmlformats.org/officeDocument/2006/relationships/hyperlink" Target="https://chromewebstore.google.com/detail/kmeibikjccjlfedeklmlfahpfajefjan" TargetMode="External"/><Relationship Id="rId9609" Type="http://schemas.openxmlformats.org/officeDocument/2006/relationships/hyperlink" Target="https://chromewebstore.google.com/detail/oeinfjphgdddcbnhdalmaboomliefgph" TargetMode="External"/><Relationship Id="rId9602" Type="http://schemas.openxmlformats.org/officeDocument/2006/relationships/hyperlink" Target="https://chromewebstore.google.com/detail/ndpeceendngnjfcjldcjifnedbncfelj" TargetMode="External"/><Relationship Id="rId9603" Type="http://schemas.openxmlformats.org/officeDocument/2006/relationships/hyperlink" Target="https://chromewebstore.google.com/detail/niogomcjkbmleicffcajlnfnlgeigafa" TargetMode="External"/><Relationship Id="rId9604" Type="http://schemas.openxmlformats.org/officeDocument/2006/relationships/hyperlink" Target="https://chromewebstore.google.com/detail/nkglplbcmeamjpiegkcjhfogcjfggjjp" TargetMode="External"/><Relationship Id="rId9605" Type="http://schemas.openxmlformats.org/officeDocument/2006/relationships/hyperlink" Target="https://chromewebstore.google.com/detail/alobgnedpnalbocldljnakbbaemakhih" TargetMode="External"/><Relationship Id="rId9600" Type="http://schemas.openxmlformats.org/officeDocument/2006/relationships/hyperlink" Target="https://chromewebstore.google.com/detail/mahhgdkliaknjffpmocpaglcoljnhodn" TargetMode="External"/><Relationship Id="rId9601" Type="http://schemas.openxmlformats.org/officeDocument/2006/relationships/hyperlink" Target="https://chromewebstore.google.com/detail/mhnlmghkfmjoodmlfggpedcffnaffkfa" TargetMode="External"/><Relationship Id="rId8309" Type="http://schemas.openxmlformats.org/officeDocument/2006/relationships/hyperlink" Target="https://chromewebstore.google.com/detail/dgmbfhhnljmmokimpapbpjkhnlgfolid" TargetMode="External"/><Relationship Id="rId8308" Type="http://schemas.openxmlformats.org/officeDocument/2006/relationships/hyperlink" Target="https://chromewebstore.google.com/detail/bmanfdammpmhpjpmdjpnbhmfbnminbkb" TargetMode="External"/><Relationship Id="rId9639" Type="http://schemas.openxmlformats.org/officeDocument/2006/relationships/hyperlink" Target="https://chromewebstore.google.com/detail/mhdidjpeopgpmlknlinmkplhbgopjegj" TargetMode="External"/><Relationship Id="rId9630" Type="http://schemas.openxmlformats.org/officeDocument/2006/relationships/hyperlink" Target="https://chromewebstore.google.com/detail/lkcampbojgmgobcfinlkgkodlnlpjieb" TargetMode="External"/><Relationship Id="rId8303" Type="http://schemas.openxmlformats.org/officeDocument/2006/relationships/hyperlink" Target="https://chromewebstore.google.com/detail/ghoealjfjjibhhdhialmimmmgoaeagbc" TargetMode="External"/><Relationship Id="rId9635" Type="http://schemas.openxmlformats.org/officeDocument/2006/relationships/hyperlink" Target="https://chromewebstore.google.com/detail/ebedfcjmndjbaboecddbbjjjoleddfap" TargetMode="External"/><Relationship Id="rId8302" Type="http://schemas.openxmlformats.org/officeDocument/2006/relationships/hyperlink" Target="https://chromewebstore.google.com/detail/aaihhjepepgajmehjdmfkofegfddcabc" TargetMode="External"/><Relationship Id="rId9636" Type="http://schemas.openxmlformats.org/officeDocument/2006/relationships/hyperlink" Target="https://chromewebstore.google.com/detail/gicpnnockilhclmgekhdnnjokdmlfhmk" TargetMode="External"/><Relationship Id="rId8301" Type="http://schemas.openxmlformats.org/officeDocument/2006/relationships/hyperlink" Target="https://chromewebstore.google.com/detail/pdiedadcnaailaknceakckfffhfjiagd" TargetMode="External"/><Relationship Id="rId9637" Type="http://schemas.openxmlformats.org/officeDocument/2006/relationships/hyperlink" Target="https://chromewebstore.google.com/detail/gnklcijclemdlllfmlonfbaoampbiiee" TargetMode="External"/><Relationship Id="rId8300" Type="http://schemas.openxmlformats.org/officeDocument/2006/relationships/hyperlink" Target="https://chromewebstore.google.com/detail/fnjkimblohniildfepjhejeppenokhie" TargetMode="External"/><Relationship Id="rId9638" Type="http://schemas.openxmlformats.org/officeDocument/2006/relationships/hyperlink" Target="https://chromewebstore.google.com/detail/jddigbonbobbfkgbebpmpffppmgmnnoa" TargetMode="External"/><Relationship Id="rId8307" Type="http://schemas.openxmlformats.org/officeDocument/2006/relationships/hyperlink" Target="https://chromewebstore.google.com/detail/amllnakjfhdjjlebenhjmheboaojeplk" TargetMode="External"/><Relationship Id="rId9631" Type="http://schemas.openxmlformats.org/officeDocument/2006/relationships/hyperlink" Target="https://chromewebstore.google.com/detail/pjhjdjhaadgebfgcaodcoodllgihlmml" TargetMode="External"/><Relationship Id="rId8306" Type="http://schemas.openxmlformats.org/officeDocument/2006/relationships/hyperlink" Target="https://chromewebstore.google.com/detail/iofhakjmgneodeccneehnnbfpmgmcelc" TargetMode="External"/><Relationship Id="rId9632" Type="http://schemas.openxmlformats.org/officeDocument/2006/relationships/hyperlink" Target="https://chromewebstore.google.com/detail/amocooflhobdfdnlkpdnapkcafolalhh" TargetMode="External"/><Relationship Id="rId8305" Type="http://schemas.openxmlformats.org/officeDocument/2006/relationships/hyperlink" Target="https://chromewebstore.google.com/detail/lmdjfpiidgmpcdfdjkhnlennkobbmbpk" TargetMode="External"/><Relationship Id="rId9633" Type="http://schemas.openxmlformats.org/officeDocument/2006/relationships/hyperlink" Target="https://chromewebstore.google.com/detail/edbhcnncibhjdeflaagkbdklifcdklmc" TargetMode="External"/><Relationship Id="rId8304" Type="http://schemas.openxmlformats.org/officeDocument/2006/relationships/hyperlink" Target="https://chromewebstore.google.com/detail/iklaoaeikobdklaggagbapdkhamhdjoc" TargetMode="External"/><Relationship Id="rId9634" Type="http://schemas.openxmlformats.org/officeDocument/2006/relationships/hyperlink" Target="https://chromewebstore.google.com/detail/fccdnjdddfffdbefafflgcmfaelhhmki" TargetMode="External"/><Relationship Id="rId9628" Type="http://schemas.openxmlformats.org/officeDocument/2006/relationships/hyperlink" Target="https://chromewebstore.google.com/detail/kfiafdpdemicicjnfadpklcolhjghggp" TargetMode="External"/><Relationship Id="rId9629" Type="http://schemas.openxmlformats.org/officeDocument/2006/relationships/hyperlink" Target="https://chromewebstore.google.com/detail/leliihmdckgmccamkmgkiikjecbedapi" TargetMode="External"/><Relationship Id="rId9624" Type="http://schemas.openxmlformats.org/officeDocument/2006/relationships/hyperlink" Target="https://chromewebstore.google.com/detail/effgbafpgcdenijiomikgadejhkdkacj" TargetMode="External"/><Relationship Id="rId9625" Type="http://schemas.openxmlformats.org/officeDocument/2006/relationships/hyperlink" Target="https://chromewebstore.google.com/detail/foapohjmcdnoijommffjdbefjpakplej" TargetMode="External"/><Relationship Id="rId9626" Type="http://schemas.openxmlformats.org/officeDocument/2006/relationships/hyperlink" Target="https://chromewebstore.google.com/detail/hblcpgekfpenakehekkfgoadijffdhne" TargetMode="External"/><Relationship Id="rId9627" Type="http://schemas.openxmlformats.org/officeDocument/2006/relationships/hyperlink" Target="https://chromewebstore.google.com/detail/jkhgkkhkokkebajnhmogconodclkopdh" TargetMode="External"/><Relationship Id="rId9620" Type="http://schemas.openxmlformats.org/officeDocument/2006/relationships/hyperlink" Target="https://chromewebstore.google.com/detail/bgeaeknaoamgljjbckgjkmkelcmpkobk" TargetMode="External"/><Relationship Id="rId9621" Type="http://schemas.openxmlformats.org/officeDocument/2006/relationships/hyperlink" Target="https://chromewebstore.google.com/detail/dkmkngddjdildamjdkadffknbegcmebg" TargetMode="External"/><Relationship Id="rId9622" Type="http://schemas.openxmlformats.org/officeDocument/2006/relationships/hyperlink" Target="https://chromewebstore.google.com/detail/dmcpbelgocmkmgbbpndggbilfljilkgk" TargetMode="External"/><Relationship Id="rId9623" Type="http://schemas.openxmlformats.org/officeDocument/2006/relationships/hyperlink" Target="https://chromewebstore.google.com/detail/eafophjfgcoikfppaofnalpppeckgoed" TargetMode="External"/><Relationship Id="rId2180" Type="http://schemas.openxmlformats.org/officeDocument/2006/relationships/hyperlink" Target="https://chromewebstore.google.com/detail/ldggikfajgoedghjnflfafiiheagngoa" TargetMode="External"/><Relationship Id="rId2181" Type="http://schemas.openxmlformats.org/officeDocument/2006/relationships/hyperlink" Target="https://chromewebstore.google.com/detail/leaelofgmagckmmamhooghbpmkgogioa" TargetMode="External"/><Relationship Id="rId2182" Type="http://schemas.openxmlformats.org/officeDocument/2006/relationships/hyperlink" Target="https://chromewebstore.google.com/detail/lfpfbgeoodeejmjdlfjbfjkemjlblijg" TargetMode="External"/><Relationship Id="rId2183" Type="http://schemas.openxmlformats.org/officeDocument/2006/relationships/hyperlink" Target="https://chromewebstore.google.com/detail/lidhbccbajehjnpfjpnamoiemcnhhnki" TargetMode="External"/><Relationship Id="rId2184" Type="http://schemas.openxmlformats.org/officeDocument/2006/relationships/hyperlink" Target="https://chromewebstore.google.com/detail/lifkjlojflekabbmlddfccdkphlelmim" TargetMode="External"/><Relationship Id="rId2185" Type="http://schemas.openxmlformats.org/officeDocument/2006/relationships/hyperlink" Target="https://chromewebstore.google.com/detail/ljbkkbbbcalchmohbdlkjabljkgpmjkg" TargetMode="External"/><Relationship Id="rId2186" Type="http://schemas.openxmlformats.org/officeDocument/2006/relationships/hyperlink" Target="https://chromewebstore.google.com/detail/lkciiknpgglgbbcgcpbpobjabglmpkle" TargetMode="External"/><Relationship Id="rId2187" Type="http://schemas.openxmlformats.org/officeDocument/2006/relationships/hyperlink" Target="https://chromewebstore.google.com/detail/llcpfkbjgkpmapiidpnohffjmmnhpmpb" TargetMode="External"/><Relationship Id="rId2188" Type="http://schemas.openxmlformats.org/officeDocument/2006/relationships/hyperlink" Target="https://chromewebstore.google.com/detail/lllhkijapbmlekoldcoohglpihmcjdgj" TargetMode="External"/><Relationship Id="rId2189" Type="http://schemas.openxmlformats.org/officeDocument/2006/relationships/hyperlink" Target="https://chromewebstore.google.com/detail/loaliagmjmjbnoofnckpbbnjcoooodgk" TargetMode="External"/><Relationship Id="rId2170" Type="http://schemas.openxmlformats.org/officeDocument/2006/relationships/hyperlink" Target="https://chromewebstore.google.com/detail/kepnpjhambipllfmgmbapncekcmabkol" TargetMode="External"/><Relationship Id="rId2171" Type="http://schemas.openxmlformats.org/officeDocument/2006/relationships/hyperlink" Target="https://chromewebstore.google.com/detail/kljjfejkagofbgklifblndjelgabcmig" TargetMode="External"/><Relationship Id="rId2172" Type="http://schemas.openxmlformats.org/officeDocument/2006/relationships/hyperlink" Target="https://chromewebstore.google.com/detail/klojbfbefcejadioohmnkhjmbmecfapg" TargetMode="External"/><Relationship Id="rId2173" Type="http://schemas.openxmlformats.org/officeDocument/2006/relationships/hyperlink" Target="https://chromewebstore.google.com/detail/kmhbjbgkpaceeioiadjkfinjbckgckim" TargetMode="External"/><Relationship Id="rId2174" Type="http://schemas.openxmlformats.org/officeDocument/2006/relationships/hyperlink" Target="https://chromewebstore.google.com/detail/kogbclhgkcabffpgfjnilcflhmcbelao" TargetMode="External"/><Relationship Id="rId2175" Type="http://schemas.openxmlformats.org/officeDocument/2006/relationships/hyperlink" Target="https://chromewebstore.google.com/detail/kpldbmkpocjcmmfibhekikdmljaiepkh" TargetMode="External"/><Relationship Id="rId2176" Type="http://schemas.openxmlformats.org/officeDocument/2006/relationships/hyperlink" Target="https://chromewebstore.google.com/detail/kppcmdpolcfihnkfbngahdofkdnfbkan" TargetMode="External"/><Relationship Id="rId2177" Type="http://schemas.openxmlformats.org/officeDocument/2006/relationships/hyperlink" Target="https://chromewebstore.google.com/detail/laapobniolmbhnkldepjnebendehhmmf" TargetMode="External"/><Relationship Id="rId2178" Type="http://schemas.openxmlformats.org/officeDocument/2006/relationships/hyperlink" Target="https://chromewebstore.google.com/detail/lapmmaaniipbdelgagpdaplgfagojkfo" TargetMode="External"/><Relationship Id="rId2179" Type="http://schemas.openxmlformats.org/officeDocument/2006/relationships/hyperlink" Target="https://chromewebstore.google.com/detail/ldabplgpogjknofonmccpbgeoolbcbfm" TargetMode="External"/><Relationship Id="rId2190" Type="http://schemas.openxmlformats.org/officeDocument/2006/relationships/hyperlink" Target="https://chromewebstore.google.com/detail/lpbcdclphldcjoodmkbkncballmicnlf" TargetMode="External"/><Relationship Id="rId2191" Type="http://schemas.openxmlformats.org/officeDocument/2006/relationships/hyperlink" Target="https://chromewebstore.google.com/detail/lpoohbdbmggiknlpcmhhdkpaclfcdapk" TargetMode="External"/><Relationship Id="rId2192" Type="http://schemas.openxmlformats.org/officeDocument/2006/relationships/hyperlink" Target="https://chromewebstore.google.com/detail/maolmdhneopinciaokgohljhpdedekee" TargetMode="External"/><Relationship Id="rId2193" Type="http://schemas.openxmlformats.org/officeDocument/2006/relationships/hyperlink" Target="https://chromewebstore.google.com/detail/mfcjpbmafdljmciineiieedkcbeikkpo" TargetMode="External"/><Relationship Id="rId2194" Type="http://schemas.openxmlformats.org/officeDocument/2006/relationships/hyperlink" Target="https://chromewebstore.google.com/detail/mfhbebgoclkghebffdldpobeajmbecfk" TargetMode="External"/><Relationship Id="rId2195" Type="http://schemas.openxmlformats.org/officeDocument/2006/relationships/hyperlink" Target="https://chromewebstore.google.com/detail/mgbooaaepjbekhhecpohjoffkpfgmedj" TargetMode="External"/><Relationship Id="rId2196" Type="http://schemas.openxmlformats.org/officeDocument/2006/relationships/hyperlink" Target="https://chromewebstore.google.com/detail/mgecoicpalmpphlgfkdepgpofjcnggkn" TargetMode="External"/><Relationship Id="rId2197" Type="http://schemas.openxmlformats.org/officeDocument/2006/relationships/hyperlink" Target="https://chromewebstore.google.com/detail/mhnpkmeebbfbkfngldjjcfihmpimibjd" TargetMode="External"/><Relationship Id="rId2198" Type="http://schemas.openxmlformats.org/officeDocument/2006/relationships/hyperlink" Target="https://chromewebstore.google.com/detail/mieolfcieffnpnopbldmdnkmdopibgpj" TargetMode="External"/><Relationship Id="rId2199" Type="http://schemas.openxmlformats.org/officeDocument/2006/relationships/hyperlink" Target="https://chromewebstore.google.com/detail/mifjlfhembandabikpiehhokhdepbdai" TargetMode="External"/><Relationship Id="rId7030" Type="http://schemas.openxmlformats.org/officeDocument/2006/relationships/hyperlink" Target="https://chromewebstore.google.com/detail/dnnaekppbdlfpccahbhnnfghfjlgfjdd" TargetMode="External"/><Relationship Id="rId8361" Type="http://schemas.openxmlformats.org/officeDocument/2006/relationships/hyperlink" Target="https://chromewebstore.google.com/detail/clokkgjofkeiehldpmkmpdbhehjkajkh" TargetMode="External"/><Relationship Id="rId9693" Type="http://schemas.openxmlformats.org/officeDocument/2006/relationships/hyperlink" Target="https://chromewebstore.google.com/detail/nakjpadjkbgglmecflakfmapmdnlkeng" TargetMode="External"/><Relationship Id="rId8360" Type="http://schemas.openxmlformats.org/officeDocument/2006/relationships/hyperlink" Target="https://chromewebstore.google.com/detail/phknhncjbkehihhchhllabhlggjlenai" TargetMode="External"/><Relationship Id="rId9694" Type="http://schemas.openxmlformats.org/officeDocument/2006/relationships/hyperlink" Target="https://chromewebstore.google.com/detail/pclgcppjlhbccgpgflbijnhekejnbjmb" TargetMode="External"/><Relationship Id="rId9695" Type="http://schemas.openxmlformats.org/officeDocument/2006/relationships/hyperlink" Target="https://chromewebstore.google.com/detail/amkpabkldfondhfldmecnfjlmjencfbf" TargetMode="External"/><Relationship Id="rId9696" Type="http://schemas.openxmlformats.org/officeDocument/2006/relationships/hyperlink" Target="https://chromewebstore.google.com/detail/aooohipcpangghmcpkjhcolnagaihglj" TargetMode="External"/><Relationship Id="rId7034" Type="http://schemas.openxmlformats.org/officeDocument/2006/relationships/hyperlink" Target="https://chromewebstore.google.com/detail/ekjjmfmbokeceeeblblppmgkcenhncii" TargetMode="External"/><Relationship Id="rId8365" Type="http://schemas.openxmlformats.org/officeDocument/2006/relationships/hyperlink" Target="https://chromewebstore.google.com/detail/fejaaaadapfieghheckpobhppccjlelm" TargetMode="External"/><Relationship Id="rId7033" Type="http://schemas.openxmlformats.org/officeDocument/2006/relationships/hyperlink" Target="https://chromewebstore.google.com/detail/cphpiaeghkgaodcpcepgboloofaajjib" TargetMode="External"/><Relationship Id="rId8364" Type="http://schemas.openxmlformats.org/officeDocument/2006/relationships/hyperlink" Target="https://chromewebstore.google.com/detail/eodlnheadifbpibmclblocmkbjmfofff" TargetMode="External"/><Relationship Id="rId9690" Type="http://schemas.openxmlformats.org/officeDocument/2006/relationships/hyperlink" Target="https://chromewebstore.google.com/detail/iffkflhcbfgfcendldlddpgpfbikibjd" TargetMode="External"/><Relationship Id="rId7032" Type="http://schemas.openxmlformats.org/officeDocument/2006/relationships/hyperlink" Target="https://chromewebstore.google.com/detail/ameeofcdajhecafdkmmobeolonenpdmk" TargetMode="External"/><Relationship Id="rId8363" Type="http://schemas.openxmlformats.org/officeDocument/2006/relationships/hyperlink" Target="https://chromewebstore.google.com/detail/ennckgigejppolagdoadgaaodkhopjnb" TargetMode="External"/><Relationship Id="rId9691" Type="http://schemas.openxmlformats.org/officeDocument/2006/relationships/hyperlink" Target="https://chromewebstore.google.com/detail/kadfhmhfoplfpmffcfanpnphhjbilifl" TargetMode="External"/><Relationship Id="rId7031" Type="http://schemas.openxmlformats.org/officeDocument/2006/relationships/hyperlink" Target="https://chromewebstore.google.com/detail/gfagkcalolmjecefbofbdaemfcefipnc" TargetMode="External"/><Relationship Id="rId8362" Type="http://schemas.openxmlformats.org/officeDocument/2006/relationships/hyperlink" Target="https://chromewebstore.google.com/detail/dpefooogphgomhpbgebhpmhpbmideaab" TargetMode="External"/><Relationship Id="rId9692" Type="http://schemas.openxmlformats.org/officeDocument/2006/relationships/hyperlink" Target="https://chromewebstore.google.com/detail/ldfaccjdcphlaodakclpiomadaakoobd" TargetMode="External"/><Relationship Id="rId7038" Type="http://schemas.openxmlformats.org/officeDocument/2006/relationships/hyperlink" Target="https://chromewebstore.google.com/detail/odlhnmnfcdnfglohcegliaiphgnppebl" TargetMode="External"/><Relationship Id="rId8369" Type="http://schemas.openxmlformats.org/officeDocument/2006/relationships/hyperlink" Target="https://chromewebstore.google.com/detail/ooebgplbpddoedbkdgkebgjidllhcfae" TargetMode="External"/><Relationship Id="rId7037" Type="http://schemas.openxmlformats.org/officeDocument/2006/relationships/hyperlink" Target="https://chromewebstore.google.com/detail/hahpccmdkmgmaoebhfnkpcnndnklfbpj" TargetMode="External"/><Relationship Id="rId8368" Type="http://schemas.openxmlformats.org/officeDocument/2006/relationships/hyperlink" Target="https://chromewebstore.google.com/detail/omafniemnnaphcfgflnblhknnhdmndhg" TargetMode="External"/><Relationship Id="rId7036" Type="http://schemas.openxmlformats.org/officeDocument/2006/relationships/hyperlink" Target="https://chromewebstore.google.com/detail/plhfkbchbffookkidijgflacgbclpljo" TargetMode="External"/><Relationship Id="rId8367" Type="http://schemas.openxmlformats.org/officeDocument/2006/relationships/hyperlink" Target="https://chromewebstore.google.com/detail/fgkjkeadmdepahconmiapfmegflbfpej" TargetMode="External"/><Relationship Id="rId7035" Type="http://schemas.openxmlformats.org/officeDocument/2006/relationships/hyperlink" Target="https://chromewebstore.google.com/detail/koalogomkahjlabefiglodpnhhkokekg" TargetMode="External"/><Relationship Id="rId8366" Type="http://schemas.openxmlformats.org/officeDocument/2006/relationships/hyperlink" Target="https://chromewebstore.google.com/detail/aiieicfdcgkbkfablicinojgpkhclboi" TargetMode="External"/><Relationship Id="rId9697" Type="http://schemas.openxmlformats.org/officeDocument/2006/relationships/hyperlink" Target="https://chromewebstore.google.com/detail/apifmmoplfibicaaddcpeicgkllipflb" TargetMode="External"/><Relationship Id="rId9698" Type="http://schemas.openxmlformats.org/officeDocument/2006/relationships/hyperlink" Target="https://chromewebstore.google.com/detail/bkddmodjbkeffnnpganagafghockmkij" TargetMode="External"/><Relationship Id="rId9699" Type="http://schemas.openxmlformats.org/officeDocument/2006/relationships/hyperlink" Target="https://chromewebstore.google.com/detail/chflkinkknpljaccjdccnogkelagodba" TargetMode="External"/><Relationship Id="rId7039" Type="http://schemas.openxmlformats.org/officeDocument/2006/relationships/hyperlink" Target="https://chromewebstore.google.com/detail/kmfdldnkkbgphenmaobhcihldeagjfjh" TargetMode="External"/><Relationship Id="rId8350" Type="http://schemas.openxmlformats.org/officeDocument/2006/relationships/hyperlink" Target="https://chromewebstore.google.com/detail/ccnllgcbfegnbaokgodmlfdmocbechdg" TargetMode="External"/><Relationship Id="rId9682" Type="http://schemas.openxmlformats.org/officeDocument/2006/relationships/hyperlink" Target="https://chromewebstore.google.com/detail/ocacgafaaahoakloknkbaikjmcohmhda" TargetMode="External"/><Relationship Id="rId9683" Type="http://schemas.openxmlformats.org/officeDocument/2006/relationships/hyperlink" Target="https://chromewebstore.google.com/detail/onkknkfidoodkmjaaogphalomhifgdkp" TargetMode="External"/><Relationship Id="rId9684" Type="http://schemas.openxmlformats.org/officeDocument/2006/relationships/hyperlink" Target="https://chromewebstore.google.com/detail/fifegcdolpopgankidmhacbffojhidng" TargetMode="External"/><Relationship Id="rId9685" Type="http://schemas.openxmlformats.org/officeDocument/2006/relationships/hyperlink" Target="https://chromewebstore.google.com/detail/gomipljbnlaiefmaaafjnbcibinefjbp" TargetMode="External"/><Relationship Id="rId7023" Type="http://schemas.openxmlformats.org/officeDocument/2006/relationships/hyperlink" Target="https://chromewebstore.google.com/detail/feonehaohleclbngaobgacjblcpbiaon" TargetMode="External"/><Relationship Id="rId8354" Type="http://schemas.openxmlformats.org/officeDocument/2006/relationships/hyperlink" Target="https://chromewebstore.google.com/detail/kjaonljkcdidebicpnjijbfefeblncal" TargetMode="External"/><Relationship Id="rId7022" Type="http://schemas.openxmlformats.org/officeDocument/2006/relationships/hyperlink" Target="https://chromewebstore.google.com/detail/bpdmidochfpcblafhhkblgkehaoafahi" TargetMode="External"/><Relationship Id="rId8353" Type="http://schemas.openxmlformats.org/officeDocument/2006/relationships/hyperlink" Target="https://chromewebstore.google.com/detail/khgahhiehdlgmaoghjoegkgbfcdodnhb" TargetMode="External"/><Relationship Id="rId7021" Type="http://schemas.openxmlformats.org/officeDocument/2006/relationships/hyperlink" Target="https://chromewebstore.google.com/detail/lgdilciaoommilaaclidgmipedclhnph" TargetMode="External"/><Relationship Id="rId8352" Type="http://schemas.openxmlformats.org/officeDocument/2006/relationships/hyperlink" Target="https://chromewebstore.google.com/detail/kehhlmjoalagcpildnljacdicljgblgp" TargetMode="External"/><Relationship Id="rId9680" Type="http://schemas.openxmlformats.org/officeDocument/2006/relationships/hyperlink" Target="https://chromewebstore.google.com/detail/hmekkdlabbjicebobdeopkemgofhhafk" TargetMode="External"/><Relationship Id="rId7020" Type="http://schemas.openxmlformats.org/officeDocument/2006/relationships/hyperlink" Target="https://chromewebstore.google.com/detail/lbpbmplnjoonfgknodgmhgclgcdnbbja" TargetMode="External"/><Relationship Id="rId8351" Type="http://schemas.openxmlformats.org/officeDocument/2006/relationships/hyperlink" Target="https://chromewebstore.google.com/detail/ffihidkffmefhfbkagaaoadnlbjgicfp" TargetMode="External"/><Relationship Id="rId9681" Type="http://schemas.openxmlformats.org/officeDocument/2006/relationships/hyperlink" Target="https://chromewebstore.google.com/detail/jdijbhedpeoddlmcbooapojknnfkengj" TargetMode="External"/><Relationship Id="rId7027" Type="http://schemas.openxmlformats.org/officeDocument/2006/relationships/hyperlink" Target="https://chromewebstore.google.com/detail/eadinjjkfelcokdlmoechclnmmmjnpdh" TargetMode="External"/><Relationship Id="rId8358" Type="http://schemas.openxmlformats.org/officeDocument/2006/relationships/hyperlink" Target="https://chromewebstore.google.com/detail/mfgcopdhimkemcnlhkohjbdjgahmagil" TargetMode="External"/><Relationship Id="rId7026" Type="http://schemas.openxmlformats.org/officeDocument/2006/relationships/hyperlink" Target="https://chromewebstore.google.com/detail/dafambnlnkbfdkieoeaccchlmahiolof" TargetMode="External"/><Relationship Id="rId8357" Type="http://schemas.openxmlformats.org/officeDocument/2006/relationships/hyperlink" Target="https://chromewebstore.google.com/detail/haaamfoknimneabkapikpoccmfekkidj" TargetMode="External"/><Relationship Id="rId7025" Type="http://schemas.openxmlformats.org/officeDocument/2006/relationships/hyperlink" Target="https://chromewebstore.google.com/detail/pkhiahnopknkooefhefdbalaaboepmbm" TargetMode="External"/><Relationship Id="rId8356" Type="http://schemas.openxmlformats.org/officeDocument/2006/relationships/hyperlink" Target="https://chromewebstore.google.com/detail/bgnboagkkokloclccjpmamhfijeinnpc" TargetMode="External"/><Relationship Id="rId7024" Type="http://schemas.openxmlformats.org/officeDocument/2006/relationships/hyperlink" Target="https://chromewebstore.google.com/detail/nekdehphhapfjmpjghpcifeoaamppcnj" TargetMode="External"/><Relationship Id="rId8355" Type="http://schemas.openxmlformats.org/officeDocument/2006/relationships/hyperlink" Target="https://chromewebstore.google.com/detail/nejnoepjdhjidigmphpjonnbfcmifhag" TargetMode="External"/><Relationship Id="rId9686" Type="http://schemas.openxmlformats.org/officeDocument/2006/relationships/hyperlink" Target="https://chromewebstore.google.com/detail/hdkhicoloiohjgogdcehfcnjddnonkhb" TargetMode="External"/><Relationship Id="rId9687" Type="http://schemas.openxmlformats.org/officeDocument/2006/relationships/hyperlink" Target="https://chromewebstore.google.com/detail/ibjeflpimfbfpnpgljhokhjnnamldclo" TargetMode="External"/><Relationship Id="rId7029" Type="http://schemas.openxmlformats.org/officeDocument/2006/relationships/hyperlink" Target="https://chromewebstore.google.com/detail/ilhlpcpkfdncbghoijdicibppgoppecc" TargetMode="External"/><Relationship Id="rId9688" Type="http://schemas.openxmlformats.org/officeDocument/2006/relationships/hyperlink" Target="https://chromewebstore.google.com/detail/idnfcalokbhljjjlphmknbfpngjgaale" TargetMode="External"/><Relationship Id="rId7028" Type="http://schemas.openxmlformats.org/officeDocument/2006/relationships/hyperlink" Target="https://chromewebstore.google.com/detail/hccnpbnoghefpelicokfcnngmaodbjii" TargetMode="External"/><Relationship Id="rId8359" Type="http://schemas.openxmlformats.org/officeDocument/2006/relationships/hyperlink" Target="https://chromewebstore.google.com/detail/ofebnpmoppjhjeljocmfcghndlacaflg" TargetMode="External"/><Relationship Id="rId9689" Type="http://schemas.openxmlformats.org/officeDocument/2006/relationships/hyperlink" Target="https://chromewebstore.google.com/detail/ienonflmjobapflnpjadihcdibodpkjb" TargetMode="External"/><Relationship Id="rId8390" Type="http://schemas.openxmlformats.org/officeDocument/2006/relationships/hyperlink" Target="https://chromewebstore.google.com/detail/jkhdgcaplgmcaapihckchbkkcbcedhmi" TargetMode="External"/><Relationship Id="rId7052" Type="http://schemas.openxmlformats.org/officeDocument/2006/relationships/hyperlink" Target="https://chromewebstore.google.com/detail/ijhjoaolkofdfgbnfalbomgkblphhoji" TargetMode="External"/><Relationship Id="rId8383" Type="http://schemas.openxmlformats.org/officeDocument/2006/relationships/hyperlink" Target="https://chromewebstore.google.com/detail/nlignnkbnkkifeholilhddbhglllkcfk" TargetMode="External"/><Relationship Id="rId7051" Type="http://schemas.openxmlformats.org/officeDocument/2006/relationships/hyperlink" Target="https://chromewebstore.google.com/detail/golfblfimaaodgjjagigkahbbhbagndl" TargetMode="External"/><Relationship Id="rId8382" Type="http://schemas.openxmlformats.org/officeDocument/2006/relationships/hyperlink" Target="https://chromewebstore.google.com/detail/fobjnlgachlcppfalhpnmdllmjnfmfah" TargetMode="External"/><Relationship Id="rId7050" Type="http://schemas.openxmlformats.org/officeDocument/2006/relationships/hyperlink" Target="https://chromewebstore.google.com/detail/fobloefinmdlpnanffefbpkkgflocmlp" TargetMode="External"/><Relationship Id="rId8381" Type="http://schemas.openxmlformats.org/officeDocument/2006/relationships/hyperlink" Target="https://chromewebstore.google.com/detail/fhailkcelmfnlidlgejaggffjepcemok" TargetMode="External"/><Relationship Id="rId8380" Type="http://schemas.openxmlformats.org/officeDocument/2006/relationships/hyperlink" Target="https://chromewebstore.google.com/detail/ekfkenjlcknadbafbcmenhkmphognnac" TargetMode="External"/><Relationship Id="rId7056" Type="http://schemas.openxmlformats.org/officeDocument/2006/relationships/hyperlink" Target="https://chromewebstore.google.com/detail/doipjigkgmeaohilolpdphkafmhdpdam" TargetMode="External"/><Relationship Id="rId8387" Type="http://schemas.openxmlformats.org/officeDocument/2006/relationships/hyperlink" Target="https://chromewebstore.google.com/detail/hpoemnghlchaejpfdakaaoemehinbopf" TargetMode="External"/><Relationship Id="rId7055" Type="http://schemas.openxmlformats.org/officeDocument/2006/relationships/hyperlink" Target="https://chromewebstore.google.com/detail/abmbeknhkchhaalbjkbehhfbibcmogbe" TargetMode="External"/><Relationship Id="rId8386" Type="http://schemas.openxmlformats.org/officeDocument/2006/relationships/hyperlink" Target="https://chromewebstore.google.com/detail/enaplnnogjaedomhckijdghdgmpcpngl" TargetMode="External"/><Relationship Id="rId7054" Type="http://schemas.openxmlformats.org/officeDocument/2006/relationships/hyperlink" Target="https://chromewebstore.google.com/detail/phneljjeificmdaehodadkdiacgiinbk" TargetMode="External"/><Relationship Id="rId8385" Type="http://schemas.openxmlformats.org/officeDocument/2006/relationships/hyperlink" Target="https://chromewebstore.google.com/detail/amhaoajgjmbmibdnbgdebkmbcpicgnkj" TargetMode="External"/><Relationship Id="rId7053" Type="http://schemas.openxmlformats.org/officeDocument/2006/relationships/hyperlink" Target="https://chromewebstore.google.com/detail/pemfnmdbgcehmkfbgpcimghoopojjchp" TargetMode="External"/><Relationship Id="rId8384" Type="http://schemas.openxmlformats.org/officeDocument/2006/relationships/hyperlink" Target="https://chromewebstore.google.com/detail/abpmhgifmihkfmihjkiknebekbemmcgo" TargetMode="External"/><Relationship Id="rId7059" Type="http://schemas.openxmlformats.org/officeDocument/2006/relationships/hyperlink" Target="https://chromewebstore.google.com/detail/iihalhcnelmolmliablkcmhahdnfcejf" TargetMode="External"/><Relationship Id="rId7058" Type="http://schemas.openxmlformats.org/officeDocument/2006/relationships/hyperlink" Target="https://chromewebstore.google.com/detail/ggfnopabjhlbcmchfajkadagogmohglj" TargetMode="External"/><Relationship Id="rId8389" Type="http://schemas.openxmlformats.org/officeDocument/2006/relationships/hyperlink" Target="https://chromewebstore.google.com/detail/jchnjaoenbpjjnfgnfhfljcdfhmpljic" TargetMode="External"/><Relationship Id="rId7057" Type="http://schemas.openxmlformats.org/officeDocument/2006/relationships/hyperlink" Target="https://chromewebstore.google.com/detail/fbfmjjebfpcefapmipcbckbdpfnjhfmj" TargetMode="External"/><Relationship Id="rId8388" Type="http://schemas.openxmlformats.org/officeDocument/2006/relationships/hyperlink" Target="https://chromewebstore.google.com/detail/ioknjhjjcencfpdllmeoijbacekgbgdg" TargetMode="External"/><Relationship Id="rId7041" Type="http://schemas.openxmlformats.org/officeDocument/2006/relationships/hyperlink" Target="https://chromewebstore.google.com/detail/okbncahhjihmnjpiadepoioodfnfanjk" TargetMode="External"/><Relationship Id="rId8372" Type="http://schemas.openxmlformats.org/officeDocument/2006/relationships/hyperlink" Target="https://chromewebstore.google.com/detail/iofkdafjmcibaenmdaeikmcbapfgfmbl" TargetMode="External"/><Relationship Id="rId7040" Type="http://schemas.openxmlformats.org/officeDocument/2006/relationships/hyperlink" Target="https://chromewebstore.google.com/detail/lkkdeokncfjlinldgikoabgknklnnkoe" TargetMode="External"/><Relationship Id="rId8371" Type="http://schemas.openxmlformats.org/officeDocument/2006/relationships/hyperlink" Target="https://chromewebstore.google.com/detail/ekcjobkhkmknjjfenofigfkncfjfdmjo" TargetMode="External"/><Relationship Id="rId8370" Type="http://schemas.openxmlformats.org/officeDocument/2006/relationships/hyperlink" Target="https://chromewebstore.google.com/detail/edamlpocaepmeldjhppnmadaieeoddba" TargetMode="External"/><Relationship Id="rId7045" Type="http://schemas.openxmlformats.org/officeDocument/2006/relationships/hyperlink" Target="https://chromewebstore.google.com/detail/nilliopfnijnmfhbeamlobibgmcmjljk" TargetMode="External"/><Relationship Id="rId8376" Type="http://schemas.openxmlformats.org/officeDocument/2006/relationships/hyperlink" Target="https://chromewebstore.google.com/detail/olohkojlinfcgndgpjojfjdgkhlehpdo" TargetMode="External"/><Relationship Id="rId7044" Type="http://schemas.openxmlformats.org/officeDocument/2006/relationships/hyperlink" Target="https://chromewebstore.google.com/detail/fkfoonlihboclonnbkaclbifebdmedfc" TargetMode="External"/><Relationship Id="rId8375" Type="http://schemas.openxmlformats.org/officeDocument/2006/relationships/hyperlink" Target="https://chromewebstore.google.com/detail/odknmbgidnpnihgllkebklpekefphpbn" TargetMode="External"/><Relationship Id="rId7043" Type="http://schemas.openxmlformats.org/officeDocument/2006/relationships/hyperlink" Target="https://chromewebstore.google.com/detail/dggjcalaookhdobepmgnofebafbonhph" TargetMode="External"/><Relationship Id="rId8374" Type="http://schemas.openxmlformats.org/officeDocument/2006/relationships/hyperlink" Target="https://chromewebstore.google.com/detail/jmcibfacbbnkhidbdmahgdmkbkpkaecb" TargetMode="External"/><Relationship Id="rId7042" Type="http://schemas.openxmlformats.org/officeDocument/2006/relationships/hyperlink" Target="https://chromewebstore.google.com/detail/bocemdfoolahglpjdaimkmcmdpedlgdl" TargetMode="External"/><Relationship Id="rId8373" Type="http://schemas.openxmlformats.org/officeDocument/2006/relationships/hyperlink" Target="https://chromewebstore.google.com/detail/jbhmglllgkjijmanjbnpcpdlopbfcdkk" TargetMode="External"/><Relationship Id="rId7049" Type="http://schemas.openxmlformats.org/officeDocument/2006/relationships/hyperlink" Target="https://chromewebstore.google.com/detail/pnfaggphefamolgkicoieffboglcihgg" TargetMode="External"/><Relationship Id="rId7048" Type="http://schemas.openxmlformats.org/officeDocument/2006/relationships/hyperlink" Target="https://chromewebstore.google.com/detail/lgdhflflkpgfhhpgnpeocbfmmkijcckn" TargetMode="External"/><Relationship Id="rId8379" Type="http://schemas.openxmlformats.org/officeDocument/2006/relationships/hyperlink" Target="https://chromewebstore.google.com/detail/edooflagimepjnndabmcdlahbfpagjcl" TargetMode="External"/><Relationship Id="rId7047" Type="http://schemas.openxmlformats.org/officeDocument/2006/relationships/hyperlink" Target="https://chromewebstore.google.com/detail/iennmgkhodlaphjanjeincjlolinlhng" TargetMode="External"/><Relationship Id="rId8378" Type="http://schemas.openxmlformats.org/officeDocument/2006/relationships/hyperlink" Target="https://chromewebstore.google.com/detail/dilkpbckgcjjlgpkejlemkmlgceghijn" TargetMode="External"/><Relationship Id="rId7046" Type="http://schemas.openxmlformats.org/officeDocument/2006/relationships/hyperlink" Target="https://chromewebstore.google.com/detail/opmcmbcmkbobnbloaanbgminfokciinp" TargetMode="External"/><Relationship Id="rId8377" Type="http://schemas.openxmlformats.org/officeDocument/2006/relationships/hyperlink" Target="https://chromewebstore.google.com/detail/padfelcpddafgnggpadfafblcbajajhk" TargetMode="External"/><Relationship Id="rId9650" Type="http://schemas.openxmlformats.org/officeDocument/2006/relationships/hyperlink" Target="https://chromewebstore.google.com/detail/booibkcgheofaoklpolmjmgaepombmlk" TargetMode="External"/><Relationship Id="rId9651" Type="http://schemas.openxmlformats.org/officeDocument/2006/relationships/hyperlink" Target="https://chromewebstore.google.com/detail/kekjlppeakkghncgobcelpmghgoomeod" TargetMode="External"/><Relationship Id="rId9652" Type="http://schemas.openxmlformats.org/officeDocument/2006/relationships/hyperlink" Target="https://chromewebstore.google.com/detail/lpihapijmopppnlkpglljeaeafcodmod" TargetMode="External"/><Relationship Id="rId8321" Type="http://schemas.openxmlformats.org/officeDocument/2006/relationships/hyperlink" Target="https://chromewebstore.google.com/detail/gdngaleeolacajdmmfdbebdhojampnjo" TargetMode="External"/><Relationship Id="rId8320" Type="http://schemas.openxmlformats.org/officeDocument/2006/relationships/hyperlink" Target="https://chromewebstore.google.com/detail/dnbgcpgkobmfpedfhpepffbbmamffhgg" TargetMode="External"/><Relationship Id="rId8325" Type="http://schemas.openxmlformats.org/officeDocument/2006/relationships/hyperlink" Target="https://chromewebstore.google.com/detail/ajdmjnkmegnofepbbkaaklfopjgdocfl" TargetMode="External"/><Relationship Id="rId9657" Type="http://schemas.openxmlformats.org/officeDocument/2006/relationships/hyperlink" Target="https://chromewebstore.google.com/detail/hkjdaeehgkbdbpgffjgiahldidifdbgg" TargetMode="External"/><Relationship Id="rId8324" Type="http://schemas.openxmlformats.org/officeDocument/2006/relationships/hyperlink" Target="https://chromewebstore.google.com/detail/mpoijbdfnhkmfcddkfgcdkjpgecdlndo" TargetMode="External"/><Relationship Id="rId9658" Type="http://schemas.openxmlformats.org/officeDocument/2006/relationships/hyperlink" Target="https://chromewebstore.google.com/detail/hlkaeledkpjicnlipojpgpjgdpcpaloo" TargetMode="External"/><Relationship Id="rId8323" Type="http://schemas.openxmlformats.org/officeDocument/2006/relationships/hyperlink" Target="https://chromewebstore.google.com/detail/ljdankmhmhhaadaidbaddioidnfdikdg" TargetMode="External"/><Relationship Id="rId9659" Type="http://schemas.openxmlformats.org/officeDocument/2006/relationships/hyperlink" Target="https://chromewebstore.google.com/detail/iejmnlppimjeddnpfiljelhloaelogao" TargetMode="External"/><Relationship Id="rId8322" Type="http://schemas.openxmlformats.org/officeDocument/2006/relationships/hyperlink" Target="https://chromewebstore.google.com/detail/lgoehggcekcijojdfdifnfknonmeillp" TargetMode="External"/><Relationship Id="rId8329" Type="http://schemas.openxmlformats.org/officeDocument/2006/relationships/hyperlink" Target="https://chromewebstore.google.com/detail/gpbpgpmnfkhkadopaeojaobkejiipgmb" TargetMode="External"/><Relationship Id="rId9653" Type="http://schemas.openxmlformats.org/officeDocument/2006/relationships/hyperlink" Target="https://chromewebstore.google.com/detail/mgbfplgjdafciljiamlggodaojijhikj" TargetMode="External"/><Relationship Id="rId8328" Type="http://schemas.openxmlformats.org/officeDocument/2006/relationships/hyperlink" Target="https://chromewebstore.google.com/detail/phhplkknbklebdecmibhipcdkkaeicfi" TargetMode="External"/><Relationship Id="rId9654" Type="http://schemas.openxmlformats.org/officeDocument/2006/relationships/hyperlink" Target="https://chromewebstore.google.com/detail/bodbimicombkcinchnmcbbhcjjfoookf" TargetMode="External"/><Relationship Id="rId8327" Type="http://schemas.openxmlformats.org/officeDocument/2006/relationships/hyperlink" Target="https://chromewebstore.google.com/detail/colhedmdicjkpcamhdmhelahipgceneb" TargetMode="External"/><Relationship Id="rId9655" Type="http://schemas.openxmlformats.org/officeDocument/2006/relationships/hyperlink" Target="https://chromewebstore.google.com/detail/fcedikhdncpihpklagplnhhapeohoghl" TargetMode="External"/><Relationship Id="rId8326" Type="http://schemas.openxmlformats.org/officeDocument/2006/relationships/hyperlink" Target="https://chromewebstore.google.com/detail/bnkooidmjbobfbgncondmfoajbpafjio" TargetMode="External"/><Relationship Id="rId9656" Type="http://schemas.openxmlformats.org/officeDocument/2006/relationships/hyperlink" Target="https://chromewebstore.google.com/detail/haoleoddimagefbabdepgngjgacldhge" TargetMode="External"/><Relationship Id="rId8319" Type="http://schemas.openxmlformats.org/officeDocument/2006/relationships/hyperlink" Target="https://chromewebstore.google.com/detail/bhlfiadmogondcnpfcfjepokmmcjgdoe" TargetMode="External"/><Relationship Id="rId9640" Type="http://schemas.openxmlformats.org/officeDocument/2006/relationships/hyperlink" Target="https://chromewebstore.google.com/detail/adijfhhnlhbmfohpnhcmjlllfaadmkoo" TargetMode="External"/><Relationship Id="rId9641" Type="http://schemas.openxmlformats.org/officeDocument/2006/relationships/hyperlink" Target="https://chromewebstore.google.com/detail/dhabdpkoklnemkckhamdjbcchefbcelh" TargetMode="External"/><Relationship Id="rId8310" Type="http://schemas.openxmlformats.org/officeDocument/2006/relationships/hyperlink" Target="https://chromewebstore.google.com/detail/immcnbkcmdmhnaklnemeeaadpfphcfmd" TargetMode="External"/><Relationship Id="rId8314" Type="http://schemas.openxmlformats.org/officeDocument/2006/relationships/hyperlink" Target="https://chromewebstore.google.com/detail/kbbgddcndpjnadfacanamniaomcohlcc" TargetMode="External"/><Relationship Id="rId9646" Type="http://schemas.openxmlformats.org/officeDocument/2006/relationships/hyperlink" Target="https://chromewebstore.google.com/detail/icbjohkhackfonehoaabfijgdlnmbekl" TargetMode="External"/><Relationship Id="rId8313" Type="http://schemas.openxmlformats.org/officeDocument/2006/relationships/hyperlink" Target="https://chromewebstore.google.com/detail/akbafgfmkfcgnlogkkobammjldppgnoi" TargetMode="External"/><Relationship Id="rId9647" Type="http://schemas.openxmlformats.org/officeDocument/2006/relationships/hyperlink" Target="https://chromewebstore.google.com/detail/nafjhgipldpldpocnpjkhgocbphlbihb" TargetMode="External"/><Relationship Id="rId8312" Type="http://schemas.openxmlformats.org/officeDocument/2006/relationships/hyperlink" Target="https://chromewebstore.google.com/detail/odhjfldkefanhaflcloghbcpapedfblh" TargetMode="External"/><Relationship Id="rId9648" Type="http://schemas.openxmlformats.org/officeDocument/2006/relationships/hyperlink" Target="https://chromewebstore.google.com/detail/njeijipoihldmgnelkdhohadaigobeml" TargetMode="External"/><Relationship Id="rId8311" Type="http://schemas.openxmlformats.org/officeDocument/2006/relationships/hyperlink" Target="https://chromewebstore.google.com/detail/jgkailifpinppnlekakmbfoochljpacl" TargetMode="External"/><Relationship Id="rId9649" Type="http://schemas.openxmlformats.org/officeDocument/2006/relationships/hyperlink" Target="https://chromewebstore.google.com/detail/ohhhckeljnecaiamhlahbpdccchbofgl" TargetMode="External"/><Relationship Id="rId8318" Type="http://schemas.openxmlformats.org/officeDocument/2006/relationships/hyperlink" Target="https://chromewebstore.google.com/detail/pljdeblcblhdngbkhadobblaelhgfgim" TargetMode="External"/><Relationship Id="rId9642" Type="http://schemas.openxmlformats.org/officeDocument/2006/relationships/hyperlink" Target="https://chromewebstore.google.com/detail/dmjoccepbcaemodiijjkpenalpicgeaf" TargetMode="External"/><Relationship Id="rId8317" Type="http://schemas.openxmlformats.org/officeDocument/2006/relationships/hyperlink" Target="https://chromewebstore.google.com/detail/hncdmgomjlflmfphembffnaajhfmcjnk" TargetMode="External"/><Relationship Id="rId9643" Type="http://schemas.openxmlformats.org/officeDocument/2006/relationships/hyperlink" Target="https://chromewebstore.google.com/detail/fndpfhokbajlpdhegoclkdplgnjehkgp" TargetMode="External"/><Relationship Id="rId8316" Type="http://schemas.openxmlformats.org/officeDocument/2006/relationships/hyperlink" Target="https://chromewebstore.google.com/detail/fjjdfhdnmgaomehkdjcneiopdaeoemgg" TargetMode="External"/><Relationship Id="rId9644" Type="http://schemas.openxmlformats.org/officeDocument/2006/relationships/hyperlink" Target="https://chromewebstore.google.com/detail/ggfgchkboafohghglleifhapohaopffd" TargetMode="External"/><Relationship Id="rId8315" Type="http://schemas.openxmlformats.org/officeDocument/2006/relationships/hyperlink" Target="https://chromewebstore.google.com/detail/kfccgbdpeficpdmkknifjabahopjjmjj" TargetMode="External"/><Relationship Id="rId9645" Type="http://schemas.openxmlformats.org/officeDocument/2006/relationships/hyperlink" Target="https://chromewebstore.google.com/detail/hajhmelhogpbcooljkogbbnjifahpbol" TargetMode="External"/><Relationship Id="rId9671" Type="http://schemas.openxmlformats.org/officeDocument/2006/relationships/hyperlink" Target="https://chromewebstore.google.com/detail/jfkhnopbajkdbgiboodjidipnepjlkec" TargetMode="External"/><Relationship Id="rId9672" Type="http://schemas.openxmlformats.org/officeDocument/2006/relationships/hyperlink" Target="https://chromewebstore.google.com/detail/jmahmkpoabpohpganpheikpphdoflmhm" TargetMode="External"/><Relationship Id="rId9673" Type="http://schemas.openxmlformats.org/officeDocument/2006/relationships/hyperlink" Target="https://chromewebstore.google.com/detail/jpnfkdokcadnkpmpfjbblfjjokffpbio" TargetMode="External"/><Relationship Id="rId9674" Type="http://schemas.openxmlformats.org/officeDocument/2006/relationships/hyperlink" Target="https://chromewebstore.google.com/detail/llkokplhejljfclkcffdjaiplkkjcdam" TargetMode="External"/><Relationship Id="rId7012" Type="http://schemas.openxmlformats.org/officeDocument/2006/relationships/hyperlink" Target="https://chromewebstore.google.com/detail/ebkmdjfacnopogghbimpabhbfelkkhah" TargetMode="External"/><Relationship Id="rId8343" Type="http://schemas.openxmlformats.org/officeDocument/2006/relationships/hyperlink" Target="https://chromewebstore.google.com/detail/dkoinecnplfbobfdamgfjfonmjieigpd" TargetMode="External"/><Relationship Id="rId7011" Type="http://schemas.openxmlformats.org/officeDocument/2006/relationships/hyperlink" Target="https://chromewebstore.google.com/detail/cghmigojnbaajmeigfphpaiepjjhcbpe" TargetMode="External"/><Relationship Id="rId8342" Type="http://schemas.openxmlformats.org/officeDocument/2006/relationships/hyperlink" Target="https://chromewebstore.google.com/detail/dbiolbddipbicaokllijphafkgbedhcm" TargetMode="External"/><Relationship Id="rId7010" Type="http://schemas.openxmlformats.org/officeDocument/2006/relationships/hyperlink" Target="https://chromewebstore.google.com/detail/cechfneaapliekdhfifoclboelgfaloc" TargetMode="External"/><Relationship Id="rId8341" Type="http://schemas.openxmlformats.org/officeDocument/2006/relationships/hyperlink" Target="https://chromewebstore.google.com/detail/coekkdnnplbblpnidldcpdeoilppekcd" TargetMode="External"/><Relationship Id="rId8340" Type="http://schemas.openxmlformats.org/officeDocument/2006/relationships/hyperlink" Target="https://chromewebstore.google.com/detail/clkoiiijdjmoojmeicielppejamlbbkl" TargetMode="External"/><Relationship Id="rId9670" Type="http://schemas.openxmlformats.org/officeDocument/2006/relationships/hyperlink" Target="https://chromewebstore.google.com/detail/gbinchaafafhenoibdeblkooihlobnjj" TargetMode="External"/><Relationship Id="rId7016" Type="http://schemas.openxmlformats.org/officeDocument/2006/relationships/hyperlink" Target="https://chromewebstore.google.com/detail/lbijplknackhkkopnihoedjjbipoknik" TargetMode="External"/><Relationship Id="rId8347" Type="http://schemas.openxmlformats.org/officeDocument/2006/relationships/hyperlink" Target="https://chromewebstore.google.com/detail/kckepnldahdjnfmlpalbgjekincelkkk" TargetMode="External"/><Relationship Id="rId9679" Type="http://schemas.openxmlformats.org/officeDocument/2006/relationships/hyperlink" Target="https://chromewebstore.google.com/detail/fohcdemnkddkfcbheibnjhnpfliemnfg" TargetMode="External"/><Relationship Id="rId7015" Type="http://schemas.openxmlformats.org/officeDocument/2006/relationships/hyperlink" Target="https://chromewebstore.google.com/detail/kpeffbajohlpbjihlcccpffcjkjkckjj" TargetMode="External"/><Relationship Id="rId8346" Type="http://schemas.openxmlformats.org/officeDocument/2006/relationships/hyperlink" Target="https://chromewebstore.google.com/detail/jffdmjmhkinopagcjgfjjfoagglhnhff" TargetMode="External"/><Relationship Id="rId7014" Type="http://schemas.openxmlformats.org/officeDocument/2006/relationships/hyperlink" Target="https://chromewebstore.google.com/detail/jeclnapdhfheooplcjplkhpldoklcdoo" TargetMode="External"/><Relationship Id="rId8345" Type="http://schemas.openxmlformats.org/officeDocument/2006/relationships/hyperlink" Target="https://chromewebstore.google.com/detail/goejokenmdamcapadhgghgpeeaeaaedc" TargetMode="External"/><Relationship Id="rId7013" Type="http://schemas.openxmlformats.org/officeDocument/2006/relationships/hyperlink" Target="https://chromewebstore.google.com/detail/obepaikkjiicocdodlbpaacnnjjflnoc" TargetMode="External"/><Relationship Id="rId8344" Type="http://schemas.openxmlformats.org/officeDocument/2006/relationships/hyperlink" Target="https://chromewebstore.google.com/detail/ghbmpbdefklbjbnebdcpbjflekgmalpb" TargetMode="External"/><Relationship Id="rId9675" Type="http://schemas.openxmlformats.org/officeDocument/2006/relationships/hyperlink" Target="https://chromewebstore.google.com/detail/lodfihlkijchmhheemaejbfkjkmaejkk" TargetMode="External"/><Relationship Id="rId7019" Type="http://schemas.openxmlformats.org/officeDocument/2006/relationships/hyperlink" Target="https://chromewebstore.google.com/detail/gniinlnnpjdbeleojkghgdccpapkapma" TargetMode="External"/><Relationship Id="rId9676" Type="http://schemas.openxmlformats.org/officeDocument/2006/relationships/hyperlink" Target="https://chromewebstore.google.com/detail/mgaiocojhlkmnfcckfebjahneekfjbdo" TargetMode="External"/><Relationship Id="rId7018" Type="http://schemas.openxmlformats.org/officeDocument/2006/relationships/hyperlink" Target="https://chromewebstore.google.com/detail/docfmdhcfhhnlkgldanjmceneghpgpdk" TargetMode="External"/><Relationship Id="rId8349" Type="http://schemas.openxmlformats.org/officeDocument/2006/relationships/hyperlink" Target="https://chromewebstore.google.com/detail/calpcokkjmookodfpbmdbknfcjhekgaj" TargetMode="External"/><Relationship Id="rId9677" Type="http://schemas.openxmlformats.org/officeDocument/2006/relationships/hyperlink" Target="https://chromewebstore.google.com/detail/oihlifnmcjcopebppcggkaoicelhkcgk" TargetMode="External"/><Relationship Id="rId7017" Type="http://schemas.openxmlformats.org/officeDocument/2006/relationships/hyperlink" Target="https://chromewebstore.google.com/detail/mgepijdabbcpfccklhimoklflnpfpbcn" TargetMode="External"/><Relationship Id="rId8348" Type="http://schemas.openxmlformats.org/officeDocument/2006/relationships/hyperlink" Target="https://chromewebstore.google.com/detail/pejofheppddmifhohdecbiocahfjhfjb" TargetMode="External"/><Relationship Id="rId9678" Type="http://schemas.openxmlformats.org/officeDocument/2006/relationships/hyperlink" Target="https://chromewebstore.google.com/detail/fbapmaboedchhgjolcnpfgoanbfajchl" TargetMode="External"/><Relationship Id="rId9660" Type="http://schemas.openxmlformats.org/officeDocument/2006/relationships/hyperlink" Target="https://chromewebstore.google.com/detail/jmcdblanaidgjcgjohndajigiflfajfg" TargetMode="External"/><Relationship Id="rId9661" Type="http://schemas.openxmlformats.org/officeDocument/2006/relationships/hyperlink" Target="https://chromewebstore.google.com/detail/khedhoedfamallgnpngiginbiffemgho" TargetMode="External"/><Relationship Id="rId9662" Type="http://schemas.openxmlformats.org/officeDocument/2006/relationships/hyperlink" Target="https://chromewebstore.google.com/detail/ogmonhnolabdebjebfafnhnkemikgaja" TargetMode="External"/><Relationship Id="rId9663" Type="http://schemas.openxmlformats.org/officeDocument/2006/relationships/hyperlink" Target="https://chromewebstore.google.com/detail/pldlofnfhngdebbilopnaoeljkmdfpin" TargetMode="External"/><Relationship Id="rId7001" Type="http://schemas.openxmlformats.org/officeDocument/2006/relationships/hyperlink" Target="https://chromewebstore.google.com/detail/dicomhebenajaeajoaehlhebjjehjahd" TargetMode="External"/><Relationship Id="rId8332" Type="http://schemas.openxmlformats.org/officeDocument/2006/relationships/hyperlink" Target="https://chromewebstore.google.com/detail/lafpapdojniijcaeadlpnhcfkkpcodmb" TargetMode="External"/><Relationship Id="rId7000" Type="http://schemas.openxmlformats.org/officeDocument/2006/relationships/hyperlink" Target="https://chromewebstore.google.com/detail/dohmaicfbdhjjhhidjhpcgikpalomncn" TargetMode="External"/><Relationship Id="rId8331" Type="http://schemas.openxmlformats.org/officeDocument/2006/relationships/hyperlink" Target="https://chromewebstore.google.com/detail/ioacifoopoldngldmbknimhhophmfbgh" TargetMode="External"/><Relationship Id="rId8330" Type="http://schemas.openxmlformats.org/officeDocument/2006/relationships/hyperlink" Target="https://chromewebstore.google.com/detail/ibgbiogjjahboaeffhcicimhgjmhnlcb" TargetMode="External"/><Relationship Id="rId7005" Type="http://schemas.openxmlformats.org/officeDocument/2006/relationships/hyperlink" Target="https://chromewebstore.google.com/detail/dnipdbbmkikdcgobljoppikjmbggcafo" TargetMode="External"/><Relationship Id="rId8336" Type="http://schemas.openxmlformats.org/officeDocument/2006/relationships/hyperlink" Target="https://chromewebstore.google.com/detail/pdbikiamkjijdamfmbmnladmjfjhjmgn" TargetMode="External"/><Relationship Id="rId9668" Type="http://schemas.openxmlformats.org/officeDocument/2006/relationships/hyperlink" Target="https://chromewebstore.google.com/detail/fddoccbkbikfomalnifggoajpghchjcp" TargetMode="External"/><Relationship Id="rId7004" Type="http://schemas.openxmlformats.org/officeDocument/2006/relationships/hyperlink" Target="https://chromewebstore.google.com/detail/nfboihiomjblefgplaehpfcejbnbdpog" TargetMode="External"/><Relationship Id="rId8335" Type="http://schemas.openxmlformats.org/officeDocument/2006/relationships/hyperlink" Target="https://chromewebstore.google.com/detail/ogeankadkoofdjpdoggjfomegklpdnmb" TargetMode="External"/><Relationship Id="rId9669" Type="http://schemas.openxmlformats.org/officeDocument/2006/relationships/hyperlink" Target="https://chromewebstore.google.com/detail/fkgdjdphlpgcccgfaacjkchmphafhcmd" TargetMode="External"/><Relationship Id="rId7003" Type="http://schemas.openxmlformats.org/officeDocument/2006/relationships/hyperlink" Target="https://chromewebstore.google.com/detail/fbnpehpbojenlldmfcopeajkichnnjpo" TargetMode="External"/><Relationship Id="rId8334" Type="http://schemas.openxmlformats.org/officeDocument/2006/relationships/hyperlink" Target="https://chromewebstore.google.com/detail/mhdnileajaidhkhmomkdjgnpkbgepgoe" TargetMode="External"/><Relationship Id="rId7002" Type="http://schemas.openxmlformats.org/officeDocument/2006/relationships/hyperlink" Target="https://chromewebstore.google.com/detail/diknocfjppiediempbpcoadnamlddioj" TargetMode="External"/><Relationship Id="rId8333" Type="http://schemas.openxmlformats.org/officeDocument/2006/relationships/hyperlink" Target="https://chromewebstore.google.com/detail/meaihhpenjllgjkkpigdkcjoboofgnih" TargetMode="External"/><Relationship Id="rId7009" Type="http://schemas.openxmlformats.org/officeDocument/2006/relationships/hyperlink" Target="https://chromewebstore.google.com/detail/bcbcmhmpbggnljoapclfcagammaapghi" TargetMode="External"/><Relationship Id="rId9664" Type="http://schemas.openxmlformats.org/officeDocument/2006/relationships/hyperlink" Target="https://chromewebstore.google.com/detail/bkhbjbkadafdkckdemhkdbdhognhoagj" TargetMode="External"/><Relationship Id="rId7008" Type="http://schemas.openxmlformats.org/officeDocument/2006/relationships/hyperlink" Target="https://chromewebstore.google.com/detail/nienncdeogcamkahjjmaaipnojjokbok" TargetMode="External"/><Relationship Id="rId8339" Type="http://schemas.openxmlformats.org/officeDocument/2006/relationships/hyperlink" Target="https://chromewebstore.google.com/detail/bmmfmcdfiilloaojbpgdoafoickikegk" TargetMode="External"/><Relationship Id="rId9665" Type="http://schemas.openxmlformats.org/officeDocument/2006/relationships/hyperlink" Target="https://chromewebstore.google.com/detail/dconegbmnkoeccohdkifggkgdhoaedgc" TargetMode="External"/><Relationship Id="rId7007" Type="http://schemas.openxmlformats.org/officeDocument/2006/relationships/hyperlink" Target="https://chromewebstore.google.com/detail/lmheceammobbcnppcegjheepmljfakbg" TargetMode="External"/><Relationship Id="rId8338" Type="http://schemas.openxmlformats.org/officeDocument/2006/relationships/hyperlink" Target="https://chromewebstore.google.com/detail/aonajadpeeaijblinaeohfdmbgdpibba" TargetMode="External"/><Relationship Id="rId9666" Type="http://schemas.openxmlformats.org/officeDocument/2006/relationships/hyperlink" Target="https://chromewebstore.google.com/detail/eafahahbkiojhlhllnpajnnpfngkpdfn" TargetMode="External"/><Relationship Id="rId7006" Type="http://schemas.openxmlformats.org/officeDocument/2006/relationships/hyperlink" Target="https://chromewebstore.google.com/detail/kdmngkpgnecnahcpkdcmbcekonkcbdpc" TargetMode="External"/><Relationship Id="rId8337" Type="http://schemas.openxmlformats.org/officeDocument/2006/relationships/hyperlink" Target="https://chromewebstore.google.com/detail/pnkmjipifhjeemponlmnjohfgahenifi" TargetMode="External"/><Relationship Id="rId9667" Type="http://schemas.openxmlformats.org/officeDocument/2006/relationships/hyperlink" Target="https://chromewebstore.google.com/detail/eiffgabfpjklnnfmogjiolmgnbelbcjo" TargetMode="External"/><Relationship Id="rId3513" Type="http://schemas.openxmlformats.org/officeDocument/2006/relationships/hyperlink" Target="https://chromewebstore.google.com/detail/glamiehbjfdcihghdlcjlckipojhnocp" TargetMode="External"/><Relationship Id="rId4844" Type="http://schemas.openxmlformats.org/officeDocument/2006/relationships/hyperlink" Target="https://chromewebstore.google.com/detail/peojoklnhinheognhigeliholccihoec" TargetMode="External"/><Relationship Id="rId3512" Type="http://schemas.openxmlformats.org/officeDocument/2006/relationships/hyperlink" Target="https://chromewebstore.google.com/detail/gkhchcmganldlioegbalnkedbnhobacp" TargetMode="External"/><Relationship Id="rId4843" Type="http://schemas.openxmlformats.org/officeDocument/2006/relationships/hyperlink" Target="https://chromewebstore.google.com/detail/peehjcejinjjiphdhbhibpphdhkifddk" TargetMode="External"/><Relationship Id="rId3515" Type="http://schemas.openxmlformats.org/officeDocument/2006/relationships/hyperlink" Target="https://chromewebstore.google.com/detail/gmdhhnlkjmknaopofnadmoamhmnlicme" TargetMode="External"/><Relationship Id="rId4846" Type="http://schemas.openxmlformats.org/officeDocument/2006/relationships/hyperlink" Target="https://chromewebstore.google.com/detail/pfmjfdhmoannljgibcekddbbldfjlgpa" TargetMode="External"/><Relationship Id="rId3514" Type="http://schemas.openxmlformats.org/officeDocument/2006/relationships/hyperlink" Target="https://chromewebstore.google.com/detail/gmcndcpdefigilbgpohccbocjdfeakgl" TargetMode="External"/><Relationship Id="rId4845" Type="http://schemas.openxmlformats.org/officeDocument/2006/relationships/hyperlink" Target="https://chromewebstore.google.com/detail/pfcfelfnpbnboelkjedecjipaibpnfja" TargetMode="External"/><Relationship Id="rId3517" Type="http://schemas.openxmlformats.org/officeDocument/2006/relationships/hyperlink" Target="https://chromewebstore.google.com/detail/gnmkbnaemkbbeeddfmbmdlnglfdmhdej" TargetMode="External"/><Relationship Id="rId4848" Type="http://schemas.openxmlformats.org/officeDocument/2006/relationships/hyperlink" Target="https://chromewebstore.google.com/detail/phgdjnidddpccdkbedmfifceiljljgdo" TargetMode="External"/><Relationship Id="rId3516" Type="http://schemas.openxmlformats.org/officeDocument/2006/relationships/hyperlink" Target="https://chromewebstore.google.com/detail/gmmjlpalijddliofagfpmmmeapeojhje" TargetMode="External"/><Relationship Id="rId4847" Type="http://schemas.openxmlformats.org/officeDocument/2006/relationships/hyperlink" Target="https://chromewebstore.google.com/detail/phfcghedmopjadpojhmmaffjmfiakfil" TargetMode="External"/><Relationship Id="rId3519" Type="http://schemas.openxmlformats.org/officeDocument/2006/relationships/hyperlink" Target="https://chromewebstore.google.com/detail/gohemgflodfhnlmbimcgefjnnmjmgnka" TargetMode="External"/><Relationship Id="rId3518" Type="http://schemas.openxmlformats.org/officeDocument/2006/relationships/hyperlink" Target="https://chromewebstore.google.com/detail/gofnhkhaadkoabedkchceagnjjicaihi" TargetMode="External"/><Relationship Id="rId4849" Type="http://schemas.openxmlformats.org/officeDocument/2006/relationships/hyperlink" Target="https://chromewebstore.google.com/detail/phpkahchjodmhmckibejeafoflafljma" TargetMode="External"/><Relationship Id="rId4840" Type="http://schemas.openxmlformats.org/officeDocument/2006/relationships/hyperlink" Target="https://chromewebstore.google.com/detail/pdgboabcdlnoobjcfbdliaedoeehepnl" TargetMode="External"/><Relationship Id="rId3511" Type="http://schemas.openxmlformats.org/officeDocument/2006/relationships/hyperlink" Target="https://chromewebstore.google.com/detail/gkakhdblgdnbknpibnflepnhcpmpohnm" TargetMode="External"/><Relationship Id="rId4842" Type="http://schemas.openxmlformats.org/officeDocument/2006/relationships/hyperlink" Target="https://chromewebstore.google.com/detail/pdplijceapgnjafgenmlijejmjgplbhm" TargetMode="External"/><Relationship Id="rId3510" Type="http://schemas.openxmlformats.org/officeDocument/2006/relationships/hyperlink" Target="https://chromewebstore.google.com/detail/gjlijkhcebalcchkhgaiflaooghmoegk" TargetMode="External"/><Relationship Id="rId4841" Type="http://schemas.openxmlformats.org/officeDocument/2006/relationships/hyperlink" Target="https://chromewebstore.google.com/detail/pdnkikfbjfhikkpopfoaihhfbhaplpfc" TargetMode="External"/><Relationship Id="rId3502" Type="http://schemas.openxmlformats.org/officeDocument/2006/relationships/hyperlink" Target="https://chromewebstore.google.com/detail/ghhcibaghjbdjmnknknlnbobcblfcnma" TargetMode="External"/><Relationship Id="rId4833" Type="http://schemas.openxmlformats.org/officeDocument/2006/relationships/hyperlink" Target="https://chromewebstore.google.com/detail/pbhlblgkokahebkmklnefmnagdehcfao" TargetMode="External"/><Relationship Id="rId3501" Type="http://schemas.openxmlformats.org/officeDocument/2006/relationships/hyperlink" Target="https://chromewebstore.google.com/detail/ggkomdlhljeidpokamlphcoeconilnfj" TargetMode="External"/><Relationship Id="rId4832" Type="http://schemas.openxmlformats.org/officeDocument/2006/relationships/hyperlink" Target="https://chromewebstore.google.com/detail/pbhajdlkdeofhoicgdkanbbkdnglajkd" TargetMode="External"/><Relationship Id="rId3504" Type="http://schemas.openxmlformats.org/officeDocument/2006/relationships/hyperlink" Target="https://chromewebstore.google.com/detail/gidioiaaccicalfnambafpdfieeedioi" TargetMode="External"/><Relationship Id="rId4835" Type="http://schemas.openxmlformats.org/officeDocument/2006/relationships/hyperlink" Target="https://chromewebstore.google.com/detail/pblfidbagabbcdblldheghcopjicfinl" TargetMode="External"/><Relationship Id="rId3503" Type="http://schemas.openxmlformats.org/officeDocument/2006/relationships/hyperlink" Target="https://chromewebstore.google.com/detail/ghlpcaaifadoekifkmbclpkhdiolfeol" TargetMode="External"/><Relationship Id="rId4834" Type="http://schemas.openxmlformats.org/officeDocument/2006/relationships/hyperlink" Target="https://chromewebstore.google.com/detail/pbkcmmgdieaaamaenbaakbgjfniblmbc" TargetMode="External"/><Relationship Id="rId3506" Type="http://schemas.openxmlformats.org/officeDocument/2006/relationships/hyperlink" Target="https://chromewebstore.google.com/detail/gikgnaajhiofmngkodahgpjnpgacmhlc" TargetMode="External"/><Relationship Id="rId4837" Type="http://schemas.openxmlformats.org/officeDocument/2006/relationships/hyperlink" Target="https://chromewebstore.google.com/detail/pcmkeieafomgjkeifdfehppgadjlohmn" TargetMode="External"/><Relationship Id="rId3505" Type="http://schemas.openxmlformats.org/officeDocument/2006/relationships/hyperlink" Target="https://chromewebstore.google.com/detail/gidpkdpdnngpfohekcfkfjbkieeihekj" TargetMode="External"/><Relationship Id="rId4836" Type="http://schemas.openxmlformats.org/officeDocument/2006/relationships/hyperlink" Target="https://chromewebstore.google.com/detail/pcbjeffbdbcicmgffkdbpllfenfbodfo" TargetMode="External"/><Relationship Id="rId3508" Type="http://schemas.openxmlformats.org/officeDocument/2006/relationships/hyperlink" Target="https://chromewebstore.google.com/detail/gjbepkalbfffninamijgbcniiiogcgjp" TargetMode="External"/><Relationship Id="rId4839" Type="http://schemas.openxmlformats.org/officeDocument/2006/relationships/hyperlink" Target="https://chromewebstore.google.com/detail/pdeidgdadeplmmcpkochpaimdbmbiefg" TargetMode="External"/><Relationship Id="rId3507" Type="http://schemas.openxmlformats.org/officeDocument/2006/relationships/hyperlink" Target="https://chromewebstore.google.com/detail/ginkglnlpcgmjafipbkpfoimoaoabami" TargetMode="External"/><Relationship Id="rId4838" Type="http://schemas.openxmlformats.org/officeDocument/2006/relationships/hyperlink" Target="https://chromewebstore.google.com/detail/pcpdkhaeeohmogfgcheopfcigcfdaioj" TargetMode="External"/><Relationship Id="rId3509" Type="http://schemas.openxmlformats.org/officeDocument/2006/relationships/hyperlink" Target="https://chromewebstore.google.com/detail/gjckpigahcbffmeofjfedlffddhfidhj" TargetMode="External"/><Relationship Id="rId3500" Type="http://schemas.openxmlformats.org/officeDocument/2006/relationships/hyperlink" Target="https://chromewebstore.google.com/detail/ggkbiakmiljlbbfhjajlpjgckcjanbab" TargetMode="External"/><Relationship Id="rId4831" Type="http://schemas.openxmlformats.org/officeDocument/2006/relationships/hyperlink" Target="https://chromewebstore.google.com/detail/pbbbcphofkjkmbadhjioamnnbphgeghd" TargetMode="External"/><Relationship Id="rId4830" Type="http://schemas.openxmlformats.org/officeDocument/2006/relationships/hyperlink" Target="https://chromewebstore.google.com/detail/paeoelngbckenlidinleldbemhkdiphi" TargetMode="External"/><Relationship Id="rId2203" Type="http://schemas.openxmlformats.org/officeDocument/2006/relationships/hyperlink" Target="https://chromewebstore.google.com/detail/nbicokjcdgmopbikgmfmffhfbbgfgncd" TargetMode="External"/><Relationship Id="rId3535" Type="http://schemas.openxmlformats.org/officeDocument/2006/relationships/hyperlink" Target="https://chromewebstore.google.com/detail/hgjfibdfedjcopejmhnhcimefdlfdpig" TargetMode="External"/><Relationship Id="rId4866" Type="http://schemas.openxmlformats.org/officeDocument/2006/relationships/hyperlink" Target="https://chromewebstore.google.com/detail/pmcjdgnohppjkhnadihaonfmdponlcbi" TargetMode="External"/><Relationship Id="rId2204" Type="http://schemas.openxmlformats.org/officeDocument/2006/relationships/hyperlink" Target="https://chromewebstore.google.com/detail/nbncllaepjlnkaigldfgghjkcgjkpgpa" TargetMode="External"/><Relationship Id="rId3534" Type="http://schemas.openxmlformats.org/officeDocument/2006/relationships/hyperlink" Target="https://chromewebstore.google.com/detail/hggicmogahedhllhjjhifddgcphgaggo" TargetMode="External"/><Relationship Id="rId4865" Type="http://schemas.openxmlformats.org/officeDocument/2006/relationships/hyperlink" Target="https://chromewebstore.google.com/detail/plpkbdnmkoemdpgjepafpcgidkikhmpm" TargetMode="External"/><Relationship Id="rId2205" Type="http://schemas.openxmlformats.org/officeDocument/2006/relationships/hyperlink" Target="https://chromewebstore.google.com/detail/ncgnmldbedmbadafajhjeahmafdmggbp" TargetMode="External"/><Relationship Id="rId3537" Type="http://schemas.openxmlformats.org/officeDocument/2006/relationships/hyperlink" Target="https://chromewebstore.google.com/detail/hglhiepjhbhcjpjnehnggbleobjlblde" TargetMode="External"/><Relationship Id="rId4868" Type="http://schemas.openxmlformats.org/officeDocument/2006/relationships/hyperlink" Target="https://chromewebstore.google.com/detail/pmijjpoambopbcjoknnmkbkgoilpcgoi" TargetMode="External"/><Relationship Id="rId2206" Type="http://schemas.openxmlformats.org/officeDocument/2006/relationships/hyperlink" Target="https://chromewebstore.google.com/detail/nciallonbllgijobgkfanodhehkkkkki" TargetMode="External"/><Relationship Id="rId3536" Type="http://schemas.openxmlformats.org/officeDocument/2006/relationships/hyperlink" Target="https://chromewebstore.google.com/detail/hglfomidogadbhelcfomenpieffpfaeb" TargetMode="External"/><Relationship Id="rId4867" Type="http://schemas.openxmlformats.org/officeDocument/2006/relationships/hyperlink" Target="https://chromewebstore.google.com/detail/pmeknoingfjncbdhempgnkdgojickcko" TargetMode="External"/><Relationship Id="rId2207" Type="http://schemas.openxmlformats.org/officeDocument/2006/relationships/hyperlink" Target="https://chromewebstore.google.com/detail/ncjanpmaebdkjamcdphbfcnedhkofonf" TargetMode="External"/><Relationship Id="rId3539" Type="http://schemas.openxmlformats.org/officeDocument/2006/relationships/hyperlink" Target="https://chromewebstore.google.com/detail/hhghjoikiknokaibmbniamildpnnajpo" TargetMode="External"/><Relationship Id="rId2208" Type="http://schemas.openxmlformats.org/officeDocument/2006/relationships/hyperlink" Target="https://chromewebstore.google.com/detail/ndodccbbcdpcmabmiocobdnfiaaimgnk" TargetMode="External"/><Relationship Id="rId3538" Type="http://schemas.openxmlformats.org/officeDocument/2006/relationships/hyperlink" Target="https://chromewebstore.google.com/detail/hhcboefjgjaapmjacmbbijgfaddecoho" TargetMode="External"/><Relationship Id="rId4869" Type="http://schemas.openxmlformats.org/officeDocument/2006/relationships/hyperlink" Target="https://chromewebstore.google.com/detail/pmlofkkoaahmkmmebdkkcljmflocijlo" TargetMode="External"/><Relationship Id="rId2209" Type="http://schemas.openxmlformats.org/officeDocument/2006/relationships/hyperlink" Target="https://chromewebstore.google.com/detail/ngjndhfppbmlpgfmchefjkbhigbhpphi" TargetMode="External"/><Relationship Id="rId4860" Type="http://schemas.openxmlformats.org/officeDocument/2006/relationships/hyperlink" Target="https://chromewebstore.google.com/detail/pldonadjilibgdhocameckefhpdiddbg" TargetMode="External"/><Relationship Id="rId3531" Type="http://schemas.openxmlformats.org/officeDocument/2006/relationships/hyperlink" Target="https://chromewebstore.google.com/detail/hepginkihkijiebmanadpoipanjbipem" TargetMode="External"/><Relationship Id="rId4862" Type="http://schemas.openxmlformats.org/officeDocument/2006/relationships/hyperlink" Target="https://chromewebstore.google.com/detail/plngblkheekhhnglfpinaigbnhcjgnjm" TargetMode="External"/><Relationship Id="rId2200" Type="http://schemas.openxmlformats.org/officeDocument/2006/relationships/hyperlink" Target="https://chromewebstore.google.com/detail/mjnohlnebmjeoplfnmdkcjfpenkgnahi" TargetMode="External"/><Relationship Id="rId3530" Type="http://schemas.openxmlformats.org/officeDocument/2006/relationships/hyperlink" Target="https://chromewebstore.google.com/detail/hencchoidjkafdoeoodcneiemlcfnbhb" TargetMode="External"/><Relationship Id="rId4861" Type="http://schemas.openxmlformats.org/officeDocument/2006/relationships/hyperlink" Target="https://chromewebstore.google.com/detail/plhonglcpnmkaafmedmbcelnbjlkmfid" TargetMode="External"/><Relationship Id="rId2201" Type="http://schemas.openxmlformats.org/officeDocument/2006/relationships/hyperlink" Target="https://chromewebstore.google.com/detail/mnemjleajnmodijhnibpekloajfdjjja" TargetMode="External"/><Relationship Id="rId3533" Type="http://schemas.openxmlformats.org/officeDocument/2006/relationships/hyperlink" Target="https://chromewebstore.google.com/detail/hgdnbhdgboglidilhoipggepjlmmmaae" TargetMode="External"/><Relationship Id="rId4864" Type="http://schemas.openxmlformats.org/officeDocument/2006/relationships/hyperlink" Target="https://chromewebstore.google.com/detail/plpkbdfpfehnkbjgjgnpfnmohgcdiagd" TargetMode="External"/><Relationship Id="rId2202" Type="http://schemas.openxmlformats.org/officeDocument/2006/relationships/hyperlink" Target="https://chromewebstore.google.com/detail/mojhglbfmhgcocfelnnfgngefdpibfhl" TargetMode="External"/><Relationship Id="rId3532" Type="http://schemas.openxmlformats.org/officeDocument/2006/relationships/hyperlink" Target="https://chromewebstore.google.com/detail/hfacpfhgpmaifaanbmgbbjkfgelookom" TargetMode="External"/><Relationship Id="rId4863" Type="http://schemas.openxmlformats.org/officeDocument/2006/relationships/hyperlink" Target="https://chromewebstore.google.com/detail/plpdljndcikodkdhcbcbfnbmeplcjdeh" TargetMode="External"/><Relationship Id="rId3524" Type="http://schemas.openxmlformats.org/officeDocument/2006/relationships/hyperlink" Target="https://chromewebstore.google.com/detail/gpjipfogpofikbnpfenncmppkcnocalk" TargetMode="External"/><Relationship Id="rId4855" Type="http://schemas.openxmlformats.org/officeDocument/2006/relationships/hyperlink" Target="https://chromewebstore.google.com/detail/pimolnhbniceppehbgmibnbgcnhpkhfh" TargetMode="External"/><Relationship Id="rId3523" Type="http://schemas.openxmlformats.org/officeDocument/2006/relationships/hyperlink" Target="https://chromewebstore.google.com/detail/gpenmlghfagcojbjjabkhblackjapnbk" TargetMode="External"/><Relationship Id="rId4854" Type="http://schemas.openxmlformats.org/officeDocument/2006/relationships/hyperlink" Target="https://chromewebstore.google.com/detail/pikaoeecieigblebdddckmlegonlogha" TargetMode="External"/><Relationship Id="rId3526" Type="http://schemas.openxmlformats.org/officeDocument/2006/relationships/hyperlink" Target="https://chromewebstore.google.com/detail/hckkohbdkadobaoejafijhklaacifphp" TargetMode="External"/><Relationship Id="rId4857" Type="http://schemas.openxmlformats.org/officeDocument/2006/relationships/hyperlink" Target="https://chromewebstore.google.com/detail/pjnbhojkojmibobcpfgihhnohboldhip" TargetMode="External"/><Relationship Id="rId3525" Type="http://schemas.openxmlformats.org/officeDocument/2006/relationships/hyperlink" Target="https://chromewebstore.google.com/detail/gpmmlokoechmmeboecialijibkjajlaj" TargetMode="External"/><Relationship Id="rId4856" Type="http://schemas.openxmlformats.org/officeDocument/2006/relationships/hyperlink" Target="https://chromewebstore.google.com/detail/pjjmnjpdamiodphjhekmbdgnbegndmkc" TargetMode="External"/><Relationship Id="rId3528" Type="http://schemas.openxmlformats.org/officeDocument/2006/relationships/hyperlink" Target="https://chromewebstore.google.com/detail/hdmhiihcenipfdlmkdlhmgijjimlpkim" TargetMode="External"/><Relationship Id="rId4859" Type="http://schemas.openxmlformats.org/officeDocument/2006/relationships/hyperlink" Target="https://chromewebstore.google.com/detail/pkpkkdedpomedldeocifngicfebjpmjl" TargetMode="External"/><Relationship Id="rId3527" Type="http://schemas.openxmlformats.org/officeDocument/2006/relationships/hyperlink" Target="https://chromewebstore.google.com/detail/hcmlgkfaeigpcklakkahmbaggklefpcb" TargetMode="External"/><Relationship Id="rId4858" Type="http://schemas.openxmlformats.org/officeDocument/2006/relationships/hyperlink" Target="https://chromewebstore.google.com/detail/pkjcdhfckpbgnoclefkjfmafpakdgcaj" TargetMode="External"/><Relationship Id="rId3529" Type="http://schemas.openxmlformats.org/officeDocument/2006/relationships/hyperlink" Target="https://chromewebstore.google.com/detail/heklcfopgcknmiegnkeaoiaecamnhdlp" TargetMode="External"/><Relationship Id="rId3520" Type="http://schemas.openxmlformats.org/officeDocument/2006/relationships/hyperlink" Target="https://chromewebstore.google.com/detail/goifccjcpcahhmdjlmjhhlmdolhkbope" TargetMode="External"/><Relationship Id="rId4851" Type="http://schemas.openxmlformats.org/officeDocument/2006/relationships/hyperlink" Target="https://chromewebstore.google.com/detail/pidmkcoaafbhbmgeimdaclggjeojihcg" TargetMode="External"/><Relationship Id="rId4850" Type="http://schemas.openxmlformats.org/officeDocument/2006/relationships/hyperlink" Target="https://chromewebstore.google.com/detail/pianibmfifkeamgfggpkkanjdcoppgch" TargetMode="External"/><Relationship Id="rId3522" Type="http://schemas.openxmlformats.org/officeDocument/2006/relationships/hyperlink" Target="https://chromewebstore.google.com/detail/gpcccgljmdlfdfcjgphppgpdhpgeahbk" TargetMode="External"/><Relationship Id="rId4853" Type="http://schemas.openxmlformats.org/officeDocument/2006/relationships/hyperlink" Target="https://chromewebstore.google.com/detail/pijdbohikkconhjpmljjmhnalkoiinhm" TargetMode="External"/><Relationship Id="rId3521" Type="http://schemas.openxmlformats.org/officeDocument/2006/relationships/hyperlink" Target="https://chromewebstore.google.com/detail/goinajfhamfchlmkddedkncmlgfcieac" TargetMode="External"/><Relationship Id="rId4852" Type="http://schemas.openxmlformats.org/officeDocument/2006/relationships/hyperlink" Target="https://chromewebstore.google.com/detail/piicimoiaiblachamdicgngccadhlecl" TargetMode="External"/><Relationship Id="rId4800" Type="http://schemas.openxmlformats.org/officeDocument/2006/relationships/hyperlink" Target="https://chromewebstore.google.com/detail/oikmmggdnfnnnbpnpbljdgocppkiehni" TargetMode="External"/><Relationship Id="rId4802" Type="http://schemas.openxmlformats.org/officeDocument/2006/relationships/hyperlink" Target="https://chromewebstore.google.com/detail/ojbkmmcompidaghfnodmbeiankbbfckl" TargetMode="External"/><Relationship Id="rId4801" Type="http://schemas.openxmlformats.org/officeDocument/2006/relationships/hyperlink" Target="https://chromewebstore.google.com/detail/oiniobkjgabbodljkgncajmnedneihpk" TargetMode="External"/><Relationship Id="rId4804" Type="http://schemas.openxmlformats.org/officeDocument/2006/relationships/hyperlink" Target="https://chromewebstore.google.com/detail/ojiacghdlkbcfphkggebiiblbhheiopc" TargetMode="External"/><Relationship Id="rId4803" Type="http://schemas.openxmlformats.org/officeDocument/2006/relationships/hyperlink" Target="https://chromewebstore.google.com/detail/ojfkmicbmffjjngfjffgiioghbkbcjdi" TargetMode="External"/><Relationship Id="rId4806" Type="http://schemas.openxmlformats.org/officeDocument/2006/relationships/hyperlink" Target="https://chromewebstore.google.com/detail/ojnaikgchcnginnmkmkonmdglhjikokd" TargetMode="External"/><Relationship Id="rId4805" Type="http://schemas.openxmlformats.org/officeDocument/2006/relationships/hyperlink" Target="https://chromewebstore.google.com/detail/ojifahpjikbmmglmfhhicfebnpbpjoml" TargetMode="External"/><Relationship Id="rId4808" Type="http://schemas.openxmlformats.org/officeDocument/2006/relationships/hyperlink" Target="https://chromewebstore.google.com/detail/ojolaifaiohcbjmpmiaflinfimnfeakl" TargetMode="External"/><Relationship Id="rId4807" Type="http://schemas.openxmlformats.org/officeDocument/2006/relationships/hyperlink" Target="https://chromewebstore.google.com/detail/ojodgdaaholkmelbddlhnfdgamohijhk" TargetMode="External"/><Relationship Id="rId4809" Type="http://schemas.openxmlformats.org/officeDocument/2006/relationships/hyperlink" Target="https://chromewebstore.google.com/detail/okfefjfpfpglahoabicpkddllnielhkj" TargetMode="External"/><Relationship Id="rId7081" Type="http://schemas.openxmlformats.org/officeDocument/2006/relationships/hyperlink" Target="https://chromewebstore.google.com/detail/acjiedbilhbchmjblapmekfajpplpgdo" TargetMode="External"/><Relationship Id="rId7080" Type="http://schemas.openxmlformats.org/officeDocument/2006/relationships/hyperlink" Target="https://chromewebstore.google.com/detail/pjacaegmadgnakiegpmedhbpfoecmfop" TargetMode="External"/><Relationship Id="rId7074" Type="http://schemas.openxmlformats.org/officeDocument/2006/relationships/hyperlink" Target="https://chromewebstore.google.com/detail/lnbjmahfkagdmpeifkblhkglbcpbpohk" TargetMode="External"/><Relationship Id="rId7073" Type="http://schemas.openxmlformats.org/officeDocument/2006/relationships/hyperlink" Target="https://chromewebstore.google.com/detail/ppoadiihggafnhokfkpphojggcdigllp" TargetMode="External"/><Relationship Id="rId7072" Type="http://schemas.openxmlformats.org/officeDocument/2006/relationships/hyperlink" Target="https://chromewebstore.google.com/detail/ogomkaomgiefjihfoaoajomablaiiknf" TargetMode="External"/><Relationship Id="rId7071" Type="http://schemas.openxmlformats.org/officeDocument/2006/relationships/hyperlink" Target="https://chromewebstore.google.com/detail/lakpjellnlajgbedjhejhdbkmphhfolo" TargetMode="External"/><Relationship Id="rId7078" Type="http://schemas.openxmlformats.org/officeDocument/2006/relationships/hyperlink" Target="https://chromewebstore.google.com/detail/hepfpnmpnjacajnfkpmmmhhbiaggddin" TargetMode="External"/><Relationship Id="rId7077" Type="http://schemas.openxmlformats.org/officeDocument/2006/relationships/hyperlink" Target="https://chromewebstore.google.com/detail/eakokjhgkhhijjoiemldkiodpeliffod" TargetMode="External"/><Relationship Id="rId7076" Type="http://schemas.openxmlformats.org/officeDocument/2006/relationships/hyperlink" Target="https://chromewebstore.google.com/detail/dbpfebhlmkmglapcnmhiedpkoadpggco" TargetMode="External"/><Relationship Id="rId7075" Type="http://schemas.openxmlformats.org/officeDocument/2006/relationships/hyperlink" Target="https://chromewebstore.google.com/detail/mkpibmnbjlmhmmnlcnplekcdkjnjjcba" TargetMode="External"/><Relationship Id="rId7079" Type="http://schemas.openxmlformats.org/officeDocument/2006/relationships/hyperlink" Target="https://chromewebstore.google.com/detail/jcohaoldnebjjblkhmifechlephbefio" TargetMode="External"/><Relationship Id="rId7070" Type="http://schemas.openxmlformats.org/officeDocument/2006/relationships/hyperlink" Target="https://chromewebstore.google.com/detail/inodhkekikcaapcjhcepfiplgeoffjpb" TargetMode="External"/><Relationship Id="rId7063" Type="http://schemas.openxmlformats.org/officeDocument/2006/relationships/hyperlink" Target="https://chromewebstore.google.com/detail/nijiemanodbknbbpngohcdhbadmnhcde" TargetMode="External"/><Relationship Id="rId8394" Type="http://schemas.openxmlformats.org/officeDocument/2006/relationships/hyperlink" Target="https://chromewebstore.google.com/detail/nlhnpmiknpimmdpjldadojameofboeja" TargetMode="External"/><Relationship Id="rId7062" Type="http://schemas.openxmlformats.org/officeDocument/2006/relationships/hyperlink" Target="https://chromewebstore.google.com/detail/madljjkeanhoocbnlfehnahfikjbnnhl" TargetMode="External"/><Relationship Id="rId8393" Type="http://schemas.openxmlformats.org/officeDocument/2006/relationships/hyperlink" Target="https://chromewebstore.google.com/detail/imnodmdmelbigacgeladdbfnkoadecei" TargetMode="External"/><Relationship Id="rId7061" Type="http://schemas.openxmlformats.org/officeDocument/2006/relationships/hyperlink" Target="https://chromewebstore.google.com/detail/fnhlecpfnocgmmmghkjcipmhdpmpddii" TargetMode="External"/><Relationship Id="rId8392" Type="http://schemas.openxmlformats.org/officeDocument/2006/relationships/hyperlink" Target="https://chromewebstore.google.com/detail/ehmheehfpmapjlodikilpobofjjhobaj" TargetMode="External"/><Relationship Id="rId7060" Type="http://schemas.openxmlformats.org/officeDocument/2006/relationships/hyperlink" Target="https://chromewebstore.google.com/detail/cjahhhdejgeeijmmlinkckdmlheefcke" TargetMode="External"/><Relationship Id="rId8391" Type="http://schemas.openxmlformats.org/officeDocument/2006/relationships/hyperlink" Target="https://chromewebstore.google.com/detail/jmflbifhkmjblfhmkpfdflfhphbinfjl" TargetMode="External"/><Relationship Id="rId7067" Type="http://schemas.openxmlformats.org/officeDocument/2006/relationships/hyperlink" Target="https://chromewebstore.google.com/detail/nlddooikpnchhikklpamelnpldhcpnbe" TargetMode="External"/><Relationship Id="rId8398" Type="http://schemas.openxmlformats.org/officeDocument/2006/relationships/hyperlink" Target="https://chromewebstore.google.com/detail/mphghokdjcoojfjbmldmjodgmbjchnlp" TargetMode="External"/><Relationship Id="rId7066" Type="http://schemas.openxmlformats.org/officeDocument/2006/relationships/hyperlink" Target="https://chromewebstore.google.com/detail/egdgajocnmpjhghpglffhngdojcinkhn" TargetMode="External"/><Relationship Id="rId8397" Type="http://schemas.openxmlformats.org/officeDocument/2006/relationships/hyperlink" Target="https://chromewebstore.google.com/detail/mhnnniabbinkphbhmjdaigcbdicakdfn" TargetMode="External"/><Relationship Id="rId7065" Type="http://schemas.openxmlformats.org/officeDocument/2006/relationships/hyperlink" Target="https://chromewebstore.google.com/detail/lbkokgnilbbkpjnkeamgpbhmdojajngo" TargetMode="External"/><Relationship Id="rId8396" Type="http://schemas.openxmlformats.org/officeDocument/2006/relationships/hyperlink" Target="https://chromewebstore.google.com/detail/ikfnnjcmgeedlhlgpacghonphhnolobh" TargetMode="External"/><Relationship Id="rId7064" Type="http://schemas.openxmlformats.org/officeDocument/2006/relationships/hyperlink" Target="https://chromewebstore.google.com/detail/ekleaenhplpaiincbdkbebmeccfgmbll" TargetMode="External"/><Relationship Id="rId8395" Type="http://schemas.openxmlformats.org/officeDocument/2006/relationships/hyperlink" Target="https://chromewebstore.google.com/detail/hajkkfloelnggpmlehppgfhoncmghckc" TargetMode="External"/><Relationship Id="rId7069" Type="http://schemas.openxmlformats.org/officeDocument/2006/relationships/hyperlink" Target="https://chromewebstore.google.com/detail/ihgpfjkeignaegoghdopjncdahgilfnc" TargetMode="External"/><Relationship Id="rId7068" Type="http://schemas.openxmlformats.org/officeDocument/2006/relationships/hyperlink" Target="https://chromewebstore.google.com/detail/febbpoacmmneppioahpfegkoafiicdmm" TargetMode="External"/><Relationship Id="rId8399" Type="http://schemas.openxmlformats.org/officeDocument/2006/relationships/hyperlink" Target="https://chromewebstore.google.com/detail/ohgphcdjbnlbnkdooieahfmbmaaipogf" TargetMode="External"/><Relationship Id="rId4822" Type="http://schemas.openxmlformats.org/officeDocument/2006/relationships/hyperlink" Target="https://chromewebstore.google.com/detail/onebnnoonaadbbdoanmpehnfmhdolmgh" TargetMode="External"/><Relationship Id="rId4821" Type="http://schemas.openxmlformats.org/officeDocument/2006/relationships/hyperlink" Target="https://chromewebstore.google.com/detail/ondjkacanajgdlnhcnpiapajjpgilplo" TargetMode="External"/><Relationship Id="rId4824" Type="http://schemas.openxmlformats.org/officeDocument/2006/relationships/hyperlink" Target="https://chromewebstore.google.com/detail/onmbdmeleocjononnnehpnfplkkjopkd" TargetMode="External"/><Relationship Id="rId4823" Type="http://schemas.openxmlformats.org/officeDocument/2006/relationships/hyperlink" Target="https://chromewebstore.google.com/detail/onhfdppooafpnnigbmnpnnjmbajggekc" TargetMode="External"/><Relationship Id="rId4826" Type="http://schemas.openxmlformats.org/officeDocument/2006/relationships/hyperlink" Target="https://chromewebstore.google.com/detail/oomijgnfikpndibbbbaninbfomjddohj" TargetMode="External"/><Relationship Id="rId4825" Type="http://schemas.openxmlformats.org/officeDocument/2006/relationships/hyperlink" Target="https://chromewebstore.google.com/detail/oogddkbohgikljeadnkcepdmekigegck" TargetMode="External"/><Relationship Id="rId4828" Type="http://schemas.openxmlformats.org/officeDocument/2006/relationships/hyperlink" Target="https://chromewebstore.google.com/detail/oppbddphanamfepjpnojckklcfmnkfnh" TargetMode="External"/><Relationship Id="rId4827" Type="http://schemas.openxmlformats.org/officeDocument/2006/relationships/hyperlink" Target="https://chromewebstore.google.com/detail/opjbphlikplllhehiaafnglngompagni" TargetMode="External"/><Relationship Id="rId4829" Type="http://schemas.openxmlformats.org/officeDocument/2006/relationships/hyperlink" Target="https://chromewebstore.google.com/detail/padeedaooopaklfgibnddkgbpbmbmkji" TargetMode="External"/><Relationship Id="rId7096" Type="http://schemas.openxmlformats.org/officeDocument/2006/relationships/hyperlink" Target="https://chromewebstore.google.com/detail/pogcoeenpkpdchlmloiehcbabfkfjncf" TargetMode="External"/><Relationship Id="rId7095" Type="http://schemas.openxmlformats.org/officeDocument/2006/relationships/hyperlink" Target="https://chromewebstore.google.com/detail/paoldhmcjbgimkcicmognhfcjmcpcopl" TargetMode="External"/><Relationship Id="rId7094" Type="http://schemas.openxmlformats.org/officeDocument/2006/relationships/hyperlink" Target="https://chromewebstore.google.com/detail/mpiipiobgejghkocofogeonfkapjgfmk" TargetMode="External"/><Relationship Id="rId7093" Type="http://schemas.openxmlformats.org/officeDocument/2006/relationships/hyperlink" Target="https://chromewebstore.google.com/detail/lndpiehcijmlgooadkonganjdnnaojhc" TargetMode="External"/><Relationship Id="rId7099" Type="http://schemas.openxmlformats.org/officeDocument/2006/relationships/hyperlink" Target="https://chromewebstore.google.com/detail/gghcgiklappijoenldhohfifipkcpngj" TargetMode="External"/><Relationship Id="rId7098" Type="http://schemas.openxmlformats.org/officeDocument/2006/relationships/hyperlink" Target="https://chromewebstore.google.com/detail/fepcpdjalebcocminbnogcgfbphllkeh" TargetMode="External"/><Relationship Id="rId7097" Type="http://schemas.openxmlformats.org/officeDocument/2006/relationships/hyperlink" Target="https://chromewebstore.google.com/detail/bkpohndgjlgpohojjndfigankhdnbgll" TargetMode="External"/><Relationship Id="rId4820" Type="http://schemas.openxmlformats.org/officeDocument/2006/relationships/hyperlink" Target="https://chromewebstore.google.com/detail/onccocebmmmcfgipaappfpolojndnkce" TargetMode="External"/><Relationship Id="rId4811" Type="http://schemas.openxmlformats.org/officeDocument/2006/relationships/hyperlink" Target="https://chromewebstore.google.com/detail/oknjgkbkglfeeobjojelkbhfpjkgcndb" TargetMode="External"/><Relationship Id="rId4810" Type="http://schemas.openxmlformats.org/officeDocument/2006/relationships/hyperlink" Target="https://chromewebstore.google.com/detail/okkdbmdhpgmajopdpmflkldkemcldnjd" TargetMode="External"/><Relationship Id="rId4813" Type="http://schemas.openxmlformats.org/officeDocument/2006/relationships/hyperlink" Target="https://chromewebstore.google.com/detail/olmfkdaefegfpkolccopfmohncemakcj" TargetMode="External"/><Relationship Id="rId4812" Type="http://schemas.openxmlformats.org/officeDocument/2006/relationships/hyperlink" Target="https://chromewebstore.google.com/detail/olfbaiingdbeoihdemklgmakblhcgpmn" TargetMode="External"/><Relationship Id="rId4815" Type="http://schemas.openxmlformats.org/officeDocument/2006/relationships/hyperlink" Target="https://chromewebstore.google.com/detail/olomblpgcmhcgpijaioadbecpidmmdmb" TargetMode="External"/><Relationship Id="rId4814" Type="http://schemas.openxmlformats.org/officeDocument/2006/relationships/hyperlink" Target="https://chromewebstore.google.com/detail/olmmagdolfehlpjmbkmondggbebeimoh" TargetMode="External"/><Relationship Id="rId4817" Type="http://schemas.openxmlformats.org/officeDocument/2006/relationships/hyperlink" Target="https://chromewebstore.google.com/detail/omhdclmalgidiodbfjcjagnbcfadpina" TargetMode="External"/><Relationship Id="rId4816" Type="http://schemas.openxmlformats.org/officeDocument/2006/relationships/hyperlink" Target="https://chromewebstore.google.com/detail/omcldpfdihfogiklcdlopeokkedbhjop" TargetMode="External"/><Relationship Id="rId4819" Type="http://schemas.openxmlformats.org/officeDocument/2006/relationships/hyperlink" Target="https://chromewebstore.google.com/detail/ompobmbbbjcmoeepdplbindbbpmbncka" TargetMode="External"/><Relationship Id="rId4818" Type="http://schemas.openxmlformats.org/officeDocument/2006/relationships/hyperlink" Target="https://chromewebstore.google.com/detail/omibfnkackoiiefnomeikllaoeidlmjo" TargetMode="External"/><Relationship Id="rId7092" Type="http://schemas.openxmlformats.org/officeDocument/2006/relationships/hyperlink" Target="https://chromewebstore.google.com/detail/egiemoacchfofdhhlfhkdcacgaopncmi" TargetMode="External"/><Relationship Id="rId7091" Type="http://schemas.openxmlformats.org/officeDocument/2006/relationships/hyperlink" Target="https://chromewebstore.google.com/detail/mnmplenlloeppjiopcknepdmlcbbfeln" TargetMode="External"/><Relationship Id="rId7090" Type="http://schemas.openxmlformats.org/officeDocument/2006/relationships/hyperlink" Target="http://corrupt-a-file.net" TargetMode="External"/><Relationship Id="rId7085" Type="http://schemas.openxmlformats.org/officeDocument/2006/relationships/hyperlink" Target="https://chromewebstore.google.com/detail/nlabgnkjjckboiimmhkeplocmhpcfkkn" TargetMode="External"/><Relationship Id="rId7084" Type="http://schemas.openxmlformats.org/officeDocument/2006/relationships/hyperlink" Target="https://chromewebstore.google.com/detail/mogceicjmeopokfnobebnoepladkifdn" TargetMode="External"/><Relationship Id="rId7083" Type="http://schemas.openxmlformats.org/officeDocument/2006/relationships/hyperlink" Target="https://chromewebstore.google.com/detail/ikeijbmpddnkaeejokgifioccbcijjfo" TargetMode="External"/><Relationship Id="rId7082" Type="http://schemas.openxmlformats.org/officeDocument/2006/relationships/hyperlink" Target="https://chromewebstore.google.com/detail/hciibklojpeiibfiknmcedlfgggoejin" TargetMode="External"/><Relationship Id="rId7089" Type="http://schemas.openxmlformats.org/officeDocument/2006/relationships/hyperlink" Target="https://chromewebstore.google.com/detail/magolbmjckjmhpmohfpomegcpmgfkpcm" TargetMode="External"/><Relationship Id="rId7088" Type="http://schemas.openxmlformats.org/officeDocument/2006/relationships/hyperlink" Target="https://chromewebstore.google.com/detail/dpcghdgbhjkihgnnbojldhjmcbieofgo" TargetMode="External"/><Relationship Id="rId7087" Type="http://schemas.openxmlformats.org/officeDocument/2006/relationships/hyperlink" Target="https://chromewebstore.google.com/detail/aokleaidncgnfejhkddhfobfffalfilm" TargetMode="External"/><Relationship Id="rId7086" Type="http://schemas.openxmlformats.org/officeDocument/2006/relationships/hyperlink" Target="https://chromewebstore.google.com/detail/adhejfemhikenogccjlljipjiekgopfh" TargetMode="External"/><Relationship Id="rId2269" Type="http://schemas.openxmlformats.org/officeDocument/2006/relationships/hyperlink" Target="https://chromewebstore.google.com/detail/bmbjfincbkpcechjngdceidlnbifkfpm" TargetMode="External"/><Relationship Id="rId3591" Type="http://schemas.openxmlformats.org/officeDocument/2006/relationships/hyperlink" Target="https://chromewebstore.google.com/detail/ihhiomekhplpdojbcaniaglcfopckaef" TargetMode="External"/><Relationship Id="rId2260" Type="http://schemas.openxmlformats.org/officeDocument/2006/relationships/hyperlink" Target="https://chromewebstore.google.com/detail/aogabobfbepcehdkbfagdflinolncebh" TargetMode="External"/><Relationship Id="rId3590" Type="http://schemas.openxmlformats.org/officeDocument/2006/relationships/hyperlink" Target="https://chromewebstore.google.com/detail/ihecjdmjoonlmpaahmjogolaecloipal" TargetMode="External"/><Relationship Id="rId2261" Type="http://schemas.openxmlformats.org/officeDocument/2006/relationships/hyperlink" Target="https://chromewebstore.google.com/detail/apfgihndokdmfcmajbbimifahgbgbhcm" TargetMode="External"/><Relationship Id="rId3593" Type="http://schemas.openxmlformats.org/officeDocument/2006/relationships/hyperlink" Target="https://chromewebstore.google.com/detail/ijbfcacecjikacmkpnjekcjoidicclon" TargetMode="External"/><Relationship Id="rId2262" Type="http://schemas.openxmlformats.org/officeDocument/2006/relationships/hyperlink" Target="https://chromewebstore.google.com/detail/bagkggccafdeflnfacbpemniahacnkfp" TargetMode="External"/><Relationship Id="rId3592" Type="http://schemas.openxmlformats.org/officeDocument/2006/relationships/hyperlink" Target="https://chromewebstore.google.com/detail/iihdicimlmhhfmbifiifohcnihbbggfl" TargetMode="External"/><Relationship Id="rId2263" Type="http://schemas.openxmlformats.org/officeDocument/2006/relationships/hyperlink" Target="https://chromewebstore.google.com/detail/beegmjpglpekcgcegnpikjnndlblacif" TargetMode="External"/><Relationship Id="rId3595" Type="http://schemas.openxmlformats.org/officeDocument/2006/relationships/hyperlink" Target="https://chromewebstore.google.com/detail/ikfbkffbgkdghhnjfoomdkeifljlepah" TargetMode="External"/><Relationship Id="rId2264" Type="http://schemas.openxmlformats.org/officeDocument/2006/relationships/hyperlink" Target="https://chromewebstore.google.com/detail/bennikkpnelmfdiijpdclfincmnoabae" TargetMode="External"/><Relationship Id="rId3594" Type="http://schemas.openxmlformats.org/officeDocument/2006/relationships/hyperlink" Target="https://chromewebstore.google.com/detail/ijcheklmenppbikccakhlmmcbdjjcmgi" TargetMode="External"/><Relationship Id="rId2265" Type="http://schemas.openxmlformats.org/officeDocument/2006/relationships/hyperlink" Target="https://chromewebstore.google.com/detail/bhofgfdehmbkcllmbeddeifmmihllfnb" TargetMode="External"/><Relationship Id="rId3597" Type="http://schemas.openxmlformats.org/officeDocument/2006/relationships/hyperlink" Target="https://chromewebstore.google.com/detail/iliikbbpieeccmklkfhpahakkekgffah" TargetMode="External"/><Relationship Id="rId2266" Type="http://schemas.openxmlformats.org/officeDocument/2006/relationships/hyperlink" Target="https://chromewebstore.google.com/detail/binjbkpnlmnkdbdjaeeiefphdljhcbec" TargetMode="External"/><Relationship Id="rId3596" Type="http://schemas.openxmlformats.org/officeDocument/2006/relationships/hyperlink" Target="https://chromewebstore.google.com/detail/ikfngnkicddhaeccmccdlohnnnjmnhge" TargetMode="External"/><Relationship Id="rId2267" Type="http://schemas.openxmlformats.org/officeDocument/2006/relationships/hyperlink" Target="https://chromewebstore.google.com/detail/bjchdihmmgfbfheblpmfpaojmjchdioi" TargetMode="External"/><Relationship Id="rId3599" Type="http://schemas.openxmlformats.org/officeDocument/2006/relationships/hyperlink" Target="https://chromewebstore.google.com/detail/inlphfnbcepbaogelcdakmekbckgaofo" TargetMode="External"/><Relationship Id="rId2268" Type="http://schemas.openxmlformats.org/officeDocument/2006/relationships/hyperlink" Target="https://chromewebstore.google.com/detail/bjjjdfkmchhojjkgbnhhlpoaeehpjjhi" TargetMode="External"/><Relationship Id="rId3598" Type="http://schemas.openxmlformats.org/officeDocument/2006/relationships/hyperlink" Target="https://chromewebstore.google.com/detail/inkmmdhpebdaogigmlbhkfflcldnbbkb" TargetMode="External"/><Relationship Id="rId2258" Type="http://schemas.openxmlformats.org/officeDocument/2006/relationships/hyperlink" Target="https://chromewebstore.google.com/detail/amaencbkhcpbgpnphohjnacnpfcfpaij" TargetMode="External"/><Relationship Id="rId2259" Type="http://schemas.openxmlformats.org/officeDocument/2006/relationships/hyperlink" Target="https://chromewebstore.google.com/detail/aodilhmhlmomokijchbkajpoibenmakn" TargetMode="External"/><Relationship Id="rId3589" Type="http://schemas.openxmlformats.org/officeDocument/2006/relationships/hyperlink" Target="https://chromewebstore.google.com/detail/iheccogfcpjfjbnlohnlgdljaefpgaoi" TargetMode="External"/><Relationship Id="rId3580" Type="http://schemas.openxmlformats.org/officeDocument/2006/relationships/hyperlink" Target="https://chromewebstore.google.com/detail/iegiiapfgomeedpnmajohjdlcipbecha" TargetMode="External"/><Relationship Id="rId2250" Type="http://schemas.openxmlformats.org/officeDocument/2006/relationships/hyperlink" Target="https://chromewebstore.google.com/detail/afhdngndofliioielklldembhbpgnngj" TargetMode="External"/><Relationship Id="rId3582" Type="http://schemas.openxmlformats.org/officeDocument/2006/relationships/hyperlink" Target="https://chromewebstore.google.com/detail/ifchggdfkdbkpolgmclfhdlodpjciejl" TargetMode="External"/><Relationship Id="rId2251" Type="http://schemas.openxmlformats.org/officeDocument/2006/relationships/hyperlink" Target="https://chromewebstore.google.com/detail/agbkobfhnfgoioipaedgcjdhojbjhpcg" TargetMode="External"/><Relationship Id="rId3581" Type="http://schemas.openxmlformats.org/officeDocument/2006/relationships/hyperlink" Target="https://chromewebstore.google.com/detail/ieompfkbfmgldbklegjkbljclgncbagm" TargetMode="External"/><Relationship Id="rId2252" Type="http://schemas.openxmlformats.org/officeDocument/2006/relationships/hyperlink" Target="https://chromewebstore.google.com/detail/ahhgdmkmcgahbkcbmlkpmmamemlkajaf" TargetMode="External"/><Relationship Id="rId3584" Type="http://schemas.openxmlformats.org/officeDocument/2006/relationships/hyperlink" Target="https://chromewebstore.google.com/detail/ifnkckdlnkmcmlmleoiofljanabhmjgg" TargetMode="External"/><Relationship Id="rId2253" Type="http://schemas.openxmlformats.org/officeDocument/2006/relationships/hyperlink" Target="https://chromewebstore.google.com/detail/aibjbgmpmnidnmagaefhmcjhadpffaoi" TargetMode="External"/><Relationship Id="rId3583" Type="http://schemas.openxmlformats.org/officeDocument/2006/relationships/hyperlink" Target="https://chromewebstore.google.com/detail/ifmoaiideadhbgdbjcckdbfpgmfplcem" TargetMode="External"/><Relationship Id="rId2254" Type="http://schemas.openxmlformats.org/officeDocument/2006/relationships/hyperlink" Target="https://chromewebstore.google.com/detail/ajebiiiaphmfaiookbhpepoongjejihh" TargetMode="External"/><Relationship Id="rId3586" Type="http://schemas.openxmlformats.org/officeDocument/2006/relationships/hyperlink" Target="https://chromewebstore.google.com/detail/ihadpecfbccmcbpdlinbcmflaiddfion" TargetMode="External"/><Relationship Id="rId2255" Type="http://schemas.openxmlformats.org/officeDocument/2006/relationships/hyperlink" Target="https://chromewebstore.google.com/detail/ajhidbbpmnhjjffefekncbdbeopghnnn" TargetMode="External"/><Relationship Id="rId3585" Type="http://schemas.openxmlformats.org/officeDocument/2006/relationships/hyperlink" Target="https://chromewebstore.google.com/detail/igeibjcgmjjglmjkehpeepggejgbpjnk" TargetMode="External"/><Relationship Id="rId2256" Type="http://schemas.openxmlformats.org/officeDocument/2006/relationships/hyperlink" Target="https://chromewebstore.google.com/detail/ajmampgbofacbjaoahgcjbjfffcbmcea" TargetMode="External"/><Relationship Id="rId3588" Type="http://schemas.openxmlformats.org/officeDocument/2006/relationships/hyperlink" Target="https://chromewebstore.google.com/detail/ihdhfdeffimajgfmlfhhnhkckfedaikd" TargetMode="External"/><Relationship Id="rId2257" Type="http://schemas.openxmlformats.org/officeDocument/2006/relationships/hyperlink" Target="https://chromewebstore.google.com/detail/allccgoelledmdfenijoodhcfjndddjh" TargetMode="External"/><Relationship Id="rId3587" Type="http://schemas.openxmlformats.org/officeDocument/2006/relationships/hyperlink" Target="https://chromewebstore.google.com/detail/ihbejplhkeifejcpijadinaicidddbde" TargetMode="External"/><Relationship Id="rId2280" Type="http://schemas.openxmlformats.org/officeDocument/2006/relationships/hyperlink" Target="https://chromewebstore.google.com/detail/cheknlbiacfddgakdfdlioemnhlolaah" TargetMode="External"/><Relationship Id="rId2281" Type="http://schemas.openxmlformats.org/officeDocument/2006/relationships/hyperlink" Target="https://chromewebstore.google.com/detail/cibkbalgoimplliocdglnonnjnfbnmmn" TargetMode="External"/><Relationship Id="rId2282" Type="http://schemas.openxmlformats.org/officeDocument/2006/relationships/hyperlink" Target="https://chromewebstore.google.com/detail/cimmbifnciobjhchpimjekibbndgmkfk" TargetMode="External"/><Relationship Id="rId2283" Type="http://schemas.openxmlformats.org/officeDocument/2006/relationships/hyperlink" Target="https://chromewebstore.google.com/detail/cjbkbbjggdnlcbomblebkobkleanbmkk" TargetMode="External"/><Relationship Id="rId2284" Type="http://schemas.openxmlformats.org/officeDocument/2006/relationships/hyperlink" Target="https://chromewebstore.google.com/detail/cjckpmogmplfbjadfjefmcndilfgncfo" TargetMode="External"/><Relationship Id="rId2285" Type="http://schemas.openxmlformats.org/officeDocument/2006/relationships/hyperlink" Target="https://chromewebstore.google.com/detail/ckphpjbkimigoeccikelnkfnilnjmaha" TargetMode="External"/><Relationship Id="rId2286" Type="http://schemas.openxmlformats.org/officeDocument/2006/relationships/hyperlink" Target="https://chromewebstore.google.com/detail/cmfcdkambpljcndgdmaccaagladfnepa" TargetMode="External"/><Relationship Id="rId2287" Type="http://schemas.openxmlformats.org/officeDocument/2006/relationships/hyperlink" Target="https://chromewebstore.google.com/detail/cmhaijgncfpbbhfnieobpbadekcpjpol" TargetMode="External"/><Relationship Id="rId2288" Type="http://schemas.openxmlformats.org/officeDocument/2006/relationships/hyperlink" Target="https://chromewebstore.google.com/detail/cnmnclkpkbahliofmnfkmhdohmdjkohj" TargetMode="External"/><Relationship Id="rId2289" Type="http://schemas.openxmlformats.org/officeDocument/2006/relationships/hyperlink" Target="https://chromewebstore.google.com/detail/cogdeckoffhcpfmainkijpifglkkccla" TargetMode="External"/><Relationship Id="rId2270" Type="http://schemas.openxmlformats.org/officeDocument/2006/relationships/hyperlink" Target="https://chromewebstore.google.com/detail/bmfgonhglaokngckjajkooklejibhahm" TargetMode="External"/><Relationship Id="rId2271" Type="http://schemas.openxmlformats.org/officeDocument/2006/relationships/hyperlink" Target="https://chromewebstore.google.com/detail/boibcalhejlcjjggfnochjmhccpgbidd" TargetMode="External"/><Relationship Id="rId2272" Type="http://schemas.openxmlformats.org/officeDocument/2006/relationships/hyperlink" Target="https://chromewebstore.google.com/detail/bokbgdhblfolpfanocjafjhpjkebhlfk" TargetMode="External"/><Relationship Id="rId2273" Type="http://schemas.openxmlformats.org/officeDocument/2006/relationships/hyperlink" Target="https://chromewebstore.google.com/detail/cbdgjmidolhjfmepekiebhjmmgodednm" TargetMode="External"/><Relationship Id="rId2274" Type="http://schemas.openxmlformats.org/officeDocument/2006/relationships/hyperlink" Target="https://chromewebstore.google.com/detail/cboekbiaoabkhgjdclenjpipclabkdga" TargetMode="External"/><Relationship Id="rId2275" Type="http://schemas.openxmlformats.org/officeDocument/2006/relationships/hyperlink" Target="https://chromewebstore.google.com/detail/ccaikggmppdolhcehimngikgiafmdcep" TargetMode="External"/><Relationship Id="rId2276" Type="http://schemas.openxmlformats.org/officeDocument/2006/relationships/hyperlink" Target="https://chromewebstore.google.com/detail/cdfmaaeapjmacolkojefhfollmphonoh" TargetMode="External"/><Relationship Id="rId2277" Type="http://schemas.openxmlformats.org/officeDocument/2006/relationships/hyperlink" Target="https://chromewebstore.google.com/detail/cebkmpjkademcaigilgldjonmphfbmfh" TargetMode="External"/><Relationship Id="rId2278" Type="http://schemas.openxmlformats.org/officeDocument/2006/relationships/hyperlink" Target="https://chromewebstore.google.com/detail/cfmeoknomhdgcbcmgmpbbjiggfboniie" TargetMode="External"/><Relationship Id="rId2279" Type="http://schemas.openxmlformats.org/officeDocument/2006/relationships/hyperlink" Target="https://chromewebstore.google.com/detail/cgggfndkphggbgeimpplooflemnfndok" TargetMode="External"/><Relationship Id="rId2225" Type="http://schemas.openxmlformats.org/officeDocument/2006/relationships/hyperlink" Target="https://chromewebstore.google.com/detail/ohahpmcamnjffnbjbjmjmmkkfajhaeag" TargetMode="External"/><Relationship Id="rId3557" Type="http://schemas.openxmlformats.org/officeDocument/2006/relationships/hyperlink" Target="https://chromewebstore.google.com/detail/hlkndiknofmlmajfocifccmplknafjeo" TargetMode="External"/><Relationship Id="rId4888" Type="http://schemas.openxmlformats.org/officeDocument/2006/relationships/hyperlink" Target="https://chromewebstore.google.com/detail/ealihiicnhlmeapidiennmjgpoicjiad" TargetMode="External"/><Relationship Id="rId2226" Type="http://schemas.openxmlformats.org/officeDocument/2006/relationships/hyperlink" Target="https://chromewebstore.google.com/detail/oikopohbkicbnneinipgiihiijhephop" TargetMode="External"/><Relationship Id="rId3556" Type="http://schemas.openxmlformats.org/officeDocument/2006/relationships/hyperlink" Target="https://chromewebstore.google.com/detail/hlkgeeoonjpbagonlokmppbmndadkidb" TargetMode="External"/><Relationship Id="rId4887" Type="http://schemas.openxmlformats.org/officeDocument/2006/relationships/hyperlink" Target="https://chromewebstore.google.com/detail/gliplldjplmfocfpkbpmaikmeiildjel" TargetMode="External"/><Relationship Id="rId2227" Type="http://schemas.openxmlformats.org/officeDocument/2006/relationships/hyperlink" Target="https://chromewebstore.google.com/detail/oklglfdilhnneooaachcknojlkcgammo" TargetMode="External"/><Relationship Id="rId3559" Type="http://schemas.openxmlformats.org/officeDocument/2006/relationships/hyperlink" Target="https://chromewebstore.google.com/detail/hmhpbcbhphljhbjjmjongooemknbjjoa" TargetMode="External"/><Relationship Id="rId2228" Type="http://schemas.openxmlformats.org/officeDocument/2006/relationships/hyperlink" Target="https://chromewebstore.google.com/detail/omioomoieildjihcajfoobhhiecjkmfn" TargetMode="External"/><Relationship Id="rId3558" Type="http://schemas.openxmlformats.org/officeDocument/2006/relationships/hyperlink" Target="https://chromewebstore.google.com/detail/hmddfalndciigbdmikpibaleammmkcbm" TargetMode="External"/><Relationship Id="rId4889" Type="http://schemas.openxmlformats.org/officeDocument/2006/relationships/hyperlink" Target="https://chromewebstore.google.com/detail/iegjdjcmfimekjidjffaddhgolgclmcf" TargetMode="External"/><Relationship Id="rId2229" Type="http://schemas.openxmlformats.org/officeDocument/2006/relationships/hyperlink" Target="https://chromewebstore.google.com/detail/onnniedjlchmaadhlkecfkikephcceed" TargetMode="External"/><Relationship Id="rId4880" Type="http://schemas.openxmlformats.org/officeDocument/2006/relationships/hyperlink" Target="https://chromewebstore.google.com/detail/ppcbbjpbbmmjfiiadgklhocpdiildmca" TargetMode="External"/><Relationship Id="rId3551" Type="http://schemas.openxmlformats.org/officeDocument/2006/relationships/hyperlink" Target="https://chromewebstore.google.com/detail/hkjafmjeochlepgldkncjipkjdhpipbj" TargetMode="External"/><Relationship Id="rId4882" Type="http://schemas.openxmlformats.org/officeDocument/2006/relationships/hyperlink" Target="https://chromewebstore.google.com/detail/ppoliijncpdcgddmfibmgnjhegceaadj" TargetMode="External"/><Relationship Id="rId2220" Type="http://schemas.openxmlformats.org/officeDocument/2006/relationships/hyperlink" Target="https://chromewebstore.google.com/detail/obidpejmhcahdaaojlmlkgkhjdedalnp" TargetMode="External"/><Relationship Id="rId3550" Type="http://schemas.openxmlformats.org/officeDocument/2006/relationships/hyperlink" Target="https://chromewebstore.google.com/detail/hkfmcplbmbfhfocaobcnjkfelmfbdkcm" TargetMode="External"/><Relationship Id="rId4881" Type="http://schemas.openxmlformats.org/officeDocument/2006/relationships/hyperlink" Target="https://chromewebstore.google.com/detail/ppcegaekdbgcgbapfdcjbhednhmgcjnk" TargetMode="External"/><Relationship Id="rId2221" Type="http://schemas.openxmlformats.org/officeDocument/2006/relationships/hyperlink" Target="https://chromewebstore.google.com/detail/ockidfiihjhkngdalfnbeeepgfbmkmlh" TargetMode="External"/><Relationship Id="rId3553" Type="http://schemas.openxmlformats.org/officeDocument/2006/relationships/hyperlink" Target="https://chromewebstore.google.com/detail/hkmgpkkdjolenhddemkgngpiagjglecb" TargetMode="External"/><Relationship Id="rId4884" Type="http://schemas.openxmlformats.org/officeDocument/2006/relationships/hyperlink" Target="https://chromewebstore.google.com/detail/edgbjbffofakeeamgpgapedgcomfbmml" TargetMode="External"/><Relationship Id="rId2222" Type="http://schemas.openxmlformats.org/officeDocument/2006/relationships/hyperlink" Target="https://chromewebstore.google.com/detail/oealdlhfjifhgbmjnenhkgffglaibojf" TargetMode="External"/><Relationship Id="rId3552" Type="http://schemas.openxmlformats.org/officeDocument/2006/relationships/hyperlink" Target="https://chromewebstore.google.com/detail/hkladljdibplikfcfcdgaoobpdpaicci" TargetMode="External"/><Relationship Id="rId4883" Type="http://schemas.openxmlformats.org/officeDocument/2006/relationships/hyperlink" Target="https://chromewebstore.google.com/detail/fbhokgdamjkkacelimdbfbnfnmbeklpm" TargetMode="External"/><Relationship Id="rId2223" Type="http://schemas.openxmlformats.org/officeDocument/2006/relationships/hyperlink" Target="https://chromewebstore.google.com/detail/oekefjibcnongmmmmkdiofgeppfkmdii" TargetMode="External"/><Relationship Id="rId3555" Type="http://schemas.openxmlformats.org/officeDocument/2006/relationships/hyperlink" Target="https://chromewebstore.google.com/detail/hledmlpbeiablkglomlminfemnepgjlp" TargetMode="External"/><Relationship Id="rId4886" Type="http://schemas.openxmlformats.org/officeDocument/2006/relationships/hyperlink" Target="https://chromewebstore.google.com/detail/pofafboibjkfombpgmfaeepeehfcfahm" TargetMode="External"/><Relationship Id="rId2224" Type="http://schemas.openxmlformats.org/officeDocument/2006/relationships/hyperlink" Target="https://chromewebstore.google.com/detail/ogookjjcaobcijoblfjoneggmhdlppkc" TargetMode="External"/><Relationship Id="rId3554" Type="http://schemas.openxmlformats.org/officeDocument/2006/relationships/hyperlink" Target="https://chromewebstore.google.com/detail/hlbkkfgplamgidcmijjcglabmiekfech" TargetMode="External"/><Relationship Id="rId4885" Type="http://schemas.openxmlformats.org/officeDocument/2006/relationships/hyperlink" Target="https://chromewebstore.google.com/detail/fcgmgjnnohnmfaafkjpbinakabldfbag" TargetMode="External"/><Relationship Id="rId2214" Type="http://schemas.openxmlformats.org/officeDocument/2006/relationships/hyperlink" Target="https://chromewebstore.google.com/detail/njnjihibbnocbhikjjbeloaacpjfnbig" TargetMode="External"/><Relationship Id="rId3546" Type="http://schemas.openxmlformats.org/officeDocument/2006/relationships/hyperlink" Target="https://chromewebstore.google.com/detail/hifbbdpjdifimkkppglajhmkcikaandj" TargetMode="External"/><Relationship Id="rId4877" Type="http://schemas.openxmlformats.org/officeDocument/2006/relationships/hyperlink" Target="https://chromewebstore.google.com/detail/polidkhcaghmmijeemenkiloblpdfphp" TargetMode="External"/><Relationship Id="rId2215" Type="http://schemas.openxmlformats.org/officeDocument/2006/relationships/hyperlink" Target="https://chromewebstore.google.com/detail/nkkgjkadifmmbmdmnkgihbkkpfejgnck" TargetMode="External"/><Relationship Id="rId3545" Type="http://schemas.openxmlformats.org/officeDocument/2006/relationships/hyperlink" Target="https://chromewebstore.google.com/detail/hidmkebaeifbokhkdkhcokahfaiakdef" TargetMode="External"/><Relationship Id="rId4876" Type="http://schemas.openxmlformats.org/officeDocument/2006/relationships/hyperlink" Target="https://chromewebstore.google.com/detail/pokkcnacdpgalbmpneemmbafmcghankm" TargetMode="External"/><Relationship Id="rId2216" Type="http://schemas.openxmlformats.org/officeDocument/2006/relationships/hyperlink" Target="https://chromewebstore.google.com/detail/nnigpbiaggiephcndokoaongeefpbdcj" TargetMode="External"/><Relationship Id="rId3548" Type="http://schemas.openxmlformats.org/officeDocument/2006/relationships/hyperlink" Target="https://chromewebstore.google.com/detail/hikjbimjpogeajolkcggpbhjdlpifcmk" TargetMode="External"/><Relationship Id="rId4879" Type="http://schemas.openxmlformats.org/officeDocument/2006/relationships/hyperlink" Target="https://chromewebstore.google.com/detail/poomlolhjphfnijbbhplbggnddahgdpp" TargetMode="External"/><Relationship Id="rId2217" Type="http://schemas.openxmlformats.org/officeDocument/2006/relationships/hyperlink" Target="https://chromewebstore.google.com/detail/nomidcdbhopffbhbpfnnlgnfimhgdman" TargetMode="External"/><Relationship Id="rId3547" Type="http://schemas.openxmlformats.org/officeDocument/2006/relationships/hyperlink" Target="https://chromewebstore.google.com/detail/hihcjkhhlbmckhhnjamfomegbnlffcni" TargetMode="External"/><Relationship Id="rId4878" Type="http://schemas.openxmlformats.org/officeDocument/2006/relationships/hyperlink" Target="https://chromewebstore.google.com/detail/poomhaoiklcooaelckmhijbmkclcgbad" TargetMode="External"/><Relationship Id="rId2218" Type="http://schemas.openxmlformats.org/officeDocument/2006/relationships/hyperlink" Target="https://chromewebstore.google.com/detail/npfbahgomodenajejiopcfbggcpkcani" TargetMode="External"/><Relationship Id="rId2219" Type="http://schemas.openxmlformats.org/officeDocument/2006/relationships/hyperlink" Target="https://chromewebstore.google.com/detail/obhijjefkkokfaiffkcemldacdabpeei" TargetMode="External"/><Relationship Id="rId3549" Type="http://schemas.openxmlformats.org/officeDocument/2006/relationships/hyperlink" Target="https://chromewebstore.google.com/detail/hikjpmfebkagiijbdinakadphhjffaik" TargetMode="External"/><Relationship Id="rId3540" Type="http://schemas.openxmlformats.org/officeDocument/2006/relationships/hyperlink" Target="https://chromewebstore.google.com/detail/hhgkfhlgacdclmkgjniellfcpfgcmonm" TargetMode="External"/><Relationship Id="rId4871" Type="http://schemas.openxmlformats.org/officeDocument/2006/relationships/hyperlink" Target="https://chromewebstore.google.com/detail/pmpmejbonomjlbhphkkbeeeecpnknkpn" TargetMode="External"/><Relationship Id="rId4870" Type="http://schemas.openxmlformats.org/officeDocument/2006/relationships/hyperlink" Target="https://chromewebstore.google.com/detail/pmpdmpjichjpigklkhholiejpnhcjhkf" TargetMode="External"/><Relationship Id="rId2210" Type="http://schemas.openxmlformats.org/officeDocument/2006/relationships/hyperlink" Target="https://chromewebstore.google.com/detail/ngjnkanfphagcaokhjecbgkboelgfcnf" TargetMode="External"/><Relationship Id="rId3542" Type="http://schemas.openxmlformats.org/officeDocument/2006/relationships/hyperlink" Target="https://chromewebstore.google.com/detail/hhiipkcjbemmanpfdfdkhmfjpliniomn" TargetMode="External"/><Relationship Id="rId4873" Type="http://schemas.openxmlformats.org/officeDocument/2006/relationships/hyperlink" Target="https://chromewebstore.google.com/detail/pnmifmjgoddkicidifnaenlagjcofomn" TargetMode="External"/><Relationship Id="rId2211" Type="http://schemas.openxmlformats.org/officeDocument/2006/relationships/hyperlink" Target="https://chromewebstore.google.com/detail/nhaommnkcfogjlhlphdfaejnnpepepeb" TargetMode="External"/><Relationship Id="rId3541" Type="http://schemas.openxmlformats.org/officeDocument/2006/relationships/hyperlink" Target="https://chromewebstore.google.com/detail/hhhlbediooifeabnlleljnbddcelmdpm" TargetMode="External"/><Relationship Id="rId4872" Type="http://schemas.openxmlformats.org/officeDocument/2006/relationships/hyperlink" Target="https://chromewebstore.google.com/detail/pninmpjhjchbpkopdphbkngalhfipaln" TargetMode="External"/><Relationship Id="rId2212" Type="http://schemas.openxmlformats.org/officeDocument/2006/relationships/hyperlink" Target="https://chromewebstore.google.com/detail/nhmccpjmdhejpfhafcfajkgifkmjhkgf" TargetMode="External"/><Relationship Id="rId3544" Type="http://schemas.openxmlformats.org/officeDocument/2006/relationships/hyperlink" Target="https://chromewebstore.google.com/detail/hhompecpighdhclapocgaaadjnmgahoi" TargetMode="External"/><Relationship Id="rId4875" Type="http://schemas.openxmlformats.org/officeDocument/2006/relationships/hyperlink" Target="https://chromewebstore.google.com/detail/pofanjellkmepliaagnpopjndkkdlolg" TargetMode="External"/><Relationship Id="rId2213" Type="http://schemas.openxmlformats.org/officeDocument/2006/relationships/hyperlink" Target="https://chromewebstore.google.com/detail/nieboggmgpnmaiedgpcackjnpjakgfaf" TargetMode="External"/><Relationship Id="rId3543" Type="http://schemas.openxmlformats.org/officeDocument/2006/relationships/hyperlink" Target="https://chromewebstore.google.com/detail/hhilmijlfhoacmoccpahalnmbjcfahcb" TargetMode="External"/><Relationship Id="rId4874" Type="http://schemas.openxmlformats.org/officeDocument/2006/relationships/hyperlink" Target="https://chromewebstore.google.com/detail/poalplpedjpddipkghmlhkmgbcnmecop" TargetMode="External"/><Relationship Id="rId2247" Type="http://schemas.openxmlformats.org/officeDocument/2006/relationships/hyperlink" Target="https://chromewebstore.google.com/detail/abngfjnmaobeaaheapakabhdoapfopdi" TargetMode="External"/><Relationship Id="rId3579" Type="http://schemas.openxmlformats.org/officeDocument/2006/relationships/hyperlink" Target="https://chromewebstore.google.com/detail/iefinhiodbmoobdnoholloggphkoijoc" TargetMode="External"/><Relationship Id="rId2248" Type="http://schemas.openxmlformats.org/officeDocument/2006/relationships/hyperlink" Target="https://chromewebstore.google.com/detail/abobfeiegcaajeicmdlhfhddpcfnngoj" TargetMode="External"/><Relationship Id="rId3578" Type="http://schemas.openxmlformats.org/officeDocument/2006/relationships/hyperlink" Target="https://chromewebstore.google.com/detail/idnninnhcleaikepmmomfnknbldalnjj" TargetMode="External"/><Relationship Id="rId2249" Type="http://schemas.openxmlformats.org/officeDocument/2006/relationships/hyperlink" Target="https://chromewebstore.google.com/detail/adakfpemmbngeohfigfpldjimamijoek" TargetMode="External"/><Relationship Id="rId3571" Type="http://schemas.openxmlformats.org/officeDocument/2006/relationships/hyperlink" Target="https://chromewebstore.google.com/detail/hppnfmeaoiochhjdlojgflkfedncdokl" TargetMode="External"/><Relationship Id="rId2240" Type="http://schemas.openxmlformats.org/officeDocument/2006/relationships/hyperlink" Target="https://chromewebstore.google.com/detail/plpjogfhobhpdcmcblieglnoooccfcmm" TargetMode="External"/><Relationship Id="rId3570" Type="http://schemas.openxmlformats.org/officeDocument/2006/relationships/hyperlink" Target="https://chromewebstore.google.com/detail/hplecpnihkigeaiobbmfnfblepiadjdh" TargetMode="External"/><Relationship Id="rId2241" Type="http://schemas.openxmlformats.org/officeDocument/2006/relationships/hyperlink" Target="https://chromewebstore.google.com/detail/dodniekpimecafnhdbfaihfgdgbihhjl" TargetMode="External"/><Relationship Id="rId3573" Type="http://schemas.openxmlformats.org/officeDocument/2006/relationships/hyperlink" Target="https://chromewebstore.google.com/detail/ibedmjbicclcdfmghnkfldnplocgihna" TargetMode="External"/><Relationship Id="rId2242" Type="http://schemas.openxmlformats.org/officeDocument/2006/relationships/hyperlink" Target="https://chromewebstore.google.com/detail/knajdeaocbpmfghhmijicidfcmdgbdpm" TargetMode="External"/><Relationship Id="rId3572" Type="http://schemas.openxmlformats.org/officeDocument/2006/relationships/hyperlink" Target="https://chromewebstore.google.com/detail/iagdenmadjpeeigekdkdmlombbkjoanj" TargetMode="External"/><Relationship Id="rId2243" Type="http://schemas.openxmlformats.org/officeDocument/2006/relationships/hyperlink" Target="https://chromewebstore.google.com/detail/aabplfdbflnfaabdmafknlgpoffelmej" TargetMode="External"/><Relationship Id="rId3575" Type="http://schemas.openxmlformats.org/officeDocument/2006/relationships/hyperlink" Target="https://chromewebstore.google.com/detail/ibklfmkdcaocoihmpjampgleiaahldpp" TargetMode="External"/><Relationship Id="rId2244" Type="http://schemas.openxmlformats.org/officeDocument/2006/relationships/hyperlink" Target="https://chromewebstore.google.com/detail/aahjijobnncbnonimmcglbeocpckmgdi" TargetMode="External"/><Relationship Id="rId3574" Type="http://schemas.openxmlformats.org/officeDocument/2006/relationships/hyperlink" Target="https://chromewebstore.google.com/detail/ibeemfhcbbikonfajhamlkdgedmekifo" TargetMode="External"/><Relationship Id="rId2245" Type="http://schemas.openxmlformats.org/officeDocument/2006/relationships/hyperlink" Target="https://chromewebstore.google.com/detail/aamgapdgopfdmokckpkfciiddpahbbcg" TargetMode="External"/><Relationship Id="rId3577" Type="http://schemas.openxmlformats.org/officeDocument/2006/relationships/hyperlink" Target="https://chromewebstore.google.com/detail/ichpfnleoiponjidhcbieonjdpnallmh" TargetMode="External"/><Relationship Id="rId2246" Type="http://schemas.openxmlformats.org/officeDocument/2006/relationships/hyperlink" Target="https://chromewebstore.google.com/detail/aamhfladfpacdednbomhcfgapoljdjgo" TargetMode="External"/><Relationship Id="rId3576" Type="http://schemas.openxmlformats.org/officeDocument/2006/relationships/hyperlink" Target="https://chromewebstore.google.com/detail/ibmdlialbleknfcjmllmoclcpmaabchl" TargetMode="External"/><Relationship Id="rId2236" Type="http://schemas.openxmlformats.org/officeDocument/2006/relationships/hyperlink" Target="https://chromewebstore.google.com/detail/piciggpbidhfbpefjjbomcgomanjfbeb" TargetMode="External"/><Relationship Id="rId3568" Type="http://schemas.openxmlformats.org/officeDocument/2006/relationships/hyperlink" Target="https://chromewebstore.google.com/detail/hofjanlkemfjdabokampgoehhfifbbjc" TargetMode="External"/><Relationship Id="rId4899" Type="http://schemas.openxmlformats.org/officeDocument/2006/relationships/hyperlink" Target="https://chromewebstore.google.com/detail/aahkfjicefeopjkokkfncpfflcjkmpbi" TargetMode="External"/><Relationship Id="rId2237" Type="http://schemas.openxmlformats.org/officeDocument/2006/relationships/hyperlink" Target="https://chromewebstore.google.com/detail/piihgeabdpmcpjacnoacminmodaekejp" TargetMode="External"/><Relationship Id="rId3567" Type="http://schemas.openxmlformats.org/officeDocument/2006/relationships/hyperlink" Target="https://chromewebstore.google.com/detail/hocfbimjcephnjnoihhhoogcmnakbmlh" TargetMode="External"/><Relationship Id="rId4898" Type="http://schemas.openxmlformats.org/officeDocument/2006/relationships/hyperlink" Target="https://chromewebstore.google.com/detail/aahbjjldiddbnpabbhkaklkmnokndedo" TargetMode="External"/><Relationship Id="rId2238" Type="http://schemas.openxmlformats.org/officeDocument/2006/relationships/hyperlink" Target="https://chromewebstore.google.com/detail/pjpobmgdbnbegggcdgbljfgplleejmkb" TargetMode="External"/><Relationship Id="rId2239" Type="http://schemas.openxmlformats.org/officeDocument/2006/relationships/hyperlink" Target="https://chromewebstore.google.com/detail/pkbdliadhfopgfdhbldifaakplenbpnd" TargetMode="External"/><Relationship Id="rId3569" Type="http://schemas.openxmlformats.org/officeDocument/2006/relationships/hyperlink" Target="https://chromewebstore.google.com/detail/holhpdfhbdhieddbpppnglddplfhopfi" TargetMode="External"/><Relationship Id="rId3560" Type="http://schemas.openxmlformats.org/officeDocument/2006/relationships/hyperlink" Target="https://chromewebstore.google.com/detail/hmhpegjieopgbdmpocdmfkafjgcdmhha" TargetMode="External"/><Relationship Id="rId4891" Type="http://schemas.openxmlformats.org/officeDocument/2006/relationships/hyperlink" Target="https://chromewebstore.google.com/detail/idalccinfigpohjpehkcdcpgnannhhfl" TargetMode="External"/><Relationship Id="rId4890" Type="http://schemas.openxmlformats.org/officeDocument/2006/relationships/hyperlink" Target="https://chromewebstore.google.com/detail/jbngidpijekbhekmimlbcopjfkogiomb" TargetMode="External"/><Relationship Id="rId2230" Type="http://schemas.openxmlformats.org/officeDocument/2006/relationships/hyperlink" Target="https://chromewebstore.google.com/detail/oobphcndhljfbmllppplinbdagpnfbjp" TargetMode="External"/><Relationship Id="rId3562" Type="http://schemas.openxmlformats.org/officeDocument/2006/relationships/hyperlink" Target="https://chromewebstore.google.com/detail/hnejecidakmfncbfmklegjidgikiilgd" TargetMode="External"/><Relationship Id="rId4893" Type="http://schemas.openxmlformats.org/officeDocument/2006/relationships/hyperlink" Target="https://chromewebstore.google.com/detail/aaclhojogkcakmjnadccbhpkkolcpaeh" TargetMode="External"/><Relationship Id="rId2231" Type="http://schemas.openxmlformats.org/officeDocument/2006/relationships/hyperlink" Target="https://chromewebstore.google.com/detail/oppcghdbglmbhhobfoodedhokbadlenh" TargetMode="External"/><Relationship Id="rId3561" Type="http://schemas.openxmlformats.org/officeDocument/2006/relationships/hyperlink" Target="https://chromewebstore.google.com/detail/hmpadeikehkcpfjbpgfolocddgmiofpm" TargetMode="External"/><Relationship Id="rId4892" Type="http://schemas.openxmlformats.org/officeDocument/2006/relationships/hyperlink" Target="https://chromewebstore.google.com/detail/gghihgpbkhfnjcnodemegkldekipnoec" TargetMode="External"/><Relationship Id="rId2232" Type="http://schemas.openxmlformats.org/officeDocument/2006/relationships/hyperlink" Target="https://chromewebstore.google.com/detail/pdnmkammncjnifdeclafllianknnoaif" TargetMode="External"/><Relationship Id="rId3564" Type="http://schemas.openxmlformats.org/officeDocument/2006/relationships/hyperlink" Target="https://chromewebstore.google.com/detail/hnkcafanoncncpkgboikhhikdomenepb" TargetMode="External"/><Relationship Id="rId4895" Type="http://schemas.openxmlformats.org/officeDocument/2006/relationships/hyperlink" Target="https://chromewebstore.google.com/detail/aacpeocdoemahgdlilehionapfhbcgig" TargetMode="External"/><Relationship Id="rId2233" Type="http://schemas.openxmlformats.org/officeDocument/2006/relationships/hyperlink" Target="https://chromewebstore.google.com/detail/pdpkefmdjkgijhnhjkblpielhiikadbb" TargetMode="External"/><Relationship Id="rId3563" Type="http://schemas.openxmlformats.org/officeDocument/2006/relationships/hyperlink" Target="https://chromewebstore.google.com/detail/hnffjpappohfnmhdimbpeljbnokjagdd" TargetMode="External"/><Relationship Id="rId4894" Type="http://schemas.openxmlformats.org/officeDocument/2006/relationships/hyperlink" Target="https://chromewebstore.google.com/detail/aaclmldkenecanphogeaacolljiphmnk" TargetMode="External"/><Relationship Id="rId2234" Type="http://schemas.openxmlformats.org/officeDocument/2006/relationships/hyperlink" Target="https://chromewebstore.google.com/detail/peboiggabkeljjdnbelmhbpnmonomngo" TargetMode="External"/><Relationship Id="rId3566" Type="http://schemas.openxmlformats.org/officeDocument/2006/relationships/hyperlink" Target="https://chromewebstore.google.com/detail/hoaeoknbnombjplkahejaedapopgclgg" TargetMode="External"/><Relationship Id="rId4897" Type="http://schemas.openxmlformats.org/officeDocument/2006/relationships/hyperlink" Target="https://chromewebstore.google.com/detail/aadkcfdlmiddiiibdnhfbpbmfcaoknkm" TargetMode="External"/><Relationship Id="rId2235" Type="http://schemas.openxmlformats.org/officeDocument/2006/relationships/hyperlink" Target="https://chromewebstore.google.com/detail/pfjninionlecmhganagpckidcmhgjlhd" TargetMode="External"/><Relationship Id="rId3565" Type="http://schemas.openxmlformats.org/officeDocument/2006/relationships/hyperlink" Target="https://chromewebstore.google.com/detail/hnpkdcghgfeaccigdjnibpkopebncakc" TargetMode="External"/><Relationship Id="rId4896" Type="http://schemas.openxmlformats.org/officeDocument/2006/relationships/hyperlink" Target="https://chromewebstore.google.com/detail/aadhbdhoolgcjfdplbjpfmmobcjmhklf" TargetMode="External"/><Relationship Id="rId8409" Type="http://schemas.openxmlformats.org/officeDocument/2006/relationships/hyperlink" Target="https://chromewebstore.google.com/detail/mlmjeckehjikocbfihempdfhjdldnhgk" TargetMode="External"/><Relationship Id="rId8408" Type="http://schemas.openxmlformats.org/officeDocument/2006/relationships/hyperlink" Target="https://chromewebstore.google.com/detail/gohlodncmafjmajkfemnppioagfbjcpl" TargetMode="External"/><Relationship Id="rId8407" Type="http://schemas.openxmlformats.org/officeDocument/2006/relationships/hyperlink" Target="https://chromewebstore.google.com/detail/ekilnbdikdapophfmkflnpphpcnpffff" TargetMode="External"/><Relationship Id="rId8402" Type="http://schemas.openxmlformats.org/officeDocument/2006/relationships/hyperlink" Target="https://chromewebstore.google.com/detail/ocajbbmlgngfpanabollgdekcbcehcjd" TargetMode="External"/><Relationship Id="rId8401" Type="http://schemas.openxmlformats.org/officeDocument/2006/relationships/hyperlink" Target="https://chromewebstore.google.com/detail/gfmlaljopbojfghmafldbdecllafopom" TargetMode="External"/><Relationship Id="rId8400" Type="http://schemas.openxmlformats.org/officeDocument/2006/relationships/hyperlink" Target="https://chromewebstore.google.com/detail/anbidaokdpljaipkcgihbooniklbfbfc" TargetMode="External"/><Relationship Id="rId8406" Type="http://schemas.openxmlformats.org/officeDocument/2006/relationships/hyperlink" Target="https://chromewebstore.google.com/detail/dmcghmgmohlfkaknkangmjnhdbejmcin" TargetMode="External"/><Relationship Id="rId8405" Type="http://schemas.openxmlformats.org/officeDocument/2006/relationships/hyperlink" Target="https://chromewebstore.google.com/detail/pmmfkoldfghblakickfcpjpdhbbalaoh" TargetMode="External"/><Relationship Id="rId8404" Type="http://schemas.openxmlformats.org/officeDocument/2006/relationships/hyperlink" Target="https://chromewebstore.google.com/detail/epfenpmnngonckanfoaehlnepjbjlmaa" TargetMode="External"/><Relationship Id="rId8403" Type="http://schemas.openxmlformats.org/officeDocument/2006/relationships/hyperlink" Target="https://chromewebstore.google.com/detail/bdohnoncgnjdlijjpnebkggepaocgopo" TargetMode="External"/><Relationship Id="rId8429" Type="http://schemas.openxmlformats.org/officeDocument/2006/relationships/hyperlink" Target="https://chromewebstore.google.com/detail/fklfhmpplflfonommkogigohiblgmiid" TargetMode="External"/><Relationship Id="rId8420" Type="http://schemas.openxmlformats.org/officeDocument/2006/relationships/hyperlink" Target="https://chromewebstore.google.com/detail/ndemdbbnlookindnmbdcaffdllkfodif" TargetMode="External"/><Relationship Id="rId8424" Type="http://schemas.openxmlformats.org/officeDocument/2006/relationships/hyperlink" Target="https://chromewebstore.google.com/detail/gpkabcbkpmgnhbnophinkkbgkkfknjne" TargetMode="External"/><Relationship Id="rId8423" Type="http://schemas.openxmlformats.org/officeDocument/2006/relationships/hyperlink" Target="https://chromewebstore.google.com/detail/foejegkpnomadfpnaofmhcbgmfejboge" TargetMode="External"/><Relationship Id="rId8422" Type="http://schemas.openxmlformats.org/officeDocument/2006/relationships/hyperlink" Target="https://chromewebstore.google.com/detail/dkilgaafooiibcdkhgnhialfmbdgkfae" TargetMode="External"/><Relationship Id="rId8421" Type="http://schemas.openxmlformats.org/officeDocument/2006/relationships/hyperlink" Target="https://chromewebstore.google.com/detail/bkdpdcgcbkkohcelcibdenakcngkmamg" TargetMode="External"/><Relationship Id="rId8428" Type="http://schemas.openxmlformats.org/officeDocument/2006/relationships/hyperlink" Target="https://chromewebstore.google.com/detail/fjdejejennfkoeghchlkjfmdlhoeebjc" TargetMode="External"/><Relationship Id="rId8427" Type="http://schemas.openxmlformats.org/officeDocument/2006/relationships/hyperlink" Target="https://chromewebstore.google.com/detail/fjbngkpiplemfiflfmbhbjicmmfdcgni" TargetMode="External"/><Relationship Id="rId8426" Type="http://schemas.openxmlformats.org/officeDocument/2006/relationships/hyperlink" Target="https://chromewebstore.google.com/detail/emcbbfefhbnpklilnlijonjanehjnfdi" TargetMode="External"/><Relationship Id="rId8425" Type="http://schemas.openxmlformats.org/officeDocument/2006/relationships/hyperlink" Target="https://chromewebstore.google.com/detail/jefepjcokpcjcemgcganhhfbgkfgijdh" TargetMode="External"/><Relationship Id="rId8419" Type="http://schemas.openxmlformats.org/officeDocument/2006/relationships/hyperlink" Target="https://chromewebstore.google.com/detail/kngnmjeonknomjlmiphobdignngijjaa" TargetMode="External"/><Relationship Id="rId8418" Type="http://schemas.openxmlformats.org/officeDocument/2006/relationships/hyperlink" Target="https://chromewebstore.google.com/detail/ekpmhbdmofhgphjjbejkefeaebflacog" TargetMode="External"/><Relationship Id="rId8413" Type="http://schemas.openxmlformats.org/officeDocument/2006/relationships/hyperlink" Target="https://chromewebstore.google.com/detail/jdlhbbfgmidmnfacbfpfejfllhcappci" TargetMode="External"/><Relationship Id="rId8412" Type="http://schemas.openxmlformats.org/officeDocument/2006/relationships/hyperlink" Target="https://chromewebstore.google.com/detail/ibbmgejonlmocgjnkmabigdgbolcomea" TargetMode="External"/><Relationship Id="rId8411" Type="http://schemas.openxmlformats.org/officeDocument/2006/relationships/hyperlink" Target="https://chromewebstore.google.com/detail/fmichikmgflpgibapdhepmodjdjemmda" TargetMode="External"/><Relationship Id="rId8410" Type="http://schemas.openxmlformats.org/officeDocument/2006/relationships/hyperlink" Target="https://chromewebstore.google.com/detail/aojnohijgfljoaikgpmehcbhfpbdibnh" TargetMode="External"/><Relationship Id="rId8417" Type="http://schemas.openxmlformats.org/officeDocument/2006/relationships/hyperlink" Target="https://chromewebstore.google.com/detail/akbikmmpkifiidiegdmhaancnfoeokbh" TargetMode="External"/><Relationship Id="rId8416" Type="http://schemas.openxmlformats.org/officeDocument/2006/relationships/hyperlink" Target="https://chromewebstore.google.com/detail/ppambhffhbblclhelfcclnjefonjijoa" TargetMode="External"/><Relationship Id="rId8415" Type="http://schemas.openxmlformats.org/officeDocument/2006/relationships/hyperlink" Target="https://chromewebstore.google.com/detail/oogbolppgglppleehdlkjmfpjchekdpl" TargetMode="External"/><Relationship Id="rId8414" Type="http://schemas.openxmlformats.org/officeDocument/2006/relationships/hyperlink" Target="https://chromewebstore.google.com/detail/kdpimpkanipcikgpdogdejdbidmbfhem" TargetMode="External"/><Relationship Id="rId2290" Type="http://schemas.openxmlformats.org/officeDocument/2006/relationships/hyperlink" Target="https://chromewebstore.google.com/detail/coickbnhchmdngjabciaimhdhnbgnpef" TargetMode="External"/><Relationship Id="rId2291" Type="http://schemas.openxmlformats.org/officeDocument/2006/relationships/hyperlink" Target="https://chromewebstore.google.com/detail/cojebfpfaaikknofipcimmgclgdkihcp" TargetMode="External"/><Relationship Id="rId2292" Type="http://schemas.openxmlformats.org/officeDocument/2006/relationships/hyperlink" Target="https://chromewebstore.google.com/detail/comoajdjdhccbjchdnbiickjnpdnnmbd" TargetMode="External"/><Relationship Id="rId2293" Type="http://schemas.openxmlformats.org/officeDocument/2006/relationships/hyperlink" Target="https://chromewebstore.google.com/detail/dahppfjibdefbdbpenkdmpmicmconloi" TargetMode="External"/><Relationship Id="rId2294" Type="http://schemas.openxmlformats.org/officeDocument/2006/relationships/hyperlink" Target="https://chromewebstore.google.com/detail/ddpejemcmlhbjppfdndmonifbiaindkl" TargetMode="External"/><Relationship Id="rId2295" Type="http://schemas.openxmlformats.org/officeDocument/2006/relationships/hyperlink" Target="https://chromewebstore.google.com/detail/deacaenjlolcbcnojljnabgmdljeekfh" TargetMode="External"/><Relationship Id="rId2296" Type="http://schemas.openxmlformats.org/officeDocument/2006/relationships/hyperlink" Target="https://chromewebstore.google.com/detail/deekoplmjnhcnbkpojidakdbllmdhekh" TargetMode="External"/><Relationship Id="rId2297" Type="http://schemas.openxmlformats.org/officeDocument/2006/relationships/hyperlink" Target="https://chromewebstore.google.com/detail/dflfhhdekdakmeplgkghbglgadcnffgh" TargetMode="External"/><Relationship Id="rId2298" Type="http://schemas.openxmlformats.org/officeDocument/2006/relationships/hyperlink" Target="https://chromewebstore.google.com/detail/dgibbaokhfpninakmmnpmgedoabcmnpd" TargetMode="External"/><Relationship Id="rId2299" Type="http://schemas.openxmlformats.org/officeDocument/2006/relationships/hyperlink" Target="https://chromewebstore.google.com/detail/dgmacifhhpefamjmolpipkijcofcmbgp" TargetMode="External"/><Relationship Id="rId9705" Type="http://schemas.openxmlformats.org/officeDocument/2006/relationships/hyperlink" Target="https://chromewebstore.google.com/detail/ofjdjffkbglgpdikoofpkeniefljookp" TargetMode="External"/><Relationship Id="rId9706" Type="http://schemas.openxmlformats.org/officeDocument/2006/relationships/drawing" Target="../drawings/drawing1.xml"/><Relationship Id="rId9701" Type="http://schemas.openxmlformats.org/officeDocument/2006/relationships/hyperlink" Target="https://chromewebstore.google.com/detail/eonhcfjonflaaojkfbgaggiolnioboef" TargetMode="External"/><Relationship Id="rId9702" Type="http://schemas.openxmlformats.org/officeDocument/2006/relationships/hyperlink" Target="https://chromewebstore.google.com/detail/ibdppaaieeojldgandjjlmjfbnjiciji" TargetMode="External"/><Relationship Id="rId9703" Type="http://schemas.openxmlformats.org/officeDocument/2006/relationships/hyperlink" Target="https://chromewebstore.google.com/detail/ibfkmjpgbhlbjopdalpbjkajcofgfgem" TargetMode="External"/><Relationship Id="rId9704" Type="http://schemas.openxmlformats.org/officeDocument/2006/relationships/hyperlink" Target="https://chromewebstore.google.com/detail/kkjlehpaghmppmkfihgiejaaapgkinai" TargetMode="External"/><Relationship Id="rId9700" Type="http://schemas.openxmlformats.org/officeDocument/2006/relationships/hyperlink" Target="https://chromewebstore.google.com/detail/eofldjecdkcjhnccphadkomkiebjfdkl" TargetMode="External"/><Relationship Id="rId7151" Type="http://schemas.openxmlformats.org/officeDocument/2006/relationships/hyperlink" Target="https://chromewebstore.google.com/detail/ghchdnjbeglgofkleikiiedhclobleoh" TargetMode="External"/><Relationship Id="rId8482" Type="http://schemas.openxmlformats.org/officeDocument/2006/relationships/hyperlink" Target="https://chromewebstore.google.com/detail/jnphbfhmpdmdhbnjheabpmkmpeeheofp" TargetMode="External"/><Relationship Id="rId7150" Type="http://schemas.openxmlformats.org/officeDocument/2006/relationships/hyperlink" Target="https://chromewebstore.google.com/detail/gdacjpegboojpmgghnnldeciiaianfod" TargetMode="External"/><Relationship Id="rId8481" Type="http://schemas.openxmlformats.org/officeDocument/2006/relationships/hyperlink" Target="https://chromewebstore.google.com/detail/jbfmdblhfaookljgkjlcnhfachcfegei" TargetMode="External"/><Relationship Id="rId8480" Type="http://schemas.openxmlformats.org/officeDocument/2006/relationships/hyperlink" Target="https://chromewebstore.google.com/detail/iphhinkkgcndibcnabdcfcianhebblmb" TargetMode="External"/><Relationship Id="rId7155" Type="http://schemas.openxmlformats.org/officeDocument/2006/relationships/hyperlink" Target="https://chromewebstore.google.com/detail/higlebidpnhccabnhankdoiiccnnfkko" TargetMode="External"/><Relationship Id="rId8486" Type="http://schemas.openxmlformats.org/officeDocument/2006/relationships/hyperlink" Target="https://chromewebstore.google.com/detail/dllgocogbblembnhmkbjbakkfkooficl" TargetMode="External"/><Relationship Id="rId7154" Type="http://schemas.openxmlformats.org/officeDocument/2006/relationships/hyperlink" Target="https://chromewebstore.google.com/detail/fifjhakdmflgahkghkijipchfomdajfn" TargetMode="External"/><Relationship Id="rId8485" Type="http://schemas.openxmlformats.org/officeDocument/2006/relationships/hyperlink" Target="https://chromewebstore.google.com/detail/mjoffpneklipeiopgidgjccbjefamnhj" TargetMode="External"/><Relationship Id="rId7153" Type="http://schemas.openxmlformats.org/officeDocument/2006/relationships/hyperlink" Target="https://chromewebstore.google.com/detail/jlmkegjbfkmojbgfnmnfhcgnfamfmdae" TargetMode="External"/><Relationship Id="rId8484" Type="http://schemas.openxmlformats.org/officeDocument/2006/relationships/hyperlink" Target="https://chromewebstore.google.com/detail/lkjogeoldakjceempbkdahkojohmbaja" TargetMode="External"/><Relationship Id="rId7152" Type="http://schemas.openxmlformats.org/officeDocument/2006/relationships/hyperlink" Target="https://chromewebstore.google.com/detail/gmmiaijojldkfijdahobpeepfigegdcl" TargetMode="External"/><Relationship Id="rId8483" Type="http://schemas.openxmlformats.org/officeDocument/2006/relationships/hyperlink" Target="https://chromewebstore.google.com/detail/lfcoehhlodiaehjepemaogbgadfoipog" TargetMode="External"/><Relationship Id="rId7159" Type="http://schemas.openxmlformats.org/officeDocument/2006/relationships/hyperlink" Target="https://chromewebstore.google.com/detail/hlcilaceonjngbndcacpkgkeefmclahk" TargetMode="External"/><Relationship Id="rId7158" Type="http://schemas.openxmlformats.org/officeDocument/2006/relationships/hyperlink" Target="https://chromewebstore.google.com/detail/ofglaiipngecdpdioidnflbfcplpiapa" TargetMode="External"/><Relationship Id="rId8489" Type="http://schemas.openxmlformats.org/officeDocument/2006/relationships/hyperlink" Target="https://chromewebstore.google.com/detail/gidmeabdffonnejjlkbglmppmfniakdf" TargetMode="External"/><Relationship Id="rId7157" Type="http://schemas.openxmlformats.org/officeDocument/2006/relationships/hyperlink" Target="https://chromewebstore.google.com/detail/kdlnfjjcbeaehfkoefcgfmnmdocogbja" TargetMode="External"/><Relationship Id="rId8488" Type="http://schemas.openxmlformats.org/officeDocument/2006/relationships/hyperlink" Target="https://chromewebstore.google.com/detail/fdoghhkncnblgflogjchbhhfalffaaad" TargetMode="External"/><Relationship Id="rId7156" Type="http://schemas.openxmlformats.org/officeDocument/2006/relationships/hyperlink" Target="https://chromewebstore.google.com/detail/iagamimmphgpdphhkbnopnhlgeakalhp" TargetMode="External"/><Relationship Id="rId8487" Type="http://schemas.openxmlformats.org/officeDocument/2006/relationships/hyperlink" Target="https://chromewebstore.google.com/detail/eglhkdhnmkggbbepgfdigfajlempkdif" TargetMode="External"/><Relationship Id="rId7140" Type="http://schemas.openxmlformats.org/officeDocument/2006/relationships/hyperlink" Target="https://chromewebstore.google.com/detail/nhcbjhbdnlkddnapaoidpkfbjkpkpdcj" TargetMode="External"/><Relationship Id="rId8471" Type="http://schemas.openxmlformats.org/officeDocument/2006/relationships/hyperlink" Target="https://chromewebstore.google.com/detail/fiakfefleilhjceopkofaegcnmcoobhj" TargetMode="External"/><Relationship Id="rId8470" Type="http://schemas.openxmlformats.org/officeDocument/2006/relationships/hyperlink" Target="https://chromewebstore.google.com/detail/dfapkieamcdbicdffjpgcdbjobffkdag" TargetMode="External"/><Relationship Id="rId7144" Type="http://schemas.openxmlformats.org/officeDocument/2006/relationships/hyperlink" Target="https://chromewebstore.google.com/detail/eefofopjefcjhpnpmpbcbalkmebjapcf" TargetMode="External"/><Relationship Id="rId8475" Type="http://schemas.openxmlformats.org/officeDocument/2006/relationships/hyperlink" Target="https://chromewebstore.google.com/detail/llkhmcjkflajcgioljbamhcepjgpgibj" TargetMode="External"/><Relationship Id="rId7143" Type="http://schemas.openxmlformats.org/officeDocument/2006/relationships/hyperlink" Target="https://chromewebstore.google.com/detail/cigdmgjlopkhnmngkenhglnlhdhgibjj" TargetMode="External"/><Relationship Id="rId8474" Type="http://schemas.openxmlformats.org/officeDocument/2006/relationships/hyperlink" Target="https://chromewebstore.google.com/detail/kdkochodolnbncigpmpenjjohjlkccii" TargetMode="External"/><Relationship Id="rId7142" Type="http://schemas.openxmlformats.org/officeDocument/2006/relationships/hyperlink" Target="https://chromewebstore.google.com/detail/anonhhfhmigoeokidhbegbbaajocoajj" TargetMode="External"/><Relationship Id="rId8473" Type="http://schemas.openxmlformats.org/officeDocument/2006/relationships/hyperlink" Target="https://chromewebstore.google.com/detail/gmohgpemjcebmklhpkojfgogfpkmcgfj" TargetMode="External"/><Relationship Id="rId7141" Type="http://schemas.openxmlformats.org/officeDocument/2006/relationships/hyperlink" Target="https://chromewebstore.google.com/detail/oapbenfplhadkkokfloaogfkolhojgcl" TargetMode="External"/><Relationship Id="rId8472" Type="http://schemas.openxmlformats.org/officeDocument/2006/relationships/hyperlink" Target="https://chromewebstore.google.com/detail/fkikabammcheoknpemcdhpiclllmpdoh" TargetMode="External"/><Relationship Id="rId7148" Type="http://schemas.openxmlformats.org/officeDocument/2006/relationships/hyperlink" Target="https://chromewebstore.google.com/detail/ahoplkcmcgpbkimjhncpnnllgikapjoj" TargetMode="External"/><Relationship Id="rId8479" Type="http://schemas.openxmlformats.org/officeDocument/2006/relationships/hyperlink" Target="https://chromewebstore.google.com/detail/ipdcaeoegfdddholdneiejgmjfnjnkbf" TargetMode="External"/><Relationship Id="rId7147" Type="http://schemas.openxmlformats.org/officeDocument/2006/relationships/hyperlink" Target="https://chromewebstore.google.com/detail/lnbnkkbamjbifbckjndhfcgbkjlkbkfo" TargetMode="External"/><Relationship Id="rId8478" Type="http://schemas.openxmlformats.org/officeDocument/2006/relationships/hyperlink" Target="https://chromewebstore.google.com/detail/cgjodoppdnlnjliiiddckimhdjjpjdmk" TargetMode="External"/><Relationship Id="rId7146" Type="http://schemas.openxmlformats.org/officeDocument/2006/relationships/hyperlink" Target="https://chromewebstore.google.com/detail/laacchpjldmpbhkcjfmfcjijaekhhlgn" TargetMode="External"/><Relationship Id="rId8477" Type="http://schemas.openxmlformats.org/officeDocument/2006/relationships/hyperlink" Target="https://chromewebstore.google.com/detail/okpcnhpoapmamjdbahbincecahemicbb" TargetMode="External"/><Relationship Id="rId7145" Type="http://schemas.openxmlformats.org/officeDocument/2006/relationships/hyperlink" Target="https://chromewebstore.google.com/detail/haeailcifihaafhoelpckdbkdffnbnnk" TargetMode="External"/><Relationship Id="rId8476" Type="http://schemas.openxmlformats.org/officeDocument/2006/relationships/hyperlink" Target="https://chromewebstore.google.com/detail/lnjhhkicgchdekkajhnhmpelmgpafepo" TargetMode="External"/><Relationship Id="rId7149" Type="http://schemas.openxmlformats.org/officeDocument/2006/relationships/hyperlink" Target="https://chromewebstore.google.com/detail/cjaclnpoihnmcojmbinlikenmidkefel" TargetMode="External"/><Relationship Id="rId4901" Type="http://schemas.openxmlformats.org/officeDocument/2006/relationships/hyperlink" Target="https://chromewebstore.google.com/detail/abbbnefchbpffkbnadnopdahjcmbheho" TargetMode="External"/><Relationship Id="rId4900" Type="http://schemas.openxmlformats.org/officeDocument/2006/relationships/hyperlink" Target="https://chromewebstore.google.com/detail/aaokajckoheafemlmjacklidohljgkgo" TargetMode="External"/><Relationship Id="rId4903" Type="http://schemas.openxmlformats.org/officeDocument/2006/relationships/hyperlink" Target="https://chromewebstore.google.com/detail/abdfbnapkafgcheofcijaieahcbjnpkd" TargetMode="External"/><Relationship Id="rId4902" Type="http://schemas.openxmlformats.org/officeDocument/2006/relationships/hyperlink" Target="https://chromewebstore.google.com/detail/abdegfaiochjkmedplbehndchojnkjca" TargetMode="External"/><Relationship Id="rId4905" Type="http://schemas.openxmlformats.org/officeDocument/2006/relationships/hyperlink" Target="https://chromewebstore.google.com/detail/abhcicpgkieoddkaocomjdkdlhdnbfpb" TargetMode="External"/><Relationship Id="rId4904" Type="http://schemas.openxmlformats.org/officeDocument/2006/relationships/hyperlink" Target="https://chromewebstore.google.com/detail/abegacaoahilklpbgapkfcdhnljklcep" TargetMode="External"/><Relationship Id="rId4907" Type="http://schemas.openxmlformats.org/officeDocument/2006/relationships/hyperlink" Target="https://chromewebstore.google.com/detail/abjjaaahigingfdneedpgabgikejlcfl" TargetMode="External"/><Relationship Id="rId4906" Type="http://schemas.openxmlformats.org/officeDocument/2006/relationships/hyperlink" Target="https://chromewebstore.google.com/detail/abhgkgfbihhkopkinomfideiddeleldo" TargetMode="External"/><Relationship Id="rId4909" Type="http://schemas.openxmlformats.org/officeDocument/2006/relationships/hyperlink" Target="https://chromewebstore.google.com/detail/abplipfppejgpbaipnpddgjdgmbdgiij" TargetMode="External"/><Relationship Id="rId4908" Type="http://schemas.openxmlformats.org/officeDocument/2006/relationships/hyperlink" Target="https://chromewebstore.google.com/detail/abmocanmemghgbcegmmdgpefgfjbkglf" TargetMode="External"/><Relationship Id="rId7180" Type="http://schemas.openxmlformats.org/officeDocument/2006/relationships/hyperlink" Target="https://chromewebstore.google.com/detail/fdecmpcjekkifmllbbalhhcipgfiaoch" TargetMode="External"/><Relationship Id="rId7173" Type="http://schemas.openxmlformats.org/officeDocument/2006/relationships/hyperlink" Target="https://chromewebstore.google.com/detail/aoeldolnbdgenobiigcnpajmcjdemkpf" TargetMode="External"/><Relationship Id="rId7172" Type="http://schemas.openxmlformats.org/officeDocument/2006/relationships/hyperlink" Target="https://chromewebstore.google.com/detail/pgaimkehoiabhliejchbnamlboniofpd" TargetMode="External"/><Relationship Id="rId7171" Type="http://schemas.openxmlformats.org/officeDocument/2006/relationships/hyperlink" Target="https://chromewebstore.google.com/detail/nhabmnkcikbafdgidlmjkflpiemhnbch" TargetMode="External"/><Relationship Id="rId7170" Type="http://schemas.openxmlformats.org/officeDocument/2006/relationships/hyperlink" Target="https://chromewebstore.google.com/detail/hpoobjomnbgfehbigjdghibjddfpoigp" TargetMode="External"/><Relationship Id="rId7177" Type="http://schemas.openxmlformats.org/officeDocument/2006/relationships/hyperlink" Target="https://chromewebstore.google.com/detail/macdjnpohgjehopclkfldiagchgpddok" TargetMode="External"/><Relationship Id="rId7176" Type="http://schemas.openxmlformats.org/officeDocument/2006/relationships/hyperlink" Target="https://chromewebstore.google.com/detail/gplhofhphfekaflbghoggkbgfoblaamo" TargetMode="External"/><Relationship Id="rId7175" Type="http://schemas.openxmlformats.org/officeDocument/2006/relationships/hyperlink" Target="https://chromewebstore.google.com/detail/giehedcpnkgeeahnefcnnijjfflnpolk" TargetMode="External"/><Relationship Id="rId7174" Type="http://schemas.openxmlformats.org/officeDocument/2006/relationships/hyperlink" Target="https://chromewebstore.google.com/detail/bemkphgkamhbplojfkjeikoiagmkbfhk" TargetMode="External"/><Relationship Id="rId7179" Type="http://schemas.openxmlformats.org/officeDocument/2006/relationships/hyperlink" Target="https://chromewebstore.google.com/detail/fadhnaamieppahmfbeppffbpfkkiohdl" TargetMode="External"/><Relationship Id="rId7178" Type="http://schemas.openxmlformats.org/officeDocument/2006/relationships/hyperlink" Target="https://chromewebstore.google.com/detail/ofdhgbjblhdkepgmafdeppjcmaaegllf" TargetMode="External"/><Relationship Id="rId7162" Type="http://schemas.openxmlformats.org/officeDocument/2006/relationships/hyperlink" Target="https://chromewebstore.google.com/detail/hkbdimhkhlphaekppobhboienpeppiop" TargetMode="External"/><Relationship Id="rId8493" Type="http://schemas.openxmlformats.org/officeDocument/2006/relationships/hyperlink" Target="https://chromewebstore.google.com/detail/bbecdibpbedkfjhgipnjgkalhedefegj" TargetMode="External"/><Relationship Id="rId7161" Type="http://schemas.openxmlformats.org/officeDocument/2006/relationships/hyperlink" Target="https://chromewebstore.google.com/detail/ehnoijojkgigcmlimlndncbdfcmmlgmi" TargetMode="External"/><Relationship Id="rId8492" Type="http://schemas.openxmlformats.org/officeDocument/2006/relationships/hyperlink" Target="https://chromewebstore.google.com/detail/kflglbgjhjolgboocdpajcfjiokfpcam" TargetMode="External"/><Relationship Id="rId7160" Type="http://schemas.openxmlformats.org/officeDocument/2006/relationships/hyperlink" Target="https://chromewebstore.google.com/detail/oeamngjfgbhipkibmgglfdaohochpoej" TargetMode="External"/><Relationship Id="rId8491" Type="http://schemas.openxmlformats.org/officeDocument/2006/relationships/hyperlink" Target="https://chromewebstore.google.com/detail/kemincbhdgppphceahdgebffjcfgbigp" TargetMode="External"/><Relationship Id="rId8490" Type="http://schemas.openxmlformats.org/officeDocument/2006/relationships/hyperlink" Target="https://chromewebstore.google.com/detail/hojbnjghcepifkmfnifhhmejlahfgiem" TargetMode="External"/><Relationship Id="rId7166" Type="http://schemas.openxmlformats.org/officeDocument/2006/relationships/hyperlink" Target="https://chromewebstore.google.com/detail/bpmiffipgillbacdfnbkicndliejockp" TargetMode="External"/><Relationship Id="rId8497" Type="http://schemas.openxmlformats.org/officeDocument/2006/relationships/hyperlink" Target="https://chromewebstore.google.com/detail/mhgahabpbdjldmonmfgehfhjmgjedjkc" TargetMode="External"/><Relationship Id="rId7165" Type="http://schemas.openxmlformats.org/officeDocument/2006/relationships/hyperlink" Target="https://chromewebstore.google.com/detail/aagnhjfkbjmfhgojleohmamjbojhciac" TargetMode="External"/><Relationship Id="rId8496" Type="http://schemas.openxmlformats.org/officeDocument/2006/relationships/hyperlink" Target="https://chromewebstore.google.com/detail/icnpljpaddnphinehahcfincggpgcadb" TargetMode="External"/><Relationship Id="rId7164" Type="http://schemas.openxmlformats.org/officeDocument/2006/relationships/hyperlink" Target="https://chromewebstore.google.com/detail/gckekomhhecblpbfpgelgaohdnbmilji" TargetMode="External"/><Relationship Id="rId8495" Type="http://schemas.openxmlformats.org/officeDocument/2006/relationships/hyperlink" Target="https://chromewebstore.google.com/detail/fonjkoapgplledieiloikhboinelmmop" TargetMode="External"/><Relationship Id="rId7163" Type="http://schemas.openxmlformats.org/officeDocument/2006/relationships/hyperlink" Target="https://chromewebstore.google.com/detail/komcaaelngccnmdahpmighfoeikdbmdl" TargetMode="External"/><Relationship Id="rId8494" Type="http://schemas.openxmlformats.org/officeDocument/2006/relationships/hyperlink" Target="https://chromewebstore.google.com/detail/bodhjcioepfmdioecpjonecadajiiamj" TargetMode="External"/><Relationship Id="rId7169" Type="http://schemas.openxmlformats.org/officeDocument/2006/relationships/hyperlink" Target="https://chromewebstore.google.com/detail/hkefjlonaegglofbhbjblbhmhfhmnfjf" TargetMode="External"/><Relationship Id="rId7168" Type="http://schemas.openxmlformats.org/officeDocument/2006/relationships/hyperlink" Target="https://chromewebstore.google.com/detail/fbkgfclopheckgncmoogiegbnjkelkkh" TargetMode="External"/><Relationship Id="rId8499" Type="http://schemas.openxmlformats.org/officeDocument/2006/relationships/hyperlink" Target="https://chromewebstore.google.com/detail/onakkfgcndojknipgnpagfakhbnpmpeh" TargetMode="External"/><Relationship Id="rId7167" Type="http://schemas.openxmlformats.org/officeDocument/2006/relationships/hyperlink" Target="https://chromewebstore.google.com/detail/djlpjopjnkojimgiaefgbenbbkkknnln" TargetMode="External"/><Relationship Id="rId8498" Type="http://schemas.openxmlformats.org/officeDocument/2006/relationships/hyperlink" Target="https://chromewebstore.google.com/detail/mjklaailjabbidpmbngdceejclkbikib" TargetMode="External"/><Relationship Id="rId7111" Type="http://schemas.openxmlformats.org/officeDocument/2006/relationships/hyperlink" Target="https://chromewebstore.google.com/detail/fjoeagddmkkkcfhnehcmaajdbhfkapjb" TargetMode="External"/><Relationship Id="rId8442" Type="http://schemas.openxmlformats.org/officeDocument/2006/relationships/hyperlink" Target="https://chromewebstore.google.com/detail/mlgblhjjbecaeiocopmpceegpdeflmke" TargetMode="External"/><Relationship Id="rId7110" Type="http://schemas.openxmlformats.org/officeDocument/2006/relationships/hyperlink" Target="https://chromewebstore.google.com/detail/cegjnbajkdmaijhcimmajappmimkohhe" TargetMode="External"/><Relationship Id="rId8441" Type="http://schemas.openxmlformats.org/officeDocument/2006/relationships/hyperlink" Target="https://chromewebstore.google.com/detail/keecdmdfhddgmiclpcmhgeamfaecamll" TargetMode="External"/><Relationship Id="rId8440" Type="http://schemas.openxmlformats.org/officeDocument/2006/relationships/hyperlink" Target="https://chromewebstore.google.com/detail/kaignighoceeemhinbbophdeogpnedjn" TargetMode="External"/><Relationship Id="rId7115" Type="http://schemas.openxmlformats.org/officeDocument/2006/relationships/hyperlink" Target="https://chromewebstore.google.com/detail/cnamjhcdoadndjpjodeclalnmfhkoepb" TargetMode="External"/><Relationship Id="rId8446" Type="http://schemas.openxmlformats.org/officeDocument/2006/relationships/hyperlink" Target="https://chromewebstore.google.com/detail/pkmdjabelopohmbkdehdanmkpoobecca" TargetMode="External"/><Relationship Id="rId7114" Type="http://schemas.openxmlformats.org/officeDocument/2006/relationships/hyperlink" Target="https://chromewebstore.google.com/detail/bbpiealmmbiefhppikadopbljoppcnoa" TargetMode="External"/><Relationship Id="rId8445" Type="http://schemas.openxmlformats.org/officeDocument/2006/relationships/hyperlink" Target="https://chromewebstore.google.com/detail/nbiddhncecgemgccalnoanpnenalmkic" TargetMode="External"/><Relationship Id="rId7113" Type="http://schemas.openxmlformats.org/officeDocument/2006/relationships/hyperlink" Target="https://chromewebstore.google.com/detail/mnmohepacnhlohgdefiieeglgijicomo" TargetMode="External"/><Relationship Id="rId8444" Type="http://schemas.openxmlformats.org/officeDocument/2006/relationships/hyperlink" Target="https://chromewebstore.google.com/detail/fdhmmlghpocfmbcjhjjhnjhbbnigaiin" TargetMode="External"/><Relationship Id="rId7112" Type="http://schemas.openxmlformats.org/officeDocument/2006/relationships/hyperlink" Target="https://chromewebstore.google.com/detail/iodmhofpdjdndlljpodbbekmkbognang" TargetMode="External"/><Relationship Id="rId8443" Type="http://schemas.openxmlformats.org/officeDocument/2006/relationships/hyperlink" Target="https://chromewebstore.google.com/detail/dpbikgdikjegmkpihbiokijjenonebga" TargetMode="External"/><Relationship Id="rId7119" Type="http://schemas.openxmlformats.org/officeDocument/2006/relationships/hyperlink" Target="https://chromewebstore.google.com/detail/lbeeoakjnfiejomcokohmfbfblbhjllo" TargetMode="External"/><Relationship Id="rId7118" Type="http://schemas.openxmlformats.org/officeDocument/2006/relationships/hyperlink" Target="https://chromewebstore.google.com/detail/klkgibeelchkifaeamopaheinfnfleaj" TargetMode="External"/><Relationship Id="rId8449" Type="http://schemas.openxmlformats.org/officeDocument/2006/relationships/hyperlink" Target="https://chromewebstore.google.com/detail/gkicmebfnjalhhmhljadbocnjgblkbil" TargetMode="External"/><Relationship Id="rId7117" Type="http://schemas.openxmlformats.org/officeDocument/2006/relationships/hyperlink" Target="https://chromewebstore.google.com/detail/hljkfahiahjhhpmpihngnommookkneji" TargetMode="External"/><Relationship Id="rId8448" Type="http://schemas.openxmlformats.org/officeDocument/2006/relationships/hyperlink" Target="https://chromewebstore.google.com/detail/fpmhfgogalamnijkkcddamnobhdioedn" TargetMode="External"/><Relationship Id="rId7116" Type="http://schemas.openxmlformats.org/officeDocument/2006/relationships/hyperlink" Target="https://chromewebstore.google.com/detail/hfpjfkbenhdblefkfdlccgkagcfmkadk" TargetMode="External"/><Relationship Id="rId8447" Type="http://schemas.openxmlformats.org/officeDocument/2006/relationships/hyperlink" Target="https://chromewebstore.google.com/detail/dnacbdkmnedgahgcogbeecmgjlmkjgpf" TargetMode="External"/><Relationship Id="rId7109" Type="http://schemas.openxmlformats.org/officeDocument/2006/relationships/hyperlink" Target="https://chromewebstore.google.com/detail/ajpmfpgmlbdhaipikkikomnmkiecpgep" TargetMode="External"/><Relationship Id="rId7100" Type="http://schemas.openxmlformats.org/officeDocument/2006/relationships/hyperlink" Target="https://chromewebstore.google.com/detail/paakgokkhjhnmhblaflnckghjajlflki" TargetMode="External"/><Relationship Id="rId8431" Type="http://schemas.openxmlformats.org/officeDocument/2006/relationships/hyperlink" Target="https://chromewebstore.google.com/detail/hcjhjbmpmnemeejoleljopmmfbcncbao" TargetMode="External"/><Relationship Id="rId8430" Type="http://schemas.openxmlformats.org/officeDocument/2006/relationships/hyperlink" Target="https://chromewebstore.google.com/detail/fphiheficgnpphmjdliclanppccfgifl" TargetMode="External"/><Relationship Id="rId7104" Type="http://schemas.openxmlformats.org/officeDocument/2006/relationships/hyperlink" Target="https://chromewebstore.google.com/detail/lcehafmmncnalckchekikmoeeknlbijm" TargetMode="External"/><Relationship Id="rId8435" Type="http://schemas.openxmlformats.org/officeDocument/2006/relationships/hyperlink" Target="https://chromewebstore.google.com/detail/bbknefcaioodfgiohopbfddegglmlbhc" TargetMode="External"/><Relationship Id="rId7103" Type="http://schemas.openxmlformats.org/officeDocument/2006/relationships/hyperlink" Target="https://chromewebstore.google.com/detail/inilkfalkkngchkgodhhcmgbofohnkmg" TargetMode="External"/><Relationship Id="rId8434" Type="http://schemas.openxmlformats.org/officeDocument/2006/relationships/hyperlink" Target="https://chromewebstore.google.com/detail/adcbgphpofiknockeadfpohfffchliii" TargetMode="External"/><Relationship Id="rId7102" Type="http://schemas.openxmlformats.org/officeDocument/2006/relationships/hyperlink" Target="https://chromewebstore.google.com/detail/hlgnjjenjinpaiilhmjpejjjphieejdb" TargetMode="External"/><Relationship Id="rId8433" Type="http://schemas.openxmlformats.org/officeDocument/2006/relationships/hyperlink" Target="https://chromewebstore.google.com/detail/lhibffeamhlmgdhohnjcnlckebkkdjim" TargetMode="External"/><Relationship Id="rId7101" Type="http://schemas.openxmlformats.org/officeDocument/2006/relationships/hyperlink" Target="https://chromewebstore.google.com/detail/bechhfglhcdjmemhkmincgemjgcbeifa" TargetMode="External"/><Relationship Id="rId8432" Type="http://schemas.openxmlformats.org/officeDocument/2006/relationships/hyperlink" Target="https://chromewebstore.google.com/detail/lakflicggollbhfjonbcpgnakngepdgc" TargetMode="External"/><Relationship Id="rId7108" Type="http://schemas.openxmlformats.org/officeDocument/2006/relationships/hyperlink" Target="https://chromewebstore.google.com/detail/aciieodoebcieadfecdgeeooelmflkal" TargetMode="External"/><Relationship Id="rId8439" Type="http://schemas.openxmlformats.org/officeDocument/2006/relationships/hyperlink" Target="https://chromewebstore.google.com/detail/iobhdbbomjpihclcfdcedekcigollffc" TargetMode="External"/><Relationship Id="rId7107" Type="http://schemas.openxmlformats.org/officeDocument/2006/relationships/hyperlink" Target="https://chromewebstore.google.com/detail/odecihgekkcnfbgbpjgpapaljjnebmdc" TargetMode="External"/><Relationship Id="rId8438" Type="http://schemas.openxmlformats.org/officeDocument/2006/relationships/hyperlink" Target="https://chromewebstore.google.com/detail/ijkpkehidneobagkboaoapccnfnnmemg" TargetMode="External"/><Relationship Id="rId7106" Type="http://schemas.openxmlformats.org/officeDocument/2006/relationships/hyperlink" Target="https://chromewebstore.google.com/detail/ioegnnjonphieiamlnmfaacafcdfbccm" TargetMode="External"/><Relationship Id="rId8437" Type="http://schemas.openxmlformats.org/officeDocument/2006/relationships/hyperlink" Target="https://chromewebstore.google.com/detail/gdeobcpobkpjgllegccnegmigcockmed" TargetMode="External"/><Relationship Id="rId7105" Type="http://schemas.openxmlformats.org/officeDocument/2006/relationships/hyperlink" Target="https://chromewebstore.google.com/detail/cpalggakbbncabkdciiimaimmbencibf" TargetMode="External"/><Relationship Id="rId8436" Type="http://schemas.openxmlformats.org/officeDocument/2006/relationships/hyperlink" Target="https://chromewebstore.google.com/detail/cpbbkedomfmihdhdphhggbpcodeoljfm" TargetMode="External"/><Relationship Id="rId8460" Type="http://schemas.openxmlformats.org/officeDocument/2006/relationships/hyperlink" Target="https://chromewebstore.google.com/detail/jnhbbkmdjdehejoajlcjhcdlofkchcbj" TargetMode="External"/><Relationship Id="rId7133" Type="http://schemas.openxmlformats.org/officeDocument/2006/relationships/hyperlink" Target="https://chromewebstore.google.com/detail/fkagnmcbeokmapmcbecbcmpccmlbhkpl" TargetMode="External"/><Relationship Id="rId8464" Type="http://schemas.openxmlformats.org/officeDocument/2006/relationships/hyperlink" Target="https://chromewebstore.google.com/detail/cjifeclbknmlhapifaiaocfcbahinlji" TargetMode="External"/><Relationship Id="rId7132" Type="http://schemas.openxmlformats.org/officeDocument/2006/relationships/hyperlink" Target="https://chromewebstore.google.com/detail/fiajhjomgpnlefcbdhfghnbhpillkklb" TargetMode="External"/><Relationship Id="rId8463" Type="http://schemas.openxmlformats.org/officeDocument/2006/relationships/hyperlink" Target="https://chromewebstore.google.com/detail/pmjnmgcmdciabldfleoikhkdjgojheic" TargetMode="External"/><Relationship Id="rId7131" Type="http://schemas.openxmlformats.org/officeDocument/2006/relationships/hyperlink" Target="https://chromewebstore.google.com/detail/ohjmjimfdapilgepkjpaijnnekcncnon" TargetMode="External"/><Relationship Id="rId8462" Type="http://schemas.openxmlformats.org/officeDocument/2006/relationships/hyperlink" Target="https://chromewebstore.google.com/detail/ommeeoflbjpjkklmccchckbdgeolhmgi" TargetMode="External"/><Relationship Id="rId7130" Type="http://schemas.openxmlformats.org/officeDocument/2006/relationships/hyperlink" Target="https://chromewebstore.google.com/detail/nkpcgjafmckjhhoogopopoaaogjhkkie" TargetMode="External"/><Relationship Id="rId8461" Type="http://schemas.openxmlformats.org/officeDocument/2006/relationships/hyperlink" Target="https://chromewebstore.google.com/detail/logajabhacnmnleejlahephdeeblooep" TargetMode="External"/><Relationship Id="rId7137" Type="http://schemas.openxmlformats.org/officeDocument/2006/relationships/hyperlink" Target="https://chromewebstore.google.com/detail/moffikgcnfodfocliogeocbmbjkolmgb" TargetMode="External"/><Relationship Id="rId8468" Type="http://schemas.openxmlformats.org/officeDocument/2006/relationships/hyperlink" Target="https://chromewebstore.google.com/detail/nelklinoajfblccjokadcagladfhommg" TargetMode="External"/><Relationship Id="rId7136" Type="http://schemas.openxmlformats.org/officeDocument/2006/relationships/hyperlink" Target="https://chromewebstore.google.com/detail/menehddibpdfhbfgfmhkddgbajijoole" TargetMode="External"/><Relationship Id="rId8467" Type="http://schemas.openxmlformats.org/officeDocument/2006/relationships/hyperlink" Target="https://chromewebstore.google.com/detail/mlajdeeelocdhmckdgmnadnekmleljnm" TargetMode="External"/><Relationship Id="rId7135" Type="http://schemas.openxmlformats.org/officeDocument/2006/relationships/hyperlink" Target="https://chromewebstore.google.com/detail/kpimejhpijkooobbiakdolkkgkhiajbk" TargetMode="External"/><Relationship Id="rId8466" Type="http://schemas.openxmlformats.org/officeDocument/2006/relationships/hyperlink" Target="https://chromewebstore.google.com/detail/mfekhoaagncindpjeenfenjmnbolofdi" TargetMode="External"/><Relationship Id="rId7134" Type="http://schemas.openxmlformats.org/officeDocument/2006/relationships/hyperlink" Target="https://chromewebstore.google.com/detail/hlheolkbapgpemjigmgolodgphnabnlh" TargetMode="External"/><Relationship Id="rId8465" Type="http://schemas.openxmlformats.org/officeDocument/2006/relationships/hyperlink" Target="https://chromewebstore.google.com/detail/jemdgiimoenlbpbkjpacjbkjmhgopaei" TargetMode="External"/><Relationship Id="rId7139" Type="http://schemas.openxmlformats.org/officeDocument/2006/relationships/hyperlink" Target="https://chromewebstore.google.com/detail/idncinkacbcdnndoilhndfpfkcbnbjhg" TargetMode="External"/><Relationship Id="rId7138" Type="http://schemas.openxmlformats.org/officeDocument/2006/relationships/hyperlink" Target="https://chromewebstore.google.com/detail/hjaclffbikdneicnleajghmppjdnnohl" TargetMode="External"/><Relationship Id="rId8469" Type="http://schemas.openxmlformats.org/officeDocument/2006/relationships/hyperlink" Target="https://chromewebstore.google.com/detail/ocikmedcpndmeipmaiajklkjggdiglcj" TargetMode="External"/><Relationship Id="rId7122" Type="http://schemas.openxmlformats.org/officeDocument/2006/relationships/hyperlink" Target="https://chromewebstore.google.com/detail/omkjaeopjjopljblegaejfcahcogpdho" TargetMode="External"/><Relationship Id="rId8453" Type="http://schemas.openxmlformats.org/officeDocument/2006/relationships/hyperlink" Target="https://chromewebstore.google.com/detail/aaalbidinndddbgmcofhfmgjjgneldhi" TargetMode="External"/><Relationship Id="rId7121" Type="http://schemas.openxmlformats.org/officeDocument/2006/relationships/hyperlink" Target="https://chromewebstore.google.com/detail/ogdmacmpiojggeojaapfapjljcodigah" TargetMode="External"/><Relationship Id="rId8452" Type="http://schemas.openxmlformats.org/officeDocument/2006/relationships/hyperlink" Target="https://chromewebstore.google.com/detail/olnkhcjfknjcodoclmhfcgklcmjfpale" TargetMode="External"/><Relationship Id="rId7120" Type="http://schemas.openxmlformats.org/officeDocument/2006/relationships/hyperlink" Target="https://chromewebstore.google.com/detail/oajemdopahhgfbnikcogidfnaaeglfhn" TargetMode="External"/><Relationship Id="rId8451" Type="http://schemas.openxmlformats.org/officeDocument/2006/relationships/hyperlink" Target="https://chromewebstore.google.com/detail/ncbifbdnlggnffchafbdiefobpabajkb" TargetMode="External"/><Relationship Id="rId8450" Type="http://schemas.openxmlformats.org/officeDocument/2006/relationships/hyperlink" Target="https://chromewebstore.google.com/detail/jbbplengggjdnlghliebnhfbemmfmcjd" TargetMode="External"/><Relationship Id="rId7126" Type="http://schemas.openxmlformats.org/officeDocument/2006/relationships/hyperlink" Target="https://chromewebstore.google.com/detail/bjkcbdcpbbhmbfampcegnjjhdiffhinb" TargetMode="External"/><Relationship Id="rId8457" Type="http://schemas.openxmlformats.org/officeDocument/2006/relationships/hyperlink" Target="https://chromewebstore.google.com/detail/kagpicheakoeomjijdjclddhlmjhijbg" TargetMode="External"/><Relationship Id="rId7125" Type="http://schemas.openxmlformats.org/officeDocument/2006/relationships/hyperlink" Target="https://chromewebstore.google.com/detail/nfihappcoloadkogdfpoaeefhikofiib" TargetMode="External"/><Relationship Id="rId8456" Type="http://schemas.openxmlformats.org/officeDocument/2006/relationships/hyperlink" Target="https://chromewebstore.google.com/detail/jgnkkambbdmhfdbdbkljlenddlbplhal" TargetMode="External"/><Relationship Id="rId7124" Type="http://schemas.openxmlformats.org/officeDocument/2006/relationships/hyperlink" Target="https://chromewebstore.google.com/detail/nagfacmodkbckhjiimdccehaabobmnnh" TargetMode="External"/><Relationship Id="rId8455" Type="http://schemas.openxmlformats.org/officeDocument/2006/relationships/hyperlink" Target="https://chromewebstore.google.com/detail/ieelccadneohfiecpoocjoaolcaglmfp" TargetMode="External"/><Relationship Id="rId7123" Type="http://schemas.openxmlformats.org/officeDocument/2006/relationships/hyperlink" Target="https://chromewebstore.google.com/detail/gflbkmkiflokpeeaaiojdgnfdgmjecmo" TargetMode="External"/><Relationship Id="rId8454" Type="http://schemas.openxmlformats.org/officeDocument/2006/relationships/hyperlink" Target="https://chromewebstore.google.com/detail/gpebdilgknpneddfhbnjcaibdklimggo" TargetMode="External"/><Relationship Id="rId7129" Type="http://schemas.openxmlformats.org/officeDocument/2006/relationships/hyperlink" Target="https://chromewebstore.google.com/detail/jcneeahkklelmgmdhakianajbmolceai" TargetMode="External"/><Relationship Id="rId7128" Type="http://schemas.openxmlformats.org/officeDocument/2006/relationships/hyperlink" Target="https://chromewebstore.google.com/detail/flicpnkdedpbcjmpglinaghjfccgcppp" TargetMode="External"/><Relationship Id="rId8459" Type="http://schemas.openxmlformats.org/officeDocument/2006/relationships/hyperlink" Target="https://chromewebstore.google.com/detail/fpacodjpmmabkjooobgbpgpmgbfjidkg" TargetMode="External"/><Relationship Id="rId7127" Type="http://schemas.openxmlformats.org/officeDocument/2006/relationships/hyperlink" Target="https://chromewebstore.google.com/detail/cgbnhngdlmhjbmgkekedepoapmoingjj" TargetMode="External"/><Relationship Id="rId8458" Type="http://schemas.openxmlformats.org/officeDocument/2006/relationships/hyperlink" Target="https://chromewebstore.google.com/detail/kdlddcggilfnadgpodhimkchdgcfobba" TargetMode="External"/><Relationship Id="rId2302" Type="http://schemas.openxmlformats.org/officeDocument/2006/relationships/hyperlink" Target="https://chromewebstore.google.com/detail/dkbdngdafgflbkljoladndlfpjpfball" TargetMode="External"/><Relationship Id="rId3634" Type="http://schemas.openxmlformats.org/officeDocument/2006/relationships/hyperlink" Target="https://chromewebstore.google.com/detail/jpelibdllbipgjlnpmanoldlcbjbnelo" TargetMode="External"/><Relationship Id="rId4965" Type="http://schemas.openxmlformats.org/officeDocument/2006/relationships/hyperlink" Target="https://chromewebstore.google.com/detail/ajabfhplebocnmdcejfleginmigkhjdj" TargetMode="External"/><Relationship Id="rId2303" Type="http://schemas.openxmlformats.org/officeDocument/2006/relationships/hyperlink" Target="https://chromewebstore.google.com/detail/dkcdcmananochmgmhgkhhmgegdnkgejl" TargetMode="External"/><Relationship Id="rId3633" Type="http://schemas.openxmlformats.org/officeDocument/2006/relationships/hyperlink" Target="https://chromewebstore.google.com/detail/jpampamblikognkmdnphbcajcmiaclmo" TargetMode="External"/><Relationship Id="rId4964" Type="http://schemas.openxmlformats.org/officeDocument/2006/relationships/hyperlink" Target="https://chromewebstore.google.com/detail/aimmakfgnnekphmbajghonpfkjljmfkn" TargetMode="External"/><Relationship Id="rId2304" Type="http://schemas.openxmlformats.org/officeDocument/2006/relationships/hyperlink" Target="https://chromewebstore.google.com/detail/dkmoongjbemkaagfcmledklbgchlbboj" TargetMode="External"/><Relationship Id="rId3636" Type="http://schemas.openxmlformats.org/officeDocument/2006/relationships/hyperlink" Target="https://chromewebstore.google.com/detail/jpfnihbghaikdicpdiciecbbdoegcfhc" TargetMode="External"/><Relationship Id="rId4967" Type="http://schemas.openxmlformats.org/officeDocument/2006/relationships/hyperlink" Target="https://chromewebstore.google.com/detail/ajcbbckcdngehkhpffnmlhnnccecmaci" TargetMode="External"/><Relationship Id="rId2305" Type="http://schemas.openxmlformats.org/officeDocument/2006/relationships/hyperlink" Target="https://chromewebstore.google.com/detail/dpaahcbfdahefmhaofckcgeojpbodglc" TargetMode="External"/><Relationship Id="rId3635" Type="http://schemas.openxmlformats.org/officeDocument/2006/relationships/hyperlink" Target="https://chromewebstore.google.com/detail/jpeoinaammomobckocmbgihidfjbcnmo" TargetMode="External"/><Relationship Id="rId4966" Type="http://schemas.openxmlformats.org/officeDocument/2006/relationships/hyperlink" Target="https://chromewebstore.google.com/detail/ajbdencgojbanpbmjaafdleiadnabndg" TargetMode="External"/><Relationship Id="rId2306" Type="http://schemas.openxmlformats.org/officeDocument/2006/relationships/hyperlink" Target="https://chromewebstore.google.com/detail/dpnfknficgldmilnkddfhmbafkcipkkh" TargetMode="External"/><Relationship Id="rId3638" Type="http://schemas.openxmlformats.org/officeDocument/2006/relationships/hyperlink" Target="https://chromewebstore.google.com/detail/kahgfgghgkbdbgahgmaoagapigcohbih" TargetMode="External"/><Relationship Id="rId4969" Type="http://schemas.openxmlformats.org/officeDocument/2006/relationships/hyperlink" Target="https://chromewebstore.google.com/detail/ajdilinnnkbmpoegibgacadjlblmpjad" TargetMode="External"/><Relationship Id="rId2307" Type="http://schemas.openxmlformats.org/officeDocument/2006/relationships/hyperlink" Target="https://chromewebstore.google.com/detail/eameopeafamlapaanmfijbednoofgeep" TargetMode="External"/><Relationship Id="rId3637" Type="http://schemas.openxmlformats.org/officeDocument/2006/relationships/hyperlink" Target="https://chromewebstore.google.com/detail/jpjjgdaekibbfkagoaalobjonlfplodg" TargetMode="External"/><Relationship Id="rId4968" Type="http://schemas.openxmlformats.org/officeDocument/2006/relationships/hyperlink" Target="https://chromewebstore.google.com/detail/ajdaphmmjhhageboagckhfiiiofaappa" TargetMode="External"/><Relationship Id="rId2308" Type="http://schemas.openxmlformats.org/officeDocument/2006/relationships/hyperlink" Target="https://chromewebstore.google.com/detail/ebalpcfngdhkpndfognjoffolfpiilnm" TargetMode="External"/><Relationship Id="rId2309" Type="http://schemas.openxmlformats.org/officeDocument/2006/relationships/hyperlink" Target="https://chromewebstore.google.com/detail/ecjdodihigbjgncnlfijfjdaogoilhhc" TargetMode="External"/><Relationship Id="rId3639" Type="http://schemas.openxmlformats.org/officeDocument/2006/relationships/hyperlink" Target="https://chromewebstore.google.com/detail/kaippllfihpjicemabbbcljbmcpccabl" TargetMode="External"/><Relationship Id="rId3630" Type="http://schemas.openxmlformats.org/officeDocument/2006/relationships/hyperlink" Target="https://chromewebstore.google.com/detail/jnflefkepapddpkpiaghionnflkhfjmp" TargetMode="External"/><Relationship Id="rId4961" Type="http://schemas.openxmlformats.org/officeDocument/2006/relationships/hyperlink" Target="https://chromewebstore.google.com/detail/aigfnicpphodhakcfolnekkapjcehhho" TargetMode="External"/><Relationship Id="rId4960" Type="http://schemas.openxmlformats.org/officeDocument/2006/relationships/hyperlink" Target="https://chromewebstore.google.com/detail/aicfbaaflkellfmamfiaanaeanfobiah" TargetMode="External"/><Relationship Id="rId2300" Type="http://schemas.openxmlformats.org/officeDocument/2006/relationships/hyperlink" Target="https://chromewebstore.google.com/detail/dhldhkijljcokgnbimipkockigbjogoi" TargetMode="External"/><Relationship Id="rId3632" Type="http://schemas.openxmlformats.org/officeDocument/2006/relationships/hyperlink" Target="https://chromewebstore.google.com/detail/jnmjaglhmmcplekpfnblniiammmdpaan" TargetMode="External"/><Relationship Id="rId4963" Type="http://schemas.openxmlformats.org/officeDocument/2006/relationships/hyperlink" Target="https://chromewebstore.google.com/detail/ailcjmkbchjpglniippdjaaamimdniko" TargetMode="External"/><Relationship Id="rId2301" Type="http://schemas.openxmlformats.org/officeDocument/2006/relationships/hyperlink" Target="https://chromewebstore.google.com/detail/djbpbelpckcfamdlkfhipkkadnanmkci" TargetMode="External"/><Relationship Id="rId3631" Type="http://schemas.openxmlformats.org/officeDocument/2006/relationships/hyperlink" Target="https://chromewebstore.google.com/detail/jnjglafkllnhclhmcjbhigkfnfollfjl" TargetMode="External"/><Relationship Id="rId4962" Type="http://schemas.openxmlformats.org/officeDocument/2006/relationships/hyperlink" Target="https://chromewebstore.google.com/detail/aikmhmnmlebhcjjdbjilohbpfljioeak" TargetMode="External"/><Relationship Id="rId3623" Type="http://schemas.openxmlformats.org/officeDocument/2006/relationships/hyperlink" Target="https://chromewebstore.google.com/detail/jhongcfphlabkimfoamdbffjgifglifk" TargetMode="External"/><Relationship Id="rId4954" Type="http://schemas.openxmlformats.org/officeDocument/2006/relationships/hyperlink" Target="https://chromewebstore.google.com/detail/agpkeppkpbofjlgephfipdaplpbiojen" TargetMode="External"/><Relationship Id="rId3622" Type="http://schemas.openxmlformats.org/officeDocument/2006/relationships/hyperlink" Target="https://chromewebstore.google.com/detail/jhldepncoippkjgjkmambfglddmjdmaj" TargetMode="External"/><Relationship Id="rId4953" Type="http://schemas.openxmlformats.org/officeDocument/2006/relationships/hyperlink" Target="https://chromewebstore.google.com/detail/agpdemlkalmmeenclchlajdcmbcacoea" TargetMode="External"/><Relationship Id="rId3625" Type="http://schemas.openxmlformats.org/officeDocument/2006/relationships/hyperlink" Target="https://chromewebstore.google.com/detail/jjhpikpjjhlcmifagompgmhkjalhjopj" TargetMode="External"/><Relationship Id="rId4956" Type="http://schemas.openxmlformats.org/officeDocument/2006/relationships/hyperlink" Target="https://chromewebstore.google.com/detail/ahcblhpcealjpkmndgmkdnebbjakicno" TargetMode="External"/><Relationship Id="rId3624" Type="http://schemas.openxmlformats.org/officeDocument/2006/relationships/hyperlink" Target="https://chromewebstore.google.com/detail/jjbmdpbkacodjafhgffajjkklehlfall" TargetMode="External"/><Relationship Id="rId4955" Type="http://schemas.openxmlformats.org/officeDocument/2006/relationships/hyperlink" Target="https://chromewebstore.google.com/detail/ahaijnonphgkgnkbklchdhclailflinn" TargetMode="External"/><Relationship Id="rId3627" Type="http://schemas.openxmlformats.org/officeDocument/2006/relationships/hyperlink" Target="https://chromewebstore.google.com/detail/jkpcelefglapiahikhocfdcigfpaagcl" TargetMode="External"/><Relationship Id="rId4958" Type="http://schemas.openxmlformats.org/officeDocument/2006/relationships/hyperlink" Target="https://chromewebstore.google.com/detail/ahnoadnanolangjffklbfdkfbmplmmln" TargetMode="External"/><Relationship Id="rId3626" Type="http://schemas.openxmlformats.org/officeDocument/2006/relationships/hyperlink" Target="https://chromewebstore.google.com/detail/jjielhkllbondoilpemfgocfmaadbanm" TargetMode="External"/><Relationship Id="rId4957" Type="http://schemas.openxmlformats.org/officeDocument/2006/relationships/hyperlink" Target="https://chromewebstore.google.com/detail/ahieappfkblneagblagpodhjmnhcbfdn" TargetMode="External"/><Relationship Id="rId3629" Type="http://schemas.openxmlformats.org/officeDocument/2006/relationships/hyperlink" Target="https://chromewebstore.google.com/detail/jmpmiaajjammeafdklfobkfaobinefef" TargetMode="External"/><Relationship Id="rId3628" Type="http://schemas.openxmlformats.org/officeDocument/2006/relationships/hyperlink" Target="https://chromewebstore.google.com/detail/jmkhcdngpkacgjkmpnkhbocdemapfhhl" TargetMode="External"/><Relationship Id="rId4959" Type="http://schemas.openxmlformats.org/officeDocument/2006/relationships/hyperlink" Target="https://chromewebstore.google.com/detail/aicdnelcnjhlfgpjhkkflbaagjdgkedp" TargetMode="External"/><Relationship Id="rId4950" Type="http://schemas.openxmlformats.org/officeDocument/2006/relationships/hyperlink" Target="https://chromewebstore.google.com/detail/agnkphdgffianchpipdbkeaclfbobaak" TargetMode="External"/><Relationship Id="rId3621" Type="http://schemas.openxmlformats.org/officeDocument/2006/relationships/hyperlink" Target="https://chromewebstore.google.com/detail/jhcemppcfhghdemjhckgjnhfjhpglaic" TargetMode="External"/><Relationship Id="rId4952" Type="http://schemas.openxmlformats.org/officeDocument/2006/relationships/hyperlink" Target="https://chromewebstore.google.com/detail/agompmhjohlaaijeadjcepbmhjgdmejd" TargetMode="External"/><Relationship Id="rId3620" Type="http://schemas.openxmlformats.org/officeDocument/2006/relationships/hyperlink" Target="https://chromewebstore.google.com/detail/jglhicdjgkdpoeepmenmpkdnfbekdoko" TargetMode="External"/><Relationship Id="rId4951" Type="http://schemas.openxmlformats.org/officeDocument/2006/relationships/hyperlink" Target="https://chromewebstore.google.com/detail/agojedcnbaadafkaaekoimbepjfhgkne" TargetMode="External"/><Relationship Id="rId2324" Type="http://schemas.openxmlformats.org/officeDocument/2006/relationships/hyperlink" Target="https://chromewebstore.google.com/detail/fifipfjcpdakpdomdhekagpcngdblbba" TargetMode="External"/><Relationship Id="rId3656" Type="http://schemas.openxmlformats.org/officeDocument/2006/relationships/hyperlink" Target="https://chromewebstore.google.com/detail/kgjaddbcmpmacilgaekjfelhdebfjgib" TargetMode="External"/><Relationship Id="rId4987" Type="http://schemas.openxmlformats.org/officeDocument/2006/relationships/hyperlink" Target="https://chromewebstore.google.com/detail/akloeedfoicedcgaigjnglkfhpcbjlmn" TargetMode="External"/><Relationship Id="rId2325" Type="http://schemas.openxmlformats.org/officeDocument/2006/relationships/hyperlink" Target="https://chromewebstore.google.com/detail/fkdppolbkpdoebdhflolnnkeiaoblfjc" TargetMode="External"/><Relationship Id="rId3655" Type="http://schemas.openxmlformats.org/officeDocument/2006/relationships/hyperlink" Target="https://chromewebstore.google.com/detail/kgfmoklaodpeeldpdkakejcdlcekhdje" TargetMode="External"/><Relationship Id="rId4986" Type="http://schemas.openxmlformats.org/officeDocument/2006/relationships/hyperlink" Target="https://chromewebstore.google.com/detail/aklkmkchojnnjbmggchdeagdgcflfhnc" TargetMode="External"/><Relationship Id="rId2326" Type="http://schemas.openxmlformats.org/officeDocument/2006/relationships/hyperlink" Target="https://chromewebstore.google.com/detail/fldphceaabkfnogfomngiglfgepglpeo" TargetMode="External"/><Relationship Id="rId3658" Type="http://schemas.openxmlformats.org/officeDocument/2006/relationships/hyperlink" Target="https://chromewebstore.google.com/detail/khclkgjdjddedohnomokbhinlmpclick" TargetMode="External"/><Relationship Id="rId4989" Type="http://schemas.openxmlformats.org/officeDocument/2006/relationships/hyperlink" Target="https://chromewebstore.google.com/detail/akngncmebaenfdgfbmommpnonpidhaod" TargetMode="External"/><Relationship Id="rId2327" Type="http://schemas.openxmlformats.org/officeDocument/2006/relationships/hyperlink" Target="https://chromewebstore.google.com/detail/fmljflfbojphpnbijaceeemjapgkefin" TargetMode="External"/><Relationship Id="rId3657" Type="http://schemas.openxmlformats.org/officeDocument/2006/relationships/hyperlink" Target="https://chromewebstore.google.com/detail/kgnigbfnfjgpfaiaafcbgdkpalapiinb" TargetMode="External"/><Relationship Id="rId4988" Type="http://schemas.openxmlformats.org/officeDocument/2006/relationships/hyperlink" Target="https://chromewebstore.google.com/detail/akndolpagcjaolannkpophkacklomagp" TargetMode="External"/><Relationship Id="rId2328" Type="http://schemas.openxmlformats.org/officeDocument/2006/relationships/hyperlink" Target="https://chromewebstore.google.com/detail/fnhpicigolcacikdjdocmkfnplmefadg" TargetMode="External"/><Relationship Id="rId2329" Type="http://schemas.openxmlformats.org/officeDocument/2006/relationships/hyperlink" Target="https://chromewebstore.google.com/detail/fopcehkidabibdmachbcpbgllhehknah" TargetMode="External"/><Relationship Id="rId3659" Type="http://schemas.openxmlformats.org/officeDocument/2006/relationships/hyperlink" Target="https://chromewebstore.google.com/detail/khildacmciagghamickjajfmhcbnkjhp" TargetMode="External"/><Relationship Id="rId3650" Type="http://schemas.openxmlformats.org/officeDocument/2006/relationships/hyperlink" Target="https://chromewebstore.google.com/detail/kdogdkfddoankbmhceckddidofffobab" TargetMode="External"/><Relationship Id="rId4981" Type="http://schemas.openxmlformats.org/officeDocument/2006/relationships/hyperlink" Target="https://chromewebstore.google.com/detail/akcpioapcnkipdikjifafioeabjjahpb" TargetMode="External"/><Relationship Id="rId4980" Type="http://schemas.openxmlformats.org/officeDocument/2006/relationships/hyperlink" Target="https://chromewebstore.google.com/detail/akcpbmbdplmbhlpeglpbghnkcbhiapil" TargetMode="External"/><Relationship Id="rId2320" Type="http://schemas.openxmlformats.org/officeDocument/2006/relationships/hyperlink" Target="https://chromewebstore.google.com/detail/ffkgelfmnmeofidahjaefimpdgekflha" TargetMode="External"/><Relationship Id="rId3652" Type="http://schemas.openxmlformats.org/officeDocument/2006/relationships/hyperlink" Target="https://chromewebstore.google.com/detail/kfjkodkjnmdeookccjmcdbhhpbgkoche" TargetMode="External"/><Relationship Id="rId4983" Type="http://schemas.openxmlformats.org/officeDocument/2006/relationships/hyperlink" Target="https://chromewebstore.google.com/detail/akhfampbeegijbknnencolmclbnaceab" TargetMode="External"/><Relationship Id="rId2321" Type="http://schemas.openxmlformats.org/officeDocument/2006/relationships/hyperlink" Target="https://chromewebstore.google.com/detail/fhjmdobefakhdbfdpnnopoaldabldbgd" TargetMode="External"/><Relationship Id="rId3651" Type="http://schemas.openxmlformats.org/officeDocument/2006/relationships/hyperlink" Target="https://chromewebstore.google.com/detail/kelnjkckgoidifjnpldnhhamcmhhachc" TargetMode="External"/><Relationship Id="rId4982" Type="http://schemas.openxmlformats.org/officeDocument/2006/relationships/hyperlink" Target="https://chromewebstore.google.com/detail/akfikgmhbajiaekdbgchbmhkceclncda" TargetMode="External"/><Relationship Id="rId2322" Type="http://schemas.openxmlformats.org/officeDocument/2006/relationships/hyperlink" Target="https://chromewebstore.google.com/detail/fhnfchmneeihfblhfecikbkedafkklke" TargetMode="External"/><Relationship Id="rId3654" Type="http://schemas.openxmlformats.org/officeDocument/2006/relationships/hyperlink" Target="https://chromewebstore.google.com/detail/kgdbcpllbbnimjgoiomfdebldcofmlbl" TargetMode="External"/><Relationship Id="rId4985" Type="http://schemas.openxmlformats.org/officeDocument/2006/relationships/hyperlink" Target="https://chromewebstore.google.com/detail/akkbfbediahdidlgbanghdmbfbkdbioj" TargetMode="External"/><Relationship Id="rId2323" Type="http://schemas.openxmlformats.org/officeDocument/2006/relationships/hyperlink" Target="https://chromewebstore.google.com/detail/fhomhkjcommffnlajeemenejemmegcmi" TargetMode="External"/><Relationship Id="rId3653" Type="http://schemas.openxmlformats.org/officeDocument/2006/relationships/hyperlink" Target="https://chromewebstore.google.com/detail/kgcldhfjkmojjlpkcigpfbdkbhcaeomd" TargetMode="External"/><Relationship Id="rId4984" Type="http://schemas.openxmlformats.org/officeDocument/2006/relationships/hyperlink" Target="https://chromewebstore.google.com/detail/akikhgecfhfbdmiccfbgdmcjjbaiohbi" TargetMode="External"/><Relationship Id="rId2313" Type="http://schemas.openxmlformats.org/officeDocument/2006/relationships/hyperlink" Target="https://chromewebstore.google.com/detail/ekffngdiljhjmmmfcajfmpheedkonklc" TargetMode="External"/><Relationship Id="rId3645" Type="http://schemas.openxmlformats.org/officeDocument/2006/relationships/hyperlink" Target="https://chromewebstore.google.com/detail/kcplfgklelmfcockoimjkdgnlkbfgkjf" TargetMode="External"/><Relationship Id="rId4976" Type="http://schemas.openxmlformats.org/officeDocument/2006/relationships/hyperlink" Target="https://chromewebstore.google.com/detail/ajjdehfgjbdjiinaipdglfppekcnigjd" TargetMode="External"/><Relationship Id="rId2314" Type="http://schemas.openxmlformats.org/officeDocument/2006/relationships/hyperlink" Target="https://chromewebstore.google.com/detail/ekmamdknmdolmmjbgpmnkiobcnihdhhf" TargetMode="External"/><Relationship Id="rId3644" Type="http://schemas.openxmlformats.org/officeDocument/2006/relationships/hyperlink" Target="https://chromewebstore.google.com/detail/kbnckhjhgepdfhgnklcffikhfndhfgfc" TargetMode="External"/><Relationship Id="rId4975" Type="http://schemas.openxmlformats.org/officeDocument/2006/relationships/hyperlink" Target="https://chromewebstore.google.com/detail/ajgpdimiokijpbbalknkgnfnpjcbfabk" TargetMode="External"/><Relationship Id="rId2315" Type="http://schemas.openxmlformats.org/officeDocument/2006/relationships/hyperlink" Target="https://chromewebstore.google.com/detail/elhcnbjoomhmifmfeggoalmplblcmcin" TargetMode="External"/><Relationship Id="rId3647" Type="http://schemas.openxmlformats.org/officeDocument/2006/relationships/hyperlink" Target="https://chromewebstore.google.com/detail/kddlkbpbepnaepdleclhdnfdpdogdhop" TargetMode="External"/><Relationship Id="rId4978" Type="http://schemas.openxmlformats.org/officeDocument/2006/relationships/hyperlink" Target="https://chromewebstore.google.com/detail/ajpfgljldffcnbjenpnkcbkkkcflkpbo" TargetMode="External"/><Relationship Id="rId2316" Type="http://schemas.openxmlformats.org/officeDocument/2006/relationships/hyperlink" Target="https://chromewebstore.google.com/detail/eplgjobanbeabmgflcnfgdhcbnailejp" TargetMode="External"/><Relationship Id="rId3646" Type="http://schemas.openxmlformats.org/officeDocument/2006/relationships/hyperlink" Target="https://chromewebstore.google.com/detail/kdbneplgbhkphiaiompcaodcdlegggdg" TargetMode="External"/><Relationship Id="rId4977" Type="http://schemas.openxmlformats.org/officeDocument/2006/relationships/hyperlink" Target="https://chromewebstore.google.com/detail/ajnianifcggmdojhnmjichjmnjpplcha" TargetMode="External"/><Relationship Id="rId2317" Type="http://schemas.openxmlformats.org/officeDocument/2006/relationships/hyperlink" Target="https://chromewebstore.google.com/detail/fadkffkdccpljkdhnbgkdjphlofgideg" TargetMode="External"/><Relationship Id="rId3649" Type="http://schemas.openxmlformats.org/officeDocument/2006/relationships/hyperlink" Target="https://chromewebstore.google.com/detail/kdnfiaaebipjfmlajbklkkcgkddakdnf" TargetMode="External"/><Relationship Id="rId2318" Type="http://schemas.openxmlformats.org/officeDocument/2006/relationships/hyperlink" Target="https://chromewebstore.google.com/detail/fciomokgnajoifiiaglcjkonligobneo" TargetMode="External"/><Relationship Id="rId3648" Type="http://schemas.openxmlformats.org/officeDocument/2006/relationships/hyperlink" Target="https://chromewebstore.google.com/detail/kdhkghpcffppoodbinndeglnndbgdpkf" TargetMode="External"/><Relationship Id="rId4979" Type="http://schemas.openxmlformats.org/officeDocument/2006/relationships/hyperlink" Target="https://chromewebstore.google.com/detail/akcafbaobcipanhmmfmkpneejopclhfg" TargetMode="External"/><Relationship Id="rId2319" Type="http://schemas.openxmlformats.org/officeDocument/2006/relationships/hyperlink" Target="https://chromewebstore.google.com/detail/fdhpkpfbolhjcbejckjbiciinkcjlijj" TargetMode="External"/><Relationship Id="rId4970" Type="http://schemas.openxmlformats.org/officeDocument/2006/relationships/hyperlink" Target="https://chromewebstore.google.com/detail/ajdoamemmbdoaopmkldocdhhedfppplm" TargetMode="External"/><Relationship Id="rId3641" Type="http://schemas.openxmlformats.org/officeDocument/2006/relationships/hyperlink" Target="https://chromewebstore.google.com/detail/kbbjgmpfbfcpdbjjpnmlblohndobdcco" TargetMode="External"/><Relationship Id="rId4972" Type="http://schemas.openxmlformats.org/officeDocument/2006/relationships/hyperlink" Target="https://chromewebstore.google.com/detail/ajgfnlfggljmdkepjeaicepbokhemmhd" TargetMode="External"/><Relationship Id="rId2310" Type="http://schemas.openxmlformats.org/officeDocument/2006/relationships/hyperlink" Target="https://chromewebstore.google.com/detail/ehlckfimahifadnbecobagimllmbdmde" TargetMode="External"/><Relationship Id="rId3640" Type="http://schemas.openxmlformats.org/officeDocument/2006/relationships/hyperlink" Target="https://chromewebstore.google.com/detail/kaplhmhahkanhjahbdbaamdaililfmkj" TargetMode="External"/><Relationship Id="rId4971" Type="http://schemas.openxmlformats.org/officeDocument/2006/relationships/hyperlink" Target="https://chromewebstore.google.com/detail/ajfcilnkfhhdofoplbnbicjbcoflpppa" TargetMode="External"/><Relationship Id="rId2311" Type="http://schemas.openxmlformats.org/officeDocument/2006/relationships/hyperlink" Target="https://chromewebstore.google.com/detail/ejgjaeamjppjgmjnaaljcocboejdinpj" TargetMode="External"/><Relationship Id="rId3643" Type="http://schemas.openxmlformats.org/officeDocument/2006/relationships/hyperlink" Target="https://chromewebstore.google.com/detail/kbipbobgpnhgghikihmodppmfbkbmgfj" TargetMode="External"/><Relationship Id="rId4974" Type="http://schemas.openxmlformats.org/officeDocument/2006/relationships/hyperlink" Target="https://chromewebstore.google.com/detail/ajgjljngohdamnajdbnadcpcnnoaedga" TargetMode="External"/><Relationship Id="rId2312" Type="http://schemas.openxmlformats.org/officeDocument/2006/relationships/hyperlink" Target="https://chromewebstore.google.com/detail/ejpddgihmnpjdedldacjlhjjlilfgjok" TargetMode="External"/><Relationship Id="rId3642" Type="http://schemas.openxmlformats.org/officeDocument/2006/relationships/hyperlink" Target="https://chromewebstore.google.com/detail/kbbmeeflfcjnbeelhinbnlmdjmekfhbm" TargetMode="External"/><Relationship Id="rId4973" Type="http://schemas.openxmlformats.org/officeDocument/2006/relationships/hyperlink" Target="https://chromewebstore.google.com/detail/ajgidahckhliegaonfgbialbcpcljach" TargetMode="External"/><Relationship Id="rId4921" Type="http://schemas.openxmlformats.org/officeDocument/2006/relationships/hyperlink" Target="https://chromewebstore.google.com/detail/adibamafcjbolhaaccnhdebpncglaohb" TargetMode="External"/><Relationship Id="rId4920" Type="http://schemas.openxmlformats.org/officeDocument/2006/relationships/hyperlink" Target="https://chromewebstore.google.com/detail/adfggbiefhfidjcedejkdmcfhmbhhblm" TargetMode="External"/><Relationship Id="rId4923" Type="http://schemas.openxmlformats.org/officeDocument/2006/relationships/hyperlink" Target="https://chromewebstore.google.com/detail/adlnghnicfngjnofbljedmclmdoepcbe" TargetMode="External"/><Relationship Id="rId4922" Type="http://schemas.openxmlformats.org/officeDocument/2006/relationships/hyperlink" Target="https://chromewebstore.google.com/detail/adjgpccopebgfbdnkdhjncpcpcgcoehp" TargetMode="External"/><Relationship Id="rId4925" Type="http://schemas.openxmlformats.org/officeDocument/2006/relationships/hyperlink" Target="https://chromewebstore.google.com/detail/adojojhmddiheilndfjlhddemdlfjfle" TargetMode="External"/><Relationship Id="rId4924" Type="http://schemas.openxmlformats.org/officeDocument/2006/relationships/hyperlink" Target="https://chromewebstore.google.com/detail/admjkihehbkklbidlcpmjcaplbkngeed" TargetMode="External"/><Relationship Id="rId4927" Type="http://schemas.openxmlformats.org/officeDocument/2006/relationships/hyperlink" Target="https://chromewebstore.google.com/detail/aebaikmeedenaijgjcfmndfknoobahep" TargetMode="External"/><Relationship Id="rId4926" Type="http://schemas.openxmlformats.org/officeDocument/2006/relationships/hyperlink" Target="https://chromewebstore.google.com/detail/aeanpfpdmamkinnbemccekbecfcbooai" TargetMode="External"/><Relationship Id="rId4929" Type="http://schemas.openxmlformats.org/officeDocument/2006/relationships/hyperlink" Target="https://chromewebstore.google.com/detail/aehmpfeibpcclkbjjkclhncmjncpebef" TargetMode="External"/><Relationship Id="rId4928" Type="http://schemas.openxmlformats.org/officeDocument/2006/relationships/hyperlink" Target="https://chromewebstore.google.com/detail/aefmgkhgcmdljpfijlohmbhkhflmbmfi" TargetMode="External"/><Relationship Id="rId7195" Type="http://schemas.openxmlformats.org/officeDocument/2006/relationships/hyperlink" Target="https://chromewebstore.google.com/detail/jkgoidcneenbbjbncgegpledfdolbodh" TargetMode="External"/><Relationship Id="rId7194" Type="http://schemas.openxmlformats.org/officeDocument/2006/relationships/hyperlink" Target="https://chromewebstore.google.com/detail/cjfcggkodegcngbhenjoppjagififcpk" TargetMode="External"/><Relationship Id="rId7193" Type="http://schemas.openxmlformats.org/officeDocument/2006/relationships/hyperlink" Target="https://chromewebstore.google.com/detail/paaiopflofakieapanjjggpcpgbidcaj" TargetMode="External"/><Relationship Id="rId7192" Type="http://schemas.openxmlformats.org/officeDocument/2006/relationships/hyperlink" Target="https://chromewebstore.google.com/detail/mfdeccgkoldiahiohijhlnkgjbofohip" TargetMode="External"/><Relationship Id="rId7199" Type="http://schemas.openxmlformats.org/officeDocument/2006/relationships/hyperlink" Target="https://chromewebstore.google.com/detail/mfikohbeadpajcijohnobibodimmjhfk" TargetMode="External"/><Relationship Id="rId7198" Type="http://schemas.openxmlformats.org/officeDocument/2006/relationships/hyperlink" Target="https://chromewebstore.google.com/detail/ldfijcnohnjjeokjkpmahpjmlljejhpn" TargetMode="External"/><Relationship Id="rId7197" Type="http://schemas.openxmlformats.org/officeDocument/2006/relationships/hyperlink" Target="https://chromewebstore.google.com/detail/pbkplelomfmahlbhpekhcgebnhgknhjh" TargetMode="External"/><Relationship Id="rId7196" Type="http://schemas.openxmlformats.org/officeDocument/2006/relationships/hyperlink" Target="https://chromewebstore.google.com/detail/naekkaimmdjkdhgccbkhfabndiiiaidd" TargetMode="External"/><Relationship Id="rId4910" Type="http://schemas.openxmlformats.org/officeDocument/2006/relationships/hyperlink" Target="https://chromewebstore.google.com/detail/acefekdhohafkelpdfdjjopdghejaahi" TargetMode="External"/><Relationship Id="rId4912" Type="http://schemas.openxmlformats.org/officeDocument/2006/relationships/hyperlink" Target="https://chromewebstore.google.com/detail/achogfadpkcepkepcpegehpiiioihmik" TargetMode="External"/><Relationship Id="rId4911" Type="http://schemas.openxmlformats.org/officeDocument/2006/relationships/hyperlink" Target="https://chromewebstore.google.com/detail/acfmhnkhdnojjohflchbldekihhapdje" TargetMode="External"/><Relationship Id="rId4914" Type="http://schemas.openxmlformats.org/officeDocument/2006/relationships/hyperlink" Target="https://chromewebstore.google.com/detail/acmnindkplffnpamldokjjkekipobndc" TargetMode="External"/><Relationship Id="rId4913" Type="http://schemas.openxmlformats.org/officeDocument/2006/relationships/hyperlink" Target="https://chromewebstore.google.com/detail/aciclpjlpekbhcmgihchmcgknanmaoph" TargetMode="External"/><Relationship Id="rId4916" Type="http://schemas.openxmlformats.org/officeDocument/2006/relationships/hyperlink" Target="https://chromewebstore.google.com/detail/acngkdhajijgnolblpcgpepjgoedlpjg" TargetMode="External"/><Relationship Id="rId4915" Type="http://schemas.openxmlformats.org/officeDocument/2006/relationships/hyperlink" Target="https://chromewebstore.google.com/detail/acngcofgnnbbkpmeedmoaihopjmepomd" TargetMode="External"/><Relationship Id="rId4918" Type="http://schemas.openxmlformats.org/officeDocument/2006/relationships/hyperlink" Target="https://chromewebstore.google.com/detail/addgaohhlahfdofpaplmeknphfoafeoc" TargetMode="External"/><Relationship Id="rId4917" Type="http://schemas.openxmlformats.org/officeDocument/2006/relationships/hyperlink" Target="https://chromewebstore.google.com/detail/adaojllgfpmcfooaobpfoiiifddhjiap" TargetMode="External"/><Relationship Id="rId4919" Type="http://schemas.openxmlformats.org/officeDocument/2006/relationships/hyperlink" Target="https://chromewebstore.google.com/detail/adegickccmlojbmbmemgjakpoammfmkg" TargetMode="External"/><Relationship Id="rId7191" Type="http://schemas.openxmlformats.org/officeDocument/2006/relationships/hyperlink" Target="https://chromewebstore.google.com/detail/ldlabgfidopfkhbdfaanbihnjnkijikj" TargetMode="External"/><Relationship Id="rId7190" Type="http://schemas.openxmlformats.org/officeDocument/2006/relationships/hyperlink" Target="https://chromewebstore.google.com/detail/kcaeeijmehodhlebigdekedaehnconpb" TargetMode="External"/><Relationship Id="rId7184" Type="http://schemas.openxmlformats.org/officeDocument/2006/relationships/hyperlink" Target="https://chromewebstore.google.com/detail/aeboiihikjegpmcdjpnehnmpiiekjmhb" TargetMode="External"/><Relationship Id="rId7183" Type="http://schemas.openxmlformats.org/officeDocument/2006/relationships/hyperlink" Target="https://chromewebstore.google.com/detail/obopnfigmanifpiojfhebcegjepgaiif" TargetMode="External"/><Relationship Id="rId7182" Type="http://schemas.openxmlformats.org/officeDocument/2006/relationships/hyperlink" Target="https://chromewebstore.google.com/detail/nmlfbleobblfkojbdbkjjolblhfnegoh" TargetMode="External"/><Relationship Id="rId7181" Type="http://schemas.openxmlformats.org/officeDocument/2006/relationships/hyperlink" Target="https://chromewebstore.google.com/detail/mkeolkcnabfjecpddmpimpddeajbpjid" TargetMode="External"/><Relationship Id="rId7188" Type="http://schemas.openxmlformats.org/officeDocument/2006/relationships/hyperlink" Target="https://chromewebstore.google.com/detail/cflmhhlddhlndhajdngbeglceebpgkfl" TargetMode="External"/><Relationship Id="rId7187" Type="http://schemas.openxmlformats.org/officeDocument/2006/relationships/hyperlink" Target="https://chromewebstore.google.com/detail/ahmlpiknebpepidendbfmflbipgbioob" TargetMode="External"/><Relationship Id="rId7186" Type="http://schemas.openxmlformats.org/officeDocument/2006/relationships/hyperlink" Target="https://chromewebstore.google.com/detail/gmlpaaphhbillgipemeigfgkccalcclm" TargetMode="External"/><Relationship Id="rId7185" Type="http://schemas.openxmlformats.org/officeDocument/2006/relationships/hyperlink" Target="https://chromewebstore.google.com/detail/dengmjlghngndfpcejhcajfpmabcaenn" TargetMode="External"/><Relationship Id="rId7189" Type="http://schemas.openxmlformats.org/officeDocument/2006/relationships/hyperlink" Target="https://chromewebstore.google.com/detail/gghfcijjckogopngfdlmbfonadjkkoil" TargetMode="External"/><Relationship Id="rId3612" Type="http://schemas.openxmlformats.org/officeDocument/2006/relationships/hyperlink" Target="https://chromewebstore.google.com/detail/jehbplmdjbmcbbdlghcphdhfakcgaiaj" TargetMode="External"/><Relationship Id="rId4943" Type="http://schemas.openxmlformats.org/officeDocument/2006/relationships/hyperlink" Target="https://chromewebstore.google.com/detail/agabedjjbijfpccchcmpfpcdfnlpjkoj" TargetMode="External"/><Relationship Id="rId3611" Type="http://schemas.openxmlformats.org/officeDocument/2006/relationships/hyperlink" Target="https://chromewebstore.google.com/detail/jecfjjkhfhlcnagpnfkcgckmlbhilnba" TargetMode="External"/><Relationship Id="rId4942" Type="http://schemas.openxmlformats.org/officeDocument/2006/relationships/hyperlink" Target="https://chromewebstore.google.com/detail/afpbamklipekeannlpafjnakghkkmnjk" TargetMode="External"/><Relationship Id="rId3614" Type="http://schemas.openxmlformats.org/officeDocument/2006/relationships/hyperlink" Target="https://chromewebstore.google.com/detail/jelojgjhjelahgpnagjbebbcedehkijl" TargetMode="External"/><Relationship Id="rId4945" Type="http://schemas.openxmlformats.org/officeDocument/2006/relationships/hyperlink" Target="https://chromewebstore.google.com/detail/agdmglieodoodfjgljideekcenoakdgb" TargetMode="External"/><Relationship Id="rId3613" Type="http://schemas.openxmlformats.org/officeDocument/2006/relationships/hyperlink" Target="https://chromewebstore.google.com/detail/jehoagbopeaefibnihnfgenfcilmcikj" TargetMode="External"/><Relationship Id="rId4944" Type="http://schemas.openxmlformats.org/officeDocument/2006/relationships/hyperlink" Target="https://chromewebstore.google.com/detail/agbkjcoclkflcpkognkhjkllhimlpice" TargetMode="External"/><Relationship Id="rId3616" Type="http://schemas.openxmlformats.org/officeDocument/2006/relationships/hyperlink" Target="https://chromewebstore.google.com/detail/jfjcobdgpgnlhbibdbobbplehgkmjdni" TargetMode="External"/><Relationship Id="rId4947" Type="http://schemas.openxmlformats.org/officeDocument/2006/relationships/hyperlink" Target="https://chromewebstore.google.com/detail/aghbmllinmgnlpeciabalfllehijahnp" TargetMode="External"/><Relationship Id="rId3615" Type="http://schemas.openxmlformats.org/officeDocument/2006/relationships/hyperlink" Target="https://chromewebstore.google.com/detail/jfipdgenfgpoakdfnndhkgjnnopnlohn" TargetMode="External"/><Relationship Id="rId4946" Type="http://schemas.openxmlformats.org/officeDocument/2006/relationships/hyperlink" Target="https://chromewebstore.google.com/detail/aggkaaocjganbkpebcifmphkiphajdel" TargetMode="External"/><Relationship Id="rId3618" Type="http://schemas.openxmlformats.org/officeDocument/2006/relationships/hyperlink" Target="https://chromewebstore.google.com/detail/jgcnopjghjlddcncaiohpbchlojdhgde" TargetMode="External"/><Relationship Id="rId4949" Type="http://schemas.openxmlformats.org/officeDocument/2006/relationships/hyperlink" Target="https://chromewebstore.google.com/detail/aglkdaiofcmfomnggcojbcpbihbaceai" TargetMode="External"/><Relationship Id="rId3617" Type="http://schemas.openxmlformats.org/officeDocument/2006/relationships/hyperlink" Target="https://chromewebstore.google.com/detail/jfjmncmbmpnaljmmcmeefmkmionkojmd" TargetMode="External"/><Relationship Id="rId4948" Type="http://schemas.openxmlformats.org/officeDocument/2006/relationships/hyperlink" Target="https://chromewebstore.google.com/detail/agkbkgialbnmaeamocceenjbhcjagigf" TargetMode="External"/><Relationship Id="rId3619" Type="http://schemas.openxmlformats.org/officeDocument/2006/relationships/hyperlink" Target="https://chromewebstore.google.com/detail/jgimcbonbekgeahallgcmiibdidjeeim" TargetMode="External"/><Relationship Id="rId3610" Type="http://schemas.openxmlformats.org/officeDocument/2006/relationships/hyperlink" Target="https://chromewebstore.google.com/detail/jecbmodojclbbpddaeiokmmiigamnkon" TargetMode="External"/><Relationship Id="rId4941" Type="http://schemas.openxmlformats.org/officeDocument/2006/relationships/hyperlink" Target="https://chromewebstore.google.com/detail/afmljfkhgiljmbopodcjdnkgmdmnhbpk" TargetMode="External"/><Relationship Id="rId4940" Type="http://schemas.openxmlformats.org/officeDocument/2006/relationships/hyperlink" Target="https://chromewebstore.google.com/detail/afmdjfefjcfmedhgbegphdjhfckifaij" TargetMode="External"/><Relationship Id="rId3601" Type="http://schemas.openxmlformats.org/officeDocument/2006/relationships/hyperlink" Target="https://chromewebstore.google.com/detail/ipgmnmdjjmipidgnhpcgippbmchbmgap" TargetMode="External"/><Relationship Id="rId4932" Type="http://schemas.openxmlformats.org/officeDocument/2006/relationships/hyperlink" Target="https://chromewebstore.google.com/detail/aelkgkjgpaancocbobfjkmnkfhoinamf" TargetMode="External"/><Relationship Id="rId3600" Type="http://schemas.openxmlformats.org/officeDocument/2006/relationships/hyperlink" Target="https://chromewebstore.google.com/detail/iopfooincihblbhjfhogkejlpmmabmcn" TargetMode="External"/><Relationship Id="rId4931" Type="http://schemas.openxmlformats.org/officeDocument/2006/relationships/hyperlink" Target="https://chromewebstore.google.com/detail/aelfgfndnhaiicaahkbpmgbbnflnbejb" TargetMode="External"/><Relationship Id="rId3603" Type="http://schemas.openxmlformats.org/officeDocument/2006/relationships/hyperlink" Target="https://chromewebstore.google.com/detail/jbjclilbjhgcidlgjkdkaagnijkgohnn" TargetMode="External"/><Relationship Id="rId4934" Type="http://schemas.openxmlformats.org/officeDocument/2006/relationships/hyperlink" Target="https://chromewebstore.google.com/detail/aeookmmgmjgnmfoaiemejdoailigdgag" TargetMode="External"/><Relationship Id="rId3602" Type="http://schemas.openxmlformats.org/officeDocument/2006/relationships/hyperlink" Target="https://chromewebstore.google.com/detail/jbhejjmjopbmikcoffcckcnbaiohgbge" TargetMode="External"/><Relationship Id="rId4933" Type="http://schemas.openxmlformats.org/officeDocument/2006/relationships/hyperlink" Target="https://chromewebstore.google.com/detail/aemgcoipfmfbdgfgicfbmpjnhlbpajch" TargetMode="External"/><Relationship Id="rId3605" Type="http://schemas.openxmlformats.org/officeDocument/2006/relationships/hyperlink" Target="https://chromewebstore.google.com/detail/jbnjlcapocfdcoieepfpmcjfjhjdfibo" TargetMode="External"/><Relationship Id="rId4936" Type="http://schemas.openxmlformats.org/officeDocument/2006/relationships/hyperlink" Target="https://chromewebstore.google.com/detail/afheehakbckodogpkoeakfndigoimokn" TargetMode="External"/><Relationship Id="rId3604" Type="http://schemas.openxmlformats.org/officeDocument/2006/relationships/hyperlink" Target="https://chromewebstore.google.com/detail/jbkgemmcefolmjpdjmjkecbdmelpjehn" TargetMode="External"/><Relationship Id="rId4935" Type="http://schemas.openxmlformats.org/officeDocument/2006/relationships/hyperlink" Target="https://chromewebstore.google.com/detail/afdjhbmagopjlalgcjfclkgobaafamck" TargetMode="External"/><Relationship Id="rId3607" Type="http://schemas.openxmlformats.org/officeDocument/2006/relationships/hyperlink" Target="https://chromewebstore.google.com/detail/jchnojkeefjdioodimacimfiefjdbpag" TargetMode="External"/><Relationship Id="rId4938" Type="http://schemas.openxmlformats.org/officeDocument/2006/relationships/hyperlink" Target="https://chromewebstore.google.com/detail/afkcafjohadnopckhbcopklmeknjcgkg" TargetMode="External"/><Relationship Id="rId3606" Type="http://schemas.openxmlformats.org/officeDocument/2006/relationships/hyperlink" Target="https://chromewebstore.google.com/detail/jcbdhcdpoagflgclgidimolohhmofnma" TargetMode="External"/><Relationship Id="rId4937" Type="http://schemas.openxmlformats.org/officeDocument/2006/relationships/hyperlink" Target="https://chromewebstore.google.com/detail/afijgiinefhejdlmngnbfjgiefdfkfko" TargetMode="External"/><Relationship Id="rId3609" Type="http://schemas.openxmlformats.org/officeDocument/2006/relationships/hyperlink" Target="https://chromewebstore.google.com/detail/jdkdfpbdfepbjjkcgpbicgffajbbmjin" TargetMode="External"/><Relationship Id="rId3608" Type="http://schemas.openxmlformats.org/officeDocument/2006/relationships/hyperlink" Target="https://chromewebstore.google.com/detail/jcmaidkdmpnbnkahcpiiaobdokbjcjkg" TargetMode="External"/><Relationship Id="rId4939" Type="http://schemas.openxmlformats.org/officeDocument/2006/relationships/hyperlink" Target="https://chromewebstore.google.com/detail/afknfpdgpnhpbdcdnknlmbcddhfemdeb" TargetMode="External"/><Relationship Id="rId4930" Type="http://schemas.openxmlformats.org/officeDocument/2006/relationships/hyperlink" Target="https://chromewebstore.google.com/detail/aeinmfddnniiloadoappmdnffcbffnjg" TargetMode="External"/><Relationship Id="rId1059" Type="http://schemas.openxmlformats.org/officeDocument/2006/relationships/hyperlink" Target="https://chromewebstore.google.com/detail/abgngoenjiblahhbgpmabiggpdjkcmeg" TargetMode="External"/><Relationship Id="rId2380" Type="http://schemas.openxmlformats.org/officeDocument/2006/relationships/hyperlink" Target="https://chromewebstore.google.com/detail/jddlcajmgfdpfnekdppnapoldfhabkeg" TargetMode="External"/><Relationship Id="rId1050" Type="http://schemas.openxmlformats.org/officeDocument/2006/relationships/hyperlink" Target="https://chromewebstore.google.com/detail/phoidlklenidapnijkabnfdgmadlcmjo" TargetMode="External"/><Relationship Id="rId2381" Type="http://schemas.openxmlformats.org/officeDocument/2006/relationships/hyperlink" Target="https://chromewebstore.google.com/detail/jdmdpnpmopoeeekibkglofpeagfeffbm" TargetMode="External"/><Relationship Id="rId1051" Type="http://schemas.openxmlformats.org/officeDocument/2006/relationships/hyperlink" Target="https://chromewebstore.google.com/detail/pnhdnpnnffpijjbnhnipkehhibchdeok" TargetMode="External"/><Relationship Id="rId2382" Type="http://schemas.openxmlformats.org/officeDocument/2006/relationships/hyperlink" Target="https://chromewebstore.google.com/detail/jdogfefgaagaledbkgeffgbjlaaplpgo" TargetMode="External"/><Relationship Id="rId1052" Type="http://schemas.openxmlformats.org/officeDocument/2006/relationships/hyperlink" Target="https://chromewebstore.google.com/detail/pofkdbcaeneekbdeclapnijhapjiepfb" TargetMode="External"/><Relationship Id="rId2383" Type="http://schemas.openxmlformats.org/officeDocument/2006/relationships/hyperlink" Target="https://chromewebstore.google.com/detail/jjeknnigbkhhilfjhoijbddeaihdpmdi" TargetMode="External"/><Relationship Id="rId1053" Type="http://schemas.openxmlformats.org/officeDocument/2006/relationships/hyperlink" Target="https://chromewebstore.google.com/detail/ppcgokfjhdfiinomggddeeaomecakllo" TargetMode="External"/><Relationship Id="rId2384" Type="http://schemas.openxmlformats.org/officeDocument/2006/relationships/hyperlink" Target="https://chromewebstore.google.com/detail/jkgogmboalmaijfgfhfepckdgjeopfhk" TargetMode="External"/><Relationship Id="rId1054" Type="http://schemas.openxmlformats.org/officeDocument/2006/relationships/hyperlink" Target="https://chromewebstore.google.com/detail/ppmacakdbohpklnhpaecpoohbkapggpo" TargetMode="External"/><Relationship Id="rId2385" Type="http://schemas.openxmlformats.org/officeDocument/2006/relationships/hyperlink" Target="https://chromewebstore.google.com/detail/jldkfnpihcmhefmocabimamogcmmmeia" TargetMode="External"/><Relationship Id="rId1055" Type="http://schemas.openxmlformats.org/officeDocument/2006/relationships/hyperlink" Target="https://chromewebstore.google.com/detail/cdfjbkbddpfnoplfhceolpopfoepleco" TargetMode="External"/><Relationship Id="rId2386" Type="http://schemas.openxmlformats.org/officeDocument/2006/relationships/hyperlink" Target="https://chromewebstore.google.com/detail/jleaobdiilmfmkjfeednlfkkmpdjogfd" TargetMode="External"/><Relationship Id="rId1056" Type="http://schemas.openxmlformats.org/officeDocument/2006/relationships/hyperlink" Target="https://chromewebstore.google.com/detail/akeoohkkkolcipkfkiendbdligilnllo" TargetMode="External"/><Relationship Id="rId2387" Type="http://schemas.openxmlformats.org/officeDocument/2006/relationships/hyperlink" Target="https://chromewebstore.google.com/detail/jlfoemebeemiccmeabkegdpoehiafhbn" TargetMode="External"/><Relationship Id="rId1057" Type="http://schemas.openxmlformats.org/officeDocument/2006/relationships/hyperlink" Target="https://chromewebstore.google.com/detail/aamfmnhcipnbjjnbfmaoooiohikifefk" TargetMode="External"/><Relationship Id="rId2388" Type="http://schemas.openxmlformats.org/officeDocument/2006/relationships/hyperlink" Target="https://chromewebstore.google.com/detail/jlppknnillhjgiengoigajegdpieppei" TargetMode="External"/><Relationship Id="rId1058" Type="http://schemas.openxmlformats.org/officeDocument/2006/relationships/hyperlink" Target="https://chromewebstore.google.com/detail/abfopppplogcojgdcfhhffngkabbhifm" TargetMode="External"/><Relationship Id="rId2389" Type="http://schemas.openxmlformats.org/officeDocument/2006/relationships/hyperlink" Target="https://chromewebstore.google.com/detail/jmmhllpicjmeoohojhilgekmaibkdeop" TargetMode="External"/><Relationship Id="rId1048" Type="http://schemas.openxmlformats.org/officeDocument/2006/relationships/hyperlink" Target="https://chromewebstore.google.com/detail/pglahbfamjiifnafcicdibiiabpakkkb" TargetMode="External"/><Relationship Id="rId2379" Type="http://schemas.openxmlformats.org/officeDocument/2006/relationships/hyperlink" Target="https://chromewebstore.google.com/detail/jcidlhgdoojamkbpmhbpgldmajnobefd" TargetMode="External"/><Relationship Id="rId1049" Type="http://schemas.openxmlformats.org/officeDocument/2006/relationships/hyperlink" Target="https://chromewebstore.google.com/detail/pgpdaocammeipkkgaeelifgakbhjoiel" TargetMode="External"/><Relationship Id="rId2370" Type="http://schemas.openxmlformats.org/officeDocument/2006/relationships/hyperlink" Target="https://chromewebstore.google.com/detail/ignllhpmbnggadkmfabibalgmednlhom" TargetMode="External"/><Relationship Id="rId1040" Type="http://schemas.openxmlformats.org/officeDocument/2006/relationships/hyperlink" Target="https://chromewebstore.google.com/detail/pbfolfhmdiaigbbijmdbkmkgjjkhoili" TargetMode="External"/><Relationship Id="rId2371" Type="http://schemas.openxmlformats.org/officeDocument/2006/relationships/hyperlink" Target="https://chromewebstore.google.com/detail/ihcnbadcckafkjidbccichfdjbahnfnn" TargetMode="External"/><Relationship Id="rId1041" Type="http://schemas.openxmlformats.org/officeDocument/2006/relationships/hyperlink" Target="https://chromewebstore.google.com/detail/pblpfhfcojodgcifojnofommahgbaple" TargetMode="External"/><Relationship Id="rId2372" Type="http://schemas.openxmlformats.org/officeDocument/2006/relationships/hyperlink" Target="https://chromewebstore.google.com/detail/ijbfjijnippekinigficbmbmfkiihpng" TargetMode="External"/><Relationship Id="rId1042" Type="http://schemas.openxmlformats.org/officeDocument/2006/relationships/hyperlink" Target="https://chromewebstore.google.com/detail/pbpfchnddjilendkobiabenojlniemoh" TargetMode="External"/><Relationship Id="rId2373" Type="http://schemas.openxmlformats.org/officeDocument/2006/relationships/hyperlink" Target="https://chromewebstore.google.com/detail/ijihfmdfcepacepmdfabfkocoeogilpn" TargetMode="External"/><Relationship Id="rId1043" Type="http://schemas.openxmlformats.org/officeDocument/2006/relationships/hyperlink" Target="https://chromewebstore.google.com/detail/pckkddchhdhkfapanbkcalloijbbjhbd" TargetMode="External"/><Relationship Id="rId2374" Type="http://schemas.openxmlformats.org/officeDocument/2006/relationships/hyperlink" Target="https://chromewebstore.google.com/detail/imocofkcogboajnibnnjeehpmhfgpecl" TargetMode="External"/><Relationship Id="rId1044" Type="http://schemas.openxmlformats.org/officeDocument/2006/relationships/hyperlink" Target="https://chromewebstore.google.com/detail/pddljdmihkpdfpkgmbhdomeeifpklgnm" TargetMode="External"/><Relationship Id="rId2375" Type="http://schemas.openxmlformats.org/officeDocument/2006/relationships/hyperlink" Target="https://chromewebstore.google.com/detail/iogibhaacmieogkdgebfbjgoofdlcmgb" TargetMode="External"/><Relationship Id="rId1045" Type="http://schemas.openxmlformats.org/officeDocument/2006/relationships/hyperlink" Target="https://chromewebstore.google.com/detail/pebcgebefnbdkgpkkeelbpbgijmjackb" TargetMode="External"/><Relationship Id="rId2376" Type="http://schemas.openxmlformats.org/officeDocument/2006/relationships/hyperlink" Target="https://chromewebstore.google.com/detail/ipalacjfeejceeogpnfaijpadginmfhk" TargetMode="External"/><Relationship Id="rId1046" Type="http://schemas.openxmlformats.org/officeDocument/2006/relationships/hyperlink" Target="https://chromewebstore.google.com/detail/peilgijmhiocdmdeglhiljipigamfbjh" TargetMode="External"/><Relationship Id="rId2377" Type="http://schemas.openxmlformats.org/officeDocument/2006/relationships/hyperlink" Target="https://chromewebstore.google.com/detail/jamkpeiamhgbainmggocjenjkcibfflb" TargetMode="External"/><Relationship Id="rId1047" Type="http://schemas.openxmlformats.org/officeDocument/2006/relationships/hyperlink" Target="https://chromewebstore.google.com/detail/pgabmkcldlelbhcookaealohoeknnapn" TargetMode="External"/><Relationship Id="rId2378" Type="http://schemas.openxmlformats.org/officeDocument/2006/relationships/hyperlink" Target="https://chromewebstore.google.com/detail/jbjeihiakbjchgaehgcilindlghfffnb" TargetMode="External"/><Relationship Id="rId1070" Type="http://schemas.openxmlformats.org/officeDocument/2006/relationships/hyperlink" Target="https://chromewebstore.google.com/detail/afcloemkcifjdjcgonbmnahlkakgpigb" TargetMode="External"/><Relationship Id="rId1071" Type="http://schemas.openxmlformats.org/officeDocument/2006/relationships/hyperlink" Target="https://chromewebstore.google.com/detail/agchmcconfdfcenopioeilpgjngelefk" TargetMode="External"/><Relationship Id="rId1072" Type="http://schemas.openxmlformats.org/officeDocument/2006/relationships/hyperlink" Target="https://chromewebstore.google.com/detail/ageghplgcapnfpdhapeemolbmfccclke" TargetMode="External"/><Relationship Id="rId1073" Type="http://schemas.openxmlformats.org/officeDocument/2006/relationships/hyperlink" Target="https://chromewebstore.google.com/detail/agglgohcegmeeaccikjfmehncfomccpg" TargetMode="External"/><Relationship Id="rId1074" Type="http://schemas.openxmlformats.org/officeDocument/2006/relationships/hyperlink" Target="https://chromewebstore.google.com/detail/agiednhnlghobdgpgfdnbdaflnngmoij" TargetMode="External"/><Relationship Id="rId1075" Type="http://schemas.openxmlformats.org/officeDocument/2006/relationships/hyperlink" Target="https://chromewebstore.google.com/detail/agnbniclhlfikoejdpdhkbaabginadlf" TargetMode="External"/><Relationship Id="rId1076" Type="http://schemas.openxmlformats.org/officeDocument/2006/relationships/hyperlink" Target="https://chromewebstore.google.com/detail/agnoocojkneiphkobpcfoaenhpjnmifb" TargetMode="External"/><Relationship Id="rId1077" Type="http://schemas.openxmlformats.org/officeDocument/2006/relationships/hyperlink" Target="https://chromewebstore.google.com/detail/agoljmemkbciolpigpabjfkagboolkcj" TargetMode="External"/><Relationship Id="rId1078" Type="http://schemas.openxmlformats.org/officeDocument/2006/relationships/hyperlink" Target="https://chromewebstore.google.com/detail/ahbcoeleapdfhmlnjglbiaddohfncace" TargetMode="External"/><Relationship Id="rId1079" Type="http://schemas.openxmlformats.org/officeDocument/2006/relationships/hyperlink" Target="https://chromewebstore.google.com/detail/ahcjlglemcmnjpnkeahidjenglphjnam" TargetMode="External"/><Relationship Id="rId2390" Type="http://schemas.openxmlformats.org/officeDocument/2006/relationships/hyperlink" Target="https://chromewebstore.google.com/detail/jndbieelpiaihakdaflepdbamcllgobd" TargetMode="External"/><Relationship Id="rId1060" Type="http://schemas.openxmlformats.org/officeDocument/2006/relationships/hyperlink" Target="https://chromewebstore.google.com/detail/abpbcfijgmlbecbplnfknakoemncanbo" TargetMode="External"/><Relationship Id="rId2391" Type="http://schemas.openxmlformats.org/officeDocument/2006/relationships/hyperlink" Target="https://chromewebstore.google.com/detail/jneiefgdpanjnbjgdiaokmgjnbhclaom" TargetMode="External"/><Relationship Id="rId1061" Type="http://schemas.openxmlformats.org/officeDocument/2006/relationships/hyperlink" Target="https://chromewebstore.google.com/detail/acjdmkdcbbhokaleofmalpcnnkpgphpb" TargetMode="External"/><Relationship Id="rId2392" Type="http://schemas.openxmlformats.org/officeDocument/2006/relationships/hyperlink" Target="https://chromewebstore.google.com/detail/jpmhiebafbmpcanplokjlcnnpghkkofi" TargetMode="External"/><Relationship Id="rId1062" Type="http://schemas.openxmlformats.org/officeDocument/2006/relationships/hyperlink" Target="https://chromewebstore.google.com/detail/acjlefdefjkldgcimnfkehgbnpjekedo" TargetMode="External"/><Relationship Id="rId2393" Type="http://schemas.openxmlformats.org/officeDocument/2006/relationships/hyperlink" Target="https://chromewebstore.google.com/detail/kamdcckkgcgmcompadgcnkpggiebafpj" TargetMode="External"/><Relationship Id="rId1063" Type="http://schemas.openxmlformats.org/officeDocument/2006/relationships/hyperlink" Target="https://chromewebstore.google.com/detail/acnkplahjeepjhacnmooibhpmdgfilkf" TargetMode="External"/><Relationship Id="rId2394" Type="http://schemas.openxmlformats.org/officeDocument/2006/relationships/hyperlink" Target="https://chromewebstore.google.com/detail/kbchedinmkicifjhlmlcnklhephjpngp" TargetMode="External"/><Relationship Id="rId1064" Type="http://schemas.openxmlformats.org/officeDocument/2006/relationships/hyperlink" Target="https://chromewebstore.google.com/detail/adbenckfpdnmlhleegopganmonbchdkb" TargetMode="External"/><Relationship Id="rId2395" Type="http://schemas.openxmlformats.org/officeDocument/2006/relationships/hyperlink" Target="https://chromewebstore.google.com/detail/kfcpablabgofhgdifeokmojafdnlomhp" TargetMode="External"/><Relationship Id="rId1065" Type="http://schemas.openxmlformats.org/officeDocument/2006/relationships/hyperlink" Target="https://chromewebstore.google.com/detail/adhfhfpebeloakommdgicanmhfbeifnb" TargetMode="External"/><Relationship Id="rId2396" Type="http://schemas.openxmlformats.org/officeDocument/2006/relationships/hyperlink" Target="https://chromewebstore.google.com/detail/kgflicojnojlmdocnkhnhkpbkadmpglh" TargetMode="External"/><Relationship Id="rId1066" Type="http://schemas.openxmlformats.org/officeDocument/2006/relationships/hyperlink" Target="https://chromewebstore.google.com/detail/adnkagodbfngmdajbbocegjnllfmdaie" TargetMode="External"/><Relationship Id="rId2397" Type="http://schemas.openxmlformats.org/officeDocument/2006/relationships/hyperlink" Target="https://chromewebstore.google.com/detail/kgfodmcknjlgkbgkkafogbdaibkfgdgo" TargetMode="External"/><Relationship Id="rId1067" Type="http://schemas.openxmlformats.org/officeDocument/2006/relationships/hyperlink" Target="https://chromewebstore.google.com/detail/aendhplcpcfjlebhcjfiapmoaiekpkba" TargetMode="External"/><Relationship Id="rId2398" Type="http://schemas.openxmlformats.org/officeDocument/2006/relationships/hyperlink" Target="https://chromewebstore.google.com/detail/kgpnhgmpijhpkefpddoehhminpfiddmg" TargetMode="External"/><Relationship Id="rId1068" Type="http://schemas.openxmlformats.org/officeDocument/2006/relationships/hyperlink" Target="https://chromewebstore.google.com/detail/aenmbapdfjdkanhfppdmmdipakgacanp" TargetMode="External"/><Relationship Id="rId2399" Type="http://schemas.openxmlformats.org/officeDocument/2006/relationships/hyperlink" Target="https://chromewebstore.google.com/detail/khppfbnjbaampmeeiocjhcodkklkcfjf" TargetMode="External"/><Relationship Id="rId1069" Type="http://schemas.openxmlformats.org/officeDocument/2006/relationships/hyperlink" Target="https://chromewebstore.google.com/detail/afcafnelafcgjinkaeohkalmfececool" TargetMode="External"/><Relationship Id="rId1015" Type="http://schemas.openxmlformats.org/officeDocument/2006/relationships/hyperlink" Target="https://chromewebstore.google.com/detail/nlimgpifeghlfefnpnajahjkagaedakh" TargetMode="External"/><Relationship Id="rId2346" Type="http://schemas.openxmlformats.org/officeDocument/2006/relationships/hyperlink" Target="https://chromewebstore.google.com/detail/hdjklakffhgbjmenlcjcgagjlkbpmjcf" TargetMode="External"/><Relationship Id="rId3678" Type="http://schemas.openxmlformats.org/officeDocument/2006/relationships/hyperlink" Target="https://chromewebstore.google.com/detail/laihjkjmijalhlehhhmeadpcgamgolga" TargetMode="External"/><Relationship Id="rId1016" Type="http://schemas.openxmlformats.org/officeDocument/2006/relationships/hyperlink" Target="https://chromewebstore.google.com/detail/nlmafifddohpicbnipcndobchhcfgalf" TargetMode="External"/><Relationship Id="rId2347" Type="http://schemas.openxmlformats.org/officeDocument/2006/relationships/hyperlink" Target="https://chromewebstore.google.com/detail/hfindddachkihhbompbhoaehhmomnane" TargetMode="External"/><Relationship Id="rId3677" Type="http://schemas.openxmlformats.org/officeDocument/2006/relationships/hyperlink" Target="https://chromewebstore.google.com/detail/kppcdcpdknadnfdblpnknkpejminjlfn" TargetMode="External"/><Relationship Id="rId1017" Type="http://schemas.openxmlformats.org/officeDocument/2006/relationships/hyperlink" Target="https://chromewebstore.google.com/detail/nmejbbhnolhkmecdmippejfondppbgen" TargetMode="External"/><Relationship Id="rId2348" Type="http://schemas.openxmlformats.org/officeDocument/2006/relationships/hyperlink" Target="https://chromewebstore.google.com/detail/hgldghadipiblonfkkicmgcbbijnpeog" TargetMode="External"/><Relationship Id="rId1018" Type="http://schemas.openxmlformats.org/officeDocument/2006/relationships/hyperlink" Target="https://chromewebstore.google.com/detail/nmnnjcmpjlbbobehaikglfgpbjclcoeg" TargetMode="External"/><Relationship Id="rId2349" Type="http://schemas.openxmlformats.org/officeDocument/2006/relationships/hyperlink" Target="https://chromewebstore.google.com/detail/hgnoecaneikfjlmbdchnhdkanfbdbpji" TargetMode="External"/><Relationship Id="rId3679" Type="http://schemas.openxmlformats.org/officeDocument/2006/relationships/hyperlink" Target="https://chromewebstore.google.com/detail/lbehhpicfbglgijknhemcjcmencaajid" TargetMode="External"/><Relationship Id="rId1019" Type="http://schemas.openxmlformats.org/officeDocument/2006/relationships/hyperlink" Target="https://chromewebstore.google.com/detail/nobemmencanophcnicjhfhnjiimegjeo" TargetMode="External"/><Relationship Id="rId3670" Type="http://schemas.openxmlformats.org/officeDocument/2006/relationships/hyperlink" Target="https://chromewebstore.google.com/detail/kmjgbjddieihpeglpobkhcnbejiooilh" TargetMode="External"/><Relationship Id="rId2340" Type="http://schemas.openxmlformats.org/officeDocument/2006/relationships/hyperlink" Target="https://chromewebstore.google.com/detail/goekadipjdlgmcdibphmmhoabogmcfam" TargetMode="External"/><Relationship Id="rId3672" Type="http://schemas.openxmlformats.org/officeDocument/2006/relationships/hyperlink" Target="https://chromewebstore.google.com/detail/knplaemikhjcdnlgnjboeobcoipnaglf" TargetMode="External"/><Relationship Id="rId1010" Type="http://schemas.openxmlformats.org/officeDocument/2006/relationships/hyperlink" Target="https://chromewebstore.google.com/detail/njdfdhgcmkocbgbhcioffdbicglldapd" TargetMode="External"/><Relationship Id="rId2341" Type="http://schemas.openxmlformats.org/officeDocument/2006/relationships/hyperlink" Target="https://chromewebstore.google.com/detail/gogiienhpamfmodmlnhdljokkjiapfck" TargetMode="External"/><Relationship Id="rId3671" Type="http://schemas.openxmlformats.org/officeDocument/2006/relationships/hyperlink" Target="https://chromewebstore.google.com/detail/kmnieaiikpcjjghapcpfcegmolinpadf" TargetMode="External"/><Relationship Id="rId1011" Type="http://schemas.openxmlformats.org/officeDocument/2006/relationships/hyperlink" Target="https://chromewebstore.google.com/detail/njfcnmifhoggcefmkiikjckcgbjnabjp" TargetMode="External"/><Relationship Id="rId2342" Type="http://schemas.openxmlformats.org/officeDocument/2006/relationships/hyperlink" Target="https://chromewebstore.google.com/detail/goicaghfpnaogbpejmaodednkiilckfo" TargetMode="External"/><Relationship Id="rId3674" Type="http://schemas.openxmlformats.org/officeDocument/2006/relationships/hyperlink" Target="https://chromewebstore.google.com/detail/kofgbkkedcjbnabgeagelhdedhfeehnd" TargetMode="External"/><Relationship Id="rId1012" Type="http://schemas.openxmlformats.org/officeDocument/2006/relationships/hyperlink" Target="https://chromewebstore.google.com/detail/njhehnieenekbompacofnhlljnobgcga" TargetMode="External"/><Relationship Id="rId2343" Type="http://schemas.openxmlformats.org/officeDocument/2006/relationships/hyperlink" Target="https://chromewebstore.google.com/detail/gpmnalhimebpjhilkifcaadejhmogaok" TargetMode="External"/><Relationship Id="rId3673" Type="http://schemas.openxmlformats.org/officeDocument/2006/relationships/hyperlink" Target="https://chromewebstore.google.com/detail/kochicomoiaalkibahlmglcjdmpeeplj" TargetMode="External"/><Relationship Id="rId1013" Type="http://schemas.openxmlformats.org/officeDocument/2006/relationships/hyperlink" Target="https://chromewebstore.google.com/detail/njphjoojdldjpogfhbncccnkldebgbnd" TargetMode="External"/><Relationship Id="rId2344" Type="http://schemas.openxmlformats.org/officeDocument/2006/relationships/hyperlink" Target="https://chromewebstore.google.com/detail/hcgcimicgchmlleoghonjpfhckpjmlij" TargetMode="External"/><Relationship Id="rId3676" Type="http://schemas.openxmlformats.org/officeDocument/2006/relationships/hyperlink" Target="https://chromewebstore.google.com/detail/kpdfmmfeoffigfodpohjpldpikdfgbhe" TargetMode="External"/><Relationship Id="rId1014" Type="http://schemas.openxmlformats.org/officeDocument/2006/relationships/hyperlink" Target="https://chromewebstore.google.com/detail/nlaealbpbmpioeidemdfedkfmglobidl" TargetMode="External"/><Relationship Id="rId2345" Type="http://schemas.openxmlformats.org/officeDocument/2006/relationships/hyperlink" Target="https://chromewebstore.google.com/detail/hdgdbcklimpecdfjlbagkjmlmdldagkp" TargetMode="External"/><Relationship Id="rId3675" Type="http://schemas.openxmlformats.org/officeDocument/2006/relationships/hyperlink" Target="https://chromewebstore.google.com/detail/kpbpniempdinfjfgphomcfkijinlgfgj" TargetMode="External"/><Relationship Id="rId1004" Type="http://schemas.openxmlformats.org/officeDocument/2006/relationships/hyperlink" Target="https://chromewebstore.google.com/detail/ndlalmkdjajlefnlimdbmgdhehblelpl" TargetMode="External"/><Relationship Id="rId2335" Type="http://schemas.openxmlformats.org/officeDocument/2006/relationships/hyperlink" Target="https://chromewebstore.google.com/detail/gjnnhhmjplppbabpoaihbdjejlpdcbhj" TargetMode="External"/><Relationship Id="rId3667" Type="http://schemas.openxmlformats.org/officeDocument/2006/relationships/hyperlink" Target="https://chromewebstore.google.com/detail/kmcinnefmnkfnmnmijfmbiaflncfifcn" TargetMode="External"/><Relationship Id="rId4998" Type="http://schemas.openxmlformats.org/officeDocument/2006/relationships/hyperlink" Target="https://chromewebstore.google.com/detail/alkepecgcogdcjleihdddioilhadjlna" TargetMode="External"/><Relationship Id="rId1005" Type="http://schemas.openxmlformats.org/officeDocument/2006/relationships/hyperlink" Target="https://chromewebstore.google.com/detail/nfiebcmdfpjodedomagjlajcdpnkdopm" TargetMode="External"/><Relationship Id="rId2336" Type="http://schemas.openxmlformats.org/officeDocument/2006/relationships/hyperlink" Target="https://chromewebstore.google.com/detail/gjodchcocbnbhfkjeapbdoflbiibnapp" TargetMode="External"/><Relationship Id="rId3666" Type="http://schemas.openxmlformats.org/officeDocument/2006/relationships/hyperlink" Target="https://chromewebstore.google.com/detail/kkokonbjllgdmblmbichgkkikhlcnekp" TargetMode="External"/><Relationship Id="rId4997" Type="http://schemas.openxmlformats.org/officeDocument/2006/relationships/hyperlink" Target="https://chromewebstore.google.com/detail/alkdnpfnidjlhmcoikbolnbjjpalkhpb" TargetMode="External"/><Relationship Id="rId1006" Type="http://schemas.openxmlformats.org/officeDocument/2006/relationships/hyperlink" Target="https://chromewebstore.google.com/detail/ngdilonafabhaefomphllifjknaeabne" TargetMode="External"/><Relationship Id="rId2337" Type="http://schemas.openxmlformats.org/officeDocument/2006/relationships/hyperlink" Target="https://chromewebstore.google.com/detail/gkjmndjkeieeacmhpbfacalahgpknkkb" TargetMode="External"/><Relationship Id="rId3669" Type="http://schemas.openxmlformats.org/officeDocument/2006/relationships/hyperlink" Target="https://chromewebstore.google.com/detail/kmeepaldeebnneongokliggiocmbldfh" TargetMode="External"/><Relationship Id="rId1007" Type="http://schemas.openxmlformats.org/officeDocument/2006/relationships/hyperlink" Target="https://chromewebstore.google.com/detail/nhebfnlghmjfcammdgbgfcomeonbfcfn" TargetMode="External"/><Relationship Id="rId2338" Type="http://schemas.openxmlformats.org/officeDocument/2006/relationships/hyperlink" Target="https://chromewebstore.google.com/detail/glaohkkooicollgefkkmndjcbblominl" TargetMode="External"/><Relationship Id="rId3668" Type="http://schemas.openxmlformats.org/officeDocument/2006/relationships/hyperlink" Target="https://chromewebstore.google.com/detail/kmdjdpdfgcfhcgdnalbkieekamggeceg" TargetMode="External"/><Relationship Id="rId4999" Type="http://schemas.openxmlformats.org/officeDocument/2006/relationships/hyperlink" Target="https://chromewebstore.google.com/detail/alkfhfgkepamooonkjdolamnbilhkmjg" TargetMode="External"/><Relationship Id="rId1008" Type="http://schemas.openxmlformats.org/officeDocument/2006/relationships/hyperlink" Target="https://chromewebstore.google.com/detail/nikomkkhhpfoeamojhhgpfkpkdlfhfii" TargetMode="External"/><Relationship Id="rId2339" Type="http://schemas.openxmlformats.org/officeDocument/2006/relationships/hyperlink" Target="https://chromewebstore.google.com/detail/glfhjnnemhhcenjjilmmahjbbbibdphe" TargetMode="External"/><Relationship Id="rId1009" Type="http://schemas.openxmlformats.org/officeDocument/2006/relationships/hyperlink" Target="https://chromewebstore.google.com/detail/nipplohpekjbcnbdnakkhbceejihphmg" TargetMode="External"/><Relationship Id="rId4990" Type="http://schemas.openxmlformats.org/officeDocument/2006/relationships/hyperlink" Target="https://chromewebstore.google.com/detail/akoihfghmfploepdiblpfpifgjekbkmg" TargetMode="External"/><Relationship Id="rId3661" Type="http://schemas.openxmlformats.org/officeDocument/2006/relationships/hyperlink" Target="https://chromewebstore.google.com/detail/kiohphgncdnnnnlgcimjpfffjdhbbnmo" TargetMode="External"/><Relationship Id="rId4992" Type="http://schemas.openxmlformats.org/officeDocument/2006/relationships/hyperlink" Target="https://chromewebstore.google.com/detail/alfkifbcobefljgjngkgffhnobplceom" TargetMode="External"/><Relationship Id="rId2330" Type="http://schemas.openxmlformats.org/officeDocument/2006/relationships/hyperlink" Target="https://chromewebstore.google.com/detail/gbbimmnlnnanjkmjbopohmghngacfbem" TargetMode="External"/><Relationship Id="rId3660" Type="http://schemas.openxmlformats.org/officeDocument/2006/relationships/hyperlink" Target="https://chromewebstore.google.com/detail/kignegkkmknfpincglcjggfbgghpamim" TargetMode="External"/><Relationship Id="rId4991" Type="http://schemas.openxmlformats.org/officeDocument/2006/relationships/hyperlink" Target="https://chromewebstore.google.com/detail/albnoggfgnooeefdjpncieecohhblonh" TargetMode="External"/><Relationship Id="rId1000" Type="http://schemas.openxmlformats.org/officeDocument/2006/relationships/hyperlink" Target="https://chromewebstore.google.com/detail/mpoakikepagdiphlmfaeifpojdmbnegj" TargetMode="External"/><Relationship Id="rId2331" Type="http://schemas.openxmlformats.org/officeDocument/2006/relationships/hyperlink" Target="https://chromewebstore.google.com/detail/gccehjhjelnjpcpfodkdhkcgpalkihdc" TargetMode="External"/><Relationship Id="rId3663" Type="http://schemas.openxmlformats.org/officeDocument/2006/relationships/hyperlink" Target="https://chromewebstore.google.com/detail/kkggidpacdaijlgpigfjpdedcffjddec" TargetMode="External"/><Relationship Id="rId4994" Type="http://schemas.openxmlformats.org/officeDocument/2006/relationships/hyperlink" Target="https://chromewebstore.google.com/detail/alhjnofcnnpeaphgeakdhkebafjcpeae" TargetMode="External"/><Relationship Id="rId1001" Type="http://schemas.openxmlformats.org/officeDocument/2006/relationships/hyperlink" Target="https://chromewebstore.google.com/detail/mppkgnedeapfejgfimkdoninnofofigk" TargetMode="External"/><Relationship Id="rId2332" Type="http://schemas.openxmlformats.org/officeDocument/2006/relationships/hyperlink" Target="https://chromewebstore.google.com/detail/geecgiclhemdbkmmbflfdophmppjjial" TargetMode="External"/><Relationship Id="rId3662" Type="http://schemas.openxmlformats.org/officeDocument/2006/relationships/hyperlink" Target="https://chromewebstore.google.com/detail/kioijmpindokaaahaeigkkkbogccljhm" TargetMode="External"/><Relationship Id="rId4993" Type="http://schemas.openxmlformats.org/officeDocument/2006/relationships/hyperlink" Target="https://chromewebstore.google.com/detail/algblmhagnobbnmakepomicmfljlbehg" TargetMode="External"/><Relationship Id="rId1002" Type="http://schemas.openxmlformats.org/officeDocument/2006/relationships/hyperlink" Target="https://chromewebstore.google.com/detail/ncaaipdfhdijmfdfmeoagmogddhkfdec" TargetMode="External"/><Relationship Id="rId2333" Type="http://schemas.openxmlformats.org/officeDocument/2006/relationships/hyperlink" Target="https://chromewebstore.google.com/detail/gfdagplpafaaplpkngcjbpkgeneapboc" TargetMode="External"/><Relationship Id="rId3665" Type="http://schemas.openxmlformats.org/officeDocument/2006/relationships/hyperlink" Target="https://chromewebstore.google.com/detail/kkhpoabcjhecnadcnkgldgpfbncbjfjj" TargetMode="External"/><Relationship Id="rId4996" Type="http://schemas.openxmlformats.org/officeDocument/2006/relationships/hyperlink" Target="https://chromewebstore.google.com/detail/aljhjfocmlfpkleglnnbnjdapfbikddp" TargetMode="External"/><Relationship Id="rId1003" Type="http://schemas.openxmlformats.org/officeDocument/2006/relationships/hyperlink" Target="https://chromewebstore.google.com/detail/ndgnpnpakfcdjmpgmcaknimfgcldechn" TargetMode="External"/><Relationship Id="rId2334" Type="http://schemas.openxmlformats.org/officeDocument/2006/relationships/hyperlink" Target="https://chromewebstore.google.com/detail/ghcdbkkkkoapnnmgipogcdakfnicgdnb" TargetMode="External"/><Relationship Id="rId3664" Type="http://schemas.openxmlformats.org/officeDocument/2006/relationships/hyperlink" Target="https://chromewebstore.google.com/detail/kkgjcknlnbcciacdklmnafmfcfjnpcja" TargetMode="External"/><Relationship Id="rId4995" Type="http://schemas.openxmlformats.org/officeDocument/2006/relationships/hyperlink" Target="https://chromewebstore.google.com/detail/alhkphnfffojbofcljfkhemkdkalimnd" TargetMode="External"/><Relationship Id="rId1037" Type="http://schemas.openxmlformats.org/officeDocument/2006/relationships/hyperlink" Target="https://chromewebstore.google.com/detail/opheklanmaieaeneebdohfpbjkhcgilk" TargetMode="External"/><Relationship Id="rId2368" Type="http://schemas.openxmlformats.org/officeDocument/2006/relationships/hyperlink" Target="https://chromewebstore.google.com/detail/icjfbcjblodechjjiomddmjepanloeeb" TargetMode="External"/><Relationship Id="rId1038" Type="http://schemas.openxmlformats.org/officeDocument/2006/relationships/hyperlink" Target="https://chromewebstore.google.com/detail/opokoaglpekkimldnlggpoagmjegichg" TargetMode="External"/><Relationship Id="rId2369" Type="http://schemas.openxmlformats.org/officeDocument/2006/relationships/hyperlink" Target="https://chromewebstore.google.com/detail/icnkllgoiildohggeopaikcmgmafalna" TargetMode="External"/><Relationship Id="rId3699" Type="http://schemas.openxmlformats.org/officeDocument/2006/relationships/hyperlink" Target="https://chromewebstore.google.com/detail/lhondapiaknegjpellpodegmeonigjic" TargetMode="External"/><Relationship Id="rId1039" Type="http://schemas.openxmlformats.org/officeDocument/2006/relationships/hyperlink" Target="https://chromewebstore.google.com/detail/pajiegeliagebegjdhebejdlknciafen" TargetMode="External"/><Relationship Id="rId3690" Type="http://schemas.openxmlformats.org/officeDocument/2006/relationships/hyperlink" Target="https://chromewebstore.google.com/detail/lfmmppchelncapanmhdefnmfjplkpchl" TargetMode="External"/><Relationship Id="rId2360" Type="http://schemas.openxmlformats.org/officeDocument/2006/relationships/hyperlink" Target="https://chromewebstore.google.com/detail/hnjbnefgkiickkpfidpnlmcodicfgakk" TargetMode="External"/><Relationship Id="rId3692" Type="http://schemas.openxmlformats.org/officeDocument/2006/relationships/hyperlink" Target="https://chromewebstore.google.com/detail/lhfjkdhahmelehfjhnbgopnghoeppjof" TargetMode="External"/><Relationship Id="rId1030" Type="http://schemas.openxmlformats.org/officeDocument/2006/relationships/hyperlink" Target="https://chromewebstore.google.com/detail/okkmcikiomamamiehecmghonbhgkdgda" TargetMode="External"/><Relationship Id="rId2361" Type="http://schemas.openxmlformats.org/officeDocument/2006/relationships/hyperlink" Target="https://chromewebstore.google.com/detail/hnolaplfoobcmgfmjphkmbjolinelpkb" TargetMode="External"/><Relationship Id="rId3691" Type="http://schemas.openxmlformats.org/officeDocument/2006/relationships/hyperlink" Target="https://chromewebstore.google.com/detail/lgallnmjflibiofogpfalipjikgdaipb" TargetMode="External"/><Relationship Id="rId1031" Type="http://schemas.openxmlformats.org/officeDocument/2006/relationships/hyperlink" Target="https://chromewebstore.google.com/detail/okphadhbbjadcifjplhifajfacbkkbod" TargetMode="External"/><Relationship Id="rId2362" Type="http://schemas.openxmlformats.org/officeDocument/2006/relationships/hyperlink" Target="https://chromewebstore.google.com/detail/hnpeicdjmdhaojkeflcnmnpgmcffjlcm" TargetMode="External"/><Relationship Id="rId3694" Type="http://schemas.openxmlformats.org/officeDocument/2006/relationships/hyperlink" Target="https://chromewebstore.google.com/detail/lhkidipggaennjfclhkocofdmbhcomhj" TargetMode="External"/><Relationship Id="rId1032" Type="http://schemas.openxmlformats.org/officeDocument/2006/relationships/hyperlink" Target="https://chromewebstore.google.com/detail/olhdholihhioakdjhfhligfehfjjfeoc" TargetMode="External"/><Relationship Id="rId2363" Type="http://schemas.openxmlformats.org/officeDocument/2006/relationships/hyperlink" Target="https://chromewebstore.google.com/detail/honmapcmnfgjmahijdniaaollhhfpcnj" TargetMode="External"/><Relationship Id="rId3693" Type="http://schemas.openxmlformats.org/officeDocument/2006/relationships/hyperlink" Target="https://chromewebstore.google.com/detail/lhggjeapfnagbjlklclkmlihhoandlib" TargetMode="External"/><Relationship Id="rId1033" Type="http://schemas.openxmlformats.org/officeDocument/2006/relationships/hyperlink" Target="https://chromewebstore.google.com/detail/olomkelphccokjjidpagjpihlnemlpng" TargetMode="External"/><Relationship Id="rId2364" Type="http://schemas.openxmlformats.org/officeDocument/2006/relationships/hyperlink" Target="https://chromewebstore.google.com/detail/iaillabiiidlmolhemgpkokehaiadhli" TargetMode="External"/><Relationship Id="rId3696" Type="http://schemas.openxmlformats.org/officeDocument/2006/relationships/hyperlink" Target="https://chromewebstore.google.com/detail/lhlogiifobbflegkhfmijkkdcejkcmdj" TargetMode="External"/><Relationship Id="rId1034" Type="http://schemas.openxmlformats.org/officeDocument/2006/relationships/hyperlink" Target="https://chromewebstore.google.com/detail/onacbfmmdkfldapeocgkemoecilceemm" TargetMode="External"/><Relationship Id="rId2365" Type="http://schemas.openxmlformats.org/officeDocument/2006/relationships/hyperlink" Target="https://chromewebstore.google.com/detail/ibnegikgmnfnmljianjgnhhlcabonobd" TargetMode="External"/><Relationship Id="rId3695" Type="http://schemas.openxmlformats.org/officeDocument/2006/relationships/hyperlink" Target="https://chromewebstore.google.com/detail/lhkohakojbnibcaoppkgojpfbcebkbpo" TargetMode="External"/><Relationship Id="rId1035" Type="http://schemas.openxmlformats.org/officeDocument/2006/relationships/hyperlink" Target="https://chromewebstore.google.com/detail/oobijlcdpmmmpgkonmjnpkkbdmnjpeeb" TargetMode="External"/><Relationship Id="rId2366" Type="http://schemas.openxmlformats.org/officeDocument/2006/relationships/hyperlink" Target="https://chromewebstore.google.com/detail/iccfdkmiglokncbdheedflohigmijpdj" TargetMode="External"/><Relationship Id="rId3698" Type="http://schemas.openxmlformats.org/officeDocument/2006/relationships/hyperlink" Target="https://chromewebstore.google.com/detail/lhodieepeghcemhpbloffmljoklaklho" TargetMode="External"/><Relationship Id="rId1036" Type="http://schemas.openxmlformats.org/officeDocument/2006/relationships/hyperlink" Target="https://chromewebstore.google.com/detail/oooelhhaglnggehlocjjmgngfknfclak" TargetMode="External"/><Relationship Id="rId2367" Type="http://schemas.openxmlformats.org/officeDocument/2006/relationships/hyperlink" Target="https://chromewebstore.google.com/detail/icgadjgnglgbkbbaejehpdejobiffhkh" TargetMode="External"/><Relationship Id="rId3697" Type="http://schemas.openxmlformats.org/officeDocument/2006/relationships/hyperlink" Target="https://chromewebstore.google.com/detail/lhmcanklfjfcmdkakbnflgnjcgmpdkdo" TargetMode="External"/><Relationship Id="rId1026" Type="http://schemas.openxmlformats.org/officeDocument/2006/relationships/hyperlink" Target="https://chromewebstore.google.com/detail/oeafialjoahjmjobbkpedkdbjeejmcnf" TargetMode="External"/><Relationship Id="rId2357" Type="http://schemas.openxmlformats.org/officeDocument/2006/relationships/hyperlink" Target="https://chromewebstore.google.com/detail/hkgklchdacgolfhdiginenjghokhehnn" TargetMode="External"/><Relationship Id="rId3689" Type="http://schemas.openxmlformats.org/officeDocument/2006/relationships/hyperlink" Target="https://chromewebstore.google.com/detail/leijmacehibmiomcnpaolboihcdepokh" TargetMode="External"/><Relationship Id="rId1027" Type="http://schemas.openxmlformats.org/officeDocument/2006/relationships/hyperlink" Target="https://chromewebstore.google.com/detail/oegnpmiddfljlloiklpkeelagaeejfai" TargetMode="External"/><Relationship Id="rId2358" Type="http://schemas.openxmlformats.org/officeDocument/2006/relationships/hyperlink" Target="https://chromewebstore.google.com/detail/hlbbcoiodlccpeklogodpciapdkbgldc" TargetMode="External"/><Relationship Id="rId3688" Type="http://schemas.openxmlformats.org/officeDocument/2006/relationships/hyperlink" Target="https://chromewebstore.google.com/detail/leflipcmaokfjdgpemeimelohgfdbdca" TargetMode="External"/><Relationship Id="rId1028" Type="http://schemas.openxmlformats.org/officeDocument/2006/relationships/hyperlink" Target="https://chromewebstore.google.com/detail/ofpamglakelakiehjfhgfcikpponflgi" TargetMode="External"/><Relationship Id="rId2359" Type="http://schemas.openxmlformats.org/officeDocument/2006/relationships/hyperlink" Target="https://chromewebstore.google.com/detail/hnifbghokmpgedhkgmabjgmehkcmjoao" TargetMode="External"/><Relationship Id="rId1029" Type="http://schemas.openxmlformats.org/officeDocument/2006/relationships/hyperlink" Target="https://chromewebstore.google.com/detail/ogddbpbbbnkmipdmjafanjcljlafdcop" TargetMode="External"/><Relationship Id="rId3681" Type="http://schemas.openxmlformats.org/officeDocument/2006/relationships/hyperlink" Target="https://chromewebstore.google.com/detail/lcccofmmanfnibnkbiabbajhgfoodanj" TargetMode="External"/><Relationship Id="rId2350" Type="http://schemas.openxmlformats.org/officeDocument/2006/relationships/hyperlink" Target="https://chromewebstore.google.com/detail/hibefehnldcopnkfjihkflpjibfnhcif" TargetMode="External"/><Relationship Id="rId3680" Type="http://schemas.openxmlformats.org/officeDocument/2006/relationships/hyperlink" Target="https://chromewebstore.google.com/detail/lblbdlideidphhfofbpocigbkkhingfg" TargetMode="External"/><Relationship Id="rId1020" Type="http://schemas.openxmlformats.org/officeDocument/2006/relationships/hyperlink" Target="https://chromewebstore.google.com/detail/nonnkklkpbokmppgochfdamhihaijdin" TargetMode="External"/><Relationship Id="rId2351" Type="http://schemas.openxmlformats.org/officeDocument/2006/relationships/hyperlink" Target="https://chromewebstore.google.com/detail/higcadegkhhhjcljhpggammlhmlbdcmc" TargetMode="External"/><Relationship Id="rId3683" Type="http://schemas.openxmlformats.org/officeDocument/2006/relationships/hyperlink" Target="https://chromewebstore.google.com/detail/lcgckkcjgkbgjoablpejebabahbamfkc" TargetMode="External"/><Relationship Id="rId1021" Type="http://schemas.openxmlformats.org/officeDocument/2006/relationships/hyperlink" Target="https://chromewebstore.google.com/detail/noojmhngiheennhgaffkfboanjpbkpep" TargetMode="External"/><Relationship Id="rId2352" Type="http://schemas.openxmlformats.org/officeDocument/2006/relationships/hyperlink" Target="https://chromewebstore.google.com/detail/himhggflahpnjikoddlngaopcigalcjh" TargetMode="External"/><Relationship Id="rId3682" Type="http://schemas.openxmlformats.org/officeDocument/2006/relationships/hyperlink" Target="https://chromewebstore.google.com/detail/lccnicplgjaeocinbihlkjobkgpbkfbj" TargetMode="External"/><Relationship Id="rId1022" Type="http://schemas.openxmlformats.org/officeDocument/2006/relationships/hyperlink" Target="https://chromewebstore.google.com/detail/oaepeijninfcgjdnighjnlgdkkgpnaen" TargetMode="External"/><Relationship Id="rId2353" Type="http://schemas.openxmlformats.org/officeDocument/2006/relationships/hyperlink" Target="https://chromewebstore.google.com/detail/hinkmcnegnkncphhncbiohnomfgdegce" TargetMode="External"/><Relationship Id="rId3685" Type="http://schemas.openxmlformats.org/officeDocument/2006/relationships/hyperlink" Target="https://chromewebstore.google.com/detail/lcjhokogmfjbhdfnhpgpamfpjjgckejn" TargetMode="External"/><Relationship Id="rId1023" Type="http://schemas.openxmlformats.org/officeDocument/2006/relationships/hyperlink" Target="https://chromewebstore.google.com/detail/oaikandahkibeihnampagmegnpfefhca" TargetMode="External"/><Relationship Id="rId2354" Type="http://schemas.openxmlformats.org/officeDocument/2006/relationships/hyperlink" Target="https://chromewebstore.google.com/detail/hjfkaobgkmaeomgdhmhhipdbjdhhjkoi" TargetMode="External"/><Relationship Id="rId3684" Type="http://schemas.openxmlformats.org/officeDocument/2006/relationships/hyperlink" Target="https://chromewebstore.google.com/detail/lciiobdgpdlmfjnahgcdmgebmpfkphpb" TargetMode="External"/><Relationship Id="rId1024" Type="http://schemas.openxmlformats.org/officeDocument/2006/relationships/hyperlink" Target="https://chromewebstore.google.com/detail/oamphgegmigmlgkdnijmeomjenbmkbdg" TargetMode="External"/><Relationship Id="rId2355" Type="http://schemas.openxmlformats.org/officeDocument/2006/relationships/hyperlink" Target="https://chromewebstore.google.com/detail/hjhicmeghjagaicbkmhmbbnibhbkcfdb" TargetMode="External"/><Relationship Id="rId3687" Type="http://schemas.openxmlformats.org/officeDocument/2006/relationships/hyperlink" Target="https://chromewebstore.google.com/detail/ldmhhkobonimkpkfoabdmmngbbjcgilo" TargetMode="External"/><Relationship Id="rId1025" Type="http://schemas.openxmlformats.org/officeDocument/2006/relationships/hyperlink" Target="https://chromewebstore.google.com/detail/odahhdimpaeigjcdbgcnhemlkejclmmk" TargetMode="External"/><Relationship Id="rId2356" Type="http://schemas.openxmlformats.org/officeDocument/2006/relationships/hyperlink" Target="https://chromewebstore.google.com/detail/hjpjmkjmkgedphipmbnmejlnfndjcgdf" TargetMode="External"/><Relationship Id="rId3686" Type="http://schemas.openxmlformats.org/officeDocument/2006/relationships/hyperlink" Target="https://chromewebstore.google.com/detail/lcpnkclcbpmhekkjnkomhoecoiobbejf" TargetMode="External"/><Relationship Id="rId8529" Type="http://schemas.openxmlformats.org/officeDocument/2006/relationships/hyperlink" Target="https://chromewebstore.google.com/detail/lljahlkpnhdopaegadghfjhhkcpdlijg" TargetMode="External"/><Relationship Id="rId8528" Type="http://schemas.openxmlformats.org/officeDocument/2006/relationships/hyperlink" Target="https://chromewebstore.google.com/detail/kodbmoekdigcemdkcbonnnejdpjfkpdf" TargetMode="External"/><Relationship Id="rId8523" Type="http://schemas.openxmlformats.org/officeDocument/2006/relationships/hyperlink" Target="https://chromewebstore.google.com/detail/clcofnmpilgeamkhcngjhkgdniidpnhn" TargetMode="External"/><Relationship Id="rId8522" Type="http://schemas.openxmlformats.org/officeDocument/2006/relationships/hyperlink" Target="https://chromewebstore.google.com/detail/bknagdmankilmkenflkobkobmdeakcic" TargetMode="External"/><Relationship Id="rId8521" Type="http://schemas.openxmlformats.org/officeDocument/2006/relationships/hyperlink" Target="https://chromewebstore.google.com/detail/nnmmipaoneinbdcjodijccmblmleffbc" TargetMode="External"/><Relationship Id="rId8520" Type="http://schemas.openxmlformats.org/officeDocument/2006/relationships/hyperlink" Target="http://seedboxes.cc" TargetMode="External"/><Relationship Id="rId8527" Type="http://schemas.openxmlformats.org/officeDocument/2006/relationships/hyperlink" Target="https://chromewebstore.google.com/detail/jflcifhpkilfaomlnikfaaccmpidkmln" TargetMode="External"/><Relationship Id="rId8526" Type="http://schemas.openxmlformats.org/officeDocument/2006/relationships/hyperlink" Target="https://chromewebstore.google.com/detail/glkebnfeoeechmiphpabhophnpcogpdj" TargetMode="External"/><Relationship Id="rId8525" Type="http://schemas.openxmlformats.org/officeDocument/2006/relationships/hyperlink" Target="https://chromewebstore.google.com/detail/fekmcdeljonllillnbjhophkhnjhhjpd" TargetMode="External"/><Relationship Id="rId8524" Type="http://schemas.openxmlformats.org/officeDocument/2006/relationships/hyperlink" Target="https://chromewebstore.google.com/detail/dlmofpahhkcpioogjkallbhilojkaggm" TargetMode="External"/><Relationship Id="rId8519" Type="http://schemas.openxmlformats.org/officeDocument/2006/relationships/hyperlink" Target="https://chromewebstore.google.com/detail/mggglpiplgkfcmbpnfdibgcncjfclbgc" TargetMode="External"/><Relationship Id="rId8518" Type="http://schemas.openxmlformats.org/officeDocument/2006/relationships/hyperlink" Target="https://chromewebstore.google.com/detail/kcmejemnmnheajipjgilcefofjchdafg" TargetMode="External"/><Relationship Id="rId8517" Type="http://schemas.openxmlformats.org/officeDocument/2006/relationships/hyperlink" Target="https://chromewebstore.google.com/detail/hblmbelcbkkfeldlnbiblbmkeeoemaci" TargetMode="External"/><Relationship Id="rId8512" Type="http://schemas.openxmlformats.org/officeDocument/2006/relationships/hyperlink" Target="https://chromewebstore.google.com/detail/ihpaieemfcpeondkheidnecdlhihgddc" TargetMode="External"/><Relationship Id="rId8511" Type="http://schemas.openxmlformats.org/officeDocument/2006/relationships/hyperlink" Target="https://chromewebstore.google.com/detail/aamemknciolgiibiifaplfacppgjjpkl" TargetMode="External"/><Relationship Id="rId8510" Type="http://schemas.openxmlformats.org/officeDocument/2006/relationships/hyperlink" Target="https://chromewebstore.google.com/detail/pnkfjmfdjmbiamaeooekochfcdhjjhcg" TargetMode="External"/><Relationship Id="rId8516" Type="http://schemas.openxmlformats.org/officeDocument/2006/relationships/hyperlink" Target="https://chromewebstore.google.com/detail/ccpijncgingpepdgbjaglhnomiikmenp" TargetMode="External"/><Relationship Id="rId8515" Type="http://schemas.openxmlformats.org/officeDocument/2006/relationships/hyperlink" Target="https://chromewebstore.google.com/detail/occcfdnjdbgjglcbpolkmjnjillkgbcm" TargetMode="External"/><Relationship Id="rId8514" Type="http://schemas.openxmlformats.org/officeDocument/2006/relationships/hyperlink" Target="https://chromewebstore.google.com/detail/oaiagedjckhjgfmmmgfnnkjigbmplbhm" TargetMode="External"/><Relationship Id="rId8513" Type="http://schemas.openxmlformats.org/officeDocument/2006/relationships/hyperlink" Target="https://chromewebstore.google.com/detail/mmdillemdanmbdhkoijknbbibhlmlbga" TargetMode="External"/><Relationship Id="rId7219" Type="http://schemas.openxmlformats.org/officeDocument/2006/relationships/hyperlink" Target="https://chromewebstore.google.com/detail/lpnjpfcjoodgemnipmlaobngfndgojki" TargetMode="External"/><Relationship Id="rId7210" Type="http://schemas.openxmlformats.org/officeDocument/2006/relationships/hyperlink" Target="https://chromewebstore.google.com/detail/ikbgoplhddcabppmifaaoakohjjfooem" TargetMode="External"/><Relationship Id="rId8541" Type="http://schemas.openxmlformats.org/officeDocument/2006/relationships/hyperlink" Target="https://chromewebstore.google.com/detail/nckcfdmjoihejoigkinnajfaeepfgaak" TargetMode="External"/><Relationship Id="rId8540" Type="http://schemas.openxmlformats.org/officeDocument/2006/relationships/hyperlink" Target="https://chromewebstore.google.com/detail/mcgjcnemliplogmakfelldipnhbpnmob" TargetMode="External"/><Relationship Id="rId7214" Type="http://schemas.openxmlformats.org/officeDocument/2006/relationships/hyperlink" Target="https://chromewebstore.google.com/detail/ogianofickehjjgaopiohbgjhmhbdafn" TargetMode="External"/><Relationship Id="rId8545" Type="http://schemas.openxmlformats.org/officeDocument/2006/relationships/hyperlink" Target="https://chromewebstore.google.com/detail/ppogcdipnlbkhgpbpicpcedleloiejak" TargetMode="External"/><Relationship Id="rId7213" Type="http://schemas.openxmlformats.org/officeDocument/2006/relationships/hyperlink" Target="https://chromewebstore.google.com/detail/ofjikfigpedfahjpninpbegobibogbda" TargetMode="External"/><Relationship Id="rId8544" Type="http://schemas.openxmlformats.org/officeDocument/2006/relationships/hyperlink" Target="https://chromewebstore.google.com/detail/mccpbdlgkkdffdigmnjnmeccpadjfgkp" TargetMode="External"/><Relationship Id="rId7212" Type="http://schemas.openxmlformats.org/officeDocument/2006/relationships/hyperlink" Target="https://chromewebstore.google.com/detail/nljojmgmnidbehhocgkbeejchcmkpgki" TargetMode="External"/><Relationship Id="rId8543" Type="http://schemas.openxmlformats.org/officeDocument/2006/relationships/hyperlink" Target="https://chromewebstore.google.com/detail/pgifaolbebmlmfafkgngfjchfpcpndig" TargetMode="External"/><Relationship Id="rId7211" Type="http://schemas.openxmlformats.org/officeDocument/2006/relationships/hyperlink" Target="https://chromewebstore.google.com/detail/jokabnhdpdjkpncammcloeagdnnooima" TargetMode="External"/><Relationship Id="rId8542" Type="http://schemas.openxmlformats.org/officeDocument/2006/relationships/hyperlink" Target="https://chromewebstore.google.com/detail/ookdjhmocgldcjpddgnadpeaiglgfccn" TargetMode="External"/><Relationship Id="rId7218" Type="http://schemas.openxmlformats.org/officeDocument/2006/relationships/hyperlink" Target="https://chromewebstore.google.com/detail/lemjeocdokhjlhidkiajmgeoealmanho" TargetMode="External"/><Relationship Id="rId8549" Type="http://schemas.openxmlformats.org/officeDocument/2006/relationships/hyperlink" Target="https://chromewebstore.google.com/detail/gpaakhhkcmlenabckmapmlfnajboobbi" TargetMode="External"/><Relationship Id="rId7217" Type="http://schemas.openxmlformats.org/officeDocument/2006/relationships/hyperlink" Target="https://chromewebstore.google.com/detail/jmmmcnfbcinhmphcbadgbfkalkmagiog" TargetMode="External"/><Relationship Id="rId8548" Type="http://schemas.openxmlformats.org/officeDocument/2006/relationships/hyperlink" Target="https://chromewebstore.google.com/detail/fldnfjcbkcklcbcbjojlinecjpbmiapi" TargetMode="External"/><Relationship Id="rId7216" Type="http://schemas.openxmlformats.org/officeDocument/2006/relationships/hyperlink" Target="https://chromewebstore.google.com/detail/eiobdpjhboagcihclljpjkkehnmiodlb" TargetMode="External"/><Relationship Id="rId8547" Type="http://schemas.openxmlformats.org/officeDocument/2006/relationships/hyperlink" Target="https://chromewebstore.google.com/detail/ficneidiepnebpcibidooogdpnoblhdc" TargetMode="External"/><Relationship Id="rId7215" Type="http://schemas.openxmlformats.org/officeDocument/2006/relationships/hyperlink" Target="https://chromewebstore.google.com/detail/ppehpblmikpidcbjfobiomoedhpnlmdl" TargetMode="External"/><Relationship Id="rId8546" Type="http://schemas.openxmlformats.org/officeDocument/2006/relationships/hyperlink" Target="https://chromewebstore.google.com/detail/fekcdjkhlbjngkimekikebfegbijjafd" TargetMode="External"/><Relationship Id="rId7209" Type="http://schemas.openxmlformats.org/officeDocument/2006/relationships/hyperlink" Target="https://chromewebstore.google.com/detail/lkkaijmiimgfbmfnbnmicfbfpdcdienh" TargetMode="External"/><Relationship Id="rId7208" Type="http://schemas.openxmlformats.org/officeDocument/2006/relationships/hyperlink" Target="https://chromewebstore.google.com/detail/cdehpghdgmcgjafphehekainkknbdajc" TargetMode="External"/><Relationship Id="rId8539" Type="http://schemas.openxmlformats.org/officeDocument/2006/relationships/hyperlink" Target="https://chromewebstore.google.com/detail/maihkkiapahkbejpojgcioffhmcfnbpc" TargetMode="External"/><Relationship Id="rId8530" Type="http://schemas.openxmlformats.org/officeDocument/2006/relationships/hyperlink" Target="https://chromewebstore.google.com/detail/mmhhhpngkbmehangnmfjflmloccnpoha" TargetMode="External"/><Relationship Id="rId7203" Type="http://schemas.openxmlformats.org/officeDocument/2006/relationships/hyperlink" Target="https://chromewebstore.google.com/detail/dechcjncbhilapicebooedmhphhiglef" TargetMode="External"/><Relationship Id="rId8534" Type="http://schemas.openxmlformats.org/officeDocument/2006/relationships/hyperlink" Target="https://chromewebstore.google.com/detail/dgjmocajjcibgpkigbnhengiidoehmoo" TargetMode="External"/><Relationship Id="rId7202" Type="http://schemas.openxmlformats.org/officeDocument/2006/relationships/hyperlink" Target="https://chromewebstore.google.com/detail/cofjfghobnapjoeogfkflhcbghgdnpae" TargetMode="External"/><Relationship Id="rId8533" Type="http://schemas.openxmlformats.org/officeDocument/2006/relationships/hyperlink" Target="https://chromewebstore.google.com/detail/aoifdlchnbljhopodkpaieedbchgjpmo" TargetMode="External"/><Relationship Id="rId7201" Type="http://schemas.openxmlformats.org/officeDocument/2006/relationships/hyperlink" Target="https://chromewebstore.google.com/detail/pjpdcemjgnjlnljbihckfabphjpjhmbl" TargetMode="External"/><Relationship Id="rId8532" Type="http://schemas.openxmlformats.org/officeDocument/2006/relationships/hyperlink" Target="https://chromewebstore.google.com/detail/pgpmofldjfjmcoooopmhmkmjkpjcobgm" TargetMode="External"/><Relationship Id="rId7200" Type="http://schemas.openxmlformats.org/officeDocument/2006/relationships/hyperlink" Target="https://chromewebstore.google.com/detail/omhigihagjbdeocmmopgdnklnfanpbka" TargetMode="External"/><Relationship Id="rId8531" Type="http://schemas.openxmlformats.org/officeDocument/2006/relationships/hyperlink" Target="https://chromewebstore.google.com/detail/oojeieppkffpbnmlpipfbblophebaplg" TargetMode="External"/><Relationship Id="rId7207" Type="http://schemas.openxmlformats.org/officeDocument/2006/relationships/hyperlink" Target="https://chromewebstore.google.com/detail/apnnlkobibgdkakehkkgnmfinenhjddh" TargetMode="External"/><Relationship Id="rId8538" Type="http://schemas.openxmlformats.org/officeDocument/2006/relationships/hyperlink" Target="https://chromewebstore.google.com/detail/hnpoddgigidolgmakoikejeldkbcifbd" TargetMode="External"/><Relationship Id="rId7206" Type="http://schemas.openxmlformats.org/officeDocument/2006/relationships/hyperlink" Target="https://chromewebstore.google.com/detail/oenhefnbdinonicaglkhcagpaepmmfoo" TargetMode="External"/><Relationship Id="rId8537" Type="http://schemas.openxmlformats.org/officeDocument/2006/relationships/hyperlink" Target="https://chromewebstore.google.com/detail/gkhebpnlfbdhbhnlgdpcpidkcgmmhdhp" TargetMode="External"/><Relationship Id="rId7205" Type="http://schemas.openxmlformats.org/officeDocument/2006/relationships/hyperlink" Target="https://chromewebstore.google.com/detail/gibkmpjlfnibddpaaflijepffcpgcohp" TargetMode="External"/><Relationship Id="rId8536" Type="http://schemas.openxmlformats.org/officeDocument/2006/relationships/hyperlink" Target="https://chromewebstore.google.com/detail/gifpicggdnmcookaopgohbpbnhggighk" TargetMode="External"/><Relationship Id="rId7204" Type="http://schemas.openxmlformats.org/officeDocument/2006/relationships/hyperlink" Target="https://chromewebstore.google.com/detail/fikpgdnlnimmndcamdmmkfjblcfnckoo" TargetMode="External"/><Relationship Id="rId8535" Type="http://schemas.openxmlformats.org/officeDocument/2006/relationships/hyperlink" Target="https://chromewebstore.google.com/detail/dpaahndfhbkiolfhjbeaocgmphmgidih" TargetMode="External"/><Relationship Id="rId1090" Type="http://schemas.openxmlformats.org/officeDocument/2006/relationships/hyperlink" Target="https://chromewebstore.google.com/detail/akcejfbfkkjnghlfngighgncolfaghco" TargetMode="External"/><Relationship Id="rId1091" Type="http://schemas.openxmlformats.org/officeDocument/2006/relationships/hyperlink" Target="https://chromewebstore.google.com/detail/akhomcacccpndpgckgpkmcijkimphhmk" TargetMode="External"/><Relationship Id="rId1092" Type="http://schemas.openxmlformats.org/officeDocument/2006/relationships/hyperlink" Target="https://chromewebstore.google.com/detail/akmainiinlejjdanmfhkhfkekfolhdai" TargetMode="External"/><Relationship Id="rId1093" Type="http://schemas.openxmlformats.org/officeDocument/2006/relationships/hyperlink" Target="https://chromewebstore.google.com/detail/aknkejhkdngmlbfafnopmkbgfhpecbic" TargetMode="External"/><Relationship Id="rId1094" Type="http://schemas.openxmlformats.org/officeDocument/2006/relationships/hyperlink" Target="https://chromewebstore.google.com/detail/alehdleagcgnimdipdmllebddejplpbi" TargetMode="External"/><Relationship Id="rId1095" Type="http://schemas.openxmlformats.org/officeDocument/2006/relationships/hyperlink" Target="https://chromewebstore.google.com/detail/amlielhlgedcjnbkilihjhoheammcbgm" TargetMode="External"/><Relationship Id="rId1096" Type="http://schemas.openxmlformats.org/officeDocument/2006/relationships/hyperlink" Target="https://chromewebstore.google.com/detail/ananhmnkepfflgfdklgcdpgdngejokkn" TargetMode="External"/><Relationship Id="rId1097" Type="http://schemas.openxmlformats.org/officeDocument/2006/relationships/hyperlink" Target="https://chromewebstore.google.com/detail/anfhmiaflneaeffhlmbcedfjakdlpleg" TargetMode="External"/><Relationship Id="rId1098" Type="http://schemas.openxmlformats.org/officeDocument/2006/relationships/hyperlink" Target="https://chromewebstore.google.com/detail/anljhkoknafhgofbdhoijjojmhhncblo" TargetMode="External"/><Relationship Id="rId1099" Type="http://schemas.openxmlformats.org/officeDocument/2006/relationships/hyperlink" Target="https://chromewebstore.google.com/detail/anlpljppoinmpaedoilhjibjehpjhcob" TargetMode="External"/><Relationship Id="rId1080" Type="http://schemas.openxmlformats.org/officeDocument/2006/relationships/hyperlink" Target="https://chromewebstore.google.com/detail/ahcoedgggbhcdgmhhhhliafnbcifmdln" TargetMode="External"/><Relationship Id="rId1081" Type="http://schemas.openxmlformats.org/officeDocument/2006/relationships/hyperlink" Target="https://chromewebstore.google.com/detail/ahgbiciilcpclcekhegbhofljoolnfei" TargetMode="External"/><Relationship Id="rId1082" Type="http://schemas.openxmlformats.org/officeDocument/2006/relationships/hyperlink" Target="https://chromewebstore.google.com/detail/ahjnfakocpfoocnncbgmondnnnlfjide" TargetMode="External"/><Relationship Id="rId1083" Type="http://schemas.openxmlformats.org/officeDocument/2006/relationships/hyperlink" Target="https://chromewebstore.google.com/detail/ahlhlpmldjfennoppdkhpnljgihpnnpj" TargetMode="External"/><Relationship Id="rId1084" Type="http://schemas.openxmlformats.org/officeDocument/2006/relationships/hyperlink" Target="https://chromewebstore.google.com/detail/aiecbkandfgpphpdilbaaagnampmdgpd" TargetMode="External"/><Relationship Id="rId1085" Type="http://schemas.openxmlformats.org/officeDocument/2006/relationships/hyperlink" Target="https://chromewebstore.google.com/detail/aiehidpclglccialeifedhajckcpedom" TargetMode="External"/><Relationship Id="rId1086" Type="http://schemas.openxmlformats.org/officeDocument/2006/relationships/hyperlink" Target="https://chromewebstore.google.com/detail/aijcbedoijmgnlmjeegjaglmepbmpkpi" TargetMode="External"/><Relationship Id="rId1087" Type="http://schemas.openxmlformats.org/officeDocument/2006/relationships/hyperlink" Target="https://chromewebstore.google.com/detail/ailhpmlejogfdcpoflidmobgkgdemaog" TargetMode="External"/><Relationship Id="rId1088" Type="http://schemas.openxmlformats.org/officeDocument/2006/relationships/hyperlink" Target="https://chromewebstore.google.com/detail/ajeapkolnhblcfaapiifkeknkknpliia" TargetMode="External"/><Relationship Id="rId1089" Type="http://schemas.openxmlformats.org/officeDocument/2006/relationships/hyperlink" Target="https://chromewebstore.google.com/detail/ajencmdaamfnkgilhpgkepfhfgjfplnn" TargetMode="External"/><Relationship Id="rId8509" Type="http://schemas.openxmlformats.org/officeDocument/2006/relationships/hyperlink" Target="https://chromewebstore.google.com/detail/ofjfdfaleomlfanfehgblppafkijjhmi" TargetMode="External"/><Relationship Id="rId8508" Type="http://schemas.openxmlformats.org/officeDocument/2006/relationships/hyperlink" Target="https://chromewebstore.google.com/detail/lcohfbdkckffmhclhoidahddlkffebaa" TargetMode="External"/><Relationship Id="rId8507" Type="http://schemas.openxmlformats.org/officeDocument/2006/relationships/hyperlink" Target="https://chromewebstore.google.com/detail/kjcahcohoafkpcehokeficpobcplpnhc" TargetMode="External"/><Relationship Id="rId8506" Type="http://schemas.openxmlformats.org/officeDocument/2006/relationships/hyperlink" Target="https://chromewebstore.google.com/detail/cfgkoondhklepebjanihdiedjmibieii" TargetMode="External"/><Relationship Id="rId8501" Type="http://schemas.openxmlformats.org/officeDocument/2006/relationships/hyperlink" Target="https://chromewebstore.google.com/detail/ceehlgckkmkaoggdnjhibffkphfnphmg" TargetMode="External"/><Relationship Id="rId8500" Type="http://schemas.openxmlformats.org/officeDocument/2006/relationships/hyperlink" Target="https://chromewebstore.google.com/detail/bhmneclegcomgehhnoielpcmgjbamblj" TargetMode="External"/><Relationship Id="rId8505" Type="http://schemas.openxmlformats.org/officeDocument/2006/relationships/hyperlink" Target="https://chromewebstore.google.com/detail/pakimokpohbojafpbgknlohgoepnelki" TargetMode="External"/><Relationship Id="rId8504" Type="http://schemas.openxmlformats.org/officeDocument/2006/relationships/hyperlink" Target="https://chromewebstore.google.com/detail/mmjaoaafcnfpgjlhkoopnnlhmkjmeglg" TargetMode="External"/><Relationship Id="rId8503" Type="http://schemas.openxmlformats.org/officeDocument/2006/relationships/hyperlink" Target="https://chromewebstore.google.com/detail/mepmobcikgjmkmfpogmigbmliihpnpkb" TargetMode="External"/><Relationship Id="rId8502" Type="http://schemas.openxmlformats.org/officeDocument/2006/relationships/hyperlink" Target="https://chromewebstore.google.com/detail/debkbpaaeaocgianodbgghkhkjjlclhg" TargetMode="External"/><Relationship Id="rId7272" Type="http://schemas.openxmlformats.org/officeDocument/2006/relationships/hyperlink" Target="https://chromewebstore.google.com/detail/mjjpndhmkjgapkmkmanfhhfellhpkglf" TargetMode="External"/><Relationship Id="rId7271" Type="http://schemas.openxmlformats.org/officeDocument/2006/relationships/hyperlink" Target="https://chromewebstore.google.com/detail/jpnhdjjeppmoifhgkkdccockheofgiba" TargetMode="External"/><Relationship Id="rId7270" Type="http://schemas.openxmlformats.org/officeDocument/2006/relationships/hyperlink" Target="https://chromewebstore.google.com/detail/jmlpibaiajblhhhlahofdbijphklkknf" TargetMode="External"/><Relationship Id="rId7276" Type="http://schemas.openxmlformats.org/officeDocument/2006/relationships/hyperlink" Target="https://chromewebstore.google.com/detail/bpaipbaiemikfhkocfcfaclnleninehe" TargetMode="External"/><Relationship Id="rId7275" Type="http://schemas.openxmlformats.org/officeDocument/2006/relationships/hyperlink" Target="https://chromewebstore.google.com/detail/noblnklnhglbnfomoipgcidnbpdjfbom" TargetMode="External"/><Relationship Id="rId7274" Type="http://schemas.openxmlformats.org/officeDocument/2006/relationships/hyperlink" Target="https://chromewebstore.google.com/detail/kffimnekdgebaakicpmjkpafgkfejdmi" TargetMode="External"/><Relationship Id="rId7273" Type="http://schemas.openxmlformats.org/officeDocument/2006/relationships/hyperlink" Target="https://chromewebstore.google.com/detail/mnjompehmpjmjbpbkigjmhdioobojphe" TargetMode="External"/><Relationship Id="rId7279" Type="http://schemas.openxmlformats.org/officeDocument/2006/relationships/hyperlink" Target="https://chromewebstore.google.com/detail/gofjhbnojoafoljbmnehmniibbpdknhc" TargetMode="External"/><Relationship Id="rId7278" Type="http://schemas.openxmlformats.org/officeDocument/2006/relationships/hyperlink" Target="https://chromewebstore.google.com/detail/eibdnbdagdbjnnilmejnknnbblmdiibd" TargetMode="External"/><Relationship Id="rId7277" Type="http://schemas.openxmlformats.org/officeDocument/2006/relationships/hyperlink" Target="https://chromewebstore.google.com/detail/cgagedfhkoecbplejmeljanhfnnpdpef" TargetMode="External"/><Relationship Id="rId7261" Type="http://schemas.openxmlformats.org/officeDocument/2006/relationships/hyperlink" Target="https://chromewebstore.google.com/detail/klhplehocjgjgpmkfcmdmlegopncomck" TargetMode="External"/><Relationship Id="rId8592" Type="http://schemas.openxmlformats.org/officeDocument/2006/relationships/hyperlink" Target="https://chromewebstore.google.com/detail/bmnanfhdjbcilhippcdfbhfpfoipgjgm" TargetMode="External"/><Relationship Id="rId7260" Type="http://schemas.openxmlformats.org/officeDocument/2006/relationships/hyperlink" Target="https://chromewebstore.google.com/detail/icdphajhndamimeleigndjlofmcpgjho" TargetMode="External"/><Relationship Id="rId8591" Type="http://schemas.openxmlformats.org/officeDocument/2006/relationships/hyperlink" Target="https://chromewebstore.google.com/detail/lapcbklolihkkijaemmlbkpibgghhioh" TargetMode="External"/><Relationship Id="rId8590" Type="http://schemas.openxmlformats.org/officeDocument/2006/relationships/hyperlink" Target="https://chromewebstore.google.com/detail/khdpepplemadoajklfhgmffmhjojicie" TargetMode="External"/><Relationship Id="rId7265" Type="http://schemas.openxmlformats.org/officeDocument/2006/relationships/hyperlink" Target="https://chromewebstore.google.com/detail/hlgfnmhokcceeipoadecmcgfijbnjpjm" TargetMode="External"/><Relationship Id="rId8596" Type="http://schemas.openxmlformats.org/officeDocument/2006/relationships/hyperlink" Target="https://chromewebstore.google.com/detail/aimpmlaibekeikgifanaejmpglpknnnj" TargetMode="External"/><Relationship Id="rId7264" Type="http://schemas.openxmlformats.org/officeDocument/2006/relationships/hyperlink" Target="https://chromewebstore.google.com/detail/fjnmafjfphgfkfhdlbibdjpojgkpomhg" TargetMode="External"/><Relationship Id="rId8595" Type="http://schemas.openxmlformats.org/officeDocument/2006/relationships/hyperlink" Target="https://chromewebstore.google.com/detail/aaimlcmkljmacmacanfbhfgjkahgaihm" TargetMode="External"/><Relationship Id="rId7263" Type="http://schemas.openxmlformats.org/officeDocument/2006/relationships/hyperlink" Target="https://chromewebstore.google.com/detail/bjddoinjnabgbnloplmjdfdcdlefdbhj" TargetMode="External"/><Relationship Id="rId8594" Type="http://schemas.openxmlformats.org/officeDocument/2006/relationships/hyperlink" Target="https://chromewebstore.google.com/detail/giikpeklljpljjdhhgnnlgdefikneiih" TargetMode="External"/><Relationship Id="rId7262" Type="http://schemas.openxmlformats.org/officeDocument/2006/relationships/hyperlink" Target="https://chromewebstore.google.com/detail/mbkfcmpjbkmmdcfocaclghbobhnjfpkk" TargetMode="External"/><Relationship Id="rId8593" Type="http://schemas.openxmlformats.org/officeDocument/2006/relationships/hyperlink" Target="https://chromewebstore.google.com/detail/cdbbhmihggfhmhbbmabpkpflahdeodgo" TargetMode="External"/><Relationship Id="rId7269" Type="http://schemas.openxmlformats.org/officeDocument/2006/relationships/hyperlink" Target="https://chromewebstore.google.com/detail/gemnnoleeghoopacifipccmkpiakghab" TargetMode="External"/><Relationship Id="rId7268" Type="http://schemas.openxmlformats.org/officeDocument/2006/relationships/hyperlink" Target="https://chromewebstore.google.com/detail/ebbdfenmifgpbgificimnmnbihbonngd" TargetMode="External"/><Relationship Id="rId8599" Type="http://schemas.openxmlformats.org/officeDocument/2006/relationships/hyperlink" Target="https://chromewebstore.google.com/detail/hdbcnodefcbojlkaobiahghecgjoiicb" TargetMode="External"/><Relationship Id="rId7267" Type="http://schemas.openxmlformats.org/officeDocument/2006/relationships/hyperlink" Target="https://chromewebstore.google.com/detail/bchohngmdfcbpchmpikoggegmkdcindl" TargetMode="External"/><Relationship Id="rId8598" Type="http://schemas.openxmlformats.org/officeDocument/2006/relationships/hyperlink" Target="https://chromewebstore.google.com/detail/ehagagfefdlncfmdnnegoagdemnfehdc" TargetMode="External"/><Relationship Id="rId7266" Type="http://schemas.openxmlformats.org/officeDocument/2006/relationships/hyperlink" Target="https://chromewebstore.google.com/detail/ompelnpholagcjdmfomlhbmmmaneholh" TargetMode="External"/><Relationship Id="rId8597" Type="http://schemas.openxmlformats.org/officeDocument/2006/relationships/hyperlink" Target="https://chromewebstore.google.com/detail/cahocmmpljojjnbddkgflandcdbomgob" TargetMode="External"/><Relationship Id="rId7294" Type="http://schemas.openxmlformats.org/officeDocument/2006/relationships/hyperlink" Target="https://chromewebstore.google.com/detail/jgbanohkgcipimphbnjajofdmkedlbpd" TargetMode="External"/><Relationship Id="rId7293" Type="http://schemas.openxmlformats.org/officeDocument/2006/relationships/hyperlink" Target="https://chromewebstore.google.com/detail/innfgppndhmajanacannnjmlfnimkegf" TargetMode="External"/><Relationship Id="rId7292" Type="http://schemas.openxmlformats.org/officeDocument/2006/relationships/hyperlink" Target="https://chromewebstore.google.com/detail/hfmcmcphnmeljmpbbkhlfplaoegimepj" TargetMode="External"/><Relationship Id="rId7291" Type="http://schemas.openxmlformats.org/officeDocument/2006/relationships/hyperlink" Target="https://chromewebstore.google.com/detail/gihgcfjlfknobepndndckpfhpighjdpa" TargetMode="External"/><Relationship Id="rId7298" Type="http://schemas.openxmlformats.org/officeDocument/2006/relationships/hyperlink" Target="https://chromewebstore.google.com/detail/bblggkmgbdcnbgdjjggjegdddhmklcpg" TargetMode="External"/><Relationship Id="rId7297" Type="http://schemas.openxmlformats.org/officeDocument/2006/relationships/hyperlink" Target="https://chromewebstore.google.com/detail/omkndfeccmeplaimlpaefimnimmniccl" TargetMode="External"/><Relationship Id="rId7296" Type="http://schemas.openxmlformats.org/officeDocument/2006/relationships/hyperlink" Target="https://chromewebstore.google.com/detail/nimelepbpejjlbmoobocpfnjhihnpked" TargetMode="External"/><Relationship Id="rId7295" Type="http://schemas.openxmlformats.org/officeDocument/2006/relationships/hyperlink" Target="https://chromewebstore.google.com/detail/kkgacobcjapebahjhkabbkacbpmddeco" TargetMode="External"/><Relationship Id="rId7299" Type="http://schemas.openxmlformats.org/officeDocument/2006/relationships/hyperlink" Target="https://chromewebstore.google.com/detail/ifgcgbjbcfnomakgdmjccioieaejllgn" TargetMode="External"/><Relationship Id="rId7290" Type="http://schemas.openxmlformats.org/officeDocument/2006/relationships/hyperlink" Target="https://chromewebstore.google.com/detail/gchekdkhbplidbmknbcglochkmififdn" TargetMode="External"/><Relationship Id="rId7283" Type="http://schemas.openxmlformats.org/officeDocument/2006/relationships/hyperlink" Target="https://chromewebstore.google.com/detail/ockippfhjpjfmdkhdcjecepcleopfamm" TargetMode="External"/><Relationship Id="rId7282" Type="http://schemas.openxmlformats.org/officeDocument/2006/relationships/hyperlink" Target="https://chromewebstore.google.com/detail/nbcmnpdcfidmedecbhlbhpoiganlkbio" TargetMode="External"/><Relationship Id="rId7281" Type="http://schemas.openxmlformats.org/officeDocument/2006/relationships/hyperlink" Target="https://chromewebstore.google.com/detail/kcnjfeppclpdinikcljfjigoongebpkh" TargetMode="External"/><Relationship Id="rId7280" Type="http://schemas.openxmlformats.org/officeDocument/2006/relationships/hyperlink" Target="https://chromewebstore.google.com/detail/jooibckpjiaaoaffacacomklfdodlmah" TargetMode="External"/><Relationship Id="rId7287" Type="http://schemas.openxmlformats.org/officeDocument/2006/relationships/hyperlink" Target="https://chromewebstore.google.com/detail/mnlaodleonmmfkdhfofamacceeikgecp" TargetMode="External"/><Relationship Id="rId7286" Type="http://schemas.openxmlformats.org/officeDocument/2006/relationships/hyperlink" Target="https://chromewebstore.google.com/detail/jfgegneebalomljahlfcohoobilfkhed" TargetMode="External"/><Relationship Id="rId7285" Type="http://schemas.openxmlformats.org/officeDocument/2006/relationships/hyperlink" Target="https://chromewebstore.google.com/detail/bipgbnnhdilbcdnfkdiijdmfmdbnndja" TargetMode="External"/><Relationship Id="rId7284" Type="http://schemas.openxmlformats.org/officeDocument/2006/relationships/hyperlink" Target="https://chromewebstore.google.com/detail/acacjoabappgkabopnlnmdiodjilaggi" TargetMode="External"/><Relationship Id="rId7289" Type="http://schemas.openxmlformats.org/officeDocument/2006/relationships/hyperlink" Target="https://chromewebstore.google.com/detail/ebldcekbhkmgibmbleabdbapkhhhdjib" TargetMode="External"/><Relationship Id="rId7288" Type="http://schemas.openxmlformats.org/officeDocument/2006/relationships/hyperlink" Target="https://chromewebstore.google.com/detail/opmpbebdjikhgoeidagipcihicjionkd" TargetMode="External"/><Relationship Id="rId7232" Type="http://schemas.openxmlformats.org/officeDocument/2006/relationships/hyperlink" Target="https://chromewebstore.google.com/detail/bnkfnbanaddcalcbanfmlbeljhbhjmba" TargetMode="External"/><Relationship Id="rId8563" Type="http://schemas.openxmlformats.org/officeDocument/2006/relationships/hyperlink" Target="https://chromewebstore.google.com/detail/khelhkpoimpdfcdkhbpkmoefgpbjeafm" TargetMode="External"/><Relationship Id="rId7231" Type="http://schemas.openxmlformats.org/officeDocument/2006/relationships/hyperlink" Target="https://chromewebstore.google.com/detail/bfhmecnhdehblbnadegfpbmmbbobkjff" TargetMode="External"/><Relationship Id="rId8562" Type="http://schemas.openxmlformats.org/officeDocument/2006/relationships/hyperlink" Target="https://chromewebstore.google.com/detail/joaofgaoaipdmglbfjkjfeefdkjjaine" TargetMode="External"/><Relationship Id="rId7230" Type="http://schemas.openxmlformats.org/officeDocument/2006/relationships/hyperlink" Target="https://chromewebstore.google.com/detail/pjeegkceklkldmejcphacjjjnhokeelj" TargetMode="External"/><Relationship Id="rId8561" Type="http://schemas.openxmlformats.org/officeDocument/2006/relationships/hyperlink" Target="https://chromewebstore.google.com/detail/hclflnemjmbjnohglfdbmmlmlbpemaij" TargetMode="External"/><Relationship Id="rId8560" Type="http://schemas.openxmlformats.org/officeDocument/2006/relationships/hyperlink" Target="https://chromewebstore.google.com/detail/dfljbdbkgkhcpmjgbjfegdnlembkkcol" TargetMode="External"/><Relationship Id="rId7236" Type="http://schemas.openxmlformats.org/officeDocument/2006/relationships/hyperlink" Target="https://chromewebstore.google.com/detail/nmpbcamdnjodendgfnnaphlpnbmhefkn" TargetMode="External"/><Relationship Id="rId8567" Type="http://schemas.openxmlformats.org/officeDocument/2006/relationships/hyperlink" Target="https://chromewebstore.google.com/detail/pgdncclokadpgmdbakidmdajhggioigg" TargetMode="External"/><Relationship Id="rId7235" Type="http://schemas.openxmlformats.org/officeDocument/2006/relationships/hyperlink" Target="https://chromewebstore.google.com/detail/gbmnhnmodfphgecokgbppdeepkodjglg" TargetMode="External"/><Relationship Id="rId8566" Type="http://schemas.openxmlformats.org/officeDocument/2006/relationships/hyperlink" Target="https://chromewebstore.google.com/detail/oanebiaiakkpfipgnkpmcpkjfnclbgfi" TargetMode="External"/><Relationship Id="rId7234" Type="http://schemas.openxmlformats.org/officeDocument/2006/relationships/hyperlink" Target="https://chromewebstore.google.com/detail/ffmffcaeblfpligkklopofadiemkelld" TargetMode="External"/><Relationship Id="rId8565" Type="http://schemas.openxmlformats.org/officeDocument/2006/relationships/hyperlink" Target="https://chromewebstore.google.com/detail/moendlkcamnfghollfakonolmkaeedmj" TargetMode="External"/><Relationship Id="rId7233" Type="http://schemas.openxmlformats.org/officeDocument/2006/relationships/hyperlink" Target="https://chromewebstore.google.com/detail/dngepaapinafpbhfbfjhkcbabhfakmia" TargetMode="External"/><Relationship Id="rId8564" Type="http://schemas.openxmlformats.org/officeDocument/2006/relationships/hyperlink" Target="https://chromewebstore.google.com/detail/lmcpmmnecclemnhobkplkgpjjddgnkej" TargetMode="External"/><Relationship Id="rId7239" Type="http://schemas.openxmlformats.org/officeDocument/2006/relationships/hyperlink" Target="https://chromewebstore.google.com/detail/pkoogihbgjbpeollfnioabeaimjaongg" TargetMode="External"/><Relationship Id="rId7238" Type="http://schemas.openxmlformats.org/officeDocument/2006/relationships/hyperlink" Target="https://chromewebstore.google.com/detail/ohohbfcpbhmbomjilbokachdnoanpbfn" TargetMode="External"/><Relationship Id="rId8569" Type="http://schemas.openxmlformats.org/officeDocument/2006/relationships/hyperlink" Target="https://chromewebstore.google.com/detail/kodnagflhocgibhbmgbpceldokkoldpm" TargetMode="External"/><Relationship Id="rId7237" Type="http://schemas.openxmlformats.org/officeDocument/2006/relationships/hyperlink" Target="https://chromewebstore.google.com/detail/odjjihghjdapmcfjhnkkkikiibladmkj" TargetMode="External"/><Relationship Id="rId8568" Type="http://schemas.openxmlformats.org/officeDocument/2006/relationships/hyperlink" Target="https://chromewebstore.google.com/detail/ppbpfkdfdbdpflkahbidgilomkiiholg" TargetMode="External"/><Relationship Id="rId7221" Type="http://schemas.openxmlformats.org/officeDocument/2006/relationships/hyperlink" Target="https://chromewebstore.google.com/detail/oilcfopfbikfeapigpknngnmdcpijgnl" TargetMode="External"/><Relationship Id="rId8552" Type="http://schemas.openxmlformats.org/officeDocument/2006/relationships/hyperlink" Target="https://chromewebstore.google.com/detail/acpgjmjldamjjinpkchgnimfcdilcilb" TargetMode="External"/><Relationship Id="rId7220" Type="http://schemas.openxmlformats.org/officeDocument/2006/relationships/hyperlink" Target="https://chromewebstore.google.com/detail/odkgihncjgklajjabihpoipfnpcjhdno" TargetMode="External"/><Relationship Id="rId8551" Type="http://schemas.openxmlformats.org/officeDocument/2006/relationships/hyperlink" Target="https://chromewebstore.google.com/detail/kddpoomkfoafiocglfhpdbeigehicpnj" TargetMode="External"/><Relationship Id="rId8550" Type="http://schemas.openxmlformats.org/officeDocument/2006/relationships/hyperlink" Target="https://chromewebstore.google.com/detail/hdfpfilneelpdfahbkehkgjlbccijkkk" TargetMode="External"/><Relationship Id="rId7225" Type="http://schemas.openxmlformats.org/officeDocument/2006/relationships/hyperlink" Target="https://chromewebstore.google.com/detail/hfcopfpmehaahmglocoolmgidihnjdgn" TargetMode="External"/><Relationship Id="rId8556" Type="http://schemas.openxmlformats.org/officeDocument/2006/relationships/hyperlink" Target="https://chromewebstore.google.com/detail/hcidhephpgibbomfkllaaebnlokpemim" TargetMode="External"/><Relationship Id="rId7224" Type="http://schemas.openxmlformats.org/officeDocument/2006/relationships/hyperlink" Target="https://chromewebstore.google.com/detail/hbglapgegjickodindimfgfmjmhhdlii" TargetMode="External"/><Relationship Id="rId8555" Type="http://schemas.openxmlformats.org/officeDocument/2006/relationships/hyperlink" Target="https://chromewebstore.google.com/detail/gdmpjhkcabahmlpildpfmangdfpceofc" TargetMode="External"/><Relationship Id="rId7223" Type="http://schemas.openxmlformats.org/officeDocument/2006/relationships/hyperlink" Target="https://chromewebstore.google.com/detail/geedjmnplkdpfigfefbnegoppimkfekn" TargetMode="External"/><Relationship Id="rId8554" Type="http://schemas.openxmlformats.org/officeDocument/2006/relationships/hyperlink" Target="https://chromewebstore.google.com/detail/digkbjcglmbbipijiogdeegbfbepgdon" TargetMode="External"/><Relationship Id="rId7222" Type="http://schemas.openxmlformats.org/officeDocument/2006/relationships/hyperlink" Target="https://chromewebstore.google.com/detail/dokjalegehmapmfcgljdmpnnheabgedb" TargetMode="External"/><Relationship Id="rId8553" Type="http://schemas.openxmlformats.org/officeDocument/2006/relationships/hyperlink" Target="https://chromewebstore.google.com/detail/aephmjhanjgbapahgbbkfhpianhbmeed" TargetMode="External"/><Relationship Id="rId7229" Type="http://schemas.openxmlformats.org/officeDocument/2006/relationships/hyperlink" Target="https://chromewebstore.google.com/detail/oekldebgglamjinopejlfdefedeodlfe" TargetMode="External"/><Relationship Id="rId7228" Type="http://schemas.openxmlformats.org/officeDocument/2006/relationships/hyperlink" Target="https://chromewebstore.google.com/detail/kfedadkcoojmpcngclejddilmdllildj" TargetMode="External"/><Relationship Id="rId8559" Type="http://schemas.openxmlformats.org/officeDocument/2006/relationships/hyperlink" Target="https://chromewebstore.google.com/detail/oghhiiieljkjlkiednhchfbpbgadkeam" TargetMode="External"/><Relationship Id="rId7227" Type="http://schemas.openxmlformats.org/officeDocument/2006/relationships/hyperlink" Target="https://chromewebstore.google.com/detail/jpcokheimfkcoofnbgalbeogbgpjlajo" TargetMode="External"/><Relationship Id="rId8558" Type="http://schemas.openxmlformats.org/officeDocument/2006/relationships/hyperlink" Target="https://chromewebstore.google.com/detail/miblecepolnmkhkbijfmlllpajnfjmlc" TargetMode="External"/><Relationship Id="rId7226" Type="http://schemas.openxmlformats.org/officeDocument/2006/relationships/hyperlink" Target="https://chromewebstore.google.com/detail/hpdgkdeokgdljggbajofdlcacgdolopc" TargetMode="External"/><Relationship Id="rId8557" Type="http://schemas.openxmlformats.org/officeDocument/2006/relationships/hyperlink" Target="https://chromewebstore.google.com/detail/hdneaoibdfdmifgfjjlkbkceanhjmgch" TargetMode="External"/><Relationship Id="rId7250" Type="http://schemas.openxmlformats.org/officeDocument/2006/relationships/hyperlink" Target="https://chromewebstore.google.com/detail/aepmadgjacfjcneccddiccnkbpimobge" TargetMode="External"/><Relationship Id="rId8581" Type="http://schemas.openxmlformats.org/officeDocument/2006/relationships/hyperlink" Target="https://chromewebstore.google.com/detail/fgpgdjgeoadkigpbnkhobdbgmjifnpaa" TargetMode="External"/><Relationship Id="rId8580" Type="http://schemas.openxmlformats.org/officeDocument/2006/relationships/hyperlink" Target="https://chromewebstore.google.com/detail/dggoghopejehbpogaaehefjlflbbdgej" TargetMode="External"/><Relationship Id="rId7254" Type="http://schemas.openxmlformats.org/officeDocument/2006/relationships/hyperlink" Target="https://chromewebstore.google.com/detail/jejhfjabchpfgmieifoaidgkoijankgk" TargetMode="External"/><Relationship Id="rId8585" Type="http://schemas.openxmlformats.org/officeDocument/2006/relationships/hyperlink" Target="https://chromewebstore.google.com/detail/kkibgipamepglokkgajhiholokhcjmog" TargetMode="External"/><Relationship Id="rId7253" Type="http://schemas.openxmlformats.org/officeDocument/2006/relationships/hyperlink" Target="https://chromewebstore.google.com/detail/gnbahblccifcgnfejjijlmjcidfookfh" TargetMode="External"/><Relationship Id="rId8584" Type="http://schemas.openxmlformats.org/officeDocument/2006/relationships/hyperlink" Target="https://chromewebstore.google.com/detail/kcipmkejkojihddfhdmgolhhnbjnhbpm" TargetMode="External"/><Relationship Id="rId7252" Type="http://schemas.openxmlformats.org/officeDocument/2006/relationships/hyperlink" Target="https://chromewebstore.google.com/detail/gmflieilmcgbdepadibceklnjbjimpof" TargetMode="External"/><Relationship Id="rId8583" Type="http://schemas.openxmlformats.org/officeDocument/2006/relationships/hyperlink" Target="https://chromewebstore.google.com/detail/jkmcidhidkfnconjdkhdiigbamgpihgo" TargetMode="External"/><Relationship Id="rId7251" Type="http://schemas.openxmlformats.org/officeDocument/2006/relationships/hyperlink" Target="https://chromewebstore.google.com/detail/dnnmhbpkodfaokfjdiolkcaplipifian" TargetMode="External"/><Relationship Id="rId8582" Type="http://schemas.openxmlformats.org/officeDocument/2006/relationships/hyperlink" Target="https://chromewebstore.google.com/detail/gmhgbhgpembbkendmjfhmdekcddncflc" TargetMode="External"/><Relationship Id="rId7258" Type="http://schemas.openxmlformats.org/officeDocument/2006/relationships/hyperlink" Target="https://chromewebstore.google.com/detail/paeleikfhjllfcdmkgnjmmkikchonnih" TargetMode="External"/><Relationship Id="rId8589" Type="http://schemas.openxmlformats.org/officeDocument/2006/relationships/hyperlink" Target="https://chromewebstore.google.com/detail/omcnknklnilbbnoioiaibdkhoonlmdnj" TargetMode="External"/><Relationship Id="rId7257" Type="http://schemas.openxmlformats.org/officeDocument/2006/relationships/hyperlink" Target="https://chromewebstore.google.com/detail/llpkoklagnnpahhbokmimohbmjkhhcjc" TargetMode="External"/><Relationship Id="rId8588" Type="http://schemas.openxmlformats.org/officeDocument/2006/relationships/hyperlink" Target="https://chromewebstore.google.com/detail/oaflcfpfbadadlpedcaenffejghilmdl" TargetMode="External"/><Relationship Id="rId7256" Type="http://schemas.openxmlformats.org/officeDocument/2006/relationships/hyperlink" Target="https://chromewebstore.google.com/detail/icipmdhgbkejfideagkhdebiaeohfijk" TargetMode="External"/><Relationship Id="rId8587" Type="http://schemas.openxmlformats.org/officeDocument/2006/relationships/hyperlink" Target="https://chromewebstore.google.com/detail/mbpokgplnceehjoeifmlhkbfifjmbpee" TargetMode="External"/><Relationship Id="rId7255" Type="http://schemas.openxmlformats.org/officeDocument/2006/relationships/hyperlink" Target="https://chromewebstore.google.com/detail/bnfdjfapcjoceahmmbeobcjfaohmfoci" TargetMode="External"/><Relationship Id="rId8586" Type="http://schemas.openxmlformats.org/officeDocument/2006/relationships/hyperlink" Target="https://chromewebstore.google.com/detail/ljalefclkclbejlnejeagbpebmheejml" TargetMode="External"/><Relationship Id="rId7259" Type="http://schemas.openxmlformats.org/officeDocument/2006/relationships/hyperlink" Target="https://chromewebstore.google.com/detail/eekphfelaedkocmngpodmoahbgbldbik" TargetMode="External"/><Relationship Id="rId8570" Type="http://schemas.openxmlformats.org/officeDocument/2006/relationships/hyperlink" Target="https://chromewebstore.google.com/detail/lnggninmgmlcfbancjjfiplammfeeihj" TargetMode="External"/><Relationship Id="rId7243" Type="http://schemas.openxmlformats.org/officeDocument/2006/relationships/hyperlink" Target="https://chromewebstore.google.com/detail/fagbkcmhagoigbbjccpglokfdklgicfg" TargetMode="External"/><Relationship Id="rId8574" Type="http://schemas.openxmlformats.org/officeDocument/2006/relationships/hyperlink" Target="https://chromewebstore.google.com/detail/ginflokhdahakklidfjlogllkkhokidj" TargetMode="External"/><Relationship Id="rId7242" Type="http://schemas.openxmlformats.org/officeDocument/2006/relationships/hyperlink" Target="https://chromewebstore.google.com/detail/echojgiinphjmeidkoenhhlnnbgnahfb" TargetMode="External"/><Relationship Id="rId8573" Type="http://schemas.openxmlformats.org/officeDocument/2006/relationships/hyperlink" Target="https://chromewebstore.google.com/detail/dgfigfcmgjgaioloiogajolohifeimhi" TargetMode="External"/><Relationship Id="rId7241" Type="http://schemas.openxmlformats.org/officeDocument/2006/relationships/hyperlink" Target="https://chromewebstore.google.com/detail/andfkdmajakgfaegeepffdpejahkphje" TargetMode="External"/><Relationship Id="rId8572" Type="http://schemas.openxmlformats.org/officeDocument/2006/relationships/hyperlink" Target="https://chromewebstore.google.com/detail/bakfkchdglacloppcphpfbpofmfmflkk" TargetMode="External"/><Relationship Id="rId7240" Type="http://schemas.openxmlformats.org/officeDocument/2006/relationships/hyperlink" Target="https://chromewebstore.google.com/detail/pmfmklabfjmnmjihlpmkfemgcfdpfhdn" TargetMode="External"/><Relationship Id="rId8571" Type="http://schemas.openxmlformats.org/officeDocument/2006/relationships/hyperlink" Target="https://chromewebstore.google.com/detail/nacbmbmlibonpmhhacnnliibhpdpkpjl" TargetMode="External"/><Relationship Id="rId7247" Type="http://schemas.openxmlformats.org/officeDocument/2006/relationships/hyperlink" Target="https://chromewebstore.google.com/detail/apenapfkioiehfhgheabegngnfhnfbjh" TargetMode="External"/><Relationship Id="rId8578" Type="http://schemas.openxmlformats.org/officeDocument/2006/relationships/hyperlink" Target="https://chromewebstore.google.com/detail/plembnjjobijhfiimnfjnnlmchabljoe" TargetMode="External"/><Relationship Id="rId7246" Type="http://schemas.openxmlformats.org/officeDocument/2006/relationships/hyperlink" Target="https://chromewebstore.google.com/detail/kbchhfdklfddnnilmdffaeahipjcabll" TargetMode="External"/><Relationship Id="rId8577" Type="http://schemas.openxmlformats.org/officeDocument/2006/relationships/hyperlink" Target="https://chromewebstore.google.com/detail/oiaokhalddljknajgbakpkikohhpfnle" TargetMode="External"/><Relationship Id="rId7245" Type="http://schemas.openxmlformats.org/officeDocument/2006/relationships/hyperlink" Target="https://chromewebstore.google.com/detail/jgacgeahnbmkhdhldifidddbkneahmal" TargetMode="External"/><Relationship Id="rId8576" Type="http://schemas.openxmlformats.org/officeDocument/2006/relationships/hyperlink" Target="https://chromewebstore.google.com/detail/lpngbkmgnehdkkobdbieckjpphkohffd" TargetMode="External"/><Relationship Id="rId7244" Type="http://schemas.openxmlformats.org/officeDocument/2006/relationships/hyperlink" Target="https://chromewebstore.google.com/detail/ikehhajkadegiobmdlmajippigldcnma" TargetMode="External"/><Relationship Id="rId8575" Type="http://schemas.openxmlformats.org/officeDocument/2006/relationships/hyperlink" Target="https://chromewebstore.google.com/detail/jilanmapccclggpknpoldablbdgipgkc" TargetMode="External"/><Relationship Id="rId7249" Type="http://schemas.openxmlformats.org/officeDocument/2006/relationships/hyperlink" Target="https://chromewebstore.google.com/detail/piefpokhpcehbeelhohgcnbipnfkogig" TargetMode="External"/><Relationship Id="rId7248" Type="http://schemas.openxmlformats.org/officeDocument/2006/relationships/hyperlink" Target="https://chromewebstore.google.com/detail/cpllkgijabinckdkaklopkecmkfldaci" TargetMode="External"/><Relationship Id="rId8579" Type="http://schemas.openxmlformats.org/officeDocument/2006/relationships/hyperlink" Target="https://chromewebstore.google.com/detail/bpndllhnkhaepbdeeklhlbpinaacbjfj" TargetMode="External"/><Relationship Id="rId2423" Type="http://schemas.openxmlformats.org/officeDocument/2006/relationships/hyperlink" Target="https://chromewebstore.google.com/detail/mjhkaggimgaoooehpggbjkankpbkmcjl" TargetMode="External"/><Relationship Id="rId3755" Type="http://schemas.openxmlformats.org/officeDocument/2006/relationships/hyperlink" Target="https://chromewebstore.google.com/detail/mohcccndblgelimaddnfbjbangcmibgp" TargetMode="External"/><Relationship Id="rId2424" Type="http://schemas.openxmlformats.org/officeDocument/2006/relationships/hyperlink" Target="https://chromewebstore.google.com/detail/mjoelkhmpnpbpdblgocjimjabjjdfmpo" TargetMode="External"/><Relationship Id="rId3754" Type="http://schemas.openxmlformats.org/officeDocument/2006/relationships/hyperlink" Target="https://chromewebstore.google.com/detail/mnpiohgimhjcajegfkoenhhdjdgnfbhn" TargetMode="External"/><Relationship Id="rId2425" Type="http://schemas.openxmlformats.org/officeDocument/2006/relationships/hyperlink" Target="https://chromewebstore.google.com/detail/mlboohjioameadaedfjcpemcaangkkbp" TargetMode="External"/><Relationship Id="rId3757" Type="http://schemas.openxmlformats.org/officeDocument/2006/relationships/hyperlink" Target="https://chromewebstore.google.com/detail/mopbacdddloogaaccclkbolpgihnoejh" TargetMode="External"/><Relationship Id="rId2426" Type="http://schemas.openxmlformats.org/officeDocument/2006/relationships/hyperlink" Target="https://chromewebstore.google.com/detail/mllceaiaedaingchlgolnfiibippgkmj" TargetMode="External"/><Relationship Id="rId3756" Type="http://schemas.openxmlformats.org/officeDocument/2006/relationships/hyperlink" Target="https://chromewebstore.google.com/detail/mohgglkpnbdalpiiemikjedijmhhgdhn" TargetMode="External"/><Relationship Id="rId2427" Type="http://schemas.openxmlformats.org/officeDocument/2006/relationships/hyperlink" Target="https://chromewebstore.google.com/detail/mmhofljhcphkbkjmhaiagmbajikkfnep" TargetMode="External"/><Relationship Id="rId3759" Type="http://schemas.openxmlformats.org/officeDocument/2006/relationships/hyperlink" Target="https://chromewebstore.google.com/detail/nabglnpmfhienaimnmbjigimjdafimjn" TargetMode="External"/><Relationship Id="rId2428" Type="http://schemas.openxmlformats.org/officeDocument/2006/relationships/hyperlink" Target="https://chromewebstore.google.com/detail/mmmkcieblgelnnjbnicdipakndgmglgl" TargetMode="External"/><Relationship Id="rId3758" Type="http://schemas.openxmlformats.org/officeDocument/2006/relationships/hyperlink" Target="https://chromewebstore.google.com/detail/mpmddhklininggcilpnocebfhmcifdic" TargetMode="External"/><Relationship Id="rId2429" Type="http://schemas.openxmlformats.org/officeDocument/2006/relationships/hyperlink" Target="https://chromewebstore.google.com/detail/mnnlnpbaaojjmihapdoffoicnnaokpmj" TargetMode="External"/><Relationship Id="rId3751" Type="http://schemas.openxmlformats.org/officeDocument/2006/relationships/hyperlink" Target="https://chromewebstore.google.com/detail/mnggafnmmhdoplbffagjihajeeikgbcg" TargetMode="External"/><Relationship Id="rId2420" Type="http://schemas.openxmlformats.org/officeDocument/2006/relationships/hyperlink" Target="https://chromewebstore.google.com/detail/mgfejaiakfkkipbelelkcfbimnfjhebn" TargetMode="External"/><Relationship Id="rId3750" Type="http://schemas.openxmlformats.org/officeDocument/2006/relationships/hyperlink" Target="https://chromewebstore.google.com/detail/mnfifefkajgofkcjkemidiaecocnkjeh" TargetMode="External"/><Relationship Id="rId2421" Type="http://schemas.openxmlformats.org/officeDocument/2006/relationships/hyperlink" Target="https://chromewebstore.google.com/detail/mgpjobdchiggokhnaajapklalckojolh" TargetMode="External"/><Relationship Id="rId3753" Type="http://schemas.openxmlformats.org/officeDocument/2006/relationships/hyperlink" Target="https://chromewebstore.google.com/detail/mnnamhamofdlheiloeenopobhmifpbci" TargetMode="External"/><Relationship Id="rId2422" Type="http://schemas.openxmlformats.org/officeDocument/2006/relationships/hyperlink" Target="https://chromewebstore.google.com/detail/mhbjbdglobddcdoaebmhmkdjbpjlbkhi" TargetMode="External"/><Relationship Id="rId3752" Type="http://schemas.openxmlformats.org/officeDocument/2006/relationships/hyperlink" Target="https://chromewebstore.google.com/detail/mnieoidhfojjegnlioncpneloopflfde" TargetMode="External"/><Relationship Id="rId2412" Type="http://schemas.openxmlformats.org/officeDocument/2006/relationships/hyperlink" Target="https://chromewebstore.google.com/detail/lgkgpifjihgnoknjpnnldhhenefjpadi" TargetMode="External"/><Relationship Id="rId3744" Type="http://schemas.openxmlformats.org/officeDocument/2006/relationships/hyperlink" Target="https://chromewebstore.google.com/detail/mljaeppcogkejonoejbocgcbilnmofho" TargetMode="External"/><Relationship Id="rId2413" Type="http://schemas.openxmlformats.org/officeDocument/2006/relationships/hyperlink" Target="https://chromewebstore.google.com/detail/licmdalmnnmacjecaajcjdnjadoplnjo" TargetMode="External"/><Relationship Id="rId3743" Type="http://schemas.openxmlformats.org/officeDocument/2006/relationships/hyperlink" Target="https://chromewebstore.google.com/detail/mlgicmacgnloflibjaidfcmpemnmlkci" TargetMode="External"/><Relationship Id="rId2414" Type="http://schemas.openxmlformats.org/officeDocument/2006/relationships/hyperlink" Target="https://chromewebstore.google.com/detail/lkikidpclhfnegmhcgklioclbijpleoj" TargetMode="External"/><Relationship Id="rId3746" Type="http://schemas.openxmlformats.org/officeDocument/2006/relationships/hyperlink" Target="https://chromewebstore.google.com/detail/mmmjkgckgcpankonbgbianpnfenbhodf" TargetMode="External"/><Relationship Id="rId2415" Type="http://schemas.openxmlformats.org/officeDocument/2006/relationships/hyperlink" Target="https://chromewebstore.google.com/detail/lklendgldejcnkkaldoggoapclkepgfb" TargetMode="External"/><Relationship Id="rId3745" Type="http://schemas.openxmlformats.org/officeDocument/2006/relationships/hyperlink" Target="https://chromewebstore.google.com/detail/mmejbcacelkdcpaeccimglglbkeohlhe" TargetMode="External"/><Relationship Id="rId2416" Type="http://schemas.openxmlformats.org/officeDocument/2006/relationships/hyperlink" Target="https://chromewebstore.google.com/detail/llcihajgaigeicmdohjkiehbacoiggbh" TargetMode="External"/><Relationship Id="rId3748" Type="http://schemas.openxmlformats.org/officeDocument/2006/relationships/hyperlink" Target="https://chromewebstore.google.com/detail/mnciafhfaahhafklckmcabbncbgcjpeg" TargetMode="External"/><Relationship Id="rId2417" Type="http://schemas.openxmlformats.org/officeDocument/2006/relationships/hyperlink" Target="https://chromewebstore.google.com/detail/loepeenhjndiclafjgoackjblfhonogb" TargetMode="External"/><Relationship Id="rId3747" Type="http://schemas.openxmlformats.org/officeDocument/2006/relationships/hyperlink" Target="https://chromewebstore.google.com/detail/mmncmmodffimfglkgomlgbgpcgidkbij" TargetMode="External"/><Relationship Id="rId2418" Type="http://schemas.openxmlformats.org/officeDocument/2006/relationships/hyperlink" Target="https://chromewebstore.google.com/detail/loogobkkpakgbbacdgojpheijeahapkl" TargetMode="External"/><Relationship Id="rId2419" Type="http://schemas.openxmlformats.org/officeDocument/2006/relationships/hyperlink" Target="https://chromewebstore.google.com/detail/meppninpiceflfgidaiabknjmjdkfalg" TargetMode="External"/><Relationship Id="rId3749" Type="http://schemas.openxmlformats.org/officeDocument/2006/relationships/hyperlink" Target="https://chromewebstore.google.com/detail/mnejlibhmapdlfjopobeadmenbbhgelg" TargetMode="External"/><Relationship Id="rId3740" Type="http://schemas.openxmlformats.org/officeDocument/2006/relationships/hyperlink" Target="https://chromewebstore.google.com/detail/mkohdjbfagmlcaclajmadgkojelkbbfj" TargetMode="External"/><Relationship Id="rId2410" Type="http://schemas.openxmlformats.org/officeDocument/2006/relationships/hyperlink" Target="https://chromewebstore.google.com/detail/laghnmifffncfonaoffcndocllegejnf" TargetMode="External"/><Relationship Id="rId3742" Type="http://schemas.openxmlformats.org/officeDocument/2006/relationships/hyperlink" Target="https://chromewebstore.google.com/detail/mlgfghegijfplmnoplodhgcnhakfpbeb" TargetMode="External"/><Relationship Id="rId2411" Type="http://schemas.openxmlformats.org/officeDocument/2006/relationships/hyperlink" Target="https://chromewebstore.google.com/detail/lggkblkmildmnfpgbhlggfalgpkmojpf" TargetMode="External"/><Relationship Id="rId3741" Type="http://schemas.openxmlformats.org/officeDocument/2006/relationships/hyperlink" Target="https://chromewebstore.google.com/detail/mlbcofjdcpapkhdkchafogjpcnjnfijh" TargetMode="External"/><Relationship Id="rId1114" Type="http://schemas.openxmlformats.org/officeDocument/2006/relationships/hyperlink" Target="https://chromewebstore.google.com/detail/bfgblailifedppfilabonohepkofbkpm" TargetMode="External"/><Relationship Id="rId2445" Type="http://schemas.openxmlformats.org/officeDocument/2006/relationships/hyperlink" Target="https://chromewebstore.google.com/detail/nllgadppmkoamdlocamdnmimkehhojai" TargetMode="External"/><Relationship Id="rId3777" Type="http://schemas.openxmlformats.org/officeDocument/2006/relationships/hyperlink" Target="https://chromewebstore.google.com/detail/nhfdmebpfpogeakgjmgbalpnmggnnchj" TargetMode="External"/><Relationship Id="rId1115" Type="http://schemas.openxmlformats.org/officeDocument/2006/relationships/hyperlink" Target="https://chromewebstore.google.com/detail/bhcdnkhpbgbkhebemnifijfibpofflga" TargetMode="External"/><Relationship Id="rId2446" Type="http://schemas.openxmlformats.org/officeDocument/2006/relationships/hyperlink" Target="https://chromewebstore.google.com/detail/nlmjblobloedpmkmmckeehnbfalnjnjk" TargetMode="External"/><Relationship Id="rId3776" Type="http://schemas.openxmlformats.org/officeDocument/2006/relationships/hyperlink" Target="https://chromewebstore.google.com/detail/nhdghhbkaaohocakiepiogjhlllekfma" TargetMode="External"/><Relationship Id="rId1116" Type="http://schemas.openxmlformats.org/officeDocument/2006/relationships/hyperlink" Target="https://chromewebstore.google.com/detail/bhgkdnnlhmefhnkfilcaaibapeepkfok" TargetMode="External"/><Relationship Id="rId2447" Type="http://schemas.openxmlformats.org/officeDocument/2006/relationships/hyperlink" Target="https://chromewebstore.google.com/detail/nlndoolndemidhlomaokpfbicfnjeeed" TargetMode="External"/><Relationship Id="rId3779" Type="http://schemas.openxmlformats.org/officeDocument/2006/relationships/hyperlink" Target="https://chromewebstore.google.com/detail/nhnjlogclbafnccpmakpeekineodeimb" TargetMode="External"/><Relationship Id="rId1117" Type="http://schemas.openxmlformats.org/officeDocument/2006/relationships/hyperlink" Target="https://chromewebstore.google.com/detail/bidckpnndigbjhmojikkhmejkfkpgoih" TargetMode="External"/><Relationship Id="rId2448" Type="http://schemas.openxmlformats.org/officeDocument/2006/relationships/hyperlink" Target="https://chromewebstore.google.com/detail/nlnjigejpgngahmoainkakaafabijeki" TargetMode="External"/><Relationship Id="rId3778" Type="http://schemas.openxmlformats.org/officeDocument/2006/relationships/hyperlink" Target="https://chromewebstore.google.com/detail/nhiegnhgjieegcgdkbneigigmpijbnhe" TargetMode="External"/><Relationship Id="rId1118" Type="http://schemas.openxmlformats.org/officeDocument/2006/relationships/hyperlink" Target="https://chromewebstore.google.com/detail/bifehkofibaamoeaopjglfkddgkijdlh" TargetMode="External"/><Relationship Id="rId2449" Type="http://schemas.openxmlformats.org/officeDocument/2006/relationships/hyperlink" Target="https://chromewebstore.google.com/detail/noappbdpoidambdenlpefmkgnjhclkne" TargetMode="External"/><Relationship Id="rId1119" Type="http://schemas.openxmlformats.org/officeDocument/2006/relationships/hyperlink" Target="https://chromewebstore.google.com/detail/bkmjnlfillpnkgmjnhgklpjjlpjnfeil" TargetMode="External"/><Relationship Id="rId3771" Type="http://schemas.openxmlformats.org/officeDocument/2006/relationships/hyperlink" Target="https://chromewebstore.google.com/detail/nflndjpnihekepaecdfjdhihobjlpdeo" TargetMode="External"/><Relationship Id="rId2440" Type="http://schemas.openxmlformats.org/officeDocument/2006/relationships/hyperlink" Target="https://chromewebstore.google.com/detail/niicehbadcoefddejdcmlgkbdpkbegem" TargetMode="External"/><Relationship Id="rId3770" Type="http://schemas.openxmlformats.org/officeDocument/2006/relationships/hyperlink" Target="https://chromewebstore.google.com/detail/nfkaeignpggbjnhhijmggoeploenicdo" TargetMode="External"/><Relationship Id="rId1110" Type="http://schemas.openxmlformats.org/officeDocument/2006/relationships/hyperlink" Target="https://chromewebstore.google.com/detail/bcaffafhaggoecheiojienglkhonafcd" TargetMode="External"/><Relationship Id="rId2441" Type="http://schemas.openxmlformats.org/officeDocument/2006/relationships/hyperlink" Target="https://chromewebstore.google.com/detail/nikjkfpkdchpheoilbeekhbimcofegkl" TargetMode="External"/><Relationship Id="rId3773" Type="http://schemas.openxmlformats.org/officeDocument/2006/relationships/hyperlink" Target="https://chromewebstore.google.com/detail/ngjnlpkfccnglmlobafmobgjoiiliden" TargetMode="External"/><Relationship Id="rId1111" Type="http://schemas.openxmlformats.org/officeDocument/2006/relationships/hyperlink" Target="https://chromewebstore.google.com/detail/beiklbdjdmfkgchmiabjejdlpaoicbef" TargetMode="External"/><Relationship Id="rId2442" Type="http://schemas.openxmlformats.org/officeDocument/2006/relationships/hyperlink" Target="https://chromewebstore.google.com/detail/njjpmclekpigefnogajiknnheheacoaj" TargetMode="External"/><Relationship Id="rId3772" Type="http://schemas.openxmlformats.org/officeDocument/2006/relationships/hyperlink" Target="https://chromewebstore.google.com/detail/ngfiakljhmohmelbjjhiffcihiinflpj" TargetMode="External"/><Relationship Id="rId1112" Type="http://schemas.openxmlformats.org/officeDocument/2006/relationships/hyperlink" Target="https://chromewebstore.google.com/detail/bemmkaadpllphjpebfapkojnjnjfkfan" TargetMode="External"/><Relationship Id="rId2443" Type="http://schemas.openxmlformats.org/officeDocument/2006/relationships/hyperlink" Target="https://chromewebstore.google.com/detail/njoncjjljflelpenbbeinnhifcanjhee" TargetMode="External"/><Relationship Id="rId3775" Type="http://schemas.openxmlformats.org/officeDocument/2006/relationships/hyperlink" Target="https://chromewebstore.google.com/detail/nhcdkdllpbbldbllgjadnemkobkinodf" TargetMode="External"/><Relationship Id="rId1113" Type="http://schemas.openxmlformats.org/officeDocument/2006/relationships/hyperlink" Target="https://chromewebstore.google.com/detail/bfeldahomapdhmnmedanpodjpkfjohen" TargetMode="External"/><Relationship Id="rId2444" Type="http://schemas.openxmlformats.org/officeDocument/2006/relationships/hyperlink" Target="https://chromewebstore.google.com/detail/njpmifchgidinihmijhcfpbdmglecdlb" TargetMode="External"/><Relationship Id="rId3774" Type="http://schemas.openxmlformats.org/officeDocument/2006/relationships/hyperlink" Target="https://chromewebstore.google.com/detail/ngllidpgooocgmibccdgoajmdcmljfke" TargetMode="External"/><Relationship Id="rId1103" Type="http://schemas.openxmlformats.org/officeDocument/2006/relationships/hyperlink" Target="https://chromewebstore.google.com/detail/aopjalhdfmoibmpcfgnfakhinbeeohkp" TargetMode="External"/><Relationship Id="rId2434" Type="http://schemas.openxmlformats.org/officeDocument/2006/relationships/hyperlink" Target="https://chromewebstore.google.com/detail/nboinfelnglhdhgchcmomigiddalpjka" TargetMode="External"/><Relationship Id="rId3766" Type="http://schemas.openxmlformats.org/officeDocument/2006/relationships/hyperlink" Target="https://chromewebstore.google.com/detail/ncloaegenmmidmomonndokgpojpkbmkn" TargetMode="External"/><Relationship Id="rId1104" Type="http://schemas.openxmlformats.org/officeDocument/2006/relationships/hyperlink" Target="https://chromewebstore.google.com/detail/apjappedjeldbandppbcigamkkhoooka" TargetMode="External"/><Relationship Id="rId2435" Type="http://schemas.openxmlformats.org/officeDocument/2006/relationships/hyperlink" Target="https://chromewebstore.google.com/detail/ncdkpefkincbindoojieajcilimcjaae" TargetMode="External"/><Relationship Id="rId3765" Type="http://schemas.openxmlformats.org/officeDocument/2006/relationships/hyperlink" Target="https://chromewebstore.google.com/detail/ncccojappahgaagaaaieoofhiohjaogl" TargetMode="External"/><Relationship Id="rId1105" Type="http://schemas.openxmlformats.org/officeDocument/2006/relationships/hyperlink" Target="https://chromewebstore.google.com/detail/apmlngnhgbnjpajelfkmabhkfapgnoai" TargetMode="External"/><Relationship Id="rId2436" Type="http://schemas.openxmlformats.org/officeDocument/2006/relationships/hyperlink" Target="https://chromewebstore.google.com/detail/nfakpcpmhhilkdpphcjgnokknpbpdllg" TargetMode="External"/><Relationship Id="rId3768" Type="http://schemas.openxmlformats.org/officeDocument/2006/relationships/hyperlink" Target="https://chromewebstore.google.com/detail/ndiaggkadcioihmhghipjmgfeamgjeoi" TargetMode="External"/><Relationship Id="rId1106" Type="http://schemas.openxmlformats.org/officeDocument/2006/relationships/hyperlink" Target="https://chromewebstore.google.com/detail/apnjnepphihnjahpbfjiebcnpgmjnhfp" TargetMode="External"/><Relationship Id="rId2437" Type="http://schemas.openxmlformats.org/officeDocument/2006/relationships/hyperlink" Target="https://chromewebstore.google.com/detail/nggghhclpmecenfkhdflgaaojdacpphj" TargetMode="External"/><Relationship Id="rId3767" Type="http://schemas.openxmlformats.org/officeDocument/2006/relationships/hyperlink" Target="https://chromewebstore.google.com/detail/nddeiknmamlpagmnabfdlljlikeoanch" TargetMode="External"/><Relationship Id="rId1107" Type="http://schemas.openxmlformats.org/officeDocument/2006/relationships/hyperlink" Target="https://chromewebstore.google.com/detail/apnjnioapinblneaedefcnopcjepgkci" TargetMode="External"/><Relationship Id="rId2438" Type="http://schemas.openxmlformats.org/officeDocument/2006/relationships/hyperlink" Target="https://chromewebstore.google.com/detail/nhkjcaiojlbfebmjiechahfdmppccgnn" TargetMode="External"/><Relationship Id="rId1108" Type="http://schemas.openxmlformats.org/officeDocument/2006/relationships/hyperlink" Target="https://chromewebstore.google.com/detail/bakhinbceendkcjcelepkjmgabicabnb" TargetMode="External"/><Relationship Id="rId2439" Type="http://schemas.openxmlformats.org/officeDocument/2006/relationships/hyperlink" Target="https://chromewebstore.google.com/detail/nienaghdopiidkcmeoadejnnjangghnm" TargetMode="External"/><Relationship Id="rId3769" Type="http://schemas.openxmlformats.org/officeDocument/2006/relationships/hyperlink" Target="https://chromewebstore.google.com/detail/nemnpbkkffglpnjncoglabfglkidbbek" TargetMode="External"/><Relationship Id="rId1109" Type="http://schemas.openxmlformats.org/officeDocument/2006/relationships/hyperlink" Target="https://chromewebstore.google.com/detail/banggcaohiaanmdkalekjcffjonamlkj" TargetMode="External"/><Relationship Id="rId3760" Type="http://schemas.openxmlformats.org/officeDocument/2006/relationships/hyperlink" Target="https://chromewebstore.google.com/detail/nadeoelabbieobdpmejlfidbhhdicmpa" TargetMode="External"/><Relationship Id="rId2430" Type="http://schemas.openxmlformats.org/officeDocument/2006/relationships/hyperlink" Target="https://chromewebstore.google.com/detail/mpfenjafnlicmamjnpoohobgpmldkpoj" TargetMode="External"/><Relationship Id="rId3762" Type="http://schemas.openxmlformats.org/officeDocument/2006/relationships/hyperlink" Target="https://chromewebstore.google.com/detail/nanjankoodpibkkjgmmaeoccefklohao" TargetMode="External"/><Relationship Id="rId1100" Type="http://schemas.openxmlformats.org/officeDocument/2006/relationships/hyperlink" Target="https://chromewebstore.google.com/detail/anoogklhdcmijbahjmigedmpboccgkge" TargetMode="External"/><Relationship Id="rId2431" Type="http://schemas.openxmlformats.org/officeDocument/2006/relationships/hyperlink" Target="https://chromewebstore.google.com/detail/nacjakoppgmdcpemlfnfegmlhipddanj" TargetMode="External"/><Relationship Id="rId3761" Type="http://schemas.openxmlformats.org/officeDocument/2006/relationships/hyperlink" Target="https://chromewebstore.google.com/detail/naepdomgkenhinolocfifgehidddafch" TargetMode="External"/><Relationship Id="rId1101" Type="http://schemas.openxmlformats.org/officeDocument/2006/relationships/hyperlink" Target="https://chromewebstore.google.com/detail/aokheaddinafdmjphkjlnachkejgleao" TargetMode="External"/><Relationship Id="rId2432" Type="http://schemas.openxmlformats.org/officeDocument/2006/relationships/hyperlink" Target="https://chromewebstore.google.com/detail/naeeohopejehgjckpkmbdojogdipklbj" TargetMode="External"/><Relationship Id="rId3764" Type="http://schemas.openxmlformats.org/officeDocument/2006/relationships/hyperlink" Target="https://chromewebstore.google.com/detail/nbnjpdfblnfaniloehlfjkdfclljcgfn" TargetMode="External"/><Relationship Id="rId1102" Type="http://schemas.openxmlformats.org/officeDocument/2006/relationships/hyperlink" Target="https://chromewebstore.google.com/detail/aonflkdebcjkiimklgpgkclmjohclbbf" TargetMode="External"/><Relationship Id="rId2433" Type="http://schemas.openxmlformats.org/officeDocument/2006/relationships/hyperlink" Target="https://chromewebstore.google.com/detail/nbanpljakngdndmmekhogfliinegiapb" TargetMode="External"/><Relationship Id="rId3763" Type="http://schemas.openxmlformats.org/officeDocument/2006/relationships/hyperlink" Target="https://chromewebstore.google.com/detail/nbcgkdilbhnnoemimofnknocbkpldobi" TargetMode="External"/><Relationship Id="rId3711" Type="http://schemas.openxmlformats.org/officeDocument/2006/relationships/hyperlink" Target="https://chromewebstore.google.com/detail/lobpagdpoopcmipmanjdnhpkjlofpbbp" TargetMode="External"/><Relationship Id="rId3710" Type="http://schemas.openxmlformats.org/officeDocument/2006/relationships/hyperlink" Target="https://chromewebstore.google.com/detail/lnidgfoooocnaddmcclcipfgnelokjda" TargetMode="External"/><Relationship Id="rId3713" Type="http://schemas.openxmlformats.org/officeDocument/2006/relationships/hyperlink" Target="https://chromewebstore.google.com/detail/lpfleledablfbdekjbhcejmagnjoihgn" TargetMode="External"/><Relationship Id="rId3712" Type="http://schemas.openxmlformats.org/officeDocument/2006/relationships/hyperlink" Target="https://chromewebstore.google.com/detail/lpbnlilmgcemkbnmgiomhebhljhnokfd" TargetMode="External"/><Relationship Id="rId3715" Type="http://schemas.openxmlformats.org/officeDocument/2006/relationships/hyperlink" Target="https://chromewebstore.google.com/detail/lpkndkffkmhcdkkdmeeelikmadjjmebe" TargetMode="External"/><Relationship Id="rId3714" Type="http://schemas.openxmlformats.org/officeDocument/2006/relationships/hyperlink" Target="https://chromewebstore.google.com/detail/lpjljcoihnoipcoialpjbnfbojnolkej" TargetMode="External"/><Relationship Id="rId3717" Type="http://schemas.openxmlformats.org/officeDocument/2006/relationships/hyperlink" Target="https://chromewebstore.google.com/detail/mbagihlilbaofbfpmnicoonnebmhohmm" TargetMode="External"/><Relationship Id="rId3716" Type="http://schemas.openxmlformats.org/officeDocument/2006/relationships/hyperlink" Target="https://chromewebstore.google.com/detail/mapmknaogodpakjopdhmdcilahbfbjpc" TargetMode="External"/><Relationship Id="rId3719" Type="http://schemas.openxmlformats.org/officeDocument/2006/relationships/hyperlink" Target="https://chromewebstore.google.com/detail/mbpaocchpmekmafpkliigmmkllfedmkb" TargetMode="External"/><Relationship Id="rId3718" Type="http://schemas.openxmlformats.org/officeDocument/2006/relationships/hyperlink" Target="https://chromewebstore.google.com/detail/mbiingeofjaobdlcimmeamefmgjmcgdd" TargetMode="External"/><Relationship Id="rId3700" Type="http://schemas.openxmlformats.org/officeDocument/2006/relationships/hyperlink" Target="https://chromewebstore.google.com/detail/liglgghpccflcebckjdmiplgjbicachl" TargetMode="External"/><Relationship Id="rId3702" Type="http://schemas.openxmlformats.org/officeDocument/2006/relationships/hyperlink" Target="https://chromewebstore.google.com/detail/ljbdocmmfpejofpcldginbilddlifjek" TargetMode="External"/><Relationship Id="rId3701" Type="http://schemas.openxmlformats.org/officeDocument/2006/relationships/hyperlink" Target="https://chromewebstore.google.com/detail/lilbblbpakjjohhllknkgcgfabehbiai" TargetMode="External"/><Relationship Id="rId3704" Type="http://schemas.openxmlformats.org/officeDocument/2006/relationships/hyperlink" Target="https://chromewebstore.google.com/detail/ljppcglljemjablfhgjdhndlpallobpl" TargetMode="External"/><Relationship Id="rId3703" Type="http://schemas.openxmlformats.org/officeDocument/2006/relationships/hyperlink" Target="https://chromewebstore.google.com/detail/ljblecifcbmcdjbabhimddlladlkfdfg" TargetMode="External"/><Relationship Id="rId3706" Type="http://schemas.openxmlformats.org/officeDocument/2006/relationships/hyperlink" Target="https://chromewebstore.google.com/detail/lljhfacjpknfplpagpnillgkiepplbjd" TargetMode="External"/><Relationship Id="rId3705" Type="http://schemas.openxmlformats.org/officeDocument/2006/relationships/hyperlink" Target="https://chromewebstore.google.com/detail/lkhdjcjomgifjdihdiecifkigmdemjlh" TargetMode="External"/><Relationship Id="rId3708" Type="http://schemas.openxmlformats.org/officeDocument/2006/relationships/hyperlink" Target="https://chromewebstore.google.com/detail/lmjpmkegbmbgedofmgcmmajdadldpndm" TargetMode="External"/><Relationship Id="rId3707" Type="http://schemas.openxmlformats.org/officeDocument/2006/relationships/hyperlink" Target="https://chromewebstore.google.com/detail/lmgjagdflhhfjflolfalapokbplfldna" TargetMode="External"/><Relationship Id="rId3709" Type="http://schemas.openxmlformats.org/officeDocument/2006/relationships/hyperlink" Target="https://chromewebstore.google.com/detail/lmlpbkpknjcnfabomjkecmkigcphgomk" TargetMode="External"/><Relationship Id="rId2401" Type="http://schemas.openxmlformats.org/officeDocument/2006/relationships/hyperlink" Target="https://chromewebstore.google.com/detail/kimbeggjgnmckoikpckibeoaocafcpbg" TargetMode="External"/><Relationship Id="rId3733" Type="http://schemas.openxmlformats.org/officeDocument/2006/relationships/hyperlink" Target="https://chromewebstore.google.com/detail/mhedbgbipbdppajofkiklhlbbdlldidj" TargetMode="External"/><Relationship Id="rId2402" Type="http://schemas.openxmlformats.org/officeDocument/2006/relationships/hyperlink" Target="https://chromewebstore.google.com/detail/kkilomkmpmkbdnfelcpgckmpcaemjcdh" TargetMode="External"/><Relationship Id="rId3732" Type="http://schemas.openxmlformats.org/officeDocument/2006/relationships/hyperlink" Target="https://chromewebstore.google.com/detail/mhbjoppmeodjnkmbekpmfgicgiaecblm" TargetMode="External"/><Relationship Id="rId2403" Type="http://schemas.openxmlformats.org/officeDocument/2006/relationships/hyperlink" Target="https://chromewebstore.google.com/detail/kkioiolcacgoihiiekambdciinadbpfk" TargetMode="External"/><Relationship Id="rId3735" Type="http://schemas.openxmlformats.org/officeDocument/2006/relationships/hyperlink" Target="https://chromewebstore.google.com/detail/mihalpimkkhhigoielhempcamoffhfij" TargetMode="External"/><Relationship Id="rId2404" Type="http://schemas.openxmlformats.org/officeDocument/2006/relationships/hyperlink" Target="https://chromewebstore.google.com/detail/klfppiphagoacacnpplbmbekopjehope" TargetMode="External"/><Relationship Id="rId3734" Type="http://schemas.openxmlformats.org/officeDocument/2006/relationships/hyperlink" Target="https://chromewebstore.google.com/detail/mhenombkbjeannffjnhcnelokhkfndch" TargetMode="External"/><Relationship Id="rId2405" Type="http://schemas.openxmlformats.org/officeDocument/2006/relationships/hyperlink" Target="https://chromewebstore.google.com/detail/kngmbepbohaeeihlfmkdcdcccejkhjhn" TargetMode="External"/><Relationship Id="rId3737" Type="http://schemas.openxmlformats.org/officeDocument/2006/relationships/hyperlink" Target="https://chromewebstore.google.com/detail/mjcdbmdlmjbjmpenpepgcpnmapclkaah" TargetMode="External"/><Relationship Id="rId2406" Type="http://schemas.openxmlformats.org/officeDocument/2006/relationships/hyperlink" Target="https://chromewebstore.google.com/detail/kponpgbmhldcnpphiaflmibpkibijcme" TargetMode="External"/><Relationship Id="rId3736" Type="http://schemas.openxmlformats.org/officeDocument/2006/relationships/hyperlink" Target="https://chromewebstore.google.com/detail/mjaafpfnaeofaacnmkfdafldodlaomln" TargetMode="External"/><Relationship Id="rId2407" Type="http://schemas.openxmlformats.org/officeDocument/2006/relationships/hyperlink" Target="https://chromewebstore.google.com/detail/ladceggegjmncgmjnnenegojgcinflci" TargetMode="External"/><Relationship Id="rId3739" Type="http://schemas.openxmlformats.org/officeDocument/2006/relationships/hyperlink" Target="https://chromewebstore.google.com/detail/mkcpchladphoadhaclmnlphhijboljjk" TargetMode="External"/><Relationship Id="rId2408" Type="http://schemas.openxmlformats.org/officeDocument/2006/relationships/hyperlink" Target="https://chromewebstore.google.com/detail/ladmjfmdefajlebeacdjmgibboanfepi" TargetMode="External"/><Relationship Id="rId3738" Type="http://schemas.openxmlformats.org/officeDocument/2006/relationships/hyperlink" Target="https://chromewebstore.google.com/detail/mjdmgoiobnbkfcfjcceaodlcodhpokgn" TargetMode="External"/><Relationship Id="rId2409" Type="http://schemas.openxmlformats.org/officeDocument/2006/relationships/hyperlink" Target="https://chromewebstore.google.com/detail/laghgcpekjofijkmojnhfeiplbffaljp" TargetMode="External"/><Relationship Id="rId3731" Type="http://schemas.openxmlformats.org/officeDocument/2006/relationships/hyperlink" Target="https://chromewebstore.google.com/detail/mfofmcdbaeajgdeihmcjjohmhepcdcol" TargetMode="External"/><Relationship Id="rId2400" Type="http://schemas.openxmlformats.org/officeDocument/2006/relationships/hyperlink" Target="https://chromewebstore.google.com/detail/kibcamhgdmenhpbfnkbgjnnamhmfgknk" TargetMode="External"/><Relationship Id="rId3730" Type="http://schemas.openxmlformats.org/officeDocument/2006/relationships/hyperlink" Target="https://chromewebstore.google.com/detail/mfmhdfkinffhnfhaalnabffcfjgcmdhl" TargetMode="External"/><Relationship Id="rId3722" Type="http://schemas.openxmlformats.org/officeDocument/2006/relationships/hyperlink" Target="https://chromewebstore.google.com/detail/mcneiimlodlbmohipgdbbglgbmaoojen" TargetMode="External"/><Relationship Id="rId3721" Type="http://schemas.openxmlformats.org/officeDocument/2006/relationships/hyperlink" Target="https://chromewebstore.google.com/detail/mciidkooancddoomldklgcklkbmlboog" TargetMode="External"/><Relationship Id="rId3724" Type="http://schemas.openxmlformats.org/officeDocument/2006/relationships/hyperlink" Target="https://chromewebstore.google.com/detail/mdmgabincholmoohfoniibddbldpfaef" TargetMode="External"/><Relationship Id="rId3723" Type="http://schemas.openxmlformats.org/officeDocument/2006/relationships/hyperlink" Target="https://chromewebstore.google.com/detail/mdcmjnnhnpfohfpjjjnhhplenkmjokem" TargetMode="External"/><Relationship Id="rId3726" Type="http://schemas.openxmlformats.org/officeDocument/2006/relationships/hyperlink" Target="https://chromewebstore.google.com/detail/mejfljhfeahhhicjefeehikaooffggmf" TargetMode="External"/><Relationship Id="rId3725" Type="http://schemas.openxmlformats.org/officeDocument/2006/relationships/hyperlink" Target="https://chromewebstore.google.com/detail/mdndkociaebjkggmhnemegoegnbfbgoo" TargetMode="External"/><Relationship Id="rId3728" Type="http://schemas.openxmlformats.org/officeDocument/2006/relationships/hyperlink" Target="https://chromewebstore.google.com/detail/mfejenndcibciljogmlhppblholelagg" TargetMode="External"/><Relationship Id="rId3727" Type="http://schemas.openxmlformats.org/officeDocument/2006/relationships/hyperlink" Target="https://chromewebstore.google.com/detail/mfbnjcfflkhefklaghlmpjlkgbegnbod" TargetMode="External"/><Relationship Id="rId3729" Type="http://schemas.openxmlformats.org/officeDocument/2006/relationships/hyperlink" Target="https://chromewebstore.google.com/detail/mfifmoklnkpndjjcalemaggldbicmkki" TargetMode="External"/><Relationship Id="rId3720" Type="http://schemas.openxmlformats.org/officeDocument/2006/relationships/hyperlink" Target="https://chromewebstore.google.com/detail/mcepmpclbgahgbpcgbmnpplcfmlaiopm" TargetMode="External"/><Relationship Id="rId1170" Type="http://schemas.openxmlformats.org/officeDocument/2006/relationships/hyperlink" Target="https://chromewebstore.google.com/detail/cohamjploocgoejdfanacfgkhjkhdkek" TargetMode="External"/><Relationship Id="rId1171" Type="http://schemas.openxmlformats.org/officeDocument/2006/relationships/hyperlink" Target="https://chromewebstore.google.com/detail/cpblokmdklckfpphjogojcjdpoogonfi" TargetMode="External"/><Relationship Id="rId1172" Type="http://schemas.openxmlformats.org/officeDocument/2006/relationships/hyperlink" Target="https://chromewebstore.google.com/detail/cpecbmjeidppdiampimghndkikcmoadk" TargetMode="External"/><Relationship Id="rId1173" Type="http://schemas.openxmlformats.org/officeDocument/2006/relationships/hyperlink" Target="https://chromewebstore.google.com/detail/cpfefcnbolgjjabocpajaplcgpniphdd" TargetMode="External"/><Relationship Id="rId1174" Type="http://schemas.openxmlformats.org/officeDocument/2006/relationships/hyperlink" Target="https://chromewebstore.google.com/detail/cpgaepnhfockgofcejphihfafgmenofb" TargetMode="External"/><Relationship Id="rId1175" Type="http://schemas.openxmlformats.org/officeDocument/2006/relationships/hyperlink" Target="https://chromewebstore.google.com/detail/cpohpgohfajjfjiakcfcobnhfnfdddkg" TargetMode="External"/><Relationship Id="rId1176" Type="http://schemas.openxmlformats.org/officeDocument/2006/relationships/hyperlink" Target="https://chromewebstore.google.com/detail/dajjehkecdcgobjpemgcdjikpdgmiaod" TargetMode="External"/><Relationship Id="rId1177" Type="http://schemas.openxmlformats.org/officeDocument/2006/relationships/hyperlink" Target="https://chromewebstore.google.com/detail/dakdpgneoijgmjihpkpppmofpglelack" TargetMode="External"/><Relationship Id="rId1178" Type="http://schemas.openxmlformats.org/officeDocument/2006/relationships/hyperlink" Target="https://chromewebstore.google.com/detail/damlgjaejablnjjkoehebfpdcolhkklj" TargetMode="External"/><Relationship Id="rId1179" Type="http://schemas.openxmlformats.org/officeDocument/2006/relationships/hyperlink" Target="https://chromewebstore.google.com/detail/dbdibdbbenjkpmdjnannkgdehgegcopo" TargetMode="External"/><Relationship Id="rId1169" Type="http://schemas.openxmlformats.org/officeDocument/2006/relationships/hyperlink" Target="https://chromewebstore.google.com/detail/cofhgpcbaidjkjfbfglfhlklnbhajhpg" TargetMode="External"/><Relationship Id="rId2490" Type="http://schemas.openxmlformats.org/officeDocument/2006/relationships/hyperlink" Target="https://chromewebstore.google.com/detail/gamgadbdliolbhjdcfjjpjfjhgfnckbp" TargetMode="External"/><Relationship Id="rId1160" Type="http://schemas.openxmlformats.org/officeDocument/2006/relationships/hyperlink" Target="https://chromewebstore.google.com/detail/ckhlohlbolmihakbnlddceackadnodoe" TargetMode="External"/><Relationship Id="rId2491" Type="http://schemas.openxmlformats.org/officeDocument/2006/relationships/hyperlink" Target="https://chromewebstore.google.com/detail/aacmadajiomocfofkfpfjdcbbgdlonkc" TargetMode="External"/><Relationship Id="rId1161" Type="http://schemas.openxmlformats.org/officeDocument/2006/relationships/hyperlink" Target="https://chromewebstore.google.com/detail/cknbjckicenodbiaejbmkjhldffonggp" TargetMode="External"/><Relationship Id="rId2492" Type="http://schemas.openxmlformats.org/officeDocument/2006/relationships/hyperlink" Target="https://chromewebstore.google.com/detail/adaiboomihahdddciolkcfhalmdnlneh" TargetMode="External"/><Relationship Id="rId1162" Type="http://schemas.openxmlformats.org/officeDocument/2006/relationships/hyperlink" Target="https://chromewebstore.google.com/detail/clbhieamajlakjobcoiheklaoldcjhjf" TargetMode="External"/><Relationship Id="rId2493" Type="http://schemas.openxmlformats.org/officeDocument/2006/relationships/hyperlink" Target="https://chromewebstore.google.com/detail/aecepinapldaiocchalkijbjekkjohce" TargetMode="External"/><Relationship Id="rId1163" Type="http://schemas.openxmlformats.org/officeDocument/2006/relationships/hyperlink" Target="https://chromewebstore.google.com/detail/clihldpfnfandacppigjpkmkaaemlfie" TargetMode="External"/><Relationship Id="rId2494" Type="http://schemas.openxmlformats.org/officeDocument/2006/relationships/hyperlink" Target="https://chromewebstore.google.com/detail/aecmckhhfknljgicfkpbinfkpnijehcm" TargetMode="External"/><Relationship Id="rId1164" Type="http://schemas.openxmlformats.org/officeDocument/2006/relationships/hyperlink" Target="https://chromewebstore.google.com/detail/clndcckcfbeokfnejgamfbeginbmbkgk" TargetMode="External"/><Relationship Id="rId2495" Type="http://schemas.openxmlformats.org/officeDocument/2006/relationships/hyperlink" Target="https://chromewebstore.google.com/detail/aenihapfpbplnoodpaebohaknejoidaj" TargetMode="External"/><Relationship Id="rId1165" Type="http://schemas.openxmlformats.org/officeDocument/2006/relationships/hyperlink" Target="https://chromewebstore.google.com/detail/cmkhjlckcaeahimgmlnihmphjkcccopm" TargetMode="External"/><Relationship Id="rId2496" Type="http://schemas.openxmlformats.org/officeDocument/2006/relationships/hyperlink" Target="https://chromewebstore.google.com/detail/aggebfalegkdaebfdldpaolhmlalbakp" TargetMode="External"/><Relationship Id="rId1166" Type="http://schemas.openxmlformats.org/officeDocument/2006/relationships/hyperlink" Target="https://chromewebstore.google.com/detail/cmkmelneeccijablfclenghkcbopdemg" TargetMode="External"/><Relationship Id="rId2497" Type="http://schemas.openxmlformats.org/officeDocument/2006/relationships/hyperlink" Target="https://chromewebstore.google.com/detail/ajdnlgehefnmaiighnbaibekhdfhnipd" TargetMode="External"/><Relationship Id="rId1167" Type="http://schemas.openxmlformats.org/officeDocument/2006/relationships/hyperlink" Target="https://chromewebstore.google.com/detail/cmmlgikpahieigpcclckfmhnchdlfnjd" TargetMode="External"/><Relationship Id="rId2498" Type="http://schemas.openxmlformats.org/officeDocument/2006/relationships/hyperlink" Target="https://chromewebstore.google.com/detail/amdnjmpcoialaikdldjbnkipmckdheie" TargetMode="External"/><Relationship Id="rId1168" Type="http://schemas.openxmlformats.org/officeDocument/2006/relationships/hyperlink" Target="https://chromewebstore.google.com/detail/cngkdhdiifcfigdffnmibfopjdlbnpeh" TargetMode="External"/><Relationship Id="rId2499" Type="http://schemas.openxmlformats.org/officeDocument/2006/relationships/hyperlink" Target="https://chromewebstore.google.com/detail/ammlihljcndoijbkoobiobhjgoopiidn" TargetMode="External"/><Relationship Id="rId1190" Type="http://schemas.openxmlformats.org/officeDocument/2006/relationships/hyperlink" Target="https://chromewebstore.google.com/detail/deahejllghicakhplliloeheabddjajm" TargetMode="External"/><Relationship Id="rId1191" Type="http://schemas.openxmlformats.org/officeDocument/2006/relationships/hyperlink" Target="https://chromewebstore.google.com/detail/dehocbglhkaogiljpihicakmlockmlgd" TargetMode="External"/><Relationship Id="rId1192" Type="http://schemas.openxmlformats.org/officeDocument/2006/relationships/hyperlink" Target="https://chromewebstore.google.com/detail/dejbbjgopjpfimmknlccfbhnifhbhaib" TargetMode="External"/><Relationship Id="rId1193" Type="http://schemas.openxmlformats.org/officeDocument/2006/relationships/hyperlink" Target="https://chromewebstore.google.com/detail/deofojifdhnbpkhfpjpnjdplfallmnbf" TargetMode="External"/><Relationship Id="rId1194" Type="http://schemas.openxmlformats.org/officeDocument/2006/relationships/hyperlink" Target="https://chromewebstore.google.com/detail/dfbnahffpakjbdlccohcoglcnafhgnhm" TargetMode="External"/><Relationship Id="rId1195" Type="http://schemas.openxmlformats.org/officeDocument/2006/relationships/hyperlink" Target="https://chromewebstore.google.com/detail/dffhipnliikkblkhpjapbecpmoilcama" TargetMode="External"/><Relationship Id="rId1196" Type="http://schemas.openxmlformats.org/officeDocument/2006/relationships/hyperlink" Target="https://chromewebstore.google.com/detail/dfifakhbglclfpaibeogoegkkimokhmg" TargetMode="External"/><Relationship Id="rId1197" Type="http://schemas.openxmlformats.org/officeDocument/2006/relationships/hyperlink" Target="https://chromewebstore.google.com/detail/dgffjapjligfifmbgajcdaglfhjekmpm" TargetMode="External"/><Relationship Id="rId1198" Type="http://schemas.openxmlformats.org/officeDocument/2006/relationships/hyperlink" Target="https://chromewebstore.google.com/detail/dggcgdjndddfmcfoipccicfoajmciacf" TargetMode="External"/><Relationship Id="rId1199" Type="http://schemas.openxmlformats.org/officeDocument/2006/relationships/hyperlink" Target="https://chromewebstore.google.com/detail/dgnaaplaoheafdckphgmpiaodckbcafg" TargetMode="External"/><Relationship Id="rId1180" Type="http://schemas.openxmlformats.org/officeDocument/2006/relationships/hyperlink" Target="https://chromewebstore.google.com/detail/dbiehnelaacgdbddpllpjnnpdpcndolf" TargetMode="External"/><Relationship Id="rId1181" Type="http://schemas.openxmlformats.org/officeDocument/2006/relationships/hyperlink" Target="https://chromewebstore.google.com/detail/dbndgjfafojhfndfgpcibceghelbbnep" TargetMode="External"/><Relationship Id="rId1182" Type="http://schemas.openxmlformats.org/officeDocument/2006/relationships/hyperlink" Target="https://chromewebstore.google.com/detail/dccccilgophpadpomgajjlkkioipoojh" TargetMode="External"/><Relationship Id="rId1183" Type="http://schemas.openxmlformats.org/officeDocument/2006/relationships/hyperlink" Target="https://chromewebstore.google.com/detail/dcdjhpkampgckpejeeckifnmlmijjilm" TargetMode="External"/><Relationship Id="rId1184" Type="http://schemas.openxmlformats.org/officeDocument/2006/relationships/hyperlink" Target="https://chromewebstore.google.com/detail/dcfclemgmkccmnpgnldhldjmflphkimp" TargetMode="External"/><Relationship Id="rId1185" Type="http://schemas.openxmlformats.org/officeDocument/2006/relationships/hyperlink" Target="https://chromewebstore.google.com/detail/dcgondciahimhomfomnnpocjflglcppa" TargetMode="External"/><Relationship Id="rId1186" Type="http://schemas.openxmlformats.org/officeDocument/2006/relationships/hyperlink" Target="https://chromewebstore.google.com/detail/dchaandmcifgjemlhiekookpgjmkcelg" TargetMode="External"/><Relationship Id="rId1187" Type="http://schemas.openxmlformats.org/officeDocument/2006/relationships/hyperlink" Target="https://chromewebstore.google.com/detail/dcoeaobaokbccdcnadncifmconllpihp" TargetMode="External"/><Relationship Id="rId1188" Type="http://schemas.openxmlformats.org/officeDocument/2006/relationships/hyperlink" Target="https://chromewebstore.google.com/detail/ddhabjcagfbajoienelficconoekfmae" TargetMode="External"/><Relationship Id="rId1189" Type="http://schemas.openxmlformats.org/officeDocument/2006/relationships/hyperlink" Target="https://chromewebstore.google.com/detail/ddieaepnbjhgcbddafciempnibnfnakl" TargetMode="External"/><Relationship Id="rId1136" Type="http://schemas.openxmlformats.org/officeDocument/2006/relationships/hyperlink" Target="https://chromewebstore.google.com/detail/cahmhjehomglimoklhidcfdlfmahlold" TargetMode="External"/><Relationship Id="rId2467" Type="http://schemas.openxmlformats.org/officeDocument/2006/relationships/hyperlink" Target="https://chromewebstore.google.com/detail/ooppcohacjcoekjgiajkkjgepofncbdl" TargetMode="External"/><Relationship Id="rId3799" Type="http://schemas.openxmlformats.org/officeDocument/2006/relationships/hyperlink" Target="https://chromewebstore.google.com/detail/oakginfeffaakolnlhkcflaebdgbfmfe" TargetMode="External"/><Relationship Id="rId1137" Type="http://schemas.openxmlformats.org/officeDocument/2006/relationships/hyperlink" Target="https://chromewebstore.google.com/detail/camcjdhmakkedecangafdibaekmfjici" TargetMode="External"/><Relationship Id="rId2468" Type="http://schemas.openxmlformats.org/officeDocument/2006/relationships/hyperlink" Target="https://chromewebstore.google.com/detail/opgbbffpdglhkpglnlkiclakjlpiedoh" TargetMode="External"/><Relationship Id="rId3798" Type="http://schemas.openxmlformats.org/officeDocument/2006/relationships/hyperlink" Target="https://chromewebstore.google.com/detail/oahnbjfjdgpabgpdbnljaodhlgfeblhk" TargetMode="External"/><Relationship Id="rId1138" Type="http://schemas.openxmlformats.org/officeDocument/2006/relationships/hyperlink" Target="https://chromewebstore.google.com/detail/cbdobfnjgnmlcajcamdfjeofmnecepdl" TargetMode="External"/><Relationship Id="rId2469" Type="http://schemas.openxmlformats.org/officeDocument/2006/relationships/hyperlink" Target="https://chromewebstore.google.com/detail/pbakcedgfbkngkamdnodjdbmmbigepaa" TargetMode="External"/><Relationship Id="rId1139" Type="http://schemas.openxmlformats.org/officeDocument/2006/relationships/hyperlink" Target="https://chromewebstore.google.com/detail/cbklkhaojmgbcgkpbemolkionjbepkfc" TargetMode="External"/><Relationship Id="rId3791" Type="http://schemas.openxmlformats.org/officeDocument/2006/relationships/hyperlink" Target="https://chromewebstore.google.com/detail/nlnicneebppdmbhknnbdnilmfkbonhec" TargetMode="External"/><Relationship Id="rId2460" Type="http://schemas.openxmlformats.org/officeDocument/2006/relationships/hyperlink" Target="https://chromewebstore.google.com/detail/olmfokfdiaekgfcpgjomahmkllgkanoa" TargetMode="External"/><Relationship Id="rId3790" Type="http://schemas.openxmlformats.org/officeDocument/2006/relationships/hyperlink" Target="https://chromewebstore.google.com/detail/nlkkdjbboeginjddlaldghockncacjpm" TargetMode="External"/><Relationship Id="rId1130" Type="http://schemas.openxmlformats.org/officeDocument/2006/relationships/hyperlink" Target="https://chromewebstore.google.com/detail/bniikohfmajhdcffljgfeiklcbgffppl" TargetMode="External"/><Relationship Id="rId2461" Type="http://schemas.openxmlformats.org/officeDocument/2006/relationships/hyperlink" Target="https://chromewebstore.google.com/detail/omcjgdddgjlioknfggaelopggehgfcea" TargetMode="External"/><Relationship Id="rId3793" Type="http://schemas.openxmlformats.org/officeDocument/2006/relationships/hyperlink" Target="https://chromewebstore.google.com/detail/nnjjepljgjdohjjenolpeplgcmfjchih" TargetMode="External"/><Relationship Id="rId1131" Type="http://schemas.openxmlformats.org/officeDocument/2006/relationships/hyperlink" Target="https://chromewebstore.google.com/detail/boabkkhbickbpleplbghkjpcoebckgai" TargetMode="External"/><Relationship Id="rId2462" Type="http://schemas.openxmlformats.org/officeDocument/2006/relationships/hyperlink" Target="https://chromewebstore.google.com/detail/ompogmmmcfgapifeghieaklpblkkoloo" TargetMode="External"/><Relationship Id="rId3792" Type="http://schemas.openxmlformats.org/officeDocument/2006/relationships/hyperlink" Target="https://chromewebstore.google.com/detail/nlplighifcffggibcniobplggfggphia" TargetMode="External"/><Relationship Id="rId1132" Type="http://schemas.openxmlformats.org/officeDocument/2006/relationships/hyperlink" Target="https://chromewebstore.google.com/detail/bocpokimicclpaiekenaeelehdjllofo" TargetMode="External"/><Relationship Id="rId2463" Type="http://schemas.openxmlformats.org/officeDocument/2006/relationships/hyperlink" Target="https://chromewebstore.google.com/detail/onikdilmkkgioinnhpgimbhffdgldnoi" TargetMode="External"/><Relationship Id="rId3795" Type="http://schemas.openxmlformats.org/officeDocument/2006/relationships/hyperlink" Target="https://chromewebstore.google.com/detail/nonmcdkdhgkljdlbkfdclcemmoenfbgb" TargetMode="External"/><Relationship Id="rId1133" Type="http://schemas.openxmlformats.org/officeDocument/2006/relationships/hyperlink" Target="https://chromewebstore.google.com/detail/bogdgcfoocbajfkjjolkmcdcnnellpkb" TargetMode="External"/><Relationship Id="rId2464" Type="http://schemas.openxmlformats.org/officeDocument/2006/relationships/hyperlink" Target="https://chromewebstore.google.com/detail/onjihgccojkcmlmlbjmgkcnehdbpbhcf" TargetMode="External"/><Relationship Id="rId3794" Type="http://schemas.openxmlformats.org/officeDocument/2006/relationships/hyperlink" Target="https://chromewebstore.google.com/detail/nnmebjmgdonemncjdliomljdfhpnlekk" TargetMode="External"/><Relationship Id="rId1134" Type="http://schemas.openxmlformats.org/officeDocument/2006/relationships/hyperlink" Target="https://chromewebstore.google.com/detail/bognnpjhkpbbokjlgbiflfilppjopfdj" TargetMode="External"/><Relationship Id="rId2465" Type="http://schemas.openxmlformats.org/officeDocument/2006/relationships/hyperlink" Target="https://chromewebstore.google.com/detail/oookgbbhgojdebhnmkmhgfagoiknifgi" TargetMode="External"/><Relationship Id="rId3797" Type="http://schemas.openxmlformats.org/officeDocument/2006/relationships/hyperlink" Target="https://chromewebstore.google.com/detail/npknnddabjhdijgmmbocdicnknegobkm" TargetMode="External"/><Relationship Id="rId1135" Type="http://schemas.openxmlformats.org/officeDocument/2006/relationships/hyperlink" Target="https://chromewebstore.google.com/detail/bohhpcaljnggabklkeanncbebknjpcod" TargetMode="External"/><Relationship Id="rId2466" Type="http://schemas.openxmlformats.org/officeDocument/2006/relationships/hyperlink" Target="https://chromewebstore.google.com/detail/ooppbnomdcjmoepangldchpmjhkeendl" TargetMode="External"/><Relationship Id="rId3796" Type="http://schemas.openxmlformats.org/officeDocument/2006/relationships/hyperlink" Target="https://chromewebstore.google.com/detail/npfnmnpgmelioikiledodkimffbejdjn" TargetMode="External"/><Relationship Id="rId1125" Type="http://schemas.openxmlformats.org/officeDocument/2006/relationships/hyperlink" Target="https://chromewebstore.google.com/detail/bmnfikjlonhkoojjfddnlbinkkapmldg" TargetMode="External"/><Relationship Id="rId2456" Type="http://schemas.openxmlformats.org/officeDocument/2006/relationships/hyperlink" Target="https://chromewebstore.google.com/detail/ofmplbbfigookafjahpeepbggpofdhbo" TargetMode="External"/><Relationship Id="rId3788" Type="http://schemas.openxmlformats.org/officeDocument/2006/relationships/hyperlink" Target="https://chromewebstore.google.com/detail/nljjfnjijdcagicaijhmaialoiahjckf" TargetMode="External"/><Relationship Id="rId1126" Type="http://schemas.openxmlformats.org/officeDocument/2006/relationships/hyperlink" Target="https://chromewebstore.google.com/detail/bmobkojilggkdhfginkfilecnbnkngha" TargetMode="External"/><Relationship Id="rId2457" Type="http://schemas.openxmlformats.org/officeDocument/2006/relationships/hyperlink" Target="https://chromewebstore.google.com/detail/ognfafcpbkogffpmmdglhbjboeojlefj" TargetMode="External"/><Relationship Id="rId3787" Type="http://schemas.openxmlformats.org/officeDocument/2006/relationships/hyperlink" Target="https://chromewebstore.google.com/detail/nkndddcbofchmjogahmikkapkaoglkoh" TargetMode="External"/><Relationship Id="rId1127" Type="http://schemas.openxmlformats.org/officeDocument/2006/relationships/hyperlink" Target="https://chromewebstore.google.com/detail/bnapnikdipejhnceiohjeldjopimjecf" TargetMode="External"/><Relationship Id="rId2458" Type="http://schemas.openxmlformats.org/officeDocument/2006/relationships/hyperlink" Target="http://blatube.com" TargetMode="External"/><Relationship Id="rId1128" Type="http://schemas.openxmlformats.org/officeDocument/2006/relationships/hyperlink" Target="https://chromewebstore.google.com/detail/bnceafpojmnimbnhamaeedgomdcgnbjk" TargetMode="External"/><Relationship Id="rId2459" Type="http://schemas.openxmlformats.org/officeDocument/2006/relationships/hyperlink" Target="https://chromewebstore.google.com/detail/ohjjhfjlnkoanfielofllebjokpmdlom" TargetMode="External"/><Relationship Id="rId3789" Type="http://schemas.openxmlformats.org/officeDocument/2006/relationships/hyperlink" Target="https://chromewebstore.google.com/detail/nlkjkemkonahlpdjffgilcmgpghfphbj" TargetMode="External"/><Relationship Id="rId1129" Type="http://schemas.openxmlformats.org/officeDocument/2006/relationships/hyperlink" Target="https://chromewebstore.google.com/detail/bniadokhddgdbbcpolbgjcnmaphkbpni" TargetMode="External"/><Relationship Id="rId3780" Type="http://schemas.openxmlformats.org/officeDocument/2006/relationships/hyperlink" Target="https://chromewebstore.google.com/detail/nhodjblplijafdpjjfhhanfmchplpfgl" TargetMode="External"/><Relationship Id="rId2450" Type="http://schemas.openxmlformats.org/officeDocument/2006/relationships/hyperlink" Target="https://chromewebstore.google.com/detail/noekfhlpihlpicbghhjiflhgkfgcikjh" TargetMode="External"/><Relationship Id="rId3782" Type="http://schemas.openxmlformats.org/officeDocument/2006/relationships/hyperlink" Target="https://chromewebstore.google.com/detail/nieieojodgghoomakdkpkeipnncmbhdo" TargetMode="External"/><Relationship Id="rId1120" Type="http://schemas.openxmlformats.org/officeDocument/2006/relationships/hyperlink" Target="https://chromewebstore.google.com/detail/bkpeohkfimdfogdnpcnokjkbpankkmil" TargetMode="External"/><Relationship Id="rId2451" Type="http://schemas.openxmlformats.org/officeDocument/2006/relationships/hyperlink" Target="https://chromewebstore.google.com/detail/nojneofchnoggimehkmbkjgpnciihkak" TargetMode="External"/><Relationship Id="rId3781" Type="http://schemas.openxmlformats.org/officeDocument/2006/relationships/hyperlink" Target="https://chromewebstore.google.com/detail/nibcpadmgplbioagpknbbeabnidndcic" TargetMode="External"/><Relationship Id="rId1121" Type="http://schemas.openxmlformats.org/officeDocument/2006/relationships/hyperlink" Target="https://chromewebstore.google.com/detail/blcnboogonjdimbnmmjcfkaonnkckkaa" TargetMode="External"/><Relationship Id="rId2452" Type="http://schemas.openxmlformats.org/officeDocument/2006/relationships/hyperlink" Target="https://chromewebstore.google.com/detail/npbccjkjemgagjioahfccljgnlkdleod" TargetMode="External"/><Relationship Id="rId3784" Type="http://schemas.openxmlformats.org/officeDocument/2006/relationships/hyperlink" Target="https://chromewebstore.google.com/detail/nigfaloeeeakmmgndbdcijjegolpjfhn" TargetMode="External"/><Relationship Id="rId1122" Type="http://schemas.openxmlformats.org/officeDocument/2006/relationships/hyperlink" Target="https://chromewebstore.google.com/detail/bleoifhkdalbjfbobjackfdifdneehpo" TargetMode="External"/><Relationship Id="rId2453" Type="http://schemas.openxmlformats.org/officeDocument/2006/relationships/hyperlink" Target="https://chromewebstore.google.com/detail/npkfpddkpefnmkflhhligbkofhnafieb" TargetMode="External"/><Relationship Id="rId3783" Type="http://schemas.openxmlformats.org/officeDocument/2006/relationships/hyperlink" Target="https://chromewebstore.google.com/detail/nifgeionndffoekogkpkjigcjnhdcdjp" TargetMode="External"/><Relationship Id="rId1123" Type="http://schemas.openxmlformats.org/officeDocument/2006/relationships/hyperlink" Target="https://chromewebstore.google.com/detail/bmebokbfolangbgkdodkfcblkdcdkpgo" TargetMode="External"/><Relationship Id="rId2454" Type="http://schemas.openxmlformats.org/officeDocument/2006/relationships/hyperlink" Target="https://chromewebstore.google.com/detail/npndnkjhbbmjlbcbmkkdkmfofjkaaahm" TargetMode="External"/><Relationship Id="rId3786" Type="http://schemas.openxmlformats.org/officeDocument/2006/relationships/hyperlink" Target="https://chromewebstore.google.com/detail/nkmmlnphajhildmnjkjkgkjnggpnhkhk" TargetMode="External"/><Relationship Id="rId1124" Type="http://schemas.openxmlformats.org/officeDocument/2006/relationships/hyperlink" Target="https://chromewebstore.google.com/detail/bmihblnpomgpjkfddepdpdafhhepdbek" TargetMode="External"/><Relationship Id="rId2455" Type="http://schemas.openxmlformats.org/officeDocument/2006/relationships/hyperlink" Target="https://chromewebstore.google.com/detail/ofhohcappnjhojpboeamfijglinngdnb" TargetMode="External"/><Relationship Id="rId3785" Type="http://schemas.openxmlformats.org/officeDocument/2006/relationships/hyperlink" Target="https://chromewebstore.google.com/detail/nkddaimdokgdjkekmdakdaojkfaghomj" TargetMode="External"/><Relationship Id="rId1158" Type="http://schemas.openxmlformats.org/officeDocument/2006/relationships/hyperlink" Target="https://chromewebstore.google.com/detail/cjaeiidkcfpfbeklmecdfloaaacancmo" TargetMode="External"/><Relationship Id="rId2489" Type="http://schemas.openxmlformats.org/officeDocument/2006/relationships/hyperlink" Target="https://chromewebstore.google.com/detail/npgimkapccfidfkfoklhpkgmhgfejhbj" TargetMode="External"/><Relationship Id="rId1159" Type="http://schemas.openxmlformats.org/officeDocument/2006/relationships/hyperlink" Target="https://chromewebstore.google.com/detail/cjanhcgbkhnidopedkhomdfjalnmknjg" TargetMode="External"/><Relationship Id="rId2480" Type="http://schemas.openxmlformats.org/officeDocument/2006/relationships/hyperlink" Target="https://chromewebstore.google.com/detail/pjdkmeabgpggjenaichdfjhdckcejjik" TargetMode="External"/><Relationship Id="rId1150" Type="http://schemas.openxmlformats.org/officeDocument/2006/relationships/hyperlink" Target="https://chromewebstore.google.com/detail/chaeijjekipecdajnijdldjjipaegdjc" TargetMode="External"/><Relationship Id="rId2481" Type="http://schemas.openxmlformats.org/officeDocument/2006/relationships/hyperlink" Target="https://chromewebstore.google.com/detail/pjlejgbmijmafmobaofcgblpdbkaodod" TargetMode="External"/><Relationship Id="rId1151" Type="http://schemas.openxmlformats.org/officeDocument/2006/relationships/hyperlink" Target="https://chromewebstore.google.com/detail/chchfhampioeijdffegkhnpccchjbfpk" TargetMode="External"/><Relationship Id="rId2482" Type="http://schemas.openxmlformats.org/officeDocument/2006/relationships/hyperlink" Target="https://chromewebstore.google.com/detail/pjnopimdnmhiaanhjfficogijajbhjnc" TargetMode="External"/><Relationship Id="rId1152" Type="http://schemas.openxmlformats.org/officeDocument/2006/relationships/hyperlink" Target="https://chromewebstore.google.com/detail/chfdigebbepdmeelcfiefkklfldmmgld" TargetMode="External"/><Relationship Id="rId2483" Type="http://schemas.openxmlformats.org/officeDocument/2006/relationships/hyperlink" Target="https://chromewebstore.google.com/detail/pkejgpgaflkeonkliblcplomemekogop" TargetMode="External"/><Relationship Id="rId1153" Type="http://schemas.openxmlformats.org/officeDocument/2006/relationships/hyperlink" Target="https://chromewebstore.google.com/detail/chinfkfmaefdlchhempbfgbdagheknoj" TargetMode="External"/><Relationship Id="rId2484" Type="http://schemas.openxmlformats.org/officeDocument/2006/relationships/hyperlink" Target="https://chromewebstore.google.com/detail/pkmjkmagmdipoioaihlbahnkjhpappjm" TargetMode="External"/><Relationship Id="rId1154" Type="http://schemas.openxmlformats.org/officeDocument/2006/relationships/hyperlink" Target="https://chromewebstore.google.com/detail/chnhdkjgpeonhdlilkjhhbahbciplhae" TargetMode="External"/><Relationship Id="rId2485" Type="http://schemas.openxmlformats.org/officeDocument/2006/relationships/hyperlink" Target="https://chromewebstore.google.com/detail/pkokmcnklmgbepioackopoknkdlhefjl" TargetMode="External"/><Relationship Id="rId1155" Type="http://schemas.openxmlformats.org/officeDocument/2006/relationships/hyperlink" Target="https://chromewebstore.google.com/detail/chnmnpjdfgbmmhcfckgccdloplddclkk" TargetMode="External"/><Relationship Id="rId2486" Type="http://schemas.openxmlformats.org/officeDocument/2006/relationships/hyperlink" Target="https://chromewebstore.google.com/detail/poadggnmgoaalhgdkjfdmkjaihableef" TargetMode="External"/><Relationship Id="rId1156" Type="http://schemas.openxmlformats.org/officeDocument/2006/relationships/hyperlink" Target="https://chromewebstore.google.com/detail/cidepfmbgngpdapgncfhpecbdhmnnemf" TargetMode="External"/><Relationship Id="rId2487" Type="http://schemas.openxmlformats.org/officeDocument/2006/relationships/hyperlink" Target="https://chromewebstore.google.com/detail/popaiegponeiefbiddhmaphpbdjoegff" TargetMode="External"/><Relationship Id="rId1157" Type="http://schemas.openxmlformats.org/officeDocument/2006/relationships/hyperlink" Target="https://chromewebstore.google.com/detail/ciimjfgcajblmnjlcgopeflnjdknekkd" TargetMode="External"/><Relationship Id="rId2488" Type="http://schemas.openxmlformats.org/officeDocument/2006/relationships/hyperlink" Target="https://chromewebstore.google.com/detail/eedchpibggikoahhgjpikeacbnlnnfge" TargetMode="External"/><Relationship Id="rId1147" Type="http://schemas.openxmlformats.org/officeDocument/2006/relationships/hyperlink" Target="https://chromewebstore.google.com/detail/cfpenpohaapdgnkglcbgjiooipcbcebi" TargetMode="External"/><Relationship Id="rId2478" Type="http://schemas.openxmlformats.org/officeDocument/2006/relationships/hyperlink" Target="https://chromewebstore.google.com/detail/pibckhncbjabhlomohgcdedacopeooml" TargetMode="External"/><Relationship Id="rId1148" Type="http://schemas.openxmlformats.org/officeDocument/2006/relationships/hyperlink" Target="https://chromewebstore.google.com/detail/cgaocdmhkmfnkdkbnckgmpopcbpaaejo" TargetMode="External"/><Relationship Id="rId2479" Type="http://schemas.openxmlformats.org/officeDocument/2006/relationships/hyperlink" Target="https://chromewebstore.google.com/detail/piidlenoacbeeecjfdkjcgcienfgnkjn" TargetMode="External"/><Relationship Id="rId1149" Type="http://schemas.openxmlformats.org/officeDocument/2006/relationships/hyperlink" Target="https://chromewebstore.google.com/detail/cgfkddgbnfplidghapbbnngaogeldmop" TargetMode="External"/><Relationship Id="rId2470" Type="http://schemas.openxmlformats.org/officeDocument/2006/relationships/hyperlink" Target="https://chromewebstore.google.com/detail/pbggmlghklngacbdkdjcebaaglkcokhp" TargetMode="External"/><Relationship Id="rId1140" Type="http://schemas.openxmlformats.org/officeDocument/2006/relationships/hyperlink" Target="https://chromewebstore.google.com/detail/ccdfjnniglfbpaplecpifdiglfmcebce" TargetMode="External"/><Relationship Id="rId2471" Type="http://schemas.openxmlformats.org/officeDocument/2006/relationships/hyperlink" Target="https://chromewebstore.google.com/detail/pcdpmeeakgehfnimhbgfpcgcmhmglajd" TargetMode="External"/><Relationship Id="rId1141" Type="http://schemas.openxmlformats.org/officeDocument/2006/relationships/hyperlink" Target="https://chromewebstore.google.com/detail/ccmkbgknapokcjabmiaimipiepgpgbco" TargetMode="External"/><Relationship Id="rId2472" Type="http://schemas.openxmlformats.org/officeDocument/2006/relationships/hyperlink" Target="https://chromewebstore.google.com/detail/peclgodihffdabhnecgclojooijaeeeb" TargetMode="External"/><Relationship Id="rId1142" Type="http://schemas.openxmlformats.org/officeDocument/2006/relationships/hyperlink" Target="https://chromewebstore.google.com/detail/ccpleclnjidgphbmhphdfeejfifeekak" TargetMode="External"/><Relationship Id="rId2473" Type="http://schemas.openxmlformats.org/officeDocument/2006/relationships/hyperlink" Target="https://chromewebstore.google.com/detail/peeaakkcmdoeljddgdkcailflcballmm" TargetMode="External"/><Relationship Id="rId1143" Type="http://schemas.openxmlformats.org/officeDocument/2006/relationships/hyperlink" Target="https://chromewebstore.google.com/detail/cddofafgecbaiedcjjhmfiojofcbpknn" TargetMode="External"/><Relationship Id="rId2474" Type="http://schemas.openxmlformats.org/officeDocument/2006/relationships/hyperlink" Target="https://chromewebstore.google.com/detail/pfneigogocifpmjngcpbhfmjhbckjcao" TargetMode="External"/><Relationship Id="rId1144" Type="http://schemas.openxmlformats.org/officeDocument/2006/relationships/hyperlink" Target="https://chromewebstore.google.com/detail/cdkhibgadomdghgnknpmgegpjjmfecfk" TargetMode="External"/><Relationship Id="rId2475" Type="http://schemas.openxmlformats.org/officeDocument/2006/relationships/hyperlink" Target="http://ovpn.com" TargetMode="External"/><Relationship Id="rId1145" Type="http://schemas.openxmlformats.org/officeDocument/2006/relationships/hyperlink" Target="https://chromewebstore.google.com/detail/ceplnfffelfmoahckkalagpmipjfcncc" TargetMode="External"/><Relationship Id="rId2476" Type="http://schemas.openxmlformats.org/officeDocument/2006/relationships/hyperlink" Target="https://chromewebstore.google.com/detail/pgogbeeleccaogghlpmoilbegdhacfnn" TargetMode="External"/><Relationship Id="rId1146" Type="http://schemas.openxmlformats.org/officeDocument/2006/relationships/hyperlink" Target="https://chromewebstore.google.com/detail/cfaihfocdnniaholfnjcemnfhcjchohb" TargetMode="External"/><Relationship Id="rId2477" Type="http://schemas.openxmlformats.org/officeDocument/2006/relationships/hyperlink" Target="https://chromewebstore.google.com/detail/phnffahgegfkcobeaapbenpmdnkifigc" TargetMode="External"/><Relationship Id="rId7319" Type="http://schemas.openxmlformats.org/officeDocument/2006/relationships/hyperlink" Target="https://chromewebstore.google.com/detail/ielihhgdcegllgkmlhjccngaiifdebjp" TargetMode="External"/><Relationship Id="rId7318" Type="http://schemas.openxmlformats.org/officeDocument/2006/relationships/hyperlink" Target="https://chromewebstore.google.com/detail/hjpjeoggaghioalbepadcjcjpjhofnbb" TargetMode="External"/><Relationship Id="rId8649" Type="http://schemas.openxmlformats.org/officeDocument/2006/relationships/hyperlink" Target="https://chromewebstore.google.com/detail/cjiagapahflodiohcblmknmbaanipomj" TargetMode="External"/><Relationship Id="rId8640" Type="http://schemas.openxmlformats.org/officeDocument/2006/relationships/hyperlink" Target="https://chromewebstore.google.com/detail/lnhmnokjidjgnnbfcnbhnkgfnfcndfkg" TargetMode="External"/><Relationship Id="rId7313" Type="http://schemas.openxmlformats.org/officeDocument/2006/relationships/hyperlink" Target="https://chromewebstore.google.com/detail/eiloldiefkfjmhfcoghlddibiopnfmco" TargetMode="External"/><Relationship Id="rId8644" Type="http://schemas.openxmlformats.org/officeDocument/2006/relationships/hyperlink" Target="https://chromewebstore.google.com/detail/iljjenghdkelgjcolpijbmljfiejjphn" TargetMode="External"/><Relationship Id="rId7312" Type="http://schemas.openxmlformats.org/officeDocument/2006/relationships/hyperlink" Target="https://chromewebstore.google.com/detail/ddgjcdjmppffpfhehjmipgcjgfodicom" TargetMode="External"/><Relationship Id="rId8643" Type="http://schemas.openxmlformats.org/officeDocument/2006/relationships/hyperlink" Target="https://chromewebstore.google.com/detail/gdgkhgfgpfhnmiebaedlcaignonmjobe" TargetMode="External"/><Relationship Id="rId7311" Type="http://schemas.openxmlformats.org/officeDocument/2006/relationships/hyperlink" Target="https://chromewebstore.google.com/detail/igbkiendclmannlppkbacbfnolhgoino" TargetMode="External"/><Relationship Id="rId8642" Type="http://schemas.openxmlformats.org/officeDocument/2006/relationships/hyperlink" Target="https://chromewebstore.google.com/detail/pjfphmbojlohmlllhdonekppepdpbkme" TargetMode="External"/><Relationship Id="rId7310" Type="http://schemas.openxmlformats.org/officeDocument/2006/relationships/hyperlink" Target="https://chromewebstore.google.com/detail/dljenobnbaealaglncgihenfkbkblefd" TargetMode="External"/><Relationship Id="rId8641" Type="http://schemas.openxmlformats.org/officeDocument/2006/relationships/hyperlink" Target="https://chromewebstore.google.com/detail/olifkhgiaclmeffmbahghkpapnfipibl" TargetMode="External"/><Relationship Id="rId7317" Type="http://schemas.openxmlformats.org/officeDocument/2006/relationships/hyperlink" Target="https://chromewebstore.google.com/detail/dmcplcjakmobkeanofhphpjecbpjicka" TargetMode="External"/><Relationship Id="rId8648" Type="http://schemas.openxmlformats.org/officeDocument/2006/relationships/hyperlink" Target="https://chromewebstore.google.com/detail/bjnnkbaedklmpjohbnhnblglllonbkik" TargetMode="External"/><Relationship Id="rId7316" Type="http://schemas.openxmlformats.org/officeDocument/2006/relationships/hyperlink" Target="https://chromewebstore.google.com/detail/pakdbolgkiaihjjnagiapphppcfmggcg" TargetMode="External"/><Relationship Id="rId8647" Type="http://schemas.openxmlformats.org/officeDocument/2006/relationships/hyperlink" Target="https://chromewebstore.google.com/detail/bgkogmcpidbbckddheecaheippeabpnf" TargetMode="External"/><Relationship Id="rId7315" Type="http://schemas.openxmlformats.org/officeDocument/2006/relationships/hyperlink" Target="https://chromewebstore.google.com/detail/nkbalpdjkhpfohgonjkagacjkcndhgic" TargetMode="External"/><Relationship Id="rId8646" Type="http://schemas.openxmlformats.org/officeDocument/2006/relationships/hyperlink" Target="https://chromewebstore.google.com/detail/kkpnmkbpnnmefdjpdemgjpalbnplmdif" TargetMode="External"/><Relationship Id="rId7314" Type="http://schemas.openxmlformats.org/officeDocument/2006/relationships/hyperlink" Target="https://chromewebstore.google.com/detail/fjcagflhkmbkecgddkjblhkadbplhfan" TargetMode="External"/><Relationship Id="rId8645" Type="http://schemas.openxmlformats.org/officeDocument/2006/relationships/hyperlink" Target="https://chromewebstore.google.com/detail/kbmlfebdmnbkankdjbfjepadjnapkbki" TargetMode="External"/><Relationship Id="rId7309" Type="http://schemas.openxmlformats.org/officeDocument/2006/relationships/hyperlink" Target="https://chromewebstore.google.com/detail/oghncgjeeecljbkloncoifojhioefmpj" TargetMode="External"/><Relationship Id="rId7308" Type="http://schemas.openxmlformats.org/officeDocument/2006/relationships/hyperlink" Target="https://chromewebstore.google.com/detail/gedahnddbefjjlpbhghpjnddbkleambb" TargetMode="External"/><Relationship Id="rId8639" Type="http://schemas.openxmlformats.org/officeDocument/2006/relationships/hyperlink" Target="https://chromewebstore.google.com/detail/lhnjllodihbcobjkppfbafclibgpofje" TargetMode="External"/><Relationship Id="rId7307" Type="http://schemas.openxmlformats.org/officeDocument/2006/relationships/hyperlink" Target="http://diacritice.ai" TargetMode="External"/><Relationship Id="rId8638" Type="http://schemas.openxmlformats.org/officeDocument/2006/relationships/hyperlink" Target="https://chromewebstore.google.com/detail/hejgbghjhjiilikhjinpbooockoiipek" TargetMode="External"/><Relationship Id="rId7302" Type="http://schemas.openxmlformats.org/officeDocument/2006/relationships/hyperlink" Target="https://chromewebstore.google.com/detail/phpchoonngafcpakpkddaddfcfokoljg" TargetMode="External"/><Relationship Id="rId8633" Type="http://schemas.openxmlformats.org/officeDocument/2006/relationships/hyperlink" Target="https://chromewebstore.google.com/detail/leocemaonffedgnjdhfoilhdledinnnh" TargetMode="External"/><Relationship Id="rId7301" Type="http://schemas.openxmlformats.org/officeDocument/2006/relationships/hyperlink" Target="https://chromewebstore.google.com/detail/lgimpnfdefcpkicbflpmainbcdnlblej" TargetMode="External"/><Relationship Id="rId8632" Type="http://schemas.openxmlformats.org/officeDocument/2006/relationships/hyperlink" Target="https://chromewebstore.google.com/detail/aliachjmgkelibfecomdccomahgpople" TargetMode="External"/><Relationship Id="rId7300" Type="http://schemas.openxmlformats.org/officeDocument/2006/relationships/hyperlink" Target="https://chromewebstore.google.com/detail/kffichpbbagkbjokajcpncophhhjgafl" TargetMode="External"/><Relationship Id="rId8631" Type="http://schemas.openxmlformats.org/officeDocument/2006/relationships/hyperlink" Target="https://chromewebstore.google.com/detail/pmhanmhcicjcfmmjiclkkjlpigpdmchl" TargetMode="External"/><Relationship Id="rId8630" Type="http://schemas.openxmlformats.org/officeDocument/2006/relationships/hyperlink" Target="https://chromewebstore.google.com/detail/oclpffaofghhmjgdldcmnkofpdnogdnf" TargetMode="External"/><Relationship Id="rId7306" Type="http://schemas.openxmlformats.org/officeDocument/2006/relationships/hyperlink" Target="https://chromewebstore.google.com/detail/flkkpmjbbpijiedjdgnhkcgopgnflehe" TargetMode="External"/><Relationship Id="rId8637" Type="http://schemas.openxmlformats.org/officeDocument/2006/relationships/hyperlink" Target="https://chromewebstore.google.com/detail/ghpeimfjbonkimelnkbgekmcboomkgmi" TargetMode="External"/><Relationship Id="rId7305" Type="http://schemas.openxmlformats.org/officeDocument/2006/relationships/hyperlink" Target="https://chromewebstore.google.com/detail/ecfegnjfemalkfnohnlnecfedlloigdd" TargetMode="External"/><Relationship Id="rId8636" Type="http://schemas.openxmlformats.org/officeDocument/2006/relationships/hyperlink" Target="https://chromewebstore.google.com/detail/fjekaacdohamhhbmfhllhangfcgaimmm" TargetMode="External"/><Relationship Id="rId7304" Type="http://schemas.openxmlformats.org/officeDocument/2006/relationships/hyperlink" Target="https://chromewebstore.google.com/detail/eccdnkekcnnnlipheicaldlogfnccfoc" TargetMode="External"/><Relationship Id="rId8635" Type="http://schemas.openxmlformats.org/officeDocument/2006/relationships/hyperlink" Target="https://chromewebstore.google.com/detail/ahahkpfdmlddommandcmeanlhbabnckn" TargetMode="External"/><Relationship Id="rId7303" Type="http://schemas.openxmlformats.org/officeDocument/2006/relationships/hyperlink" Target="https://chromewebstore.google.com/detail/ccalldmbpkkpjcfgahbnpeffakpdldhj" TargetMode="External"/><Relationship Id="rId8634" Type="http://schemas.openxmlformats.org/officeDocument/2006/relationships/hyperlink" Target="https://chromewebstore.google.com/detail/oikidifpfcaoocciidamfmfjmhggbhlk" TargetMode="External"/><Relationship Id="rId6009" Type="http://schemas.openxmlformats.org/officeDocument/2006/relationships/hyperlink" Target="https://chromewebstore.google.com/detail/ihdmmfkidjhokdgchkddpnhmbjdlpbkp" TargetMode="External"/><Relationship Id="rId7331" Type="http://schemas.openxmlformats.org/officeDocument/2006/relationships/hyperlink" Target="https://chromewebstore.google.com/detail/jkmalmidnicnnmceielaelokkdmmgkcb" TargetMode="External"/><Relationship Id="rId8662" Type="http://schemas.openxmlformats.org/officeDocument/2006/relationships/hyperlink" Target="https://chromewebstore.google.com/detail/pipocicnhgaphjjmcchdnnaoofncdfnn" TargetMode="External"/><Relationship Id="rId6000" Type="http://schemas.openxmlformats.org/officeDocument/2006/relationships/hyperlink" Target="https://chromewebstore.google.com/detail/ignddgemjkghaogmfmokpfplbmoiecde" TargetMode="External"/><Relationship Id="rId7330" Type="http://schemas.openxmlformats.org/officeDocument/2006/relationships/hyperlink" Target="https://chromewebstore.google.com/detail/oblhholoigcdnggmpekdkkkohckiennk" TargetMode="External"/><Relationship Id="rId8661" Type="http://schemas.openxmlformats.org/officeDocument/2006/relationships/hyperlink" Target="https://chromewebstore.google.com/detail/njppjhbkfdkokacgoifjbbkijgfpkjec" TargetMode="External"/><Relationship Id="rId8660" Type="http://schemas.openxmlformats.org/officeDocument/2006/relationships/hyperlink" Target="https://chromewebstore.google.com/detail/mbonhaimbjdhphgdpfihdanaimpiooan" TargetMode="External"/><Relationship Id="rId6003" Type="http://schemas.openxmlformats.org/officeDocument/2006/relationships/hyperlink" Target="https://chromewebstore.google.com/detail/igpnpekckpgidennnogoholpehjgcapk" TargetMode="External"/><Relationship Id="rId7335" Type="http://schemas.openxmlformats.org/officeDocument/2006/relationships/hyperlink" Target="https://chromewebstore.google.com/detail/mgmlhofeembbhkmofnmhghombpdenhib" TargetMode="External"/><Relationship Id="rId8666" Type="http://schemas.openxmlformats.org/officeDocument/2006/relationships/hyperlink" Target="https://chromewebstore.google.com/detail/kkganccblahhhjbpjgbaindnmjimjaep" TargetMode="External"/><Relationship Id="rId6004" Type="http://schemas.openxmlformats.org/officeDocument/2006/relationships/hyperlink" Target="https://chromewebstore.google.com/detail/igpoimkggagpelmpjlojcnjddehkoamp" TargetMode="External"/><Relationship Id="rId7334" Type="http://schemas.openxmlformats.org/officeDocument/2006/relationships/hyperlink" Target="https://chromewebstore.google.com/detail/lkjeamadaggbfkjiiemgdkamlecpkhpo" TargetMode="External"/><Relationship Id="rId8665" Type="http://schemas.openxmlformats.org/officeDocument/2006/relationships/hyperlink" Target="https://chromewebstore.google.com/detail/jnodcgnkggmnlmcgibanbaeagpjckjnd" TargetMode="External"/><Relationship Id="rId6001" Type="http://schemas.openxmlformats.org/officeDocument/2006/relationships/hyperlink" Target="https://chromewebstore.google.com/detail/igobdfagkcadgcfooegonbbeeggagakn" TargetMode="External"/><Relationship Id="rId7333" Type="http://schemas.openxmlformats.org/officeDocument/2006/relationships/hyperlink" Target="https://chromewebstore.google.com/detail/hpgdddjhemgilkedfdkjhhkblfdhpgmi" TargetMode="External"/><Relationship Id="rId8664" Type="http://schemas.openxmlformats.org/officeDocument/2006/relationships/hyperlink" Target="https://chromewebstore.google.com/detail/fkakmejoechmicbecchienoapbakancc" TargetMode="External"/><Relationship Id="rId6002" Type="http://schemas.openxmlformats.org/officeDocument/2006/relationships/hyperlink" Target="https://chromewebstore.google.com/detail/igolleadgmkcpideghiegkgfnfbodjll" TargetMode="External"/><Relationship Id="rId7332" Type="http://schemas.openxmlformats.org/officeDocument/2006/relationships/hyperlink" Target="https://chromewebstore.google.com/detail/haodokcagfamodepjecmfemicdkdcekk" TargetMode="External"/><Relationship Id="rId8663" Type="http://schemas.openxmlformats.org/officeDocument/2006/relationships/hyperlink" Target="https://chromewebstore.google.com/detail/bgpjnknbmhdhgpofaeifiokeniefmael" TargetMode="External"/><Relationship Id="rId6007" Type="http://schemas.openxmlformats.org/officeDocument/2006/relationships/hyperlink" Target="https://chromewebstore.google.com/detail/ihcahckdmfgebcihagehdfcdopmjmcjp" TargetMode="External"/><Relationship Id="rId7339" Type="http://schemas.openxmlformats.org/officeDocument/2006/relationships/hyperlink" Target="https://chromewebstore.google.com/detail/ibjklhamhinhniplfnoafdohmbllfhdb" TargetMode="External"/><Relationship Id="rId6008" Type="http://schemas.openxmlformats.org/officeDocument/2006/relationships/hyperlink" Target="https://chromewebstore.google.com/detail/ihcoajeckiamdgjipkokhcggolflbinf" TargetMode="External"/><Relationship Id="rId7338" Type="http://schemas.openxmlformats.org/officeDocument/2006/relationships/hyperlink" Target="https://chromewebstore.google.com/detail/elpfbellmnhbenkcdofdbdkneppoekhl" TargetMode="External"/><Relationship Id="rId8669" Type="http://schemas.openxmlformats.org/officeDocument/2006/relationships/hyperlink" Target="https://chromewebstore.google.com/detail/gjbbkgcllakoeppmegglnocdfmlbdlck" TargetMode="External"/><Relationship Id="rId6005" Type="http://schemas.openxmlformats.org/officeDocument/2006/relationships/hyperlink" Target="https://chromewebstore.google.com/detail/ihaobgceoogckalioenpheioedgjaahk" TargetMode="External"/><Relationship Id="rId7337" Type="http://schemas.openxmlformats.org/officeDocument/2006/relationships/hyperlink" Target="https://chromewebstore.google.com/detail/ocemimikpbpokinfnnncaeamaffpgepb" TargetMode="External"/><Relationship Id="rId8668" Type="http://schemas.openxmlformats.org/officeDocument/2006/relationships/hyperlink" Target="https://chromewebstore.google.com/detail/gfhlfpnpjokocfohicmfbgjneiipfeil" TargetMode="External"/><Relationship Id="rId6006" Type="http://schemas.openxmlformats.org/officeDocument/2006/relationships/hyperlink" Target="https://chromewebstore.google.com/detail/ihaojehalhppjmffmpanipimfpkhacnk" TargetMode="External"/><Relationship Id="rId7336" Type="http://schemas.openxmlformats.org/officeDocument/2006/relationships/hyperlink" Target="https://chromewebstore.google.com/detail/mlonnhlhamjoopabmomhbdlddiomojpp" TargetMode="External"/><Relationship Id="rId8667" Type="http://schemas.openxmlformats.org/officeDocument/2006/relationships/hyperlink" Target="https://chromewebstore.google.com/detail/aeaopfchihlkndgjcimklmopnccejhbn" TargetMode="External"/><Relationship Id="rId7329" Type="http://schemas.openxmlformats.org/officeDocument/2006/relationships/hyperlink" Target="https://chromewebstore.google.com/detail/llpeekamncgmjpoinjibkambheghifpn" TargetMode="External"/><Relationship Id="rId7320" Type="http://schemas.openxmlformats.org/officeDocument/2006/relationships/hyperlink" Target="https://chromewebstore.google.com/detail/aggnfbkmhedkekjoplldenefbchaoiln" TargetMode="External"/><Relationship Id="rId8651" Type="http://schemas.openxmlformats.org/officeDocument/2006/relationships/hyperlink" Target="https://chromewebstore.google.com/detail/ihhopbmcfgkpjklemfdbhgingabdkcpe" TargetMode="External"/><Relationship Id="rId8650" Type="http://schemas.openxmlformats.org/officeDocument/2006/relationships/hyperlink" Target="https://chromewebstore.google.com/detail/fandjchmgmejjcjcedgeoileeibjndbb" TargetMode="External"/><Relationship Id="rId7324" Type="http://schemas.openxmlformats.org/officeDocument/2006/relationships/hyperlink" Target="https://chromewebstore.google.com/detail/ljoihobokkeeobaplgebomjknmchpace" TargetMode="External"/><Relationship Id="rId8655" Type="http://schemas.openxmlformats.org/officeDocument/2006/relationships/hyperlink" Target="https://chromewebstore.google.com/detail/djmbmdhgkbkcjoocbkleedhdhippikab" TargetMode="External"/><Relationship Id="rId7323" Type="http://schemas.openxmlformats.org/officeDocument/2006/relationships/hyperlink" Target="https://chromewebstore.google.com/detail/hjdnnkppfadnemodjjnbacnagkgbhekm" TargetMode="External"/><Relationship Id="rId8654" Type="http://schemas.openxmlformats.org/officeDocument/2006/relationships/hyperlink" Target="https://chromewebstore.google.com/detail/aceanfmobdgdiifkcnobhdoadjphmccd" TargetMode="External"/><Relationship Id="rId7322" Type="http://schemas.openxmlformats.org/officeDocument/2006/relationships/hyperlink" Target="https://chromewebstore.google.com/detail/gkmacjbcgflihgjpmbbpeeaegcimgngi" TargetMode="External"/><Relationship Id="rId8653" Type="http://schemas.openxmlformats.org/officeDocument/2006/relationships/hyperlink" Target="https://chromewebstore.google.com/detail/nleicnolldoamnpiekcpifpimpolkelo" TargetMode="External"/><Relationship Id="rId7321" Type="http://schemas.openxmlformats.org/officeDocument/2006/relationships/hyperlink" Target="https://chromewebstore.google.com/detail/fomcmmdciijaejhjmiilenadhjmlgldp" TargetMode="External"/><Relationship Id="rId8652" Type="http://schemas.openxmlformats.org/officeDocument/2006/relationships/hyperlink" Target="https://chromewebstore.google.com/detail/laphclamlodlnkaicijbcflfmhpebnno" TargetMode="External"/><Relationship Id="rId7328" Type="http://schemas.openxmlformats.org/officeDocument/2006/relationships/hyperlink" Target="https://chromewebstore.google.com/detail/pjijphabckepflameggcdikcoaljmjgf" TargetMode="External"/><Relationship Id="rId8659" Type="http://schemas.openxmlformats.org/officeDocument/2006/relationships/hyperlink" Target="https://chromewebstore.google.com/detail/mapimlkdaecmhlhapakmonjdlpiejbeh" TargetMode="External"/><Relationship Id="rId7327" Type="http://schemas.openxmlformats.org/officeDocument/2006/relationships/hyperlink" Target="https://chromewebstore.google.com/detail/omneonbfgmjmgmihdgicnipfkmcefhhg" TargetMode="External"/><Relationship Id="rId8658" Type="http://schemas.openxmlformats.org/officeDocument/2006/relationships/hyperlink" Target="https://chromewebstore.google.com/detail/hdnehngglnbnehkfcidabjckinphnief" TargetMode="External"/><Relationship Id="rId7326" Type="http://schemas.openxmlformats.org/officeDocument/2006/relationships/hyperlink" Target="https://chromewebstore.google.com/detail/lkabgnnfbbkphagmbjpbenlfglahnlmh" TargetMode="External"/><Relationship Id="rId8657" Type="http://schemas.openxmlformats.org/officeDocument/2006/relationships/hyperlink" Target="https://chromewebstore.google.com/detail/eoekhnolflkjbpiafambpfemogdidlch" TargetMode="External"/><Relationship Id="rId7325" Type="http://schemas.openxmlformats.org/officeDocument/2006/relationships/hyperlink" Target="https://chromewebstore.google.com/detail/foaonmbkcfefpcdnnnooanneebjkneee" TargetMode="External"/><Relationship Id="rId8656" Type="http://schemas.openxmlformats.org/officeDocument/2006/relationships/hyperlink" Target="https://chromewebstore.google.com/detail/dmcopoldcoemapdejndbdnfmbofbkmbh" TargetMode="External"/><Relationship Id="rId8608" Type="http://schemas.openxmlformats.org/officeDocument/2006/relationships/hyperlink" Target="https://chromewebstore.google.com/detail/lemblgpmokabdmjphfehokigmpeobefc" TargetMode="External"/><Relationship Id="rId8607" Type="http://schemas.openxmlformats.org/officeDocument/2006/relationships/hyperlink" Target="https://chromewebstore.google.com/detail/ekbbnaokafbanjgmcbllligemhiclbcb" TargetMode="External"/><Relationship Id="rId8606" Type="http://schemas.openxmlformats.org/officeDocument/2006/relationships/hyperlink" Target="https://chromewebstore.google.com/detail/eiichpepijkdkmeblleomnppnmiinfkp" TargetMode="External"/><Relationship Id="rId8605" Type="http://schemas.openxmlformats.org/officeDocument/2006/relationships/hyperlink" Target="https://chromewebstore.google.com/detail/dgmhlmcmofmfdmjhpkpippfklihelkhe" TargetMode="External"/><Relationship Id="rId8609" Type="http://schemas.openxmlformats.org/officeDocument/2006/relationships/hyperlink" Target="https://chromewebstore.google.com/detail/pmgaobiflaffpllgnepmhcnbdhfgnpna" TargetMode="External"/><Relationship Id="rId8600" Type="http://schemas.openxmlformats.org/officeDocument/2006/relationships/hyperlink" Target="https://chromewebstore.google.com/detail/inhimoldpmckkeohhdkccpnpbpdfaple" TargetMode="External"/><Relationship Id="rId8604" Type="http://schemas.openxmlformats.org/officeDocument/2006/relationships/hyperlink" Target="https://chromewebstore.google.com/detail/ohgdnhkppgeemnmjebhedjneajcedppf" TargetMode="External"/><Relationship Id="rId8603" Type="http://schemas.openxmlformats.org/officeDocument/2006/relationships/hyperlink" Target="https://chromewebstore.google.com/detail/nmjjeegdffiahoepnhjomedajlphigoa" TargetMode="External"/><Relationship Id="rId8602" Type="http://schemas.openxmlformats.org/officeDocument/2006/relationships/hyperlink" Target="https://chromewebstore.google.com/detail/miploifkaagebhdlcdaaomgnenchiocf" TargetMode="External"/><Relationship Id="rId8601" Type="http://schemas.openxmlformats.org/officeDocument/2006/relationships/hyperlink" Target="https://chromewebstore.google.com/detail/mhfkipjbjoggoibcnilbbhdmojekjico" TargetMode="External"/><Relationship Id="rId8629" Type="http://schemas.openxmlformats.org/officeDocument/2006/relationships/hyperlink" Target="https://chromewebstore.google.com/detail/iiijcjlkdiolgjlchofcehnenjijmpoc" TargetMode="External"/><Relationship Id="rId8628" Type="http://schemas.openxmlformats.org/officeDocument/2006/relationships/hyperlink" Target="https://chromewebstore.google.com/detail/bhbcbhpenkmpgbjgaleflgfmelhjlcla" TargetMode="External"/><Relationship Id="rId8627" Type="http://schemas.openxmlformats.org/officeDocument/2006/relationships/hyperlink" Target="https://chromewebstore.google.com/detail/ameigalddkfonmfeclbpknhmacaponip" TargetMode="External"/><Relationship Id="rId8622" Type="http://schemas.openxmlformats.org/officeDocument/2006/relationships/hyperlink" Target="https://chromewebstore.google.com/detail/gnfgpckgnjfpifajcmmkegajbnmpdagb" TargetMode="External"/><Relationship Id="rId8621" Type="http://schemas.openxmlformats.org/officeDocument/2006/relationships/hyperlink" Target="https://chromewebstore.google.com/detail/aockhgcalnpkacmmbabpenflbdikonmg" TargetMode="External"/><Relationship Id="rId8620" Type="http://schemas.openxmlformats.org/officeDocument/2006/relationships/hyperlink" Target="https://chromewebstore.google.com/detail/nnpjokeejpliankbgnjbjlkaloppehoi" TargetMode="External"/><Relationship Id="rId8626" Type="http://schemas.openxmlformats.org/officeDocument/2006/relationships/hyperlink" Target="https://chromewebstore.google.com/detail/njekdcbanhfkdnnfmmbidoacmankeplg" TargetMode="External"/><Relationship Id="rId8625" Type="http://schemas.openxmlformats.org/officeDocument/2006/relationships/hyperlink" Target="https://chromewebstore.google.com/detail/mjfpkofgblpbkmjapadadendndgpiehh" TargetMode="External"/><Relationship Id="rId8624" Type="http://schemas.openxmlformats.org/officeDocument/2006/relationships/hyperlink" Target="https://chromewebstore.google.com/detail/mdockcefffdofgbbjnnopcdmmkmfhjbm" TargetMode="External"/><Relationship Id="rId8623" Type="http://schemas.openxmlformats.org/officeDocument/2006/relationships/hyperlink" Target="https://chromewebstore.google.com/detail/mcccooedddofpgcfonjkjkcjcmjopgag" TargetMode="External"/><Relationship Id="rId8619" Type="http://schemas.openxmlformats.org/officeDocument/2006/relationships/hyperlink" Target="https://chromewebstore.google.com/detail/hoflghcpbmgflojkghjopgodbhlpaeah" TargetMode="External"/><Relationship Id="rId8618" Type="http://schemas.openxmlformats.org/officeDocument/2006/relationships/hyperlink" Target="https://chromewebstore.google.com/detail/gmfkhbgcplalelcilmjpilgeeeabcbmh" TargetMode="External"/><Relationship Id="rId8617" Type="http://schemas.openxmlformats.org/officeDocument/2006/relationships/hyperlink" Target="https://chromewebstore.google.com/detail/fcoiihedkoepncejhcojgooljcflgpki" TargetMode="External"/><Relationship Id="rId8616" Type="http://schemas.openxmlformats.org/officeDocument/2006/relationships/hyperlink" Target="https://chromewebstore.google.com/detail/fbmhcbaeifdmgiidnkhchagmeijdoijp" TargetMode="External"/><Relationship Id="rId8611" Type="http://schemas.openxmlformats.org/officeDocument/2006/relationships/hyperlink" Target="https://chromewebstore.google.com/detail/bhaoeiajjigjglldnbichcimpgkfhckj" TargetMode="External"/><Relationship Id="rId8610" Type="http://schemas.openxmlformats.org/officeDocument/2006/relationships/hyperlink" Target="https://chromewebstore.google.com/detail/pmihaiejckejbpjdnildimfkpcpnohlo" TargetMode="External"/><Relationship Id="rId8615" Type="http://schemas.openxmlformats.org/officeDocument/2006/relationships/hyperlink" Target="https://chromewebstore.google.com/detail/ejjfgahdiphopekkdkkkapolodefpenn" TargetMode="External"/><Relationship Id="rId8614" Type="http://schemas.openxmlformats.org/officeDocument/2006/relationships/hyperlink" Target="https://chromewebstore.google.com/detail/fdnpemihonbjkncljjolnmpfgbeigapf" TargetMode="External"/><Relationship Id="rId8613" Type="http://schemas.openxmlformats.org/officeDocument/2006/relationships/hyperlink" Target="https://chromewebstore.google.com/detail/fddonggpkiioiamiooilhidionncbdoj" TargetMode="External"/><Relationship Id="rId8612" Type="http://schemas.openxmlformats.org/officeDocument/2006/relationships/hyperlink" Target="https://chromewebstore.google.com/detail/eepnfgpbliefeomgndikgopjomjelbhd" TargetMode="External"/><Relationship Id="rId6061" Type="http://schemas.openxmlformats.org/officeDocument/2006/relationships/hyperlink" Target="https://chromewebstore.google.com/detail/iphchnegaodmijmkdlbhbanjhfphhikp" TargetMode="External"/><Relationship Id="rId7393" Type="http://schemas.openxmlformats.org/officeDocument/2006/relationships/hyperlink" Target="https://chromewebstore.google.com/detail/ajjnokaolfbjimgelmdmdlijoclmjnag" TargetMode="External"/><Relationship Id="rId6062" Type="http://schemas.openxmlformats.org/officeDocument/2006/relationships/hyperlink" Target="https://chromewebstore.google.com/detail/iphpjhbabehcmdjobbjmbkgbbgipnppo" TargetMode="External"/><Relationship Id="rId7392" Type="http://schemas.openxmlformats.org/officeDocument/2006/relationships/hyperlink" Target="https://chromewebstore.google.com/detail/aebieeaodhkabdnmhjbfmdohhhcoipof" TargetMode="External"/><Relationship Id="rId7391" Type="http://schemas.openxmlformats.org/officeDocument/2006/relationships/hyperlink" Target="https://chromewebstore.google.com/detail/pgpmpfcpnpgnkombckgpnfkmbepockaj" TargetMode="External"/><Relationship Id="rId6060" Type="http://schemas.openxmlformats.org/officeDocument/2006/relationships/hyperlink" Target="https://chromewebstore.google.com/detail/ipeedobjpnifnedmipdjkhddenoghcgm" TargetMode="External"/><Relationship Id="rId7390" Type="http://schemas.openxmlformats.org/officeDocument/2006/relationships/hyperlink" Target="https://chromewebstore.google.com/detail/lcpnmiadfhokkkphhdmadlibhikkjlml" TargetMode="External"/><Relationship Id="rId6065" Type="http://schemas.openxmlformats.org/officeDocument/2006/relationships/hyperlink" Target="https://chromewebstore.google.com/detail/ipjokmngflkhejjllgjoiikojlnlkoop" TargetMode="External"/><Relationship Id="rId7397" Type="http://schemas.openxmlformats.org/officeDocument/2006/relationships/hyperlink" Target="https://chromewebstore.google.com/detail/hnmcofcmhpllkdkncnofkjdlpieagngg" TargetMode="External"/><Relationship Id="rId6066" Type="http://schemas.openxmlformats.org/officeDocument/2006/relationships/hyperlink" Target="https://chromewebstore.google.com/detail/ipkcinfcdhhcmibffhlklololceffgnc" TargetMode="External"/><Relationship Id="rId7396" Type="http://schemas.openxmlformats.org/officeDocument/2006/relationships/hyperlink" Target="https://chromewebstore.google.com/detail/foinnhdebpllnjmmgkdfnkkejmejhkbc" TargetMode="External"/><Relationship Id="rId6063" Type="http://schemas.openxmlformats.org/officeDocument/2006/relationships/hyperlink" Target="https://chromewebstore.google.com/detail/ipjhpmdippbajafafidlinjjmfkdamci" TargetMode="External"/><Relationship Id="rId7395" Type="http://schemas.openxmlformats.org/officeDocument/2006/relationships/hyperlink" Target="https://chromewebstore.google.com/detail/dpicaggneknadilmelkoemhffdnooanb" TargetMode="External"/><Relationship Id="rId6064" Type="http://schemas.openxmlformats.org/officeDocument/2006/relationships/hyperlink" Target="https://chromewebstore.google.com/detail/ipjljbilkibpncgnagphiamkkdilbbki" TargetMode="External"/><Relationship Id="rId7394" Type="http://schemas.openxmlformats.org/officeDocument/2006/relationships/hyperlink" Target="https://chromewebstore.google.com/detail/bpcbpnlhalnkaheioffegmhhdlmooieg" TargetMode="External"/><Relationship Id="rId6069" Type="http://schemas.openxmlformats.org/officeDocument/2006/relationships/hyperlink" Target="https://chromewebstore.google.com/detail/jafenodgdcelmajjnbcchlfjomlkaifp" TargetMode="External"/><Relationship Id="rId6067" Type="http://schemas.openxmlformats.org/officeDocument/2006/relationships/hyperlink" Target="https://chromewebstore.google.com/detail/ipofikknncgcohpploljmbmpkgamedmi" TargetMode="External"/><Relationship Id="rId7399" Type="http://schemas.openxmlformats.org/officeDocument/2006/relationships/hyperlink" Target="https://chromewebstore.google.com/detail/lkoddlganbhamjljmlelnhljllbbljbf" TargetMode="External"/><Relationship Id="rId6068" Type="http://schemas.openxmlformats.org/officeDocument/2006/relationships/hyperlink" Target="https://chromewebstore.google.com/detail/jaccdpaccdpnonbghbpigkjjjlollmak" TargetMode="External"/><Relationship Id="rId7398" Type="http://schemas.openxmlformats.org/officeDocument/2006/relationships/hyperlink" Target="https://chromewebstore.google.com/detail/imhekgipjdpmedaiocgljanjpbmhdmlo" TargetMode="External"/><Relationship Id="rId6050" Type="http://schemas.openxmlformats.org/officeDocument/2006/relationships/hyperlink" Target="https://chromewebstore.google.com/detail/ioejcchhffpmcjkjmkkgpndhobjbdgml" TargetMode="External"/><Relationship Id="rId7382" Type="http://schemas.openxmlformats.org/officeDocument/2006/relationships/hyperlink" Target="https://chromewebstore.google.com/detail/mjokgonphggmacmlgdfeeddkpjmdbakf" TargetMode="External"/><Relationship Id="rId6051" Type="http://schemas.openxmlformats.org/officeDocument/2006/relationships/hyperlink" Target="https://chromewebstore.google.com/detail/ioemepjpplneldnhflchbllkbjgfceho" TargetMode="External"/><Relationship Id="rId7381" Type="http://schemas.openxmlformats.org/officeDocument/2006/relationships/hyperlink" Target="http://steaser.ru" TargetMode="External"/><Relationship Id="rId7380" Type="http://schemas.openxmlformats.org/officeDocument/2006/relationships/hyperlink" Target="https://chromewebstore.google.com/detail/inclbgdmhheebmihljedogpbfkaeeaci" TargetMode="External"/><Relationship Id="rId6054" Type="http://schemas.openxmlformats.org/officeDocument/2006/relationships/hyperlink" Target="https://chromewebstore.google.com/detail/iolllppockafcienapcpdpbmbdolbpgn" TargetMode="External"/><Relationship Id="rId7386" Type="http://schemas.openxmlformats.org/officeDocument/2006/relationships/hyperlink" Target="https://chromewebstore.google.com/detail/nmkmpldhpejmploidnhchbohelkfnokk" TargetMode="External"/><Relationship Id="rId6055" Type="http://schemas.openxmlformats.org/officeDocument/2006/relationships/hyperlink" Target="https://chromewebstore.google.com/detail/iomchefffddaglnekonfihdnccacnjjb" TargetMode="External"/><Relationship Id="rId7385" Type="http://schemas.openxmlformats.org/officeDocument/2006/relationships/hyperlink" Target="https://chromewebstore.google.com/detail/beamjpgknhidkfgmbeplfedbnhmajjpj" TargetMode="External"/><Relationship Id="rId6052" Type="http://schemas.openxmlformats.org/officeDocument/2006/relationships/hyperlink" Target="https://chromewebstore.google.com/detail/iohfdefnnffaejpacklikjbjhnfcmbej" TargetMode="External"/><Relationship Id="rId7384" Type="http://schemas.openxmlformats.org/officeDocument/2006/relationships/hyperlink" Target="https://chromewebstore.google.com/detail/aahaelhkejkacfahbognphmanapkalab" TargetMode="External"/><Relationship Id="rId6053" Type="http://schemas.openxmlformats.org/officeDocument/2006/relationships/hyperlink" Target="https://chromewebstore.google.com/detail/iolfhmhipbbpacmhhffkjelgkadnffid" TargetMode="External"/><Relationship Id="rId7383" Type="http://schemas.openxmlformats.org/officeDocument/2006/relationships/hyperlink" Target="https://chromewebstore.google.com/detail/mneimgababoaidaajoibedahomnpmbja" TargetMode="External"/><Relationship Id="rId6058" Type="http://schemas.openxmlformats.org/officeDocument/2006/relationships/hyperlink" Target="https://chromewebstore.google.com/detail/ipbomjpcpbebobdnkoogngmknkohncjd" TargetMode="External"/><Relationship Id="rId6059" Type="http://schemas.openxmlformats.org/officeDocument/2006/relationships/hyperlink" Target="https://chromewebstore.google.com/detail/ipdbhnffahpohpdkcelabahpmlheidff" TargetMode="External"/><Relationship Id="rId7389" Type="http://schemas.openxmlformats.org/officeDocument/2006/relationships/hyperlink" Target="https://chromewebstore.google.com/detail/jcnefiekgjgajlpddpakgcpnkpphddpp" TargetMode="External"/><Relationship Id="rId6056" Type="http://schemas.openxmlformats.org/officeDocument/2006/relationships/hyperlink" Target="https://chromewebstore.google.com/detail/ipbclffpmnocdigdcpmahfmdlibcggal" TargetMode="External"/><Relationship Id="rId7388" Type="http://schemas.openxmlformats.org/officeDocument/2006/relationships/hyperlink" Target="https://chromewebstore.google.com/detail/hccdpjclpakgmpkghkhamjpdcmjojnak" TargetMode="External"/><Relationship Id="rId6057" Type="http://schemas.openxmlformats.org/officeDocument/2006/relationships/hyperlink" Target="https://chromewebstore.google.com/detail/ipblkdfaeagmojkgohnhiknbmepfokdd" TargetMode="External"/><Relationship Id="rId7387" Type="http://schemas.openxmlformats.org/officeDocument/2006/relationships/hyperlink" Target="https://chromewebstore.google.com/detail/gdnacdhjfapjlfgmeclkciccfogjebil" TargetMode="External"/><Relationship Id="rId3810" Type="http://schemas.openxmlformats.org/officeDocument/2006/relationships/hyperlink" Target="https://chromewebstore.google.com/detail/oeekflkhfpllpepjdkpodopelgaebeed" TargetMode="External"/><Relationship Id="rId3812" Type="http://schemas.openxmlformats.org/officeDocument/2006/relationships/hyperlink" Target="https://chromewebstore.google.com/detail/ofiindmkglmjpndljggpcpamcglnmmpl" TargetMode="External"/><Relationship Id="rId3811" Type="http://schemas.openxmlformats.org/officeDocument/2006/relationships/hyperlink" Target="https://chromewebstore.google.com/detail/oemdhbekdbklfkopmoalceaabbjmjpdb" TargetMode="External"/><Relationship Id="rId3814" Type="http://schemas.openxmlformats.org/officeDocument/2006/relationships/hyperlink" Target="https://chromewebstore.google.com/detail/ogdbiinbadpfacfnngdjjcjcfkpmidfm" TargetMode="External"/><Relationship Id="rId3813" Type="http://schemas.openxmlformats.org/officeDocument/2006/relationships/hyperlink" Target="https://chromewebstore.google.com/detail/ofnkhbghpfepphpopdkcgbloclnocfpb" TargetMode="External"/><Relationship Id="rId3816" Type="http://schemas.openxmlformats.org/officeDocument/2006/relationships/hyperlink" Target="https://chromewebstore.google.com/detail/oglhollagcmlahfflcpgpoemjpjfafeo" TargetMode="External"/><Relationship Id="rId3815" Type="http://schemas.openxmlformats.org/officeDocument/2006/relationships/hyperlink" Target="https://chromewebstore.google.com/detail/oggljfcldhdcoemgnamdaaaofaenefni" TargetMode="External"/><Relationship Id="rId3818" Type="http://schemas.openxmlformats.org/officeDocument/2006/relationships/hyperlink" Target="https://chromewebstore.google.com/detail/ohnjbklmpmcaagafdohmngealmpojabi" TargetMode="External"/><Relationship Id="rId3817" Type="http://schemas.openxmlformats.org/officeDocument/2006/relationships/hyperlink" Target="https://chromewebstore.google.com/detail/ohnfdmfkceojnmepofncbddpdicdjcoi" TargetMode="External"/><Relationship Id="rId3819" Type="http://schemas.openxmlformats.org/officeDocument/2006/relationships/hyperlink" Target="https://chromewebstore.google.com/detail/okaejpolmbadfbmnpnmdjdocdblgcija" TargetMode="External"/><Relationship Id="rId6090" Type="http://schemas.openxmlformats.org/officeDocument/2006/relationships/hyperlink" Target="https://chromewebstore.google.com/detail/jchkcjcaaoajpabnafbijhamndjfklec" TargetMode="External"/><Relationship Id="rId6091" Type="http://schemas.openxmlformats.org/officeDocument/2006/relationships/hyperlink" Target="https://chromewebstore.google.com/detail/jcjomfhhhgknfhodkcjpagdibgnbdgna" TargetMode="External"/><Relationship Id="rId6083" Type="http://schemas.openxmlformats.org/officeDocument/2006/relationships/hyperlink" Target="https://chromewebstore.google.com/detail/jbmlplamocjhjhodhcnampkkbopjabhl" TargetMode="External"/><Relationship Id="rId6084" Type="http://schemas.openxmlformats.org/officeDocument/2006/relationships/hyperlink" Target="https://chromewebstore.google.com/detail/jbnlafikncgjjhdkmfhokcplgahebmjl" TargetMode="External"/><Relationship Id="rId6081" Type="http://schemas.openxmlformats.org/officeDocument/2006/relationships/hyperlink" Target="https://chromewebstore.google.com/detail/jbmdcdfnnpenkgliplbglfpninigbiml" TargetMode="External"/><Relationship Id="rId6082" Type="http://schemas.openxmlformats.org/officeDocument/2006/relationships/hyperlink" Target="https://chromewebstore.google.com/detail/jbmkeloifnkohclofiomelojjgpdjjcp" TargetMode="External"/><Relationship Id="rId6087" Type="http://schemas.openxmlformats.org/officeDocument/2006/relationships/hyperlink" Target="https://chromewebstore.google.com/detail/jccfbhillgcekaepchoahodacnlhcbnj" TargetMode="External"/><Relationship Id="rId6088" Type="http://schemas.openxmlformats.org/officeDocument/2006/relationships/hyperlink" Target="https://chromewebstore.google.com/detail/jccnghfeobcbfenibcgfkcadhdnchegp" TargetMode="External"/><Relationship Id="rId6085" Type="http://schemas.openxmlformats.org/officeDocument/2006/relationships/hyperlink" Target="https://chromewebstore.google.com/detail/jbokjdopkpibagemeeelbkfhcldefkkp" TargetMode="External"/><Relationship Id="rId6086" Type="http://schemas.openxmlformats.org/officeDocument/2006/relationships/hyperlink" Target="https://chromewebstore.google.com/detail/jbooignbehgkkjfeiojiijijdpjoinco" TargetMode="External"/><Relationship Id="rId6089" Type="http://schemas.openxmlformats.org/officeDocument/2006/relationships/hyperlink" Target="https://chromewebstore.google.com/detail/jcfdalmioobeifbpcgjghhaifimaeaca" TargetMode="External"/><Relationship Id="rId3801" Type="http://schemas.openxmlformats.org/officeDocument/2006/relationships/hyperlink" Target="https://chromewebstore.google.com/detail/oalnjhnakfpklfbnmnbgidfhemncplef" TargetMode="External"/><Relationship Id="rId3800" Type="http://schemas.openxmlformats.org/officeDocument/2006/relationships/hyperlink" Target="https://chromewebstore.google.com/detail/oalbpfagfhfkcmklpdanadjpbfdedndn" TargetMode="External"/><Relationship Id="rId3803" Type="http://schemas.openxmlformats.org/officeDocument/2006/relationships/hyperlink" Target="https://chromewebstore.google.com/detail/oaphhjhbbabdjnpjpiliepphpmnioolo" TargetMode="External"/><Relationship Id="rId3802" Type="http://schemas.openxmlformats.org/officeDocument/2006/relationships/hyperlink" Target="https://chromewebstore.google.com/detail/oapfffhnckhffnpiophbcmjnpomjkfcj" TargetMode="External"/><Relationship Id="rId3805" Type="http://schemas.openxmlformats.org/officeDocument/2006/relationships/hyperlink" Target="https://chromewebstore.google.com/detail/obcnmdgpjakcffkcjnonpdlainhphpgh" TargetMode="External"/><Relationship Id="rId3804" Type="http://schemas.openxmlformats.org/officeDocument/2006/relationships/hyperlink" Target="https://chromewebstore.google.com/detail/obanalcjjhlhikmhfkeifieifjbpnchg" TargetMode="External"/><Relationship Id="rId3807" Type="http://schemas.openxmlformats.org/officeDocument/2006/relationships/hyperlink" Target="https://chromewebstore.google.com/detail/odbdedlpknlpnibidnmjcmlopgegggbi" TargetMode="External"/><Relationship Id="rId3806" Type="http://schemas.openxmlformats.org/officeDocument/2006/relationships/hyperlink" Target="https://chromewebstore.google.com/detail/ocinlljpgedeimebndedmhjmbiigmoga" TargetMode="External"/><Relationship Id="rId3809" Type="http://schemas.openxmlformats.org/officeDocument/2006/relationships/hyperlink" Target="https://chromewebstore.google.com/detail/odoiohbbplgpbkfinacjpmcfpgfinljb" TargetMode="External"/><Relationship Id="rId3808" Type="http://schemas.openxmlformats.org/officeDocument/2006/relationships/hyperlink" Target="https://chromewebstore.google.com/detail/odfgigmpkhhhieicogijogfobfipijjh" TargetMode="External"/><Relationship Id="rId6080" Type="http://schemas.openxmlformats.org/officeDocument/2006/relationships/hyperlink" Target="https://chromewebstore.google.com/detail/jbkojnjgjfpgmnjcmdkgjjpbgchblkjn" TargetMode="External"/><Relationship Id="rId6072" Type="http://schemas.openxmlformats.org/officeDocument/2006/relationships/hyperlink" Target="https://chromewebstore.google.com/detail/jaooiolkmfcmloonphpiiogkfckgciom" TargetMode="External"/><Relationship Id="rId6073" Type="http://schemas.openxmlformats.org/officeDocument/2006/relationships/hyperlink" Target="https://chromewebstore.google.com/detail/japockpeaaanknlkhagilkgcledilbfk" TargetMode="External"/><Relationship Id="rId6070" Type="http://schemas.openxmlformats.org/officeDocument/2006/relationships/hyperlink" Target="https://chromewebstore.google.com/detail/jakahgbcggmbjgkfjghonlokknhkdfeg" TargetMode="External"/><Relationship Id="rId6071" Type="http://schemas.openxmlformats.org/officeDocument/2006/relationships/hyperlink" Target="https://chromewebstore.google.com/detail/jakokfjpnhpnhilgnlnkaihmkhdfhhmh" TargetMode="External"/><Relationship Id="rId6076" Type="http://schemas.openxmlformats.org/officeDocument/2006/relationships/hyperlink" Target="https://chromewebstore.google.com/detail/jbbpfbflcaebghkmocpbmbgekomglnan" TargetMode="External"/><Relationship Id="rId6077" Type="http://schemas.openxmlformats.org/officeDocument/2006/relationships/hyperlink" Target="https://chromewebstore.google.com/detail/jbfelchjnicpmdnfmcfpfajkdpibabkl" TargetMode="External"/><Relationship Id="rId6074" Type="http://schemas.openxmlformats.org/officeDocument/2006/relationships/hyperlink" Target="https://chromewebstore.google.com/detail/jbbappjmafnnhhalfbhdhiemchcgejcp" TargetMode="External"/><Relationship Id="rId6075" Type="http://schemas.openxmlformats.org/officeDocument/2006/relationships/hyperlink" Target="https://chromewebstore.google.com/detail/jbbnnopgaidlnbefoiebogfaebmehbda" TargetMode="External"/><Relationship Id="rId6078" Type="http://schemas.openxmlformats.org/officeDocument/2006/relationships/hyperlink" Target="https://chromewebstore.google.com/detail/jbfocblhjmlekemmngloodkpeocfkabc" TargetMode="External"/><Relationship Id="rId6079" Type="http://schemas.openxmlformats.org/officeDocument/2006/relationships/hyperlink" Target="https://chromewebstore.google.com/detail/jbgpfjbmmlcaicpeimjggdppephemamf" TargetMode="External"/><Relationship Id="rId8680" Type="http://schemas.openxmlformats.org/officeDocument/2006/relationships/hyperlink" Target="https://chromewebstore.google.com/detail/igcckpiilmgndjpfcojcmagpieedchij" TargetMode="External"/><Relationship Id="rId6021" Type="http://schemas.openxmlformats.org/officeDocument/2006/relationships/hyperlink" Target="https://chromewebstore.google.com/detail/iimpkhokkfekbpmoamlmcndclohnehhk" TargetMode="External"/><Relationship Id="rId7353" Type="http://schemas.openxmlformats.org/officeDocument/2006/relationships/hyperlink" Target="https://chromewebstore.google.com/detail/pdbaomfhmpcbdabjpjfpoehhjnphdoac" TargetMode="External"/><Relationship Id="rId8684" Type="http://schemas.openxmlformats.org/officeDocument/2006/relationships/hyperlink" Target="https://chromewebstore.google.com/detail/angodpfpjlolgkhlflepneffcckdkeni" TargetMode="External"/><Relationship Id="rId6022" Type="http://schemas.openxmlformats.org/officeDocument/2006/relationships/hyperlink" Target="https://chromewebstore.google.com/detail/iinkgkmmblamljaklibgclblomobdbha" TargetMode="External"/><Relationship Id="rId7352" Type="http://schemas.openxmlformats.org/officeDocument/2006/relationships/hyperlink" Target="https://chromewebstore.google.com/detail/oeclbhigfgdhohcojkdnaahfblebhopm" TargetMode="External"/><Relationship Id="rId8683" Type="http://schemas.openxmlformats.org/officeDocument/2006/relationships/hyperlink" Target="https://chromewebstore.google.com/detail/angdkjndobobaegbnhjaooedegkbibae" TargetMode="External"/><Relationship Id="rId7351" Type="http://schemas.openxmlformats.org/officeDocument/2006/relationships/hyperlink" Target="https://chromewebstore.google.com/detail/kbchnjmopnponhoihboafembgokiioei" TargetMode="External"/><Relationship Id="rId8682" Type="http://schemas.openxmlformats.org/officeDocument/2006/relationships/hyperlink" Target="https://chromewebstore.google.com/detail/meggmbmcebhnbamegfmejpokkjhcnmih" TargetMode="External"/><Relationship Id="rId6020" Type="http://schemas.openxmlformats.org/officeDocument/2006/relationships/hyperlink" Target="https://chromewebstore.google.com/detail/iikaeeiidojdmhlmgkhndkpblahibgok" TargetMode="External"/><Relationship Id="rId7350" Type="http://schemas.openxmlformats.org/officeDocument/2006/relationships/hyperlink" Target="https://chromewebstore.google.com/detail/inigdjcpofmlcigjhhiigigihmookhcp" TargetMode="External"/><Relationship Id="rId8681" Type="http://schemas.openxmlformats.org/officeDocument/2006/relationships/hyperlink" Target="https://chromewebstore.google.com/detail/ldcbggleohekjaihklhbkcekmpkdigpa" TargetMode="External"/><Relationship Id="rId6025" Type="http://schemas.openxmlformats.org/officeDocument/2006/relationships/hyperlink" Target="https://chromewebstore.google.com/detail/iiokblnaglmiafdbegeffodnjoobagml" TargetMode="External"/><Relationship Id="rId7357" Type="http://schemas.openxmlformats.org/officeDocument/2006/relationships/hyperlink" Target="https://chromewebstore.google.com/detail/mnglpbimfdclpepbeolgnknccmccigpg" TargetMode="External"/><Relationship Id="rId8688" Type="http://schemas.openxmlformats.org/officeDocument/2006/relationships/hyperlink" Target="https://chromewebstore.google.com/detail/bepkjkmghlbjbeaoggnjjmemckkacnod" TargetMode="External"/><Relationship Id="rId6026" Type="http://schemas.openxmlformats.org/officeDocument/2006/relationships/hyperlink" Target="https://chromewebstore.google.com/detail/ijihchgjhagfhdkhagnmlebpepjlecml" TargetMode="External"/><Relationship Id="rId7356" Type="http://schemas.openxmlformats.org/officeDocument/2006/relationships/hyperlink" Target="https://chromewebstore.google.com/detail/klhjnkppefffcpaoidilhdpdcoenpelj" TargetMode="External"/><Relationship Id="rId8687" Type="http://schemas.openxmlformats.org/officeDocument/2006/relationships/hyperlink" Target="https://chromewebstore.google.com/detail/apeagpappkcpkenmhnofdpfpaminilfj" TargetMode="External"/><Relationship Id="rId6023" Type="http://schemas.openxmlformats.org/officeDocument/2006/relationships/hyperlink" Target="https://chromewebstore.google.com/detail/iinlmmcaihpbbpcgmfppbempfbiahmna" TargetMode="External"/><Relationship Id="rId7355" Type="http://schemas.openxmlformats.org/officeDocument/2006/relationships/hyperlink" Target="https://chromewebstore.google.com/detail/hfbjphgoffoahbnlkpfijmefofmmcfng" TargetMode="External"/><Relationship Id="rId8686" Type="http://schemas.openxmlformats.org/officeDocument/2006/relationships/hyperlink" Target="http://stern.de" TargetMode="External"/><Relationship Id="rId6024" Type="http://schemas.openxmlformats.org/officeDocument/2006/relationships/hyperlink" Target="https://chromewebstore.google.com/detail/iinnlcahmailoholehlbhbefddpbojpa" TargetMode="External"/><Relationship Id="rId7354" Type="http://schemas.openxmlformats.org/officeDocument/2006/relationships/hyperlink" Target="https://chromewebstore.google.com/detail/cljonclahoagoejnfcmmdpcapdcnfbid" TargetMode="External"/><Relationship Id="rId8685" Type="http://schemas.openxmlformats.org/officeDocument/2006/relationships/hyperlink" Target="https://chromewebstore.google.com/detail/aoomledhkicfjimnbdcpdlkppkoloddj" TargetMode="External"/><Relationship Id="rId6029" Type="http://schemas.openxmlformats.org/officeDocument/2006/relationships/hyperlink" Target="https://chromewebstore.google.com/detail/ijpanngdfpjaogfmobflgnhfpagcidjl" TargetMode="External"/><Relationship Id="rId6027" Type="http://schemas.openxmlformats.org/officeDocument/2006/relationships/hyperlink" Target="https://chromewebstore.google.com/detail/ijobgiajjnljalbobenleknenhkcionc" TargetMode="External"/><Relationship Id="rId7359" Type="http://schemas.openxmlformats.org/officeDocument/2006/relationships/hyperlink" Target="https://chromewebstore.google.com/detail/ffpibealclcjgmoghaocdlffiimoekeg" TargetMode="External"/><Relationship Id="rId6028" Type="http://schemas.openxmlformats.org/officeDocument/2006/relationships/hyperlink" Target="https://chromewebstore.google.com/detail/ijoemkoipbejbfmedlellkdidiopecfg" TargetMode="External"/><Relationship Id="rId7358" Type="http://schemas.openxmlformats.org/officeDocument/2006/relationships/hyperlink" Target="https://chromewebstore.google.com/detail/eecnlkcbgpdabdgobnpoldjgainahdni" TargetMode="External"/><Relationship Id="rId8689" Type="http://schemas.openxmlformats.org/officeDocument/2006/relationships/hyperlink" Target="https://chromewebstore.google.com/detail/blchhkbbijehipelagipdngfhiolahko" TargetMode="External"/><Relationship Id="rId6010" Type="http://schemas.openxmlformats.org/officeDocument/2006/relationships/hyperlink" Target="https://chromewebstore.google.com/detail/ihebbaifpapaepmdmcphkepihalaibee" TargetMode="External"/><Relationship Id="rId7342" Type="http://schemas.openxmlformats.org/officeDocument/2006/relationships/hyperlink" Target="https://chromewebstore.google.com/detail/clbnnfdgcjlepbmmaehcegainakikopd" TargetMode="External"/><Relationship Id="rId8673" Type="http://schemas.openxmlformats.org/officeDocument/2006/relationships/hyperlink" Target="https://chromewebstore.google.com/detail/nkembapigckgnpnghehabanohmfmfpii" TargetMode="External"/><Relationship Id="rId6011" Type="http://schemas.openxmlformats.org/officeDocument/2006/relationships/hyperlink" Target="https://chromewebstore.google.com/detail/ihfblkkmkmcgejfkgmkiipplonimjnec" TargetMode="External"/><Relationship Id="rId7341" Type="http://schemas.openxmlformats.org/officeDocument/2006/relationships/hyperlink" Target="https://chromewebstore.google.com/detail/cbdcdhkdonnpnilabcdfnoiokhgbigka" TargetMode="External"/><Relationship Id="rId8672" Type="http://schemas.openxmlformats.org/officeDocument/2006/relationships/hyperlink" Target="https://chromewebstore.google.com/detail/mialjgeooaepealoglgacdjicchfipjd" TargetMode="External"/><Relationship Id="rId7340" Type="http://schemas.openxmlformats.org/officeDocument/2006/relationships/hyperlink" Target="https://chromewebstore.google.com/detail/afeffbkeofbblopklekkhaijgbnkfjjk" TargetMode="External"/><Relationship Id="rId8671" Type="http://schemas.openxmlformats.org/officeDocument/2006/relationships/hyperlink" Target="https://chromewebstore.google.com/detail/lobgcbjldcompfnfkiaahnbgagkeafbd" TargetMode="External"/><Relationship Id="rId8670" Type="http://schemas.openxmlformats.org/officeDocument/2006/relationships/hyperlink" Target="https://chromewebstore.google.com/detail/glkakabophafagdlboddioadkhhadgjf" TargetMode="External"/><Relationship Id="rId6014" Type="http://schemas.openxmlformats.org/officeDocument/2006/relationships/hyperlink" Target="https://chromewebstore.google.com/detail/iidcnkpdmnopbbkdmneglbelcefgfohf" TargetMode="External"/><Relationship Id="rId7346" Type="http://schemas.openxmlformats.org/officeDocument/2006/relationships/hyperlink" Target="https://chromewebstore.google.com/detail/lccikkjiejgomehccjmjoppgeagbdgph" TargetMode="External"/><Relationship Id="rId8677" Type="http://schemas.openxmlformats.org/officeDocument/2006/relationships/hyperlink" Target="https://chromewebstore.google.com/detail/fplioachhfdbehddoehahffjbcfeinid" TargetMode="External"/><Relationship Id="rId6015" Type="http://schemas.openxmlformats.org/officeDocument/2006/relationships/hyperlink" Target="https://chromewebstore.google.com/detail/iifbfdeeneklajclonmnjbmakdniikep" TargetMode="External"/><Relationship Id="rId7345" Type="http://schemas.openxmlformats.org/officeDocument/2006/relationships/hyperlink" Target="https://chromewebstore.google.com/detail/jaoianckkhlbbeodjpaajaimlpidbckh" TargetMode="External"/><Relationship Id="rId8676" Type="http://schemas.openxmlformats.org/officeDocument/2006/relationships/hyperlink" Target="https://chromewebstore.google.com/detail/ckhhdfhcoijmbejbeigjcjdfflnmeeje" TargetMode="External"/><Relationship Id="rId6012" Type="http://schemas.openxmlformats.org/officeDocument/2006/relationships/hyperlink" Target="https://chromewebstore.google.com/detail/ihhllachgimmobopggdgbknfodhkkjbn" TargetMode="External"/><Relationship Id="rId7344" Type="http://schemas.openxmlformats.org/officeDocument/2006/relationships/hyperlink" Target="https://chromewebstore.google.com/detail/nlkfobhoffngaakgdbkdnmmjcchibcba" TargetMode="External"/><Relationship Id="rId8675" Type="http://schemas.openxmlformats.org/officeDocument/2006/relationships/hyperlink" Target="https://chromewebstore.google.com/detail/bdghcmkefkobbmpeealipifblooopbja" TargetMode="External"/><Relationship Id="rId6013" Type="http://schemas.openxmlformats.org/officeDocument/2006/relationships/hyperlink" Target="https://chromewebstore.google.com/detail/iicjcloailigfcpaikaoklmekegcahhk" TargetMode="External"/><Relationship Id="rId7343" Type="http://schemas.openxmlformats.org/officeDocument/2006/relationships/hyperlink" Target="https://chromewebstore.google.com/detail/hlmagkbphobghocaimgijjjpmionjcnj" TargetMode="External"/><Relationship Id="rId8674" Type="http://schemas.openxmlformats.org/officeDocument/2006/relationships/hyperlink" Target="https://chromewebstore.google.com/detail/pplfkfelndgidjmndlgnbelpomclmelm" TargetMode="External"/><Relationship Id="rId6018" Type="http://schemas.openxmlformats.org/officeDocument/2006/relationships/hyperlink" Target="https://chromewebstore.google.com/detail/iiidlaodookaobikpdnlpacodackhbfk" TargetMode="External"/><Relationship Id="rId6019" Type="http://schemas.openxmlformats.org/officeDocument/2006/relationships/hyperlink" Target="https://chromewebstore.google.com/detail/iijemcphocnlembodanflickfiafjnmk" TargetMode="External"/><Relationship Id="rId7349" Type="http://schemas.openxmlformats.org/officeDocument/2006/relationships/hyperlink" Target="https://chromewebstore.google.com/detail/icfneoldcbdmgaiocnnobpbbjncdfbfb" TargetMode="External"/><Relationship Id="rId6016" Type="http://schemas.openxmlformats.org/officeDocument/2006/relationships/hyperlink" Target="https://chromewebstore.google.com/detail/iihenfcdndalmajfmebbiajgejocengf" TargetMode="External"/><Relationship Id="rId7348" Type="http://schemas.openxmlformats.org/officeDocument/2006/relationships/hyperlink" Target="https://chromewebstore.google.com/detail/fgofmpkkcmalkeloaihfljngbibciile" TargetMode="External"/><Relationship Id="rId8679" Type="http://schemas.openxmlformats.org/officeDocument/2006/relationships/hyperlink" Target="https://chromewebstore.google.com/detail/hgdfllkgbhpehkplfjckkecheniibdpe" TargetMode="External"/><Relationship Id="rId6017" Type="http://schemas.openxmlformats.org/officeDocument/2006/relationships/hyperlink" Target="https://chromewebstore.google.com/detail/iiibfipobpiinhifgobbilpmijinambj" TargetMode="External"/><Relationship Id="rId7347" Type="http://schemas.openxmlformats.org/officeDocument/2006/relationships/hyperlink" Target="https://chromewebstore.google.com/detail/nieodpeajmoimhojmopkljlkcppamaec" TargetMode="External"/><Relationship Id="rId8678" Type="http://schemas.openxmlformats.org/officeDocument/2006/relationships/hyperlink" Target="https://chromewebstore.google.com/detail/hchkanfcbaiiapcpdadjanhklcfaeodn" TargetMode="External"/><Relationship Id="rId7371" Type="http://schemas.openxmlformats.org/officeDocument/2006/relationships/hyperlink" Target="https://chromewebstore.google.com/detail/gpogedegpcfmbpfbjilofgfmjglebnhi" TargetMode="External"/><Relationship Id="rId6040" Type="http://schemas.openxmlformats.org/officeDocument/2006/relationships/hyperlink" Target="https://chromewebstore.google.com/detail/imebnbicmjechdnmmibhehpkkaaamijo" TargetMode="External"/><Relationship Id="rId7370" Type="http://schemas.openxmlformats.org/officeDocument/2006/relationships/hyperlink" Target="https://chromewebstore.google.com/detail/eocfeihmkgnmldnhgijijlffdpegocnh" TargetMode="External"/><Relationship Id="rId6043" Type="http://schemas.openxmlformats.org/officeDocument/2006/relationships/hyperlink" Target="https://chromewebstore.google.com/detail/ineblhlndelngcbhcmjjomgjggmhkkmi" TargetMode="External"/><Relationship Id="rId7375" Type="http://schemas.openxmlformats.org/officeDocument/2006/relationships/hyperlink" Target="https://chromewebstore.google.com/detail/acibbdogpnpdfhhhhiofgegplmhhffgf" TargetMode="External"/><Relationship Id="rId6044" Type="http://schemas.openxmlformats.org/officeDocument/2006/relationships/hyperlink" Target="https://chromewebstore.google.com/detail/inglgcknnendooehdkhplbmhhbfkngmg" TargetMode="External"/><Relationship Id="rId7374" Type="http://schemas.openxmlformats.org/officeDocument/2006/relationships/hyperlink" Target="https://chromewebstore.google.com/detail/nidjphagpgghijflkhpnijgncmelonmo" TargetMode="External"/><Relationship Id="rId6041" Type="http://schemas.openxmlformats.org/officeDocument/2006/relationships/hyperlink" Target="https://chromewebstore.google.com/detail/imfahbojndienpabmejppmflepmnikfl" TargetMode="External"/><Relationship Id="rId7373" Type="http://schemas.openxmlformats.org/officeDocument/2006/relationships/hyperlink" Target="https://chromewebstore.google.com/detail/jjcbgfhjneiblaifakgnnkdakebpebaf" TargetMode="External"/><Relationship Id="rId6042" Type="http://schemas.openxmlformats.org/officeDocument/2006/relationships/hyperlink" Target="https://chromewebstore.google.com/detail/impckkpjcejdmacpmkpegegnpagddajk" TargetMode="External"/><Relationship Id="rId7372" Type="http://schemas.openxmlformats.org/officeDocument/2006/relationships/hyperlink" Target="https://chromewebstore.google.com/detail/incfcomifnogniajmiejpobcpeillilo" TargetMode="External"/><Relationship Id="rId6047" Type="http://schemas.openxmlformats.org/officeDocument/2006/relationships/hyperlink" Target="https://chromewebstore.google.com/detail/inicpkmkmcfgnembpecjakbgoioklcnk" TargetMode="External"/><Relationship Id="rId7379" Type="http://schemas.openxmlformats.org/officeDocument/2006/relationships/hyperlink" Target="https://chromewebstore.google.com/detail/imkdafnalljikgogmjdccklndcdbfnng" TargetMode="External"/><Relationship Id="rId6048" Type="http://schemas.openxmlformats.org/officeDocument/2006/relationships/hyperlink" Target="https://chromewebstore.google.com/detail/inkakhlnhbkdffpnlfpmbinhmodpjdin" TargetMode="External"/><Relationship Id="rId7378" Type="http://schemas.openxmlformats.org/officeDocument/2006/relationships/hyperlink" Target="https://chromewebstore.google.com/detail/giicgaaobmdldgjpbinocofnhfhnklpm" TargetMode="External"/><Relationship Id="rId6045" Type="http://schemas.openxmlformats.org/officeDocument/2006/relationships/hyperlink" Target="https://chromewebstore.google.com/detail/inhhamgcakfdohnnppfnehdbjomiglbp" TargetMode="External"/><Relationship Id="rId7377" Type="http://schemas.openxmlformats.org/officeDocument/2006/relationships/hyperlink" Target="https://chromewebstore.google.com/detail/bedgondbfpagijbdcgejejcknfhikfmm" TargetMode="External"/><Relationship Id="rId6046" Type="http://schemas.openxmlformats.org/officeDocument/2006/relationships/hyperlink" Target="https://chromewebstore.google.com/detail/inhocmadkfmhncnfjpkjfnojfdiaghfg" TargetMode="External"/><Relationship Id="rId7376" Type="http://schemas.openxmlformats.org/officeDocument/2006/relationships/hyperlink" Target="https://chromewebstore.google.com/detail/bclljjldiiifccncjnikpalnomejlkog" TargetMode="External"/><Relationship Id="rId6049" Type="http://schemas.openxmlformats.org/officeDocument/2006/relationships/hyperlink" Target="https://chromewebstore.google.com/detail/iodkgkdaapibojgkceoclhgjpahblkio" TargetMode="External"/><Relationship Id="rId7360" Type="http://schemas.openxmlformats.org/officeDocument/2006/relationships/hyperlink" Target="https://chromewebstore.google.com/detail/fpkmdincjjgncpbbmeclgbpjmgdehmph" TargetMode="External"/><Relationship Id="rId8691" Type="http://schemas.openxmlformats.org/officeDocument/2006/relationships/hyperlink" Target="https://chromewebstore.google.com/detail/cekcgnaofolhdeamjcghebalfmjodgeh" TargetMode="External"/><Relationship Id="rId8690" Type="http://schemas.openxmlformats.org/officeDocument/2006/relationships/hyperlink" Target="https://chromewebstore.google.com/detail/bpiehpmcnipgajgjdmalnpobnkfaanlj" TargetMode="External"/><Relationship Id="rId6032" Type="http://schemas.openxmlformats.org/officeDocument/2006/relationships/hyperlink" Target="https://chromewebstore.google.com/detail/ikglgnekadileanonnapmgkeklpgjifk" TargetMode="External"/><Relationship Id="rId7364" Type="http://schemas.openxmlformats.org/officeDocument/2006/relationships/hyperlink" Target="https://chromewebstore.google.com/detail/bcihihcnlienjckgamfnlhjfloodmebo" TargetMode="External"/><Relationship Id="rId8695" Type="http://schemas.openxmlformats.org/officeDocument/2006/relationships/hyperlink" Target="https://chromewebstore.google.com/detail/mnabmigmbaoimceikabofkghpdfkhlbf" TargetMode="External"/><Relationship Id="rId6033" Type="http://schemas.openxmlformats.org/officeDocument/2006/relationships/hyperlink" Target="https://chromewebstore.google.com/detail/ikkmlinflfffinhglacakfnkapjfpkno" TargetMode="External"/><Relationship Id="rId7363" Type="http://schemas.openxmlformats.org/officeDocument/2006/relationships/hyperlink" Target="https://chromewebstore.google.com/detail/mihfneoljcgdjnpmeefcmahciglmljli" TargetMode="External"/><Relationship Id="rId8694" Type="http://schemas.openxmlformats.org/officeDocument/2006/relationships/hyperlink" Target="https://chromewebstore.google.com/detail/lfmpjfiaamohbamfgjlnmhogcclnpdhd" TargetMode="External"/><Relationship Id="rId6030" Type="http://schemas.openxmlformats.org/officeDocument/2006/relationships/hyperlink" Target="https://chromewebstore.google.com/detail/ikapkidffcmjhlkgdgcbakcahgfbabnb" TargetMode="External"/><Relationship Id="rId7362" Type="http://schemas.openxmlformats.org/officeDocument/2006/relationships/hyperlink" Target="https://chromewebstore.google.com/detail/gomaibjmibogpcbcfmlnpmipclkdamag" TargetMode="External"/><Relationship Id="rId8693" Type="http://schemas.openxmlformats.org/officeDocument/2006/relationships/hyperlink" Target="https://chromewebstore.google.com/detail/ghfkolelcoadihahcnegknflcmofegib" TargetMode="External"/><Relationship Id="rId6031" Type="http://schemas.openxmlformats.org/officeDocument/2006/relationships/hyperlink" Target="https://chromewebstore.google.com/detail/ikdncbjpcpkheefmnbicggciklkeebmp" TargetMode="External"/><Relationship Id="rId7361" Type="http://schemas.openxmlformats.org/officeDocument/2006/relationships/hyperlink" Target="https://chromewebstore.google.com/detail/gnmcaafcppjgmhnjmnjmcpiedclkmlea" TargetMode="External"/><Relationship Id="rId8692" Type="http://schemas.openxmlformats.org/officeDocument/2006/relationships/hyperlink" Target="https://chromewebstore.google.com/detail/cmdjafgljdgjncmbgiphgjokfcdfnnkb" TargetMode="External"/><Relationship Id="rId6036" Type="http://schemas.openxmlformats.org/officeDocument/2006/relationships/hyperlink" Target="https://chromewebstore.google.com/detail/iliebjbhkdndcfhhpcdebgiecbgjilne" TargetMode="External"/><Relationship Id="rId7368" Type="http://schemas.openxmlformats.org/officeDocument/2006/relationships/hyperlink" Target="https://chromewebstore.google.com/detail/opjfennpifbhgfpaihhahgelpcdapfdp" TargetMode="External"/><Relationship Id="rId8699" Type="http://schemas.openxmlformats.org/officeDocument/2006/relationships/hyperlink" Target="https://chromewebstore.google.com/detail/mimclceeboejniclilndinkbkfnadlki" TargetMode="External"/><Relationship Id="rId6037" Type="http://schemas.openxmlformats.org/officeDocument/2006/relationships/hyperlink" Target="https://chromewebstore.google.com/detail/iligknooplmpldohcehdaoeimhbkccga" TargetMode="External"/><Relationship Id="rId7367" Type="http://schemas.openxmlformats.org/officeDocument/2006/relationships/hyperlink" Target="https://chromewebstore.google.com/detail/mdcflcofcghggppkaehajfcdgkfndcfa" TargetMode="External"/><Relationship Id="rId8698" Type="http://schemas.openxmlformats.org/officeDocument/2006/relationships/hyperlink" Target="https://chromewebstore.google.com/detail/mebphgfpdffafikgeakpkbmlmkbimcmk" TargetMode="External"/><Relationship Id="rId6034" Type="http://schemas.openxmlformats.org/officeDocument/2006/relationships/hyperlink" Target="https://chromewebstore.google.com/detail/ilcajdpmgfbeggnpffmohcopdgpcdndh" TargetMode="External"/><Relationship Id="rId7366" Type="http://schemas.openxmlformats.org/officeDocument/2006/relationships/hyperlink" Target="https://chromewebstore.google.com/detail/fnpgifcbmacmnlpdlkffhneepkhhjfkn" TargetMode="External"/><Relationship Id="rId8697" Type="http://schemas.openxmlformats.org/officeDocument/2006/relationships/hyperlink" Target="https://chromewebstore.google.com/detail/jjpfdfcgmfaoiebailahlppglbkdbajb" TargetMode="External"/><Relationship Id="rId6035" Type="http://schemas.openxmlformats.org/officeDocument/2006/relationships/hyperlink" Target="https://chromewebstore.google.com/detail/ilfokbeknllmcepedkagnjciemcjncpc" TargetMode="External"/><Relationship Id="rId7365" Type="http://schemas.openxmlformats.org/officeDocument/2006/relationships/hyperlink" Target="https://chromewebstore.google.com/detail/dcenglkfnenjnpnmalmachboemjlmakj" TargetMode="External"/><Relationship Id="rId8696" Type="http://schemas.openxmlformats.org/officeDocument/2006/relationships/hyperlink" Target="https://chromewebstore.google.com/detail/enampmoogmjoofjmpobfdmgflljfacnl" TargetMode="External"/><Relationship Id="rId6038" Type="http://schemas.openxmlformats.org/officeDocument/2006/relationships/hyperlink" Target="https://chromewebstore.google.com/detail/imaaiilmcbpokolbjlimgccaifclhama" TargetMode="External"/><Relationship Id="rId6039" Type="http://schemas.openxmlformats.org/officeDocument/2006/relationships/hyperlink" Target="https://chromewebstore.google.com/detail/imdlnagpdjhelkapllclmdogjobpoihg" TargetMode="External"/><Relationship Id="rId7369" Type="http://schemas.openxmlformats.org/officeDocument/2006/relationships/hyperlink" Target="https://chromewebstore.google.com/detail/ckfejipjdkdjicjgecdgdacnomelbhii" TargetMode="External"/><Relationship Id="rId1213" Type="http://schemas.openxmlformats.org/officeDocument/2006/relationships/hyperlink" Target="https://chromewebstore.google.com/detail/dkpfcdajmlidnigklffoploblagkncic" TargetMode="External"/><Relationship Id="rId2544" Type="http://schemas.openxmlformats.org/officeDocument/2006/relationships/hyperlink" Target="https://chromewebstore.google.com/detail/cjpdlmjbocfbhjgdpmfkcphkacmighmb" TargetMode="External"/><Relationship Id="rId3876" Type="http://schemas.openxmlformats.org/officeDocument/2006/relationships/hyperlink" Target="https://chromewebstore.google.com/detail/abphoilconkefmcnnnobhbpelpldcdbc" TargetMode="External"/><Relationship Id="rId1214" Type="http://schemas.openxmlformats.org/officeDocument/2006/relationships/hyperlink" Target="https://chromewebstore.google.com/detail/dliccfbpegdcmlflaidhhnloeofgdnce" TargetMode="External"/><Relationship Id="rId2545" Type="http://schemas.openxmlformats.org/officeDocument/2006/relationships/hyperlink" Target="https://chromewebstore.google.com/detail/cljgeamakelbidoianknbfedaejiocgi" TargetMode="External"/><Relationship Id="rId3875" Type="http://schemas.openxmlformats.org/officeDocument/2006/relationships/hyperlink" Target="https://chromewebstore.google.com/detail/abmoaeegegigmhgfmdmlhkoghibgkpkj" TargetMode="External"/><Relationship Id="rId1215" Type="http://schemas.openxmlformats.org/officeDocument/2006/relationships/hyperlink" Target="https://chromewebstore.google.com/detail/dmcinkkljkjjdagmegjedmdhbcdmkjlo" TargetMode="External"/><Relationship Id="rId2546" Type="http://schemas.openxmlformats.org/officeDocument/2006/relationships/hyperlink" Target="https://chromewebstore.google.com/detail/cllajfedflpkeplbcojolihhlmmafmbb" TargetMode="External"/><Relationship Id="rId3878" Type="http://schemas.openxmlformats.org/officeDocument/2006/relationships/hyperlink" Target="https://chromewebstore.google.com/detail/acfpcgknkedjccopgcfpajjefagkfoii" TargetMode="External"/><Relationship Id="rId1216" Type="http://schemas.openxmlformats.org/officeDocument/2006/relationships/hyperlink" Target="https://chromewebstore.google.com/detail/dmkcmgmggijjopmhdikolbkanjbilljc" TargetMode="External"/><Relationship Id="rId2547" Type="http://schemas.openxmlformats.org/officeDocument/2006/relationships/hyperlink" Target="https://chromewebstore.google.com/detail/cmdmlphjbobhblimniofbnlfkmpcjlgd" TargetMode="External"/><Relationship Id="rId3877" Type="http://schemas.openxmlformats.org/officeDocument/2006/relationships/hyperlink" Target="https://chromewebstore.google.com/detail/acacbbhfboldggccadfeopfbliabpock" TargetMode="External"/><Relationship Id="rId1217" Type="http://schemas.openxmlformats.org/officeDocument/2006/relationships/hyperlink" Target="https://chromewebstore.google.com/detail/dmlgmehijaodgkkooghkknjjkddahmej" TargetMode="External"/><Relationship Id="rId2548" Type="http://schemas.openxmlformats.org/officeDocument/2006/relationships/hyperlink" Target="https://chromewebstore.google.com/detail/cmkneeaihlcdllananjlkmppnkdahdcc" TargetMode="External"/><Relationship Id="rId1218" Type="http://schemas.openxmlformats.org/officeDocument/2006/relationships/hyperlink" Target="https://chromewebstore.google.com/detail/dmpakmbfgeobalplhoohnkjenhkfadbg" TargetMode="External"/><Relationship Id="rId2549" Type="http://schemas.openxmlformats.org/officeDocument/2006/relationships/hyperlink" Target="https://chromewebstore.google.com/detail/cnbkpkpfckpmnjjkoenloilapocnaiak" TargetMode="External"/><Relationship Id="rId3879" Type="http://schemas.openxmlformats.org/officeDocument/2006/relationships/hyperlink" Target="https://chromewebstore.google.com/detail/achpfmdebpcipligeggmohmjkmfjijlb" TargetMode="External"/><Relationship Id="rId1219" Type="http://schemas.openxmlformats.org/officeDocument/2006/relationships/hyperlink" Target="https://chromewebstore.google.com/detail/dnbilpdheddjgnakieihlflcolbeenda" TargetMode="External"/><Relationship Id="rId3870" Type="http://schemas.openxmlformats.org/officeDocument/2006/relationships/hyperlink" Target="https://chromewebstore.google.com/detail/aakklflhdgofndhdkjgalldlnbgpgbob" TargetMode="External"/><Relationship Id="rId2540" Type="http://schemas.openxmlformats.org/officeDocument/2006/relationships/hyperlink" Target="https://chromewebstore.google.com/detail/cgpmofepeeiaaljkcclfldhaalfpcand" TargetMode="External"/><Relationship Id="rId3872" Type="http://schemas.openxmlformats.org/officeDocument/2006/relationships/hyperlink" Target="https://chromewebstore.google.com/detail/abbicmdidbmbhgmcpelledjbacnllnkk" TargetMode="External"/><Relationship Id="rId1210" Type="http://schemas.openxmlformats.org/officeDocument/2006/relationships/hyperlink" Target="https://chromewebstore.google.com/detail/djnlmphamjelmfnafkmkhepdcadaaogh" TargetMode="External"/><Relationship Id="rId2541" Type="http://schemas.openxmlformats.org/officeDocument/2006/relationships/hyperlink" Target="https://chromewebstore.google.com/detail/chgiddljhokfbppnhfphdabejocpopgk" TargetMode="External"/><Relationship Id="rId3871" Type="http://schemas.openxmlformats.org/officeDocument/2006/relationships/hyperlink" Target="https://chromewebstore.google.com/detail/abbhipgjfgfpbedbhbihihpnfelpjldb" TargetMode="External"/><Relationship Id="rId1211" Type="http://schemas.openxmlformats.org/officeDocument/2006/relationships/hyperlink" Target="https://chromewebstore.google.com/detail/dkcdmdpcapjlaoioeenamjdanpeehjan" TargetMode="External"/><Relationship Id="rId2542" Type="http://schemas.openxmlformats.org/officeDocument/2006/relationships/hyperlink" Target="https://chromewebstore.google.com/detail/chgkpfgnhlojjpjchjcbpbgmdnmfmmil" TargetMode="External"/><Relationship Id="rId3874" Type="http://schemas.openxmlformats.org/officeDocument/2006/relationships/hyperlink" Target="https://chromewebstore.google.com/detail/abgkgpfkdkafjidfgcjddeffnfnkoeil" TargetMode="External"/><Relationship Id="rId1212" Type="http://schemas.openxmlformats.org/officeDocument/2006/relationships/hyperlink" Target="https://chromewebstore.google.com/detail/dkhjafbceiceaidnbbilhphhkanlpkkj" TargetMode="External"/><Relationship Id="rId2543" Type="http://schemas.openxmlformats.org/officeDocument/2006/relationships/hyperlink" Target="https://chromewebstore.google.com/detail/ciehpookapcdlakedibajeccomagbfab" TargetMode="External"/><Relationship Id="rId3873" Type="http://schemas.openxmlformats.org/officeDocument/2006/relationships/hyperlink" Target="https://chromewebstore.google.com/detail/abghljkabehndngdedeomffainakibfo" TargetMode="External"/><Relationship Id="rId1202" Type="http://schemas.openxmlformats.org/officeDocument/2006/relationships/hyperlink" Target="https://chromewebstore.google.com/detail/dhipjhjomboikdkihfhmikadokkkehkd" TargetMode="External"/><Relationship Id="rId2533" Type="http://schemas.openxmlformats.org/officeDocument/2006/relationships/hyperlink" Target="https://chromewebstore.google.com/detail/cbobmdabfjfogbodncgennjhpcmdlfin" TargetMode="External"/><Relationship Id="rId3865" Type="http://schemas.openxmlformats.org/officeDocument/2006/relationships/hyperlink" Target="https://chromewebstore.google.com/detail/kgoadafofbfjlfofcogilchhnabiffnh" TargetMode="External"/><Relationship Id="rId1203" Type="http://schemas.openxmlformats.org/officeDocument/2006/relationships/hyperlink" Target="https://chromewebstore.google.com/detail/dhkdaobajijkikfmfhnebdocgfimnpag" TargetMode="External"/><Relationship Id="rId2534" Type="http://schemas.openxmlformats.org/officeDocument/2006/relationships/hyperlink" Target="https://chromewebstore.google.com/detail/ccdjnhaifeigaidilnnajickpbjhbfom" TargetMode="External"/><Relationship Id="rId3864" Type="http://schemas.openxmlformats.org/officeDocument/2006/relationships/hyperlink" Target="https://chromewebstore.google.com/detail/ppnppfpknkjeipmglcigdiinakeaofbj" TargetMode="External"/><Relationship Id="rId1204" Type="http://schemas.openxmlformats.org/officeDocument/2006/relationships/hyperlink" Target="https://chromewebstore.google.com/detail/dhkdpgpnekokcicojodnkgmpchnnopam" TargetMode="External"/><Relationship Id="rId2535" Type="http://schemas.openxmlformats.org/officeDocument/2006/relationships/hyperlink" Target="https://chromewebstore.google.com/detail/cdjplknefldnfcncohonjbeeocljjmbm" TargetMode="External"/><Relationship Id="rId3867" Type="http://schemas.openxmlformats.org/officeDocument/2006/relationships/hyperlink" Target="https://chromewebstore.google.com/detail/khohmdnjgpgojomnimbmfjakkndfphgi" TargetMode="External"/><Relationship Id="rId1205" Type="http://schemas.openxmlformats.org/officeDocument/2006/relationships/hyperlink" Target="https://chromewebstore.google.com/detail/dhlkjnbimclneeepgfbmhnlkhnhapjho" TargetMode="External"/><Relationship Id="rId2536" Type="http://schemas.openxmlformats.org/officeDocument/2006/relationships/hyperlink" Target="https://chromewebstore.google.com/detail/cejdihbofllcmhnmniakjilchgfaebcf" TargetMode="External"/><Relationship Id="rId3866" Type="http://schemas.openxmlformats.org/officeDocument/2006/relationships/hyperlink" Target="https://chromewebstore.google.com/detail/leafmfbkokcceoiagejllolppihmkaec" TargetMode="External"/><Relationship Id="rId1206" Type="http://schemas.openxmlformats.org/officeDocument/2006/relationships/hyperlink" Target="https://chromewebstore.google.com/detail/dighjoofcdkhjloaeakagmfnbiehebbb" TargetMode="External"/><Relationship Id="rId2537" Type="http://schemas.openxmlformats.org/officeDocument/2006/relationships/hyperlink" Target="https://chromewebstore.google.com/detail/cfakdddemgaldaenbeccjmpdmdahcoji" TargetMode="External"/><Relationship Id="rId3869" Type="http://schemas.openxmlformats.org/officeDocument/2006/relationships/hyperlink" Target="https://chromewebstore.google.com/detail/aafalbmhhmidfmfcoaidbaabmcocgakk" TargetMode="External"/><Relationship Id="rId1207" Type="http://schemas.openxmlformats.org/officeDocument/2006/relationships/hyperlink" Target="https://chromewebstore.google.com/detail/dihlbjcdgfoehmhbklciidmolbmabkki" TargetMode="External"/><Relationship Id="rId2538" Type="http://schemas.openxmlformats.org/officeDocument/2006/relationships/hyperlink" Target="https://chromewebstore.google.com/detail/cfgpigllcihcpkbokdnmpkjobnebflgh" TargetMode="External"/><Relationship Id="rId3868" Type="http://schemas.openxmlformats.org/officeDocument/2006/relationships/hyperlink" Target="https://chromewebstore.google.com/detail/aacggglhipafndnfihckmepmolhmbejc" TargetMode="External"/><Relationship Id="rId1208" Type="http://schemas.openxmlformats.org/officeDocument/2006/relationships/hyperlink" Target="https://chromewebstore.google.com/detail/dilkdnaihnkfembidikggnigimnbjcjn" TargetMode="External"/><Relationship Id="rId2539" Type="http://schemas.openxmlformats.org/officeDocument/2006/relationships/hyperlink" Target="https://chromewebstore.google.com/detail/cghmfdbnaglgkbajgpkciklfeafoknmp" TargetMode="External"/><Relationship Id="rId1209" Type="http://schemas.openxmlformats.org/officeDocument/2006/relationships/hyperlink" Target="https://chromewebstore.google.com/detail/dingigiembmnbjocifcoeiideggpkplj" TargetMode="External"/><Relationship Id="rId3861" Type="http://schemas.openxmlformats.org/officeDocument/2006/relationships/hyperlink" Target="https://chromewebstore.google.com/detail/ppbbnicomlpilfkohhknjdkndelfncjl" TargetMode="External"/><Relationship Id="rId2530" Type="http://schemas.openxmlformats.org/officeDocument/2006/relationships/hyperlink" Target="https://chromewebstore.google.com/detail/boifjfacnencpfgncaijcbekbffnfean" TargetMode="External"/><Relationship Id="rId3860" Type="http://schemas.openxmlformats.org/officeDocument/2006/relationships/hyperlink" Target="https://chromewebstore.google.com/detail/ppajinakbfocjfnijggfndbdmjggcmde" TargetMode="External"/><Relationship Id="rId1200" Type="http://schemas.openxmlformats.org/officeDocument/2006/relationships/hyperlink" Target="https://chromewebstore.google.com/detail/dgnlcodfeenegnifnpcabcclldoceeml" TargetMode="External"/><Relationship Id="rId2531" Type="http://schemas.openxmlformats.org/officeDocument/2006/relationships/hyperlink" Target="https://chromewebstore.google.com/detail/bomlpocneecngaomhddeggcinnaoohgo" TargetMode="External"/><Relationship Id="rId3863" Type="http://schemas.openxmlformats.org/officeDocument/2006/relationships/hyperlink" Target="https://chromewebstore.google.com/detail/ppfkmgmknkindblboiieegbldpbnhklf" TargetMode="External"/><Relationship Id="rId1201" Type="http://schemas.openxmlformats.org/officeDocument/2006/relationships/hyperlink" Target="https://chromewebstore.google.com/detail/dgnlgpmjgafdilamdjgapndbmlehamhl" TargetMode="External"/><Relationship Id="rId2532" Type="http://schemas.openxmlformats.org/officeDocument/2006/relationships/hyperlink" Target="https://chromewebstore.google.com/detail/bpheclmhommpomjoeoifcggjmdelgaoj" TargetMode="External"/><Relationship Id="rId3862" Type="http://schemas.openxmlformats.org/officeDocument/2006/relationships/hyperlink" Target="https://chromewebstore.google.com/detail/ppdnkejgcieghdpjnjokjeefbojbjdaa" TargetMode="External"/><Relationship Id="rId1235" Type="http://schemas.openxmlformats.org/officeDocument/2006/relationships/hyperlink" Target="https://chromewebstore.google.com/detail/ebcjlgcgbldnoopenkicjmfoapcnnlbp" TargetMode="External"/><Relationship Id="rId2566" Type="http://schemas.openxmlformats.org/officeDocument/2006/relationships/hyperlink" Target="https://chromewebstore.google.com/detail/dgadhpmlfghhmiladkdodenkkcoiplcm" TargetMode="External"/><Relationship Id="rId3898" Type="http://schemas.openxmlformats.org/officeDocument/2006/relationships/hyperlink" Target="https://chromewebstore.google.com/detail/aiefnajnklcignlnnkkkffpmldmpidkd" TargetMode="External"/><Relationship Id="rId1236" Type="http://schemas.openxmlformats.org/officeDocument/2006/relationships/hyperlink" Target="https://chromewebstore.google.com/detail/ebiododddhjccikhminneafpoppneknc" TargetMode="External"/><Relationship Id="rId2567" Type="http://schemas.openxmlformats.org/officeDocument/2006/relationships/hyperlink" Target="https://chromewebstore.google.com/detail/dglhbebhfdidbfoeknnfghdbleecgopl" TargetMode="External"/><Relationship Id="rId3897" Type="http://schemas.openxmlformats.org/officeDocument/2006/relationships/hyperlink" Target="https://chromewebstore.google.com/detail/aidapiigacnbamggokpnphddajiilfjp" TargetMode="External"/><Relationship Id="rId1237" Type="http://schemas.openxmlformats.org/officeDocument/2006/relationships/hyperlink" Target="https://chromewebstore.google.com/detail/ebpiggoccjgdoecccbcmenmbcnoldalf" TargetMode="External"/><Relationship Id="rId2568" Type="http://schemas.openxmlformats.org/officeDocument/2006/relationships/hyperlink" Target="https://chromewebstore.google.com/detail/dikemolgkkmhlgpgnmndjekbbckmgfmh" TargetMode="External"/><Relationship Id="rId1238" Type="http://schemas.openxmlformats.org/officeDocument/2006/relationships/hyperlink" Target="https://chromewebstore.google.com/detail/eceddpnnjbmalmmfedklfemafpnbmdfb" TargetMode="External"/><Relationship Id="rId2569" Type="http://schemas.openxmlformats.org/officeDocument/2006/relationships/hyperlink" Target="https://chromewebstore.google.com/detail/djbeppfhfnoenjialnekbeggaokpoljk" TargetMode="External"/><Relationship Id="rId3899" Type="http://schemas.openxmlformats.org/officeDocument/2006/relationships/hyperlink" Target="https://chromewebstore.google.com/detail/aihifbidnaepclhnfppjnpbmeonhhloa" TargetMode="External"/><Relationship Id="rId1239" Type="http://schemas.openxmlformats.org/officeDocument/2006/relationships/hyperlink" Target="https://chromewebstore.google.com/detail/edkcmflbdogcbjahoblehnlonjedkmoh" TargetMode="External"/><Relationship Id="rId3890" Type="http://schemas.openxmlformats.org/officeDocument/2006/relationships/hyperlink" Target="https://chromewebstore.google.com/detail/afljajkplijmejjcccffakganicgkafk" TargetMode="External"/><Relationship Id="rId2560" Type="http://schemas.openxmlformats.org/officeDocument/2006/relationships/hyperlink" Target="https://chromewebstore.google.com/detail/ddgcohekjighkfgkhcpdinbifogpaglg" TargetMode="External"/><Relationship Id="rId3892" Type="http://schemas.openxmlformats.org/officeDocument/2006/relationships/hyperlink" Target="https://chromewebstore.google.com/detail/agojbidllejeebbhcbonnlpodicladdk" TargetMode="External"/><Relationship Id="rId1230" Type="http://schemas.openxmlformats.org/officeDocument/2006/relationships/hyperlink" Target="https://chromewebstore.google.com/detail/eadmnplpcakhnmjbaioeholpakbknhgc" TargetMode="External"/><Relationship Id="rId2561" Type="http://schemas.openxmlformats.org/officeDocument/2006/relationships/hyperlink" Target="https://chromewebstore.google.com/detail/degapcaafepdhjjaoaoaaickindhehka" TargetMode="External"/><Relationship Id="rId3891" Type="http://schemas.openxmlformats.org/officeDocument/2006/relationships/hyperlink" Target="https://chromewebstore.google.com/detail/agcillhniodhhnjmmigkgpbeodnclmmp" TargetMode="External"/><Relationship Id="rId1231" Type="http://schemas.openxmlformats.org/officeDocument/2006/relationships/hyperlink" Target="https://chromewebstore.google.com/detail/eaiohlimbkhifknljidephnpadioaiab" TargetMode="External"/><Relationship Id="rId2562" Type="http://schemas.openxmlformats.org/officeDocument/2006/relationships/hyperlink" Target="https://chromewebstore.google.com/detail/deihalhihjdilndoidoclmhmgllebkfj" TargetMode="External"/><Relationship Id="rId3894" Type="http://schemas.openxmlformats.org/officeDocument/2006/relationships/hyperlink" Target="https://chromewebstore.google.com/detail/ahboebefkdoiomfpehlgjehokjjlndmj" TargetMode="External"/><Relationship Id="rId1232" Type="http://schemas.openxmlformats.org/officeDocument/2006/relationships/hyperlink" Target="https://chromewebstore.google.com/detail/eamjklppekpngnnlgdnefdefagpmddfi" TargetMode="External"/><Relationship Id="rId2563" Type="http://schemas.openxmlformats.org/officeDocument/2006/relationships/hyperlink" Target="https://chromewebstore.google.com/detail/denkephjglddepmhdlaaigjionglkdbb" TargetMode="External"/><Relationship Id="rId3893" Type="http://schemas.openxmlformats.org/officeDocument/2006/relationships/hyperlink" Target="https://chromewebstore.google.com/detail/agpjdannnbimjhjelbehcmalbaeambcd" TargetMode="External"/><Relationship Id="rId1233" Type="http://schemas.openxmlformats.org/officeDocument/2006/relationships/hyperlink" Target="https://chromewebstore.google.com/detail/eanaofphbanknlngejejepmfomkjaiic" TargetMode="External"/><Relationship Id="rId2564" Type="http://schemas.openxmlformats.org/officeDocument/2006/relationships/hyperlink" Target="https://chromewebstore.google.com/detail/dfdobmhlmkdmiokclbhgmiiehioogbbi" TargetMode="External"/><Relationship Id="rId3896" Type="http://schemas.openxmlformats.org/officeDocument/2006/relationships/hyperlink" Target="https://chromewebstore.google.com/detail/ahkgjgnlldlkagonpndejcbhipkealgo" TargetMode="External"/><Relationship Id="rId1234" Type="http://schemas.openxmlformats.org/officeDocument/2006/relationships/hyperlink" Target="http://xdealer.pro" TargetMode="External"/><Relationship Id="rId2565" Type="http://schemas.openxmlformats.org/officeDocument/2006/relationships/hyperlink" Target="https://chromewebstore.google.com/detail/dfhgmnfclbebfobmblelddiejjcijbjm" TargetMode="External"/><Relationship Id="rId3895" Type="http://schemas.openxmlformats.org/officeDocument/2006/relationships/hyperlink" Target="https://chromewebstore.google.com/detail/ahgignikbpeboaanhpliahmojhiacjcn" TargetMode="External"/><Relationship Id="rId1224" Type="http://schemas.openxmlformats.org/officeDocument/2006/relationships/hyperlink" Target="https://chromewebstore.google.com/detail/doagleaopbffngpffnmnajoiablpakfj" TargetMode="External"/><Relationship Id="rId2555" Type="http://schemas.openxmlformats.org/officeDocument/2006/relationships/hyperlink" Target="https://chromewebstore.google.com/detail/dcgkemofanbgjhnbmjjfomcgdkmobhgi" TargetMode="External"/><Relationship Id="rId3887" Type="http://schemas.openxmlformats.org/officeDocument/2006/relationships/hyperlink" Target="https://chromewebstore.google.com/detail/aemapjnikiphnefgmocicmlmbdhodkea" TargetMode="External"/><Relationship Id="rId1225" Type="http://schemas.openxmlformats.org/officeDocument/2006/relationships/hyperlink" Target="https://chromewebstore.google.com/detail/dofilojkogcnamnghamnjdgjkhgbledc" TargetMode="External"/><Relationship Id="rId2556" Type="http://schemas.openxmlformats.org/officeDocument/2006/relationships/hyperlink" Target="https://chromewebstore.google.com/detail/dchjcpaccnemnmhnnmkcpapjieaknljk" TargetMode="External"/><Relationship Id="rId3886" Type="http://schemas.openxmlformats.org/officeDocument/2006/relationships/hyperlink" Target="https://chromewebstore.google.com/detail/aelfbedmomigndkbpbpplblbgeaaghnf" TargetMode="External"/><Relationship Id="rId1226" Type="http://schemas.openxmlformats.org/officeDocument/2006/relationships/hyperlink" Target="https://chromewebstore.google.com/detail/dpbboilcojikdnfpponljmiohnhdjcaj" TargetMode="External"/><Relationship Id="rId2557" Type="http://schemas.openxmlformats.org/officeDocument/2006/relationships/hyperlink" Target="https://chromewebstore.google.com/detail/dckjbbhlbmojeohhjlobfllblcoannge" TargetMode="External"/><Relationship Id="rId3889" Type="http://schemas.openxmlformats.org/officeDocument/2006/relationships/hyperlink" Target="https://chromewebstore.google.com/detail/afgjgigbgcncilinpbbgpbnficpkmjop" TargetMode="External"/><Relationship Id="rId1227" Type="http://schemas.openxmlformats.org/officeDocument/2006/relationships/hyperlink" Target="https://chromewebstore.google.com/detail/dpdcofblfbmmnikcbmmiakkclocadjab" TargetMode="External"/><Relationship Id="rId2558" Type="http://schemas.openxmlformats.org/officeDocument/2006/relationships/hyperlink" Target="https://chromewebstore.google.com/detail/ddadhlcejiholmdiihbdcfoapdfkhicn" TargetMode="External"/><Relationship Id="rId3888" Type="http://schemas.openxmlformats.org/officeDocument/2006/relationships/hyperlink" Target="https://chromewebstore.google.com/detail/afelmehoohjbjfpjbadonkcondbilglp" TargetMode="External"/><Relationship Id="rId1228" Type="http://schemas.openxmlformats.org/officeDocument/2006/relationships/hyperlink" Target="https://chromewebstore.google.com/detail/dpjkpdelbaahkeeoeppmgkbliipjcnpm" TargetMode="External"/><Relationship Id="rId2559" Type="http://schemas.openxmlformats.org/officeDocument/2006/relationships/hyperlink" Target="https://chromewebstore.google.com/detail/ddbmednkcaaciannkbjaineoecjkclfg" TargetMode="External"/><Relationship Id="rId1229" Type="http://schemas.openxmlformats.org/officeDocument/2006/relationships/hyperlink" Target="https://chromewebstore.google.com/detail/dpjloclnedokpfjlolaebpbaclbdigon" TargetMode="External"/><Relationship Id="rId3881" Type="http://schemas.openxmlformats.org/officeDocument/2006/relationships/hyperlink" Target="https://chromewebstore.google.com/detail/adgekmhmbbjeodgpjjpcnfgmeijefinp" TargetMode="External"/><Relationship Id="rId2550" Type="http://schemas.openxmlformats.org/officeDocument/2006/relationships/hyperlink" Target="https://chromewebstore.google.com/detail/cnfjjjccgdhpmagdikdfdoamffinllog" TargetMode="External"/><Relationship Id="rId3880" Type="http://schemas.openxmlformats.org/officeDocument/2006/relationships/hyperlink" Target="https://chromewebstore.google.com/detail/adcehildlgkafghlmnbnhegagachlioe" TargetMode="External"/><Relationship Id="rId1220" Type="http://schemas.openxmlformats.org/officeDocument/2006/relationships/hyperlink" Target="https://chromewebstore.google.com/detail/dncilinodjpgloajbdolfcjjlhokbdan" TargetMode="External"/><Relationship Id="rId2551" Type="http://schemas.openxmlformats.org/officeDocument/2006/relationships/hyperlink" Target="https://chromewebstore.google.com/detail/cpkbcemgamhinbingpodkfnpnofkloae" TargetMode="External"/><Relationship Id="rId3883" Type="http://schemas.openxmlformats.org/officeDocument/2006/relationships/hyperlink" Target="https://chromewebstore.google.com/detail/adplchojbnceleieilggnpceikjeapjg" TargetMode="External"/><Relationship Id="rId1221" Type="http://schemas.openxmlformats.org/officeDocument/2006/relationships/hyperlink" Target="https://chromewebstore.google.com/detail/dnioinfbhmclclfdbcnlfgbojdpdicde" TargetMode="External"/><Relationship Id="rId2552" Type="http://schemas.openxmlformats.org/officeDocument/2006/relationships/hyperlink" Target="https://chromewebstore.google.com/detail/dabkfpeebkikmgdianbkchblbdibbfhl" TargetMode="External"/><Relationship Id="rId3882" Type="http://schemas.openxmlformats.org/officeDocument/2006/relationships/hyperlink" Target="https://chromewebstore.google.com/detail/adlgciholbhcgjhkgnkcppodnflfodni" TargetMode="External"/><Relationship Id="rId1222" Type="http://schemas.openxmlformats.org/officeDocument/2006/relationships/hyperlink" Target="https://chromewebstore.google.com/detail/dnjnjakimfpdaahjpakjjbobnfbjnjmb" TargetMode="External"/><Relationship Id="rId2553" Type="http://schemas.openxmlformats.org/officeDocument/2006/relationships/hyperlink" Target="https://chromewebstore.google.com/detail/dbcnbegbcdfdlndabgemkabfhfllocma" TargetMode="External"/><Relationship Id="rId3885" Type="http://schemas.openxmlformats.org/officeDocument/2006/relationships/hyperlink" Target="https://chromewebstore.google.com/detail/aeiklncejanjjjannoindchdblikjhkb" TargetMode="External"/><Relationship Id="rId1223" Type="http://schemas.openxmlformats.org/officeDocument/2006/relationships/hyperlink" Target="https://chromewebstore.google.com/detail/dnkjinhmoohpidjdgehjbglmgbngnknl" TargetMode="External"/><Relationship Id="rId2554" Type="http://schemas.openxmlformats.org/officeDocument/2006/relationships/hyperlink" Target="https://chromewebstore.google.com/detail/dcaaabmopjlkogkeahlbehpnppgleahf" TargetMode="External"/><Relationship Id="rId3884" Type="http://schemas.openxmlformats.org/officeDocument/2006/relationships/hyperlink" Target="https://chromewebstore.google.com/detail/aebamgnddkjifkidngamjohhgkfholmj" TargetMode="External"/><Relationship Id="rId2500" Type="http://schemas.openxmlformats.org/officeDocument/2006/relationships/hyperlink" Target="https://chromewebstore.google.com/detail/analeldnikfgekckpcppegfekineelbb" TargetMode="External"/><Relationship Id="rId3832" Type="http://schemas.openxmlformats.org/officeDocument/2006/relationships/hyperlink" Target="https://chromewebstore.google.com/detail/opidlipnbfhpdenbnanplcalbdgoplnc" TargetMode="External"/><Relationship Id="rId2501" Type="http://schemas.openxmlformats.org/officeDocument/2006/relationships/hyperlink" Target="https://chromewebstore.google.com/detail/aneddidibfifdpbeppmpoackniodpekj" TargetMode="External"/><Relationship Id="rId3831" Type="http://schemas.openxmlformats.org/officeDocument/2006/relationships/hyperlink" Target="https://chromewebstore.google.com/detail/opefelljddckamffnphohkknfgbdnham" TargetMode="External"/><Relationship Id="rId2502" Type="http://schemas.openxmlformats.org/officeDocument/2006/relationships/hyperlink" Target="https://chromewebstore.google.com/detail/aobebmleelbgbonejgbokglicljhaaae" TargetMode="External"/><Relationship Id="rId3834" Type="http://schemas.openxmlformats.org/officeDocument/2006/relationships/hyperlink" Target="https://chromewebstore.google.com/detail/opplgfmlhieaibnddnjciilcadohjopd" TargetMode="External"/><Relationship Id="rId2503" Type="http://schemas.openxmlformats.org/officeDocument/2006/relationships/hyperlink" Target="https://chromewebstore.google.com/detail/aogefgiamlllkemngojodbhbdigamjkj" TargetMode="External"/><Relationship Id="rId3833" Type="http://schemas.openxmlformats.org/officeDocument/2006/relationships/hyperlink" Target="https://chromewebstore.google.com/detail/opjjnkenncfhccclamihhkgagcimhkgb" TargetMode="External"/><Relationship Id="rId2504" Type="http://schemas.openxmlformats.org/officeDocument/2006/relationships/hyperlink" Target="https://chromewebstore.google.com/detail/aohbmgaolpimlnfonicdhkialgannnii" TargetMode="External"/><Relationship Id="rId3836" Type="http://schemas.openxmlformats.org/officeDocument/2006/relationships/hyperlink" Target="https://chromewebstore.google.com/detail/pbljfomgollbampmcmalflifheichabj" TargetMode="External"/><Relationship Id="rId2505" Type="http://schemas.openxmlformats.org/officeDocument/2006/relationships/hyperlink" Target="https://chromewebstore.google.com/detail/apehfighfmpoieeniallefdeibodgmmb" TargetMode="External"/><Relationship Id="rId3835" Type="http://schemas.openxmlformats.org/officeDocument/2006/relationships/hyperlink" Target="https://chromewebstore.google.com/detail/pacehjmodmfilemfbcahnpdcdmlocjnm" TargetMode="External"/><Relationship Id="rId2506" Type="http://schemas.openxmlformats.org/officeDocument/2006/relationships/hyperlink" Target="https://chromewebstore.google.com/detail/bageaffklfkikjigoclfgengklfnidll" TargetMode="External"/><Relationship Id="rId3838" Type="http://schemas.openxmlformats.org/officeDocument/2006/relationships/hyperlink" Target="https://chromewebstore.google.com/detail/pcpaogkiacmmehpclbomfdhknjmndgpf" TargetMode="External"/><Relationship Id="rId2507" Type="http://schemas.openxmlformats.org/officeDocument/2006/relationships/hyperlink" Target="https://chromewebstore.google.com/detail/bajbkoongpoeddacnegpakakhemifgmk" TargetMode="External"/><Relationship Id="rId3837" Type="http://schemas.openxmlformats.org/officeDocument/2006/relationships/hyperlink" Target="https://chromewebstore.google.com/detail/pcjgpaoccfljpcenfoonloideeelljih" TargetMode="External"/><Relationship Id="rId2508" Type="http://schemas.openxmlformats.org/officeDocument/2006/relationships/hyperlink" Target="https://chromewebstore.google.com/detail/bakealnpgdijapoiibbgdbogehhmaopn" TargetMode="External"/><Relationship Id="rId2509" Type="http://schemas.openxmlformats.org/officeDocument/2006/relationships/hyperlink" Target="https://chromewebstore.google.com/detail/bcdabfmndggphffkchfdcekcokmbnkjl" TargetMode="External"/><Relationship Id="rId3839" Type="http://schemas.openxmlformats.org/officeDocument/2006/relationships/hyperlink" Target="https://chromewebstore.google.com/detail/pdcpkplohipjhdfdchpmgekifmcdbnha" TargetMode="External"/><Relationship Id="rId3830" Type="http://schemas.openxmlformats.org/officeDocument/2006/relationships/hyperlink" Target="https://chromewebstore.google.com/detail/oopaipoegcoodhcemiefhoeaneholpfj" TargetMode="External"/><Relationship Id="rId3821" Type="http://schemas.openxmlformats.org/officeDocument/2006/relationships/hyperlink" Target="https://chromewebstore.google.com/detail/olbihpfkfhmeonjellidnieandnfaapd" TargetMode="External"/><Relationship Id="rId3820" Type="http://schemas.openxmlformats.org/officeDocument/2006/relationships/hyperlink" Target="https://chromewebstore.google.com/detail/oknfhghddpnfhibkiclbkcfpfahdhmkh" TargetMode="External"/><Relationship Id="rId3823" Type="http://schemas.openxmlformats.org/officeDocument/2006/relationships/hyperlink" Target="https://chromewebstore.google.com/detail/omloppmdelcfeablljmjmonacajpfpmj" TargetMode="External"/><Relationship Id="rId3822" Type="http://schemas.openxmlformats.org/officeDocument/2006/relationships/hyperlink" Target="https://chromewebstore.google.com/detail/omjpjjekjefmdkidigpkhpjnojoadbih" TargetMode="External"/><Relationship Id="rId3825" Type="http://schemas.openxmlformats.org/officeDocument/2006/relationships/hyperlink" Target="https://chromewebstore.google.com/detail/onallmegfllpgimnkekmlpgcknbajapa" TargetMode="External"/><Relationship Id="rId3824" Type="http://schemas.openxmlformats.org/officeDocument/2006/relationships/hyperlink" Target="https://chromewebstore.google.com/detail/onaeadclbaeleijcfmmhopgmmmpedifa" TargetMode="External"/><Relationship Id="rId3827" Type="http://schemas.openxmlformats.org/officeDocument/2006/relationships/hyperlink" Target="https://chromewebstore.google.com/detail/onfbdcochddeofkfdjahmpmefpilbjpb" TargetMode="External"/><Relationship Id="rId3826" Type="http://schemas.openxmlformats.org/officeDocument/2006/relationships/hyperlink" Target="https://chromewebstore.google.com/detail/onbankppjhoeccfkpnhogojjllbefglb" TargetMode="External"/><Relationship Id="rId3829" Type="http://schemas.openxmlformats.org/officeDocument/2006/relationships/hyperlink" Target="https://chromewebstore.google.com/detail/ooelmejmbcmaenhjphbegoigejcpaijj" TargetMode="External"/><Relationship Id="rId3828" Type="http://schemas.openxmlformats.org/officeDocument/2006/relationships/hyperlink" Target="https://chromewebstore.google.com/detail/onjdlclpcjjopdlmokbdbkmhfhonkghd" TargetMode="External"/><Relationship Id="rId6094" Type="http://schemas.openxmlformats.org/officeDocument/2006/relationships/hyperlink" Target="https://chromewebstore.google.com/detail/jdbdoclhimkcngmlcphcfgaeklpmlkap" TargetMode="External"/><Relationship Id="rId6095" Type="http://schemas.openxmlformats.org/officeDocument/2006/relationships/hyperlink" Target="https://chromewebstore.google.com/detail/jdblagejdbkmjfbnppiggfeiglefmpfk" TargetMode="External"/><Relationship Id="rId6092" Type="http://schemas.openxmlformats.org/officeDocument/2006/relationships/hyperlink" Target="https://chromewebstore.google.com/detail/jckchajdleibnohnphddbiglgpjpbffn" TargetMode="External"/><Relationship Id="rId6093" Type="http://schemas.openxmlformats.org/officeDocument/2006/relationships/hyperlink" Target="https://chromewebstore.google.com/detail/jclikkcolnhlpnlcecldfigfdeocdgpf" TargetMode="External"/><Relationship Id="rId6098" Type="http://schemas.openxmlformats.org/officeDocument/2006/relationships/hyperlink" Target="https://chromewebstore.google.com/detail/jdkfbkogojpmdmpnkgjcgpngkkmhdfem" TargetMode="External"/><Relationship Id="rId6099" Type="http://schemas.openxmlformats.org/officeDocument/2006/relationships/hyperlink" Target="https://chromewebstore.google.com/detail/jebjmpoblhckkhjpegbcgpbhdpalbpih" TargetMode="External"/><Relationship Id="rId6096" Type="http://schemas.openxmlformats.org/officeDocument/2006/relationships/hyperlink" Target="https://chromewebstore.google.com/detail/jdhkkkapgdggbnglgficlikfkcbfebec" TargetMode="External"/><Relationship Id="rId6097" Type="http://schemas.openxmlformats.org/officeDocument/2006/relationships/hyperlink" Target="https://chromewebstore.google.com/detail/jdiikkhlhlgndjllhoinidnkbgkjfepe" TargetMode="External"/><Relationship Id="rId2522" Type="http://schemas.openxmlformats.org/officeDocument/2006/relationships/hyperlink" Target="https://chromewebstore.google.com/detail/blmfdjjomajmejdkdbcabhgfonkhfaam" TargetMode="External"/><Relationship Id="rId3854" Type="http://schemas.openxmlformats.org/officeDocument/2006/relationships/hyperlink" Target="https://chromewebstore.google.com/detail/plaggkdohpgdahkidgjmbhafnbbacpno" TargetMode="External"/><Relationship Id="rId2523" Type="http://schemas.openxmlformats.org/officeDocument/2006/relationships/hyperlink" Target="https://chromewebstore.google.com/detail/bmhlkhlncmgcdeicfehhpifjhgneenoc" TargetMode="External"/><Relationship Id="rId3853" Type="http://schemas.openxmlformats.org/officeDocument/2006/relationships/hyperlink" Target="https://chromewebstore.google.com/detail/pkijdmeepjhpenmighhaodgfoogncnlk" TargetMode="External"/><Relationship Id="rId2524" Type="http://schemas.openxmlformats.org/officeDocument/2006/relationships/hyperlink" Target="https://chromewebstore.google.com/detail/bnajgmchnmlnjggkflnpjllgpjbckoja" TargetMode="External"/><Relationship Id="rId3856" Type="http://schemas.openxmlformats.org/officeDocument/2006/relationships/hyperlink" Target="https://chromewebstore.google.com/detail/pmbemjeijjfdhnpdcoajjchneahlhhkn" TargetMode="External"/><Relationship Id="rId2525" Type="http://schemas.openxmlformats.org/officeDocument/2006/relationships/hyperlink" Target="https://chromewebstore.google.com/detail/bndckplfkckfjbgmgnkkemkdpafdablg" TargetMode="External"/><Relationship Id="rId3855" Type="http://schemas.openxmlformats.org/officeDocument/2006/relationships/hyperlink" Target="https://chromewebstore.google.com/detail/plbmnfkeakpfllpilfmmdchbcfkobbgd" TargetMode="External"/><Relationship Id="rId2526" Type="http://schemas.openxmlformats.org/officeDocument/2006/relationships/hyperlink" Target="https://chromewebstore.google.com/detail/bnocikekcdchphdpfffcgikiblhnkdad" TargetMode="External"/><Relationship Id="rId3858" Type="http://schemas.openxmlformats.org/officeDocument/2006/relationships/hyperlink" Target="https://chromewebstore.google.com/detail/pmolhkonbppmihdpjmgclnclfppjndom" TargetMode="External"/><Relationship Id="rId2527" Type="http://schemas.openxmlformats.org/officeDocument/2006/relationships/hyperlink" Target="https://chromewebstore.google.com/detail/boagamamebolcgbbpghdbadebfclkbdb" TargetMode="External"/><Relationship Id="rId3857" Type="http://schemas.openxmlformats.org/officeDocument/2006/relationships/hyperlink" Target="https://chromewebstore.google.com/detail/pmdnlbnecibhnahdcenfjpinmffahfmg" TargetMode="External"/><Relationship Id="rId2528" Type="http://schemas.openxmlformats.org/officeDocument/2006/relationships/hyperlink" Target="https://chromewebstore.google.com/detail/bocgmaooafgikalnonpaccinefpncobc" TargetMode="External"/><Relationship Id="rId2529" Type="http://schemas.openxmlformats.org/officeDocument/2006/relationships/hyperlink" Target="https://chromewebstore.google.com/detail/bohffanknhdkpedmpcgephfdgabemfkb" TargetMode="External"/><Relationship Id="rId3859" Type="http://schemas.openxmlformats.org/officeDocument/2006/relationships/hyperlink" Target="https://chromewebstore.google.com/detail/pnchdkpeolmmjdpoabdkjdajjlklndjf" TargetMode="External"/><Relationship Id="rId3850" Type="http://schemas.openxmlformats.org/officeDocument/2006/relationships/hyperlink" Target="https://chromewebstore.google.com/detail/pigjfndpomdldkmoaiiigpbncemhjeca" TargetMode="External"/><Relationship Id="rId2520" Type="http://schemas.openxmlformats.org/officeDocument/2006/relationships/hyperlink" Target="https://chromewebstore.google.com/detail/bkcibcjcbhgjoddeldfmgkbaipjkidpf" TargetMode="External"/><Relationship Id="rId3852" Type="http://schemas.openxmlformats.org/officeDocument/2006/relationships/hyperlink" Target="https://chromewebstore.google.com/detail/pkcbdgpgameiombpiiofoekagjhhdjpe" TargetMode="External"/><Relationship Id="rId2521" Type="http://schemas.openxmlformats.org/officeDocument/2006/relationships/hyperlink" Target="https://chromewebstore.google.com/detail/blilbgcjmmpbcjiopbifnoopnpfhdipg" TargetMode="External"/><Relationship Id="rId3851" Type="http://schemas.openxmlformats.org/officeDocument/2006/relationships/hyperlink" Target="https://chromewebstore.google.com/detail/pjfglpaimjpcekmaicealmmahlnbjool" TargetMode="External"/><Relationship Id="rId2511" Type="http://schemas.openxmlformats.org/officeDocument/2006/relationships/hyperlink" Target="https://chromewebstore.google.com/detail/bdiahcebghgckgbgmjhdbecjkedpcidn" TargetMode="External"/><Relationship Id="rId3843" Type="http://schemas.openxmlformats.org/officeDocument/2006/relationships/hyperlink" Target="https://chromewebstore.google.com/detail/pffipagakjgfndljjpkbdpoimojmgjca" TargetMode="External"/><Relationship Id="rId2512" Type="http://schemas.openxmlformats.org/officeDocument/2006/relationships/hyperlink" Target="https://chromewebstore.google.com/detail/becngjhkfeeldhnjgbgndeedogbnaejg" TargetMode="External"/><Relationship Id="rId3842" Type="http://schemas.openxmlformats.org/officeDocument/2006/relationships/hyperlink" Target="https://chromewebstore.google.com/detail/pfegffhjcgkneoemnlniggnhkfioidjg" TargetMode="External"/><Relationship Id="rId2513" Type="http://schemas.openxmlformats.org/officeDocument/2006/relationships/hyperlink" Target="https://chromewebstore.google.com/detail/bfcodeehkjogenemacopdbhabjebnbah" TargetMode="External"/><Relationship Id="rId3845" Type="http://schemas.openxmlformats.org/officeDocument/2006/relationships/hyperlink" Target="https://chromewebstore.google.com/detail/pgjddfakmeeljhjhnhgakblggcfkmima" TargetMode="External"/><Relationship Id="rId2514" Type="http://schemas.openxmlformats.org/officeDocument/2006/relationships/hyperlink" Target="https://chromewebstore.google.com/detail/bgdpllcnhcmpfcheafdhimpklhjoommn" TargetMode="External"/><Relationship Id="rId3844" Type="http://schemas.openxmlformats.org/officeDocument/2006/relationships/hyperlink" Target="https://chromewebstore.google.com/detail/pfncofjenonlikkhcbbgingooppdddde" TargetMode="External"/><Relationship Id="rId2515" Type="http://schemas.openxmlformats.org/officeDocument/2006/relationships/hyperlink" Target="https://chromewebstore.google.com/detail/bgjogpoidejdemgoochpnkmdjpocgkha" TargetMode="External"/><Relationship Id="rId3847" Type="http://schemas.openxmlformats.org/officeDocument/2006/relationships/hyperlink" Target="https://chromewebstore.google.com/detail/pgmcojeijjhacgkkjaakdafmloncpema" TargetMode="External"/><Relationship Id="rId2516" Type="http://schemas.openxmlformats.org/officeDocument/2006/relationships/hyperlink" Target="https://chromewebstore.google.com/detail/bgnmojbefoplnleefojcghjopmopidaj" TargetMode="External"/><Relationship Id="rId3846" Type="http://schemas.openxmlformats.org/officeDocument/2006/relationships/hyperlink" Target="https://chromewebstore.google.com/detail/pgmbbgdogjfgbnlcnfeoelfanbgaehma" TargetMode="External"/><Relationship Id="rId2517" Type="http://schemas.openxmlformats.org/officeDocument/2006/relationships/hyperlink" Target="https://chromewebstore.google.com/detail/bhlchidmlalaccjoechflhbgkgkndjoh" TargetMode="External"/><Relationship Id="rId3849" Type="http://schemas.openxmlformats.org/officeDocument/2006/relationships/hyperlink" Target="https://chromewebstore.google.com/detail/phkjgidaednepcinnjgofdfjmajjngji" TargetMode="External"/><Relationship Id="rId2518" Type="http://schemas.openxmlformats.org/officeDocument/2006/relationships/hyperlink" Target="https://chromewebstore.google.com/detail/bilbbbdgdimchenccmooakpfomfajepd" TargetMode="External"/><Relationship Id="rId3848" Type="http://schemas.openxmlformats.org/officeDocument/2006/relationships/hyperlink" Target="https://chromewebstore.google.com/detail/phhkfpenalhlnhefgcehhdgoabneidjn" TargetMode="External"/><Relationship Id="rId2519" Type="http://schemas.openxmlformats.org/officeDocument/2006/relationships/hyperlink" Target="https://chromewebstore.google.com/detail/bjmimocndihpmdoelbiilpkkfkppikap" TargetMode="External"/><Relationship Id="rId3841" Type="http://schemas.openxmlformats.org/officeDocument/2006/relationships/hyperlink" Target="https://chromewebstore.google.com/detail/pdhpdibmmpabmojipngiikifminbkabf" TargetMode="External"/><Relationship Id="rId2510" Type="http://schemas.openxmlformats.org/officeDocument/2006/relationships/hyperlink" Target="https://chromewebstore.google.com/detail/bdeifmcaonlafkglbdpbbhkeecjnkipo" TargetMode="External"/><Relationship Id="rId3840" Type="http://schemas.openxmlformats.org/officeDocument/2006/relationships/hyperlink" Target="https://chromewebstore.google.com/detail/pdhfkciemenekahpcoimfljmdifjllon" TargetMode="External"/><Relationship Id="rId1290" Type="http://schemas.openxmlformats.org/officeDocument/2006/relationships/hyperlink" Target="https://chromewebstore.google.com/detail/fbcdnjeoghampomjjaahjgjghdjdbbcj" TargetMode="External"/><Relationship Id="rId1291" Type="http://schemas.openxmlformats.org/officeDocument/2006/relationships/hyperlink" Target="https://chromewebstore.google.com/detail/fbgiiajhkmfpcfkdlfbbicfgkaaidfop" TargetMode="External"/><Relationship Id="rId1292" Type="http://schemas.openxmlformats.org/officeDocument/2006/relationships/hyperlink" Target="https://chromewebstore.google.com/detail/fbnocjfjcbbminbfklpioinjjofkobom" TargetMode="External"/><Relationship Id="rId1293" Type="http://schemas.openxmlformats.org/officeDocument/2006/relationships/hyperlink" Target="https://chromewebstore.google.com/detail/fcglmegnjekkklhoomakhomlkghjpmcc" TargetMode="External"/><Relationship Id="rId1294" Type="http://schemas.openxmlformats.org/officeDocument/2006/relationships/hyperlink" Target="https://chromewebstore.google.com/detail/fcombecpigkkfcbfaeikoeegkmkjfbfm" TargetMode="External"/><Relationship Id="rId1295" Type="http://schemas.openxmlformats.org/officeDocument/2006/relationships/hyperlink" Target="https://chromewebstore.google.com/detail/fddffkdncgkkdjobemgbpojjeffmmofb" TargetMode="External"/><Relationship Id="rId1296" Type="http://schemas.openxmlformats.org/officeDocument/2006/relationships/hyperlink" Target="https://chromewebstore.google.com/detail/fdeopiliemdomncemeibjpmccgmnkfig" TargetMode="External"/><Relationship Id="rId1297" Type="http://schemas.openxmlformats.org/officeDocument/2006/relationships/hyperlink" Target="https://chromewebstore.google.com/detail/fdlghnedhhdgjjfgdpgpaaiddipafhgk" TargetMode="External"/><Relationship Id="rId1298" Type="http://schemas.openxmlformats.org/officeDocument/2006/relationships/hyperlink" Target="https://chromewebstore.google.com/detail/fdobpagoeokcdnpgdehandkpoabkibcj" TargetMode="External"/><Relationship Id="rId1299" Type="http://schemas.openxmlformats.org/officeDocument/2006/relationships/hyperlink" Target="https://chromewebstore.google.com/detail/ffboikeeabaiacihgbdinhcegeincpnh" TargetMode="External"/><Relationship Id="rId1280" Type="http://schemas.openxmlformats.org/officeDocument/2006/relationships/hyperlink" Target="https://chromewebstore.google.com/detail/eognaopbbjmpompmibmllnddafjhbfdj" TargetMode="External"/><Relationship Id="rId1281" Type="http://schemas.openxmlformats.org/officeDocument/2006/relationships/hyperlink" Target="https://chromewebstore.google.com/detail/eojkkpaoohebkdkplhjjcedcpkajlibe" TargetMode="External"/><Relationship Id="rId1282" Type="http://schemas.openxmlformats.org/officeDocument/2006/relationships/hyperlink" Target="https://chromewebstore.google.com/detail/eomobieikegbkbaoobfcjjckhfkdgdlb" TargetMode="External"/><Relationship Id="rId1283" Type="http://schemas.openxmlformats.org/officeDocument/2006/relationships/hyperlink" Target="https://chromewebstore.google.com/detail/epamkjmlhfiopklkjdenlbfdeiopgacf" TargetMode="External"/><Relationship Id="rId1284" Type="http://schemas.openxmlformats.org/officeDocument/2006/relationships/hyperlink" Target="https://chromewebstore.google.com/detail/epgmnmcjdhapiojbohkkemlfkegmbebb" TargetMode="External"/><Relationship Id="rId1285" Type="http://schemas.openxmlformats.org/officeDocument/2006/relationships/hyperlink" Target="https://chromewebstore.google.com/detail/eplindodloikpoelnafgdpjiebefecee" TargetMode="External"/><Relationship Id="rId1286" Type="http://schemas.openxmlformats.org/officeDocument/2006/relationships/hyperlink" Target="https://chromewebstore.google.com/detail/fabjnpecogealbfoebkcjfbmdhnnfhbj" TargetMode="External"/><Relationship Id="rId1287" Type="http://schemas.openxmlformats.org/officeDocument/2006/relationships/hyperlink" Target="https://chromewebstore.google.com/detail/fadlnhpmllgjcllbnpjdknlbnnpammlg" TargetMode="External"/><Relationship Id="rId1288" Type="http://schemas.openxmlformats.org/officeDocument/2006/relationships/hyperlink" Target="https://chromewebstore.google.com/detail/fafiooicgpgnicbbkfgimcofbhpcledk" TargetMode="External"/><Relationship Id="rId1289" Type="http://schemas.openxmlformats.org/officeDocument/2006/relationships/hyperlink" Target="https://chromewebstore.google.com/detail/famklkiljmbebjohjekddkmpicoepojf" TargetMode="External"/><Relationship Id="rId8707" Type="http://schemas.openxmlformats.org/officeDocument/2006/relationships/hyperlink" Target="https://chromewebstore.google.com/detail/mijfipgkjnpanmnmanbjjibihbdgehlf" TargetMode="External"/><Relationship Id="rId8706" Type="http://schemas.openxmlformats.org/officeDocument/2006/relationships/hyperlink" Target="https://chromewebstore.google.com/detail/makncdgkhgjppmehkcgncbikakkdhndp" TargetMode="External"/><Relationship Id="rId8705" Type="http://schemas.openxmlformats.org/officeDocument/2006/relationships/hyperlink" Target="https://chromewebstore.google.com/detail/kaolnppbknjoipdbneeopagbajdkceno" TargetMode="External"/><Relationship Id="rId8704" Type="http://schemas.openxmlformats.org/officeDocument/2006/relationships/hyperlink" Target="https://chromewebstore.google.com/detail/jnjpgagcbhkomjfkfimifpddphbiilkh" TargetMode="External"/><Relationship Id="rId8709" Type="http://schemas.openxmlformats.org/officeDocument/2006/relationships/hyperlink" Target="https://chromewebstore.google.com/detail/bhgmcidfcdpepjjdpobpejfgbejjknjc" TargetMode="External"/><Relationship Id="rId8708" Type="http://schemas.openxmlformats.org/officeDocument/2006/relationships/hyperlink" Target="https://chromewebstore.google.com/detail/phancnbmppjgodggfbjccodoepcbdghj" TargetMode="External"/><Relationship Id="rId8703" Type="http://schemas.openxmlformats.org/officeDocument/2006/relationships/hyperlink" Target="https://chromewebstore.google.com/detail/jfjodidafpjnpfgcfmoadhjldhljjkgc" TargetMode="External"/><Relationship Id="rId8702" Type="http://schemas.openxmlformats.org/officeDocument/2006/relationships/hyperlink" Target="https://chromewebstore.google.com/detail/cbomgfbookfdpmiddedikmihfcbplmcl" TargetMode="External"/><Relationship Id="rId8701" Type="http://schemas.openxmlformats.org/officeDocument/2006/relationships/hyperlink" Target="https://chromewebstore.google.com/detail/omekgoimkadkjcpdakieofgjjfeahcbi" TargetMode="External"/><Relationship Id="rId8700" Type="http://schemas.openxmlformats.org/officeDocument/2006/relationships/hyperlink" Target="https://chromewebstore.google.com/detail/nnjgaeekiplalipomfgacalgehhcckbp" TargetMode="External"/><Relationship Id="rId1257" Type="http://schemas.openxmlformats.org/officeDocument/2006/relationships/hyperlink" Target="https://chromewebstore.google.com/detail/ehpomalhbdabpiijhpbcpfjiihnjhnmg" TargetMode="External"/><Relationship Id="rId2588" Type="http://schemas.openxmlformats.org/officeDocument/2006/relationships/hyperlink" Target="https://chromewebstore.google.com/detail/elnngfdiiddneiinllplklpadfogajck" TargetMode="External"/><Relationship Id="rId1258" Type="http://schemas.openxmlformats.org/officeDocument/2006/relationships/hyperlink" Target="https://chromewebstore.google.com/detail/eiciglkcdnhlihjhlappkgbpbimejemb" TargetMode="External"/><Relationship Id="rId2589" Type="http://schemas.openxmlformats.org/officeDocument/2006/relationships/hyperlink" Target="https://chromewebstore.google.com/detail/eochlhpceohhhfogfeladaifggikcjhk" TargetMode="External"/><Relationship Id="rId1259" Type="http://schemas.openxmlformats.org/officeDocument/2006/relationships/hyperlink" Target="https://chromewebstore.google.com/detail/eimhlfnbjllicocigjdalpodkokffbmm" TargetMode="External"/><Relationship Id="rId2580" Type="http://schemas.openxmlformats.org/officeDocument/2006/relationships/hyperlink" Target="http://sitemod.io" TargetMode="External"/><Relationship Id="rId1250" Type="http://schemas.openxmlformats.org/officeDocument/2006/relationships/hyperlink" Target="https://chromewebstore.google.com/detail/eflnfgjcfmhdpcaadiimlmclcmjpeaki" TargetMode="External"/><Relationship Id="rId2581" Type="http://schemas.openxmlformats.org/officeDocument/2006/relationships/hyperlink" Target="https://chromewebstore.google.com/detail/efjbaneaebkanjmhengnedpllfdiocin" TargetMode="External"/><Relationship Id="rId1251" Type="http://schemas.openxmlformats.org/officeDocument/2006/relationships/hyperlink" Target="https://chromewebstore.google.com/detail/egdlgaljianpgdlmfijpphbadibfncdm" TargetMode="External"/><Relationship Id="rId2582" Type="http://schemas.openxmlformats.org/officeDocument/2006/relationships/hyperlink" Target="https://chromewebstore.google.com/detail/efjdfkfpnffgkdgehkenoikpbadfgple" TargetMode="External"/><Relationship Id="rId1252" Type="http://schemas.openxmlformats.org/officeDocument/2006/relationships/hyperlink" Target="https://chromewebstore.google.com/detail/egkhfllhmjihbfnkikpnbeeakllbobjl" TargetMode="External"/><Relationship Id="rId2583" Type="http://schemas.openxmlformats.org/officeDocument/2006/relationships/hyperlink" Target="https://chromewebstore.google.com/detail/efmlapiifhopliikdcggdflihnhnadcc" TargetMode="External"/><Relationship Id="rId1253" Type="http://schemas.openxmlformats.org/officeDocument/2006/relationships/hyperlink" Target="https://chromewebstore.google.com/detail/egncijpdipioeknebabimpinkohpnlkj" TargetMode="External"/><Relationship Id="rId2584" Type="http://schemas.openxmlformats.org/officeDocument/2006/relationships/hyperlink" Target="https://chromewebstore.google.com/detail/egkocgaccgbefacjmdnlfmlmccgacjck" TargetMode="External"/><Relationship Id="rId1254" Type="http://schemas.openxmlformats.org/officeDocument/2006/relationships/hyperlink" Target="https://chromewebstore.google.com/detail/ehbjiffeoicjoibcmcadogclcbagjhjf" TargetMode="External"/><Relationship Id="rId2585" Type="http://schemas.openxmlformats.org/officeDocument/2006/relationships/hyperlink" Target="https://chromewebstore.google.com/detail/ehppmcooahfnlfhhcflpkcjmonkoindc" TargetMode="External"/><Relationship Id="rId1255" Type="http://schemas.openxmlformats.org/officeDocument/2006/relationships/hyperlink" Target="https://chromewebstore.google.com/detail/ehcpkbhefjnefdkdoaahbafdohheeidn" TargetMode="External"/><Relationship Id="rId2586" Type="http://schemas.openxmlformats.org/officeDocument/2006/relationships/hyperlink" Target="https://chromewebstore.google.com/detail/eimkcffdakecfnjnkcbefpndphkgmjah" TargetMode="External"/><Relationship Id="rId1256" Type="http://schemas.openxmlformats.org/officeDocument/2006/relationships/hyperlink" Target="https://chromewebstore.google.com/detail/ehhhlpdgplkjdcgodmkgonnjhpkdiilc" TargetMode="External"/><Relationship Id="rId2587" Type="http://schemas.openxmlformats.org/officeDocument/2006/relationships/hyperlink" Target="https://chromewebstore.google.com/detail/ekjkdponophncgphllhplkelgpogjgjd" TargetMode="External"/><Relationship Id="rId1246" Type="http://schemas.openxmlformats.org/officeDocument/2006/relationships/hyperlink" Target="https://chromewebstore.google.com/detail/efcahpjiijlbojmfmaceicchnhkgdkje" TargetMode="External"/><Relationship Id="rId2577" Type="http://schemas.openxmlformats.org/officeDocument/2006/relationships/hyperlink" Target="https://chromewebstore.google.com/detail/edlabnkomhapginaagocjphimjellekl" TargetMode="External"/><Relationship Id="rId1247" Type="http://schemas.openxmlformats.org/officeDocument/2006/relationships/hyperlink" Target="https://chromewebstore.google.com/detail/efeejpljhmnlmccjklepacdpmjgmhieg" TargetMode="External"/><Relationship Id="rId2578" Type="http://schemas.openxmlformats.org/officeDocument/2006/relationships/hyperlink" Target="https://chromewebstore.google.com/detail/eebpioaailbjojmdbmlpomfgijnlcemk" TargetMode="External"/><Relationship Id="rId1248" Type="http://schemas.openxmlformats.org/officeDocument/2006/relationships/hyperlink" Target="https://chromewebstore.google.com/detail/efjgjleilhflffpbnkaofpmdnajdpepi" TargetMode="External"/><Relationship Id="rId2579" Type="http://schemas.openxmlformats.org/officeDocument/2006/relationships/hyperlink" Target="https://chromewebstore.google.com/detail/eednccpckdkpojaiemedoejdngappaag" TargetMode="External"/><Relationship Id="rId1249" Type="http://schemas.openxmlformats.org/officeDocument/2006/relationships/hyperlink" Target="https://chromewebstore.google.com/detail/efjjgphedlaihnlgaibiaihhmhaejjdd" TargetMode="External"/><Relationship Id="rId2570" Type="http://schemas.openxmlformats.org/officeDocument/2006/relationships/hyperlink" Target="https://chromewebstore.google.com/detail/dkfibabkihblcenahmcdmfepojcejoan" TargetMode="External"/><Relationship Id="rId1240" Type="http://schemas.openxmlformats.org/officeDocument/2006/relationships/hyperlink" Target="https://chromewebstore.google.com/detail/edkcmfocepnifkbnbkmlcmegedeikdeb" TargetMode="External"/><Relationship Id="rId2571" Type="http://schemas.openxmlformats.org/officeDocument/2006/relationships/hyperlink" Target="https://chromewebstore.google.com/detail/dlgipkaoljiajmolhibpngjppeckkjjp" TargetMode="External"/><Relationship Id="rId1241" Type="http://schemas.openxmlformats.org/officeDocument/2006/relationships/hyperlink" Target="https://chromewebstore.google.com/detail/edmehlbdajlhcbpadjphafonmgoocogh" TargetMode="External"/><Relationship Id="rId2572" Type="http://schemas.openxmlformats.org/officeDocument/2006/relationships/hyperlink" Target="https://chromewebstore.google.com/detail/dlpiocjogoilggigpijnoamnjjolfhdm" TargetMode="External"/><Relationship Id="rId1242" Type="http://schemas.openxmlformats.org/officeDocument/2006/relationships/hyperlink" Target="https://chromewebstore.google.com/detail/eecfoibnnhheckhfokpihgefmlnenofb" TargetMode="External"/><Relationship Id="rId2573" Type="http://schemas.openxmlformats.org/officeDocument/2006/relationships/hyperlink" Target="https://chromewebstore.google.com/detail/dmmkcklhpicggimepcmiiiinhjgfpabp" TargetMode="External"/><Relationship Id="rId1243" Type="http://schemas.openxmlformats.org/officeDocument/2006/relationships/hyperlink" Target="https://chromewebstore.google.com/detail/eeedcpdcehnikgkhbobmkjcipjhlbmpn" TargetMode="External"/><Relationship Id="rId2574" Type="http://schemas.openxmlformats.org/officeDocument/2006/relationships/hyperlink" Target="https://chromewebstore.google.com/detail/dmooeeefhgcabgimjgdjaldjkddeopmp" TargetMode="External"/><Relationship Id="rId1244" Type="http://schemas.openxmlformats.org/officeDocument/2006/relationships/hyperlink" Target="https://chromewebstore.google.com/detail/eemleifbnibgnoifdjohpchdemidjibj" TargetMode="External"/><Relationship Id="rId2575" Type="http://schemas.openxmlformats.org/officeDocument/2006/relationships/hyperlink" Target="https://chromewebstore.google.com/detail/doaamlfgfbkiofmbmaahkaaipgfmkhkh" TargetMode="External"/><Relationship Id="rId1245" Type="http://schemas.openxmlformats.org/officeDocument/2006/relationships/hyperlink" Target="https://chromewebstore.google.com/detail/efablgbmhenlnbblbdijphjkobelffib" TargetMode="External"/><Relationship Id="rId2576" Type="http://schemas.openxmlformats.org/officeDocument/2006/relationships/hyperlink" Target="https://chromewebstore.google.com/detail/ebpgknlgpomojokdkpgphjigniicjcgc" TargetMode="External"/><Relationship Id="rId1279" Type="http://schemas.openxmlformats.org/officeDocument/2006/relationships/hyperlink" Target="https://chromewebstore.google.com/detail/eoefmbbcheodkhndmjkfjicobhiafano" TargetMode="External"/><Relationship Id="rId1270" Type="http://schemas.openxmlformats.org/officeDocument/2006/relationships/hyperlink" Target="https://chromewebstore.google.com/detail/emiplbkkiabideffmpogkbbogkmofgph" TargetMode="External"/><Relationship Id="rId1271" Type="http://schemas.openxmlformats.org/officeDocument/2006/relationships/hyperlink" Target="https://chromewebstore.google.com/detail/emldbibkihanfiaiaghebffnbahjcgcp" TargetMode="External"/><Relationship Id="rId1272" Type="http://schemas.openxmlformats.org/officeDocument/2006/relationships/hyperlink" Target="https://chromewebstore.google.com/detail/emlhjldmodkejoblhpbldpbddilijblk" TargetMode="External"/><Relationship Id="rId1273" Type="http://schemas.openxmlformats.org/officeDocument/2006/relationships/hyperlink" Target="https://chromewebstore.google.com/detail/emplldgagngbkepbhafkhcnlmjfjjbdp" TargetMode="External"/><Relationship Id="rId1274" Type="http://schemas.openxmlformats.org/officeDocument/2006/relationships/hyperlink" Target="https://chromewebstore.google.com/detail/enejkfhimljloggnimhebadbjajhgkad" TargetMode="External"/><Relationship Id="rId1275" Type="http://schemas.openxmlformats.org/officeDocument/2006/relationships/hyperlink" Target="https://chromewebstore.google.com/detail/enemipdanmallpjakiehedcgjmibjihj" TargetMode="External"/><Relationship Id="rId1276" Type="http://schemas.openxmlformats.org/officeDocument/2006/relationships/hyperlink" Target="https://chromewebstore.google.com/detail/enggccnigdjpfjajmgicpdmbdfcecbfi" TargetMode="External"/><Relationship Id="rId1277" Type="http://schemas.openxmlformats.org/officeDocument/2006/relationships/hyperlink" Target="https://chromewebstore.google.com/detail/engmocckoohpopiacajolojeobefbcec" TargetMode="External"/><Relationship Id="rId1278" Type="http://schemas.openxmlformats.org/officeDocument/2006/relationships/hyperlink" Target="https://chromewebstore.google.com/detail/eobpccgcmekkhidcgneehbcgkmbmjiad" TargetMode="External"/><Relationship Id="rId1268" Type="http://schemas.openxmlformats.org/officeDocument/2006/relationships/hyperlink" Target="https://chromewebstore.google.com/detail/elhdjgjjmodgmhkokebhegekjooiaofm" TargetMode="External"/><Relationship Id="rId2599" Type="http://schemas.openxmlformats.org/officeDocument/2006/relationships/hyperlink" Target="https://chromewebstore.google.com/detail/fcnmaiiahjldikaollhjobhchdbhfhgf" TargetMode="External"/><Relationship Id="rId1269" Type="http://schemas.openxmlformats.org/officeDocument/2006/relationships/hyperlink" Target="https://chromewebstore.google.com/detail/elhgcjjhibcbkocpdklcmlhomhcbfonp" TargetMode="External"/><Relationship Id="rId2590" Type="http://schemas.openxmlformats.org/officeDocument/2006/relationships/hyperlink" Target="https://chromewebstore.google.com/detail/eojlhfcihickhmgmipooaplflklcibkh" TargetMode="External"/><Relationship Id="rId1260" Type="http://schemas.openxmlformats.org/officeDocument/2006/relationships/hyperlink" Target="https://chromewebstore.google.com/detail/einlemfghikkfamnllmhiomaaneefepc" TargetMode="External"/><Relationship Id="rId2591" Type="http://schemas.openxmlformats.org/officeDocument/2006/relationships/hyperlink" Target="https://chromewebstore.google.com/detail/eomfifclcdpkaghkehajpolkdnkmegfa" TargetMode="External"/><Relationship Id="rId1261" Type="http://schemas.openxmlformats.org/officeDocument/2006/relationships/hyperlink" Target="https://chromewebstore.google.com/detail/eiofnhinpddbbdledofboplbdobmdane" TargetMode="External"/><Relationship Id="rId2592" Type="http://schemas.openxmlformats.org/officeDocument/2006/relationships/hyperlink" Target="https://chromewebstore.google.com/detail/faacfelnnfhdicdmkdeclkeanllppdbm" TargetMode="External"/><Relationship Id="rId1262" Type="http://schemas.openxmlformats.org/officeDocument/2006/relationships/hyperlink" Target="https://chromewebstore.google.com/detail/ekdikahbgfofidpjnldofcelffahiefl" TargetMode="External"/><Relationship Id="rId2593" Type="http://schemas.openxmlformats.org/officeDocument/2006/relationships/hyperlink" Target="https://chromewebstore.google.com/detail/fabjlaokbhaoehejcoblhahcekmogbom" TargetMode="External"/><Relationship Id="rId1263" Type="http://schemas.openxmlformats.org/officeDocument/2006/relationships/hyperlink" Target="https://chromewebstore.google.com/detail/ekkjohcjbjcjjifokpingdbdlfekjcgi" TargetMode="External"/><Relationship Id="rId2594" Type="http://schemas.openxmlformats.org/officeDocument/2006/relationships/hyperlink" Target="https://chromewebstore.google.com/detail/faccodjobfpcgkppnoikebhllclepeia" TargetMode="External"/><Relationship Id="rId1264" Type="http://schemas.openxmlformats.org/officeDocument/2006/relationships/hyperlink" Target="https://chromewebstore.google.com/detail/ekoddcneeknhkipabocnmcdfahbfinln" TargetMode="External"/><Relationship Id="rId2595" Type="http://schemas.openxmlformats.org/officeDocument/2006/relationships/hyperlink" Target="https://chromewebstore.google.com/detail/fanpjcbgdinjeknjikpfnldfpnnpkelb" TargetMode="External"/><Relationship Id="rId1265" Type="http://schemas.openxmlformats.org/officeDocument/2006/relationships/hyperlink" Target="https://chromewebstore.google.com/detail/ekopmclclddpoipchmcbhifohhbmjafd" TargetMode="External"/><Relationship Id="rId2596" Type="http://schemas.openxmlformats.org/officeDocument/2006/relationships/hyperlink" Target="https://chromewebstore.google.com/detail/fbbgchnopppgncdjbckkjehfchncghdf" TargetMode="External"/><Relationship Id="rId1266" Type="http://schemas.openxmlformats.org/officeDocument/2006/relationships/hyperlink" Target="https://chromewebstore.google.com/detail/ekpegdfbihlbocepglfimeodnpiohcba" TargetMode="External"/><Relationship Id="rId2597" Type="http://schemas.openxmlformats.org/officeDocument/2006/relationships/hyperlink" Target="https://chromewebstore.google.com/detail/fbdhepgjnfmdlbfggopmjgnnhmcnghdf" TargetMode="External"/><Relationship Id="rId1267" Type="http://schemas.openxmlformats.org/officeDocument/2006/relationships/hyperlink" Target="https://chromewebstore.google.com/detail/elcnpdohkiddfbelgemgkpibmmnjhjni" TargetMode="External"/><Relationship Id="rId2598" Type="http://schemas.openxmlformats.org/officeDocument/2006/relationships/hyperlink" Target="https://chromewebstore.google.com/detail/fbnhlpaknddgpjajidodjdidnaonmhcl" TargetMode="External"/><Relationship Id="rId3070" Type="http://schemas.openxmlformats.org/officeDocument/2006/relationships/hyperlink" Target="https://chromewebstore.google.com/detail/jjcgaodnmocmejpebjkokngdbcmnefln" TargetMode="External"/><Relationship Id="rId3072" Type="http://schemas.openxmlformats.org/officeDocument/2006/relationships/hyperlink" Target="https://chromewebstore.google.com/detail/jjmphadcgcmpdnombcomlmmbmojccmcf" TargetMode="External"/><Relationship Id="rId3071" Type="http://schemas.openxmlformats.org/officeDocument/2006/relationships/hyperlink" Target="https://chromewebstore.google.com/detail/jjckapnhmbdlhjlcakfidneengcpikpa" TargetMode="External"/><Relationship Id="rId3074" Type="http://schemas.openxmlformats.org/officeDocument/2006/relationships/hyperlink" Target="https://chromewebstore.google.com/detail/jkkccmdilclkdkhkfdmcbdiagpibmpne" TargetMode="External"/><Relationship Id="rId3073" Type="http://schemas.openxmlformats.org/officeDocument/2006/relationships/hyperlink" Target="https://chromewebstore.google.com/detail/jkapcfbicpbhigopkhpielmbkgfchdgh" TargetMode="External"/><Relationship Id="rId3076" Type="http://schemas.openxmlformats.org/officeDocument/2006/relationships/hyperlink" Target="https://chromewebstore.google.com/detail/jmjdcajkhmddfnfjhghodnijajdmcloe" TargetMode="External"/><Relationship Id="rId3075" Type="http://schemas.openxmlformats.org/officeDocument/2006/relationships/hyperlink" Target="https://chromewebstore.google.com/detail/jkpahjicmehopmlkbenbkmckcedlcmhk" TargetMode="External"/><Relationship Id="rId3078" Type="http://schemas.openxmlformats.org/officeDocument/2006/relationships/hyperlink" Target="https://chromewebstore.google.com/detail/jobakbebljifplmcapcooffdbdmfdbjh" TargetMode="External"/><Relationship Id="rId3077" Type="http://schemas.openxmlformats.org/officeDocument/2006/relationships/hyperlink" Target="https://chromewebstore.google.com/detail/jnjlgikhlncikdjaggpkefenokgjknik" TargetMode="External"/><Relationship Id="rId3079" Type="http://schemas.openxmlformats.org/officeDocument/2006/relationships/hyperlink" Target="https://chromewebstore.google.com/detail/jpefkkpmalfnilnbghfnjodceifpemdb" TargetMode="External"/><Relationship Id="rId4390" Type="http://schemas.openxmlformats.org/officeDocument/2006/relationships/hyperlink" Target="https://chromewebstore.google.com/detail/icolobglimlklcdpecoaecmdhlehbgkg" TargetMode="External"/><Relationship Id="rId3061" Type="http://schemas.openxmlformats.org/officeDocument/2006/relationships/hyperlink" Target="https://chromewebstore.google.com/detail/jefhcdbdiekhoggnankdaaplnlehknkg" TargetMode="External"/><Relationship Id="rId4392" Type="http://schemas.openxmlformats.org/officeDocument/2006/relationships/hyperlink" Target="https://chromewebstore.google.com/detail/idphhflanmeibmjgaciaadkmjebljhcc" TargetMode="External"/><Relationship Id="rId3060" Type="http://schemas.openxmlformats.org/officeDocument/2006/relationships/hyperlink" Target="https://chromewebstore.google.com/detail/jdlppncbmfbloihpaegmcomnfoibmpnj" TargetMode="External"/><Relationship Id="rId4391" Type="http://schemas.openxmlformats.org/officeDocument/2006/relationships/hyperlink" Target="https://chromewebstore.google.com/detail/idnfbhpmefhpjhipmodgoabndangiljd" TargetMode="External"/><Relationship Id="rId3063" Type="http://schemas.openxmlformats.org/officeDocument/2006/relationships/hyperlink" Target="https://chromewebstore.google.com/detail/jfacjbibcobdehekkieokkloinlfdomg" TargetMode="External"/><Relationship Id="rId4394" Type="http://schemas.openxmlformats.org/officeDocument/2006/relationships/hyperlink" Target="https://chromewebstore.google.com/detail/iekppabgndnppcokphidmgaodcfmlhac" TargetMode="External"/><Relationship Id="rId3062" Type="http://schemas.openxmlformats.org/officeDocument/2006/relationships/hyperlink" Target="https://chromewebstore.google.com/detail/jemjppnfnbmdlnpndcmpcjgmkmkbiall" TargetMode="External"/><Relationship Id="rId4393" Type="http://schemas.openxmlformats.org/officeDocument/2006/relationships/hyperlink" Target="https://chromewebstore.google.com/detail/idpokbmjkdnilkconegegocjmogiomgi" TargetMode="External"/><Relationship Id="rId3065" Type="http://schemas.openxmlformats.org/officeDocument/2006/relationships/hyperlink" Target="https://chromewebstore.google.com/detail/jfpoennlpiaeplmoahaacgnknnllninp" TargetMode="External"/><Relationship Id="rId4396" Type="http://schemas.openxmlformats.org/officeDocument/2006/relationships/hyperlink" Target="https://chromewebstore.google.com/detail/ifakdojghbjeahenejfpgdfhhcmjgfle" TargetMode="External"/><Relationship Id="rId3064" Type="http://schemas.openxmlformats.org/officeDocument/2006/relationships/hyperlink" Target="https://chromewebstore.google.com/detail/jfcmbgcnangoalgpopaakignejjfpcmo" TargetMode="External"/><Relationship Id="rId4395" Type="http://schemas.openxmlformats.org/officeDocument/2006/relationships/hyperlink" Target="https://chromewebstore.google.com/detail/ielmojibkdphejjmkggejcjgclchomlg" TargetMode="External"/><Relationship Id="rId3067" Type="http://schemas.openxmlformats.org/officeDocument/2006/relationships/hyperlink" Target="https://chromewebstore.google.com/detail/jgjhamliocfhehbocekgcddfjpgdjnje" TargetMode="External"/><Relationship Id="rId4398" Type="http://schemas.openxmlformats.org/officeDocument/2006/relationships/hyperlink" Target="https://chromewebstore.google.com/detail/ifohmndbcefggppiblfofpbkmdfmeing" TargetMode="External"/><Relationship Id="rId3066" Type="http://schemas.openxmlformats.org/officeDocument/2006/relationships/hyperlink" Target="https://chromewebstore.google.com/detail/jghdppgkpdccfpobmilnnhgahhpjhbne" TargetMode="External"/><Relationship Id="rId4397" Type="http://schemas.openxmlformats.org/officeDocument/2006/relationships/hyperlink" Target="https://chromewebstore.google.com/detail/ifikafigdaiookblpafdpjfkffiocafj" TargetMode="External"/><Relationship Id="rId3069" Type="http://schemas.openxmlformats.org/officeDocument/2006/relationships/hyperlink" Target="https://chromewebstore.google.com/detail/jigpnmkhillllgkkjndpmepocpglgdgh" TargetMode="External"/><Relationship Id="rId3068" Type="http://schemas.openxmlformats.org/officeDocument/2006/relationships/hyperlink" Target="https://chromewebstore.google.com/detail/jhbepelanbbipbinkkjcadbjjinjmiec" TargetMode="External"/><Relationship Id="rId4399" Type="http://schemas.openxmlformats.org/officeDocument/2006/relationships/hyperlink" Target="https://chromewebstore.google.com/detail/igcbippnjiingjjdgcghglopgkjcoahb" TargetMode="External"/><Relationship Id="rId3090" Type="http://schemas.openxmlformats.org/officeDocument/2006/relationships/hyperlink" Target="https://chromewebstore.google.com/detail/kibalnfonkjeflihncmfdngdeekcmfel" TargetMode="External"/><Relationship Id="rId3092" Type="http://schemas.openxmlformats.org/officeDocument/2006/relationships/hyperlink" Target="https://chromewebstore.google.com/detail/kioakkagkemhjepoflhccjmabkhbiepp" TargetMode="External"/><Relationship Id="rId3091" Type="http://schemas.openxmlformats.org/officeDocument/2006/relationships/hyperlink" Target="https://chromewebstore.google.com/detail/kinakejknkolmphmemahohadokadjcil" TargetMode="External"/><Relationship Id="rId3094" Type="http://schemas.openxmlformats.org/officeDocument/2006/relationships/hyperlink" Target="https://chromewebstore.google.com/detail/kloedcdpipobfmidkoafhmmmlpfjjehl" TargetMode="External"/><Relationship Id="rId3093" Type="http://schemas.openxmlformats.org/officeDocument/2006/relationships/hyperlink" Target="https://chromewebstore.google.com/detail/kkknjljffdiobgejpmpcagehcpenklnd" TargetMode="External"/><Relationship Id="rId3096" Type="http://schemas.openxmlformats.org/officeDocument/2006/relationships/hyperlink" Target="https://chromewebstore.google.com/detail/knijlkhfongiklhihkeoaipfhhlhpohb" TargetMode="External"/><Relationship Id="rId3095" Type="http://schemas.openxmlformats.org/officeDocument/2006/relationships/hyperlink" Target="https://chromewebstore.google.com/detail/kmhljmlnmkpkfidhceknegheeplgmngg" TargetMode="External"/><Relationship Id="rId3098" Type="http://schemas.openxmlformats.org/officeDocument/2006/relationships/hyperlink" Target="https://chromewebstore.google.com/detail/kobhgndjbalfbieppfglfamlglgdfmah" TargetMode="External"/><Relationship Id="rId3097" Type="http://schemas.openxmlformats.org/officeDocument/2006/relationships/hyperlink" Target="https://chromewebstore.google.com/detail/knmnopfmccchnnfdoiddbihbcboeedll" TargetMode="External"/><Relationship Id="rId3099" Type="http://schemas.openxmlformats.org/officeDocument/2006/relationships/hyperlink" Target="https://chromewebstore.google.com/detail/kpbgbcocfgjbmnpplcjlcammjdkgogba" TargetMode="External"/><Relationship Id="rId3081" Type="http://schemas.openxmlformats.org/officeDocument/2006/relationships/hyperlink" Target="https://chromewebstore.google.com/detail/kbjkbnakcaaohhjmhbidbbhoecklidae" TargetMode="External"/><Relationship Id="rId3080" Type="http://schemas.openxmlformats.org/officeDocument/2006/relationships/hyperlink" Target="https://chromewebstore.google.com/detail/kabejgcoafnliefbhejpfahdecimjcje" TargetMode="External"/><Relationship Id="rId3083" Type="http://schemas.openxmlformats.org/officeDocument/2006/relationships/hyperlink" Target="https://chromewebstore.google.com/detail/kclbpbfpfddcglkinajbcfcldhpdkmmk" TargetMode="External"/><Relationship Id="rId3082" Type="http://schemas.openxmlformats.org/officeDocument/2006/relationships/hyperlink" Target="https://chromewebstore.google.com/detail/kcklikpoajnpdpjgamjfepagpdkhahpn" TargetMode="External"/><Relationship Id="rId3085" Type="http://schemas.openxmlformats.org/officeDocument/2006/relationships/hyperlink" Target="https://chromewebstore.google.com/detail/kconeelhhdbnjombompadmclijkcfbph" TargetMode="External"/><Relationship Id="rId3084" Type="http://schemas.openxmlformats.org/officeDocument/2006/relationships/hyperlink" Target="https://chromewebstore.google.com/detail/kcohlfofdggbjmbjoiopaddbjjblgnkl" TargetMode="External"/><Relationship Id="rId3087" Type="http://schemas.openxmlformats.org/officeDocument/2006/relationships/hyperlink" Target="https://chromewebstore.google.com/detail/kglapfficgodpkmenjfpfcignofghanc" TargetMode="External"/><Relationship Id="rId3086" Type="http://schemas.openxmlformats.org/officeDocument/2006/relationships/hyperlink" Target="https://chromewebstore.google.com/detail/kdddlmfedcpcblakijdkfindjedklikb" TargetMode="External"/><Relationship Id="rId3089" Type="http://schemas.openxmlformats.org/officeDocument/2006/relationships/hyperlink" Target="https://chromewebstore.google.com/detail/khpbeljaehgajdlenemdebfmdmfdmmgj" TargetMode="External"/><Relationship Id="rId3088" Type="http://schemas.openxmlformats.org/officeDocument/2006/relationships/hyperlink" Target="https://chromewebstore.google.com/detail/kgmbjoakninmbejgngppphhlbcjelcif" TargetMode="External"/><Relationship Id="rId3039" Type="http://schemas.openxmlformats.org/officeDocument/2006/relationships/hyperlink" Target="https://chromewebstore.google.com/detail/igopmeppmijehcoikklecabcdflhopgh" TargetMode="External"/><Relationship Id="rId5691" Type="http://schemas.openxmlformats.org/officeDocument/2006/relationships/hyperlink" Target="https://chromewebstore.google.com/detail/fnmdahffmlhakdfmdimpmdffegffldad" TargetMode="External"/><Relationship Id="rId5692" Type="http://schemas.openxmlformats.org/officeDocument/2006/relationships/hyperlink" Target="https://chromewebstore.google.com/detail/fnmndjbocidkodmnhanjingkafiihphh" TargetMode="External"/><Relationship Id="rId3030" Type="http://schemas.openxmlformats.org/officeDocument/2006/relationships/hyperlink" Target="https://chromewebstore.google.com/detail/ibnkhbkkelpcgofjlfnlanbigclpldad" TargetMode="External"/><Relationship Id="rId4361" Type="http://schemas.openxmlformats.org/officeDocument/2006/relationships/hyperlink" Target="https://chromewebstore.google.com/detail/hmhhkndlnoppgilooalkecpmodbjkdmj" TargetMode="External"/><Relationship Id="rId4360" Type="http://schemas.openxmlformats.org/officeDocument/2006/relationships/hyperlink" Target="https://chromewebstore.google.com/detail/hmgiolmlfpcefkdacnihdpbaoenenlef" TargetMode="External"/><Relationship Id="rId5690" Type="http://schemas.openxmlformats.org/officeDocument/2006/relationships/hyperlink" Target="https://chromewebstore.google.com/detail/fnlkljfogjamjaemldpapdokokkifmib" TargetMode="External"/><Relationship Id="rId3032" Type="http://schemas.openxmlformats.org/officeDocument/2006/relationships/hyperlink" Target="https://chromewebstore.google.com/detail/iebkeiopbbfnmieadmojmocohdmaghmb" TargetMode="External"/><Relationship Id="rId4363" Type="http://schemas.openxmlformats.org/officeDocument/2006/relationships/hyperlink" Target="https://chromewebstore.google.com/detail/hmonmgdfpgohkocmljboopebpcpaccin" TargetMode="External"/><Relationship Id="rId5695" Type="http://schemas.openxmlformats.org/officeDocument/2006/relationships/hyperlink" Target="https://chromewebstore.google.com/detail/fomablkkbmbjodfinocpjfakdieacgji" TargetMode="External"/><Relationship Id="rId3031" Type="http://schemas.openxmlformats.org/officeDocument/2006/relationships/hyperlink" Target="https://chromewebstore.google.com/detail/icklgohmolmmdagbigdkhhcgdechbeje" TargetMode="External"/><Relationship Id="rId4362" Type="http://schemas.openxmlformats.org/officeDocument/2006/relationships/hyperlink" Target="https://chromewebstore.google.com/detail/hmnjehdhjcmffbfeeejinggfhhkghnkp" TargetMode="External"/><Relationship Id="rId5696" Type="http://schemas.openxmlformats.org/officeDocument/2006/relationships/hyperlink" Target="https://chromewebstore.google.com/detail/fomndpnkhdffldikpeefdjeiebjdbgmn" TargetMode="External"/><Relationship Id="rId3034" Type="http://schemas.openxmlformats.org/officeDocument/2006/relationships/hyperlink" Target="https://chromewebstore.google.com/detail/ifeljkoeopnppmdlaofbgepbghddigpf" TargetMode="External"/><Relationship Id="rId4365" Type="http://schemas.openxmlformats.org/officeDocument/2006/relationships/hyperlink" Target="https://chromewebstore.google.com/detail/hndkippiajpholnhmcmlcebbcgnhldbo" TargetMode="External"/><Relationship Id="rId5693" Type="http://schemas.openxmlformats.org/officeDocument/2006/relationships/hyperlink" Target="https://chromewebstore.google.com/detail/fnpgnmindcbkjbpblcklealdhnogmlko" TargetMode="External"/><Relationship Id="rId3033" Type="http://schemas.openxmlformats.org/officeDocument/2006/relationships/hyperlink" Target="https://chromewebstore.google.com/detail/iepcfehgcfcoildehjncoefphpdfahhp" TargetMode="External"/><Relationship Id="rId4364" Type="http://schemas.openxmlformats.org/officeDocument/2006/relationships/hyperlink" Target="https://chromewebstore.google.com/detail/hnciafnpogicjbaceehjoakjmgpbgdci" TargetMode="External"/><Relationship Id="rId5694" Type="http://schemas.openxmlformats.org/officeDocument/2006/relationships/hyperlink" Target="https://chromewebstore.google.com/detail/foelobhaomlkojekpgenegcfedbgemej" TargetMode="External"/><Relationship Id="rId3036" Type="http://schemas.openxmlformats.org/officeDocument/2006/relationships/hyperlink" Target="https://chromewebstore.google.com/detail/ifmbfjgnachickfhchheghlmannlgcma" TargetMode="External"/><Relationship Id="rId4367" Type="http://schemas.openxmlformats.org/officeDocument/2006/relationships/hyperlink" Target="https://chromewebstore.google.com/detail/hngockjeakbglfgfbljedahgobammpbi" TargetMode="External"/><Relationship Id="rId5699" Type="http://schemas.openxmlformats.org/officeDocument/2006/relationships/hyperlink" Target="https://chromewebstore.google.com/detail/fpkhlnacfhciopipcjpcjmkpldbogaeo" TargetMode="External"/><Relationship Id="rId3035" Type="http://schemas.openxmlformats.org/officeDocument/2006/relationships/hyperlink" Target="https://chromewebstore.google.com/detail/ifiilbfgcemdapeibjfohnfpfmfblmpd" TargetMode="External"/><Relationship Id="rId4366" Type="http://schemas.openxmlformats.org/officeDocument/2006/relationships/hyperlink" Target="https://chromewebstore.google.com/detail/hndoffepfnjbeinjkiaamdphgllpgnmi" TargetMode="External"/><Relationship Id="rId3038" Type="http://schemas.openxmlformats.org/officeDocument/2006/relationships/hyperlink" Target="https://chromewebstore.google.com/detail/igibeccagmmhpoaidmcfpkhgaagpmnef" TargetMode="External"/><Relationship Id="rId4369" Type="http://schemas.openxmlformats.org/officeDocument/2006/relationships/hyperlink" Target="https://chromewebstore.google.com/detail/hnkbffipafpidcfbjnfmmdpdpmflocjf" TargetMode="External"/><Relationship Id="rId5697" Type="http://schemas.openxmlformats.org/officeDocument/2006/relationships/hyperlink" Target="https://chromewebstore.google.com/detail/fpfccnfknmankeccdibflfjjpifpnfbe" TargetMode="External"/><Relationship Id="rId3037" Type="http://schemas.openxmlformats.org/officeDocument/2006/relationships/hyperlink" Target="https://chromewebstore.google.com/detail/ifnpgfoniiadhamkbgdiokjefenpacjm" TargetMode="External"/><Relationship Id="rId4368" Type="http://schemas.openxmlformats.org/officeDocument/2006/relationships/hyperlink" Target="https://chromewebstore.google.com/detail/hnhpmjnpbniipmhfkibjbplgkobpejbi" TargetMode="External"/><Relationship Id="rId5698" Type="http://schemas.openxmlformats.org/officeDocument/2006/relationships/hyperlink" Target="https://chromewebstore.google.com/detail/fpgiejkdidmmdhcaieeafclkikdaknhd" TargetMode="External"/><Relationship Id="rId3029" Type="http://schemas.openxmlformats.org/officeDocument/2006/relationships/hyperlink" Target="https://chromewebstore.google.com/detail/ibkdphopcbimokejnhhgelcancfabhba" TargetMode="External"/><Relationship Id="rId3028" Type="http://schemas.openxmlformats.org/officeDocument/2006/relationships/hyperlink" Target="https://chromewebstore.google.com/detail/ibkdocnpanhgcbbfadninaflpgjecmod" TargetMode="External"/><Relationship Id="rId4359" Type="http://schemas.openxmlformats.org/officeDocument/2006/relationships/hyperlink" Target="https://chromewebstore.google.com/detail/hmaldlpfgpmhhljpiihjidjgemodjogi" TargetMode="External"/><Relationship Id="rId5680" Type="http://schemas.openxmlformats.org/officeDocument/2006/relationships/hyperlink" Target="https://chromewebstore.google.com/detail/fldajflbololikdfkenehickgniedbdb" TargetMode="External"/><Relationship Id="rId5681" Type="http://schemas.openxmlformats.org/officeDocument/2006/relationships/hyperlink" Target="https://chromewebstore.google.com/detail/fldnfkeijmngmgjgnagiidmonemlbmpl" TargetMode="External"/><Relationship Id="rId4350" Type="http://schemas.openxmlformats.org/officeDocument/2006/relationships/hyperlink" Target="https://chromewebstore.google.com/detail/hklcgjcljkpbpkaammpdgajgoejolfmm" TargetMode="External"/><Relationship Id="rId3021" Type="http://schemas.openxmlformats.org/officeDocument/2006/relationships/hyperlink" Target="https://chromewebstore.google.com/detail/hoijhdloilmokgoenciedbokagejpdam" TargetMode="External"/><Relationship Id="rId4352" Type="http://schemas.openxmlformats.org/officeDocument/2006/relationships/hyperlink" Target="https://chromewebstore.google.com/detail/hleifpgbhiladknmecmkpgbgfmlnjhoh" TargetMode="External"/><Relationship Id="rId5684" Type="http://schemas.openxmlformats.org/officeDocument/2006/relationships/hyperlink" Target="https://chromewebstore.google.com/detail/flnpcnpfgfcepjbngdeocjodncnljaig" TargetMode="External"/><Relationship Id="rId3020" Type="http://schemas.openxmlformats.org/officeDocument/2006/relationships/hyperlink" Target="https://chromewebstore.google.com/detail/hohdkaanpmcooenkhecbakblkepcnfop" TargetMode="External"/><Relationship Id="rId4351" Type="http://schemas.openxmlformats.org/officeDocument/2006/relationships/hyperlink" Target="https://chromewebstore.google.com/detail/hlbknenglceebfhkcdbechnidloaphmc" TargetMode="External"/><Relationship Id="rId5685" Type="http://schemas.openxmlformats.org/officeDocument/2006/relationships/hyperlink" Target="https://chromewebstore.google.com/detail/flompapkhbacnpmgokmghphpohejaohn" TargetMode="External"/><Relationship Id="rId3023" Type="http://schemas.openxmlformats.org/officeDocument/2006/relationships/hyperlink" Target="https://chromewebstore.google.com/detail/iaefpjibipfaofmigecedfapfgplmplo" TargetMode="External"/><Relationship Id="rId4354" Type="http://schemas.openxmlformats.org/officeDocument/2006/relationships/hyperlink" Target="https://chromewebstore.google.com/detail/hljmjgbejhgcdpjabemfbhdhophhndfd" TargetMode="External"/><Relationship Id="rId5682" Type="http://schemas.openxmlformats.org/officeDocument/2006/relationships/hyperlink" Target="https://chromewebstore.google.com/detail/fldngcbchlbfgbccilklplmhljilhfch" TargetMode="External"/><Relationship Id="rId3022" Type="http://schemas.openxmlformats.org/officeDocument/2006/relationships/hyperlink" Target="https://chromewebstore.google.com/detail/hpgmmcbcpgjlkfpdelbidecgohplfcck" TargetMode="External"/><Relationship Id="rId4353" Type="http://schemas.openxmlformats.org/officeDocument/2006/relationships/hyperlink" Target="https://chromewebstore.google.com/detail/hlhoffhnpiiamppijcbelojhpnhpjdcg" TargetMode="External"/><Relationship Id="rId5683" Type="http://schemas.openxmlformats.org/officeDocument/2006/relationships/hyperlink" Target="https://chromewebstore.google.com/detail/flicfhphobgnnpfhieodmggibdhadhnh" TargetMode="External"/><Relationship Id="rId3025" Type="http://schemas.openxmlformats.org/officeDocument/2006/relationships/hyperlink" Target="https://chromewebstore.google.com/detail/iapcgihppihpcegfmjobpeeongnnfodc" TargetMode="External"/><Relationship Id="rId4356" Type="http://schemas.openxmlformats.org/officeDocument/2006/relationships/hyperlink" Target="https://chromewebstore.google.com/detail/hlpjhlifkgmoibhollggngbbhbejecph" TargetMode="External"/><Relationship Id="rId5688" Type="http://schemas.openxmlformats.org/officeDocument/2006/relationships/hyperlink" Target="https://chromewebstore.google.com/detail/fmbcdhjmhddnnpeomknikdbboejbhdcl" TargetMode="External"/><Relationship Id="rId3024" Type="http://schemas.openxmlformats.org/officeDocument/2006/relationships/hyperlink" Target="https://chromewebstore.google.com/detail/iajpapiodpjcgiocblamfbdollecekmh" TargetMode="External"/><Relationship Id="rId4355" Type="http://schemas.openxmlformats.org/officeDocument/2006/relationships/hyperlink" Target="https://chromewebstore.google.com/detail/hlnddbinpplgecdbgpmjjcbbcleokmgj" TargetMode="External"/><Relationship Id="rId5689" Type="http://schemas.openxmlformats.org/officeDocument/2006/relationships/hyperlink" Target="https://chromewebstore.google.com/detail/fncdipbcmcjafbnfkkfgocoghjjdmfej" TargetMode="External"/><Relationship Id="rId3027" Type="http://schemas.openxmlformats.org/officeDocument/2006/relationships/hyperlink" Target="https://chromewebstore.google.com/detail/ibkcolodejfkapecfacofdibcaoldbjf" TargetMode="External"/><Relationship Id="rId4358" Type="http://schemas.openxmlformats.org/officeDocument/2006/relationships/hyperlink" Target="https://chromewebstore.google.com/detail/hmaalfaappddkggilhahaebfhdmmmngf" TargetMode="External"/><Relationship Id="rId5686" Type="http://schemas.openxmlformats.org/officeDocument/2006/relationships/hyperlink" Target="https://chromewebstore.google.com/detail/fmaghpidamhgpflfpekegcleapoapjba" TargetMode="External"/><Relationship Id="rId3026" Type="http://schemas.openxmlformats.org/officeDocument/2006/relationships/hyperlink" Target="https://chromewebstore.google.com/detail/ibjbhbhcgbkiohfmddokjmmbkbgpfgnl" TargetMode="External"/><Relationship Id="rId4357" Type="http://schemas.openxmlformats.org/officeDocument/2006/relationships/hyperlink" Target="https://chromewebstore.google.com/detail/hlppghpgkinhomcehphccgkbjkbkcgkh" TargetMode="External"/><Relationship Id="rId5687" Type="http://schemas.openxmlformats.org/officeDocument/2006/relationships/hyperlink" Target="https://chromewebstore.google.com/detail/fmbbgedgoimcifgdghmifpnpcfaioena" TargetMode="External"/><Relationship Id="rId3050" Type="http://schemas.openxmlformats.org/officeDocument/2006/relationships/hyperlink" Target="https://chromewebstore.google.com/detail/ipkhkglhpmngdkgclngmlpkekkpplbgm" TargetMode="External"/><Relationship Id="rId4381" Type="http://schemas.openxmlformats.org/officeDocument/2006/relationships/hyperlink" Target="https://chromewebstore.google.com/detail/ialdfbinfjlmifbfolfjpmjgopapoigi" TargetMode="External"/><Relationship Id="rId4380" Type="http://schemas.openxmlformats.org/officeDocument/2006/relationships/hyperlink" Target="https://chromewebstore.google.com/detail/iajmdojjjiapknggfnckblngginmjnbe" TargetMode="External"/><Relationship Id="rId3052" Type="http://schemas.openxmlformats.org/officeDocument/2006/relationships/hyperlink" Target="https://chromewebstore.google.com/detail/ippapidnnboiophakmmhkdlchoccbgje" TargetMode="External"/><Relationship Id="rId4383" Type="http://schemas.openxmlformats.org/officeDocument/2006/relationships/hyperlink" Target="https://chromewebstore.google.com/detail/iapdnheekciiecjijobcglkcgeckpoia" TargetMode="External"/><Relationship Id="rId3051" Type="http://schemas.openxmlformats.org/officeDocument/2006/relationships/hyperlink" Target="https://chromewebstore.google.com/detail/ipmmkccdccnephfilbjdnmnfcbopbpaj" TargetMode="External"/><Relationship Id="rId4382" Type="http://schemas.openxmlformats.org/officeDocument/2006/relationships/hyperlink" Target="https://chromewebstore.google.com/detail/ianjmfndalobopghadlipffinjopjgeg" TargetMode="External"/><Relationship Id="rId3054" Type="http://schemas.openxmlformats.org/officeDocument/2006/relationships/hyperlink" Target="https://chromewebstore.google.com/detail/jbfdnmiljibiadikgcigcgcfdeehphmi" TargetMode="External"/><Relationship Id="rId4385" Type="http://schemas.openxmlformats.org/officeDocument/2006/relationships/hyperlink" Target="https://chromewebstore.google.com/detail/ibcpcdiajmfmkieocebkoiofgdbbecel" TargetMode="External"/><Relationship Id="rId3053" Type="http://schemas.openxmlformats.org/officeDocument/2006/relationships/hyperlink" Target="https://chromewebstore.google.com/detail/ippcpkdkcjdghdnodahajpjdolfibjon" TargetMode="External"/><Relationship Id="rId4384" Type="http://schemas.openxmlformats.org/officeDocument/2006/relationships/hyperlink" Target="https://chromewebstore.google.com/detail/ibbcojjolkfhjaecoicbmnokmbcaaigi" TargetMode="External"/><Relationship Id="rId3056" Type="http://schemas.openxmlformats.org/officeDocument/2006/relationships/hyperlink" Target="https://chromewebstore.google.com/detail/jcgbfnkjigkdllodnaecmdipcojhopfc" TargetMode="External"/><Relationship Id="rId4387" Type="http://schemas.openxmlformats.org/officeDocument/2006/relationships/hyperlink" Target="https://chromewebstore.google.com/detail/ibmpamplhebgoidhhlpdgenhdhmchdoa" TargetMode="External"/><Relationship Id="rId3055" Type="http://schemas.openxmlformats.org/officeDocument/2006/relationships/hyperlink" Target="https://chromewebstore.google.com/detail/jbplakkefflidgnjhckoahendgekokfc" TargetMode="External"/><Relationship Id="rId4386" Type="http://schemas.openxmlformats.org/officeDocument/2006/relationships/hyperlink" Target="https://chromewebstore.google.com/detail/ibmcbgbkeofegdhoeijhfhofjkmdoima" TargetMode="External"/><Relationship Id="rId3058" Type="http://schemas.openxmlformats.org/officeDocument/2006/relationships/hyperlink" Target="https://chromewebstore.google.com/detail/jcmgkikfgdbehjdajjdnebnnmmknfblm" TargetMode="External"/><Relationship Id="rId4389" Type="http://schemas.openxmlformats.org/officeDocument/2006/relationships/hyperlink" Target="https://chromewebstore.google.com/detail/icmnaoekiaeclonjdfheaomemmpapknm" TargetMode="External"/><Relationship Id="rId3057" Type="http://schemas.openxmlformats.org/officeDocument/2006/relationships/hyperlink" Target="https://chromewebstore.google.com/detail/jckpaobldaolbbchaeicopkcljcaiaka" TargetMode="External"/><Relationship Id="rId4388" Type="http://schemas.openxmlformats.org/officeDocument/2006/relationships/hyperlink" Target="https://chromewebstore.google.com/detail/icgpkdoghndaeolkpcikaieakkfjnall" TargetMode="External"/><Relationship Id="rId3059" Type="http://schemas.openxmlformats.org/officeDocument/2006/relationships/hyperlink" Target="https://chromewebstore.google.com/detail/jcpmmhaffdebnmkjelaohgjmndeongip" TargetMode="External"/><Relationship Id="rId4370" Type="http://schemas.openxmlformats.org/officeDocument/2006/relationships/hyperlink" Target="https://chromewebstore.google.com/detail/hnmjkpjfkgkjennckgjdmoikjbfkbfhc" TargetMode="External"/><Relationship Id="rId3041" Type="http://schemas.openxmlformats.org/officeDocument/2006/relationships/hyperlink" Target="https://chromewebstore.google.com/detail/iiojelkcnhebcbofcnfilpcclfhkfhhh" TargetMode="External"/><Relationship Id="rId4372" Type="http://schemas.openxmlformats.org/officeDocument/2006/relationships/hyperlink" Target="https://chromewebstore.google.com/detail/hnpbnnaglicijamhpmphajfkmdfpobca" TargetMode="External"/><Relationship Id="rId3040" Type="http://schemas.openxmlformats.org/officeDocument/2006/relationships/hyperlink" Target="https://chromewebstore.google.com/detail/ihhpifdmgophogphhddppiclngkbhnal" TargetMode="External"/><Relationship Id="rId4371" Type="http://schemas.openxmlformats.org/officeDocument/2006/relationships/hyperlink" Target="https://chromewebstore.google.com/detail/hnnabnffilimfgdcinlijkjkdemdonea" TargetMode="External"/><Relationship Id="rId3043" Type="http://schemas.openxmlformats.org/officeDocument/2006/relationships/hyperlink" Target="https://chromewebstore.google.com/detail/ikbddjmmdbonmkdablliminbkbcecmmd" TargetMode="External"/><Relationship Id="rId4374" Type="http://schemas.openxmlformats.org/officeDocument/2006/relationships/hyperlink" Target="https://chromewebstore.google.com/detail/honbeilkanbghjimjoniipnnehlmhggk" TargetMode="External"/><Relationship Id="rId3042" Type="http://schemas.openxmlformats.org/officeDocument/2006/relationships/hyperlink" Target="https://chromewebstore.google.com/detail/ijjegnfpommcmglgjpifikbhnlbboikl" TargetMode="External"/><Relationship Id="rId4373" Type="http://schemas.openxmlformats.org/officeDocument/2006/relationships/hyperlink" Target="https://chromewebstore.google.com/detail/homplpaldlodpgkcilfgcbfoaolbmplm" TargetMode="External"/><Relationship Id="rId3045" Type="http://schemas.openxmlformats.org/officeDocument/2006/relationships/hyperlink" Target="https://chromewebstore.google.com/detail/ikihojdapjkjkglimjpnoenohodhacbk" TargetMode="External"/><Relationship Id="rId4376" Type="http://schemas.openxmlformats.org/officeDocument/2006/relationships/hyperlink" Target="https://chromewebstore.google.com/detail/hpbebebpjajeiadiakgckpahmhkbkpoa" TargetMode="External"/><Relationship Id="rId3044" Type="http://schemas.openxmlformats.org/officeDocument/2006/relationships/hyperlink" Target="https://chromewebstore.google.com/detail/ikfbpappjhegehjflebknjbhdocbgkdi" TargetMode="External"/><Relationship Id="rId4375" Type="http://schemas.openxmlformats.org/officeDocument/2006/relationships/hyperlink" Target="https://chromewebstore.google.com/detail/hopggcicaffnjomhjjpogcelclkbnigp" TargetMode="External"/><Relationship Id="rId3047" Type="http://schemas.openxmlformats.org/officeDocument/2006/relationships/hyperlink" Target="https://chromewebstore.google.com/detail/ilocfjnmkngcmoonmlpmdiigiddlloea" TargetMode="External"/><Relationship Id="rId4378" Type="http://schemas.openxmlformats.org/officeDocument/2006/relationships/hyperlink" Target="https://chromewebstore.google.com/detail/hpijlfldendkjfhdaebnbglbiajhempp" TargetMode="External"/><Relationship Id="rId3046" Type="http://schemas.openxmlformats.org/officeDocument/2006/relationships/hyperlink" Target="https://chromewebstore.google.com/detail/ikofeeinmcingcdchnhkeljfmbigmjnp" TargetMode="External"/><Relationship Id="rId4377" Type="http://schemas.openxmlformats.org/officeDocument/2006/relationships/hyperlink" Target="https://chromewebstore.google.com/detail/hpdmagfinfjkljobgngfeecfglalnfpk" TargetMode="External"/><Relationship Id="rId3049" Type="http://schemas.openxmlformats.org/officeDocument/2006/relationships/hyperlink" Target="https://chromewebstore.google.com/detail/ipkflbbmmgipgkeokeejadapmdeoldgp" TargetMode="External"/><Relationship Id="rId3048" Type="http://schemas.openxmlformats.org/officeDocument/2006/relationships/hyperlink" Target="https://chromewebstore.google.com/detail/imkeopbmlpnjdgniafkbkpdhbdigmdbk" TargetMode="External"/><Relationship Id="rId4379" Type="http://schemas.openxmlformats.org/officeDocument/2006/relationships/hyperlink" Target="https://chromewebstore.google.com/detail/hpplgjkooibhfkmmepoikcjpadcojcik" TargetMode="External"/><Relationship Id="rId9210" Type="http://schemas.openxmlformats.org/officeDocument/2006/relationships/hyperlink" Target="https://chromewebstore.google.com/detail/pknpbhgcekdpigobealnbgjbeaonegad" TargetMode="External"/><Relationship Id="rId9211" Type="http://schemas.openxmlformats.org/officeDocument/2006/relationships/hyperlink" Target="https://chromewebstore.google.com/detail/dpipdndjcofdfhknlfloeokjiooiojoo" TargetMode="External"/><Relationship Id="rId9212" Type="http://schemas.openxmlformats.org/officeDocument/2006/relationships/hyperlink" Target="https://chromewebstore.google.com/detail/gfengfepgheocmfajdhhjgkodffaemio" TargetMode="External"/><Relationship Id="rId9217" Type="http://schemas.openxmlformats.org/officeDocument/2006/relationships/hyperlink" Target="https://chromewebstore.google.com/detail/kgoaofjpjpekifclaoindlockcngoeed" TargetMode="External"/><Relationship Id="rId9218" Type="http://schemas.openxmlformats.org/officeDocument/2006/relationships/hyperlink" Target="https://chromewebstore.google.com/detail/mjohncgoeaibcnalddkaneigndiiblnp" TargetMode="External"/><Relationship Id="rId9219" Type="http://schemas.openxmlformats.org/officeDocument/2006/relationships/hyperlink" Target="https://chromewebstore.google.com/detail/pcdcihhemnmdojkkhloildjcoobklnhb" TargetMode="External"/><Relationship Id="rId9213" Type="http://schemas.openxmlformats.org/officeDocument/2006/relationships/hyperlink" Target="https://chromewebstore.google.com/detail/gpejlkhibgecggplgogpbgbdpnhogmhk" TargetMode="External"/><Relationship Id="rId9214" Type="http://schemas.openxmlformats.org/officeDocument/2006/relationships/hyperlink" Target="https://chromewebstore.google.com/detail/jlmpdldjipfblopcdkcfccmnmnmiajnb" TargetMode="External"/><Relationship Id="rId9215" Type="http://schemas.openxmlformats.org/officeDocument/2006/relationships/hyperlink" Target="https://chromewebstore.google.com/detail/kaplchpcmcaefdeghnckianhbdecjlmp" TargetMode="External"/><Relationship Id="rId9216" Type="http://schemas.openxmlformats.org/officeDocument/2006/relationships/hyperlink" Target="https://chromewebstore.google.com/detail/kcckcfoaiogdeajdbekopnhbepigidgb" TargetMode="External"/><Relationship Id="rId9200" Type="http://schemas.openxmlformats.org/officeDocument/2006/relationships/hyperlink" Target="https://chromewebstore.google.com/detail/kolcdbonbggbngfdehifhfkcboihnnih" TargetMode="External"/><Relationship Id="rId9201" Type="http://schemas.openxmlformats.org/officeDocument/2006/relationships/hyperlink" Target="https://chromewebstore.google.com/detail/cencjkmlbgldjkepigaaelkodbfbifba" TargetMode="External"/><Relationship Id="rId9206" Type="http://schemas.openxmlformats.org/officeDocument/2006/relationships/hyperlink" Target="https://chromewebstore.google.com/detail/egcoefibmfbgpclkjljnmnljppfaafio" TargetMode="External"/><Relationship Id="rId9207" Type="http://schemas.openxmlformats.org/officeDocument/2006/relationships/hyperlink" Target="https://chromewebstore.google.com/detail/ghcobbkjdobahlopkoohegcbgmnikpaa" TargetMode="External"/><Relationship Id="rId9208" Type="http://schemas.openxmlformats.org/officeDocument/2006/relationships/hyperlink" Target="https://chromewebstore.google.com/detail/iajmbllmbjojpoilecapflgebmodnfio" TargetMode="External"/><Relationship Id="rId9209" Type="http://schemas.openxmlformats.org/officeDocument/2006/relationships/hyperlink" Target="https://chromewebstore.google.com/detail/pfickflbfbmpobjaglfcfjcebifakiln" TargetMode="External"/><Relationship Id="rId9202" Type="http://schemas.openxmlformats.org/officeDocument/2006/relationships/hyperlink" Target="https://chromewebstore.google.com/detail/hhmhabdjafcnejipbcpfdkdhfolfpheo" TargetMode="External"/><Relationship Id="rId9203" Type="http://schemas.openxmlformats.org/officeDocument/2006/relationships/hyperlink" Target="https://chromewebstore.google.com/detail/ibmpjnmlhfboaljbechlinicnlpmlgnp" TargetMode="External"/><Relationship Id="rId9204" Type="http://schemas.openxmlformats.org/officeDocument/2006/relationships/hyperlink" Target="https://chromewebstore.google.com/detail/jgmilfbglekpibpaeflpioddklgajnno" TargetMode="External"/><Relationship Id="rId9205" Type="http://schemas.openxmlformats.org/officeDocument/2006/relationships/hyperlink" Target="https://chromewebstore.google.com/detail/nihfemnmeopfggpfdfjjfjclpimfchlk" TargetMode="External"/><Relationship Id="rId9231" Type="http://schemas.openxmlformats.org/officeDocument/2006/relationships/hyperlink" Target="https://chromewebstore.google.com/detail/dnbhlnmdfibonmpgckakiehcdjppnmjd" TargetMode="External"/><Relationship Id="rId9232" Type="http://schemas.openxmlformats.org/officeDocument/2006/relationships/hyperlink" Target="https://chromewebstore.google.com/detail/ehmpabgeehikhdodemjoenbonjkdeopn" TargetMode="External"/><Relationship Id="rId9233" Type="http://schemas.openxmlformats.org/officeDocument/2006/relationships/hyperlink" Target="https://chromewebstore.google.com/detail/fccpjkafgoedeodcfoiibmanhjdhhdod" TargetMode="External"/><Relationship Id="rId9234" Type="http://schemas.openxmlformats.org/officeDocument/2006/relationships/hyperlink" Target="https://chromewebstore.google.com/detail/hajinknmolbghbepmjdcajndkodbejgb" TargetMode="External"/><Relationship Id="rId9230" Type="http://schemas.openxmlformats.org/officeDocument/2006/relationships/hyperlink" Target="https://chromewebstore.google.com/detail/mmgclnghbacfjdopkijbanbpnkblbnhp" TargetMode="External"/><Relationship Id="rId9239" Type="http://schemas.openxmlformats.org/officeDocument/2006/relationships/hyperlink" Target="https://chromewebstore.google.com/detail/lkdjojiegmcnckccpmclhbkfinkedcge" TargetMode="External"/><Relationship Id="rId9235" Type="http://schemas.openxmlformats.org/officeDocument/2006/relationships/hyperlink" Target="https://chromewebstore.google.com/detail/mdjleeiifigofkgmmandpmfejhpaaaee" TargetMode="External"/><Relationship Id="rId9236" Type="http://schemas.openxmlformats.org/officeDocument/2006/relationships/hyperlink" Target="https://chromewebstore.google.com/detail/cbdjbceefoomlmgnbhpodmeldoihbaim" TargetMode="External"/><Relationship Id="rId9237" Type="http://schemas.openxmlformats.org/officeDocument/2006/relationships/hyperlink" Target="https://chromewebstore.google.com/detail/eapfaoggapmabingclmjigiflhhcedfj" TargetMode="External"/><Relationship Id="rId9238" Type="http://schemas.openxmlformats.org/officeDocument/2006/relationships/hyperlink" Target="https://chromewebstore.google.com/detail/fhlafpdjfmnemncaeglkalapcajehmhe" TargetMode="External"/><Relationship Id="rId9220" Type="http://schemas.openxmlformats.org/officeDocument/2006/relationships/hyperlink" Target="https://chromewebstore.google.com/detail/pnkafpodkpnigbkdmplabdcdmfagpibk" TargetMode="External"/><Relationship Id="rId9221" Type="http://schemas.openxmlformats.org/officeDocument/2006/relationships/hyperlink" Target="https://chromewebstore.google.com/detail/aljgmbpcdmgelhkanifjjbgdkohoefme" TargetMode="External"/><Relationship Id="rId9222" Type="http://schemas.openxmlformats.org/officeDocument/2006/relationships/hyperlink" Target="https://chromewebstore.google.com/detail/ccoehijdbponhcemihobmdpaeenmgchg" TargetMode="External"/><Relationship Id="rId9223" Type="http://schemas.openxmlformats.org/officeDocument/2006/relationships/hyperlink" Target="https://chromewebstore.google.com/detail/ckohnlaiommapdclfdndapcofmkacino" TargetMode="External"/><Relationship Id="rId9228" Type="http://schemas.openxmlformats.org/officeDocument/2006/relationships/hyperlink" Target="https://chromewebstore.google.com/detail/mehjcgdbdmogjojkhjgmlkalcipmijej" TargetMode="External"/><Relationship Id="rId9229" Type="http://schemas.openxmlformats.org/officeDocument/2006/relationships/hyperlink" Target="https://chromewebstore.google.com/detail/nnpojipjpkoejmlcpkiedbgjlgikpndl" TargetMode="External"/><Relationship Id="rId9224" Type="http://schemas.openxmlformats.org/officeDocument/2006/relationships/hyperlink" Target="https://chromewebstore.google.com/detail/ecnpogknkjmbicoiindidldgedjibfep" TargetMode="External"/><Relationship Id="rId9225" Type="http://schemas.openxmlformats.org/officeDocument/2006/relationships/hyperlink" Target="https://chromewebstore.google.com/detail/gpphaggniggaeijgmkaoleflnpflnfdo" TargetMode="External"/><Relationship Id="rId9226" Type="http://schemas.openxmlformats.org/officeDocument/2006/relationships/hyperlink" Target="https://chromewebstore.google.com/detail/hjgdojaimecndelgeocadjencgnellfp" TargetMode="External"/><Relationship Id="rId9227" Type="http://schemas.openxmlformats.org/officeDocument/2006/relationships/hyperlink" Target="https://chromewebstore.google.com/detail/igigbeogifbmkfgbllimpgdaelhilgkj" TargetMode="External"/><Relationship Id="rId9297" Type="http://schemas.openxmlformats.org/officeDocument/2006/relationships/hyperlink" Target="https://chromewebstore.google.com/detail/doecnbidkbkagliekcdcmchdnfmacdpm" TargetMode="External"/><Relationship Id="rId9298" Type="http://schemas.openxmlformats.org/officeDocument/2006/relationships/hyperlink" Target="https://chromewebstore.google.com/detail/jcjhfdkgoknpajcmibcodfibkklpmknc" TargetMode="External"/><Relationship Id="rId9299" Type="http://schemas.openxmlformats.org/officeDocument/2006/relationships/hyperlink" Target="https://chromewebstore.google.com/detail/jnjmpncmhemcbbknebmcpclgmmmjbkcd" TargetMode="External"/><Relationship Id="rId9293" Type="http://schemas.openxmlformats.org/officeDocument/2006/relationships/hyperlink" Target="https://chromewebstore.google.com/detail/nbmahpfopnacpfdbmkfdlpempcdjkmck" TargetMode="External"/><Relationship Id="rId9294" Type="http://schemas.openxmlformats.org/officeDocument/2006/relationships/hyperlink" Target="https://chromewebstore.google.com/detail/nddnfbflpmmehfdabfgcblekmffaiokf" TargetMode="External"/><Relationship Id="rId9295" Type="http://schemas.openxmlformats.org/officeDocument/2006/relationships/hyperlink" Target="https://chromewebstore.google.com/detail/pchamnkhkeokbpahnocjaeednpbpacop" TargetMode="External"/><Relationship Id="rId9296" Type="http://schemas.openxmlformats.org/officeDocument/2006/relationships/hyperlink" Target="https://chromewebstore.google.com/detail/bbnebelkeejofcgifppobddnljclghgn" TargetMode="External"/><Relationship Id="rId9290" Type="http://schemas.openxmlformats.org/officeDocument/2006/relationships/hyperlink" Target="https://chromewebstore.google.com/detail/gpmmebokjcjjnjkljpjliaepcchkmbda" TargetMode="External"/><Relationship Id="rId9291" Type="http://schemas.openxmlformats.org/officeDocument/2006/relationships/hyperlink" Target="https://chromewebstore.google.com/detail/jbkijmblapoebmohgplflegpphdbnbdl" TargetMode="External"/><Relationship Id="rId9292" Type="http://schemas.openxmlformats.org/officeDocument/2006/relationships/hyperlink" Target="https://chromewebstore.google.com/detail/mmgdfanogcpmailplabpbfpbjpipkmbo" TargetMode="External"/><Relationship Id="rId9286" Type="http://schemas.openxmlformats.org/officeDocument/2006/relationships/hyperlink" Target="https://chromewebstore.google.com/detail/blpekcjocjpcaapokbakkpdgmodcehmd" TargetMode="External"/><Relationship Id="rId9287" Type="http://schemas.openxmlformats.org/officeDocument/2006/relationships/hyperlink" Target="https://chromewebstore.google.com/detail/clgllpfjkdamohelagafdabapfkbmjnb" TargetMode="External"/><Relationship Id="rId9288" Type="http://schemas.openxmlformats.org/officeDocument/2006/relationships/hyperlink" Target="https://chromewebstore.google.com/detail/clicahnjhfeibcmkenkdhajfmpihlbof" TargetMode="External"/><Relationship Id="rId9289" Type="http://schemas.openxmlformats.org/officeDocument/2006/relationships/hyperlink" Target="https://chromewebstore.google.com/detail/ecpdhlloflbgbfjklnpedhiapeckiapa" TargetMode="External"/><Relationship Id="rId9282" Type="http://schemas.openxmlformats.org/officeDocument/2006/relationships/hyperlink" Target="https://chromewebstore.google.com/detail/mlpgkhbppppangggoealpdcadohcanmf" TargetMode="External"/><Relationship Id="rId9283" Type="http://schemas.openxmlformats.org/officeDocument/2006/relationships/hyperlink" Target="https://chromewebstore.google.com/detail/oejekcmlccpmnakekbpjcejffnfibado" TargetMode="External"/><Relationship Id="rId9284" Type="http://schemas.openxmlformats.org/officeDocument/2006/relationships/hyperlink" Target="https://chromewebstore.google.com/detail/oijpbohhmbgkoajncbndffonkoojgbde" TargetMode="External"/><Relationship Id="rId9285" Type="http://schemas.openxmlformats.org/officeDocument/2006/relationships/hyperlink" Target="https://chromewebstore.google.com/detail/anibbblaeamdcgglangaglnkdeobafpk" TargetMode="External"/><Relationship Id="rId5714" Type="http://schemas.openxmlformats.org/officeDocument/2006/relationships/hyperlink" Target="https://chromewebstore.google.com/detail/gcfcmfbcpibcjmcinnimklngkpkkcing" TargetMode="External"/><Relationship Id="rId5715" Type="http://schemas.openxmlformats.org/officeDocument/2006/relationships/hyperlink" Target="https://chromewebstore.google.com/detail/gcibdgjaladjjloeocimnijdgopejkfk" TargetMode="External"/><Relationship Id="rId5712" Type="http://schemas.openxmlformats.org/officeDocument/2006/relationships/hyperlink" Target="https://chromewebstore.google.com/detail/gbpnfdnpkiogmaicmknplgedbcjndaaf" TargetMode="External"/><Relationship Id="rId5713" Type="http://schemas.openxmlformats.org/officeDocument/2006/relationships/hyperlink" Target="https://chromewebstore.google.com/detail/gcdfpaeecjlihblmdbjbmaobeakbiaoo" TargetMode="External"/><Relationship Id="rId5718" Type="http://schemas.openxmlformats.org/officeDocument/2006/relationships/hyperlink" Target="https://chromewebstore.google.com/detail/gckjoaicbopdnkkkcmbhmamioeepjjkn" TargetMode="External"/><Relationship Id="rId5719" Type="http://schemas.openxmlformats.org/officeDocument/2006/relationships/hyperlink" Target="https://chromewebstore.google.com/detail/gcpoippahbbfaeglpmpecmbfnjlbmfpj" TargetMode="External"/><Relationship Id="rId5716" Type="http://schemas.openxmlformats.org/officeDocument/2006/relationships/hyperlink" Target="https://chromewebstore.google.com/detail/gcjekannlcclfkkhphflfdiebjcjndjp" TargetMode="External"/><Relationship Id="rId5717" Type="http://schemas.openxmlformats.org/officeDocument/2006/relationships/hyperlink" Target="https://chromewebstore.google.com/detail/gckdnedgcldldbdajllnmbmfhacalini" TargetMode="External"/><Relationship Id="rId5710" Type="http://schemas.openxmlformats.org/officeDocument/2006/relationships/hyperlink" Target="https://chromewebstore.google.com/detail/gbmlmheknojbpmagkgfcjlalpmeiflko" TargetMode="External"/><Relationship Id="rId5711" Type="http://schemas.openxmlformats.org/officeDocument/2006/relationships/hyperlink" Target="https://chromewebstore.google.com/detail/gbomaenjpmaeabacnllkhgijpdhplphb" TargetMode="External"/><Relationship Id="rId5703" Type="http://schemas.openxmlformats.org/officeDocument/2006/relationships/hyperlink" Target="https://chromewebstore.google.com/detail/gamblpaiplkihjneblbnoniddfockndi" TargetMode="External"/><Relationship Id="rId5704" Type="http://schemas.openxmlformats.org/officeDocument/2006/relationships/hyperlink" Target="https://chromewebstore.google.com/detail/ganicbccpopbpidgkpeflfmmhjbkbonj" TargetMode="External"/><Relationship Id="rId5701" Type="http://schemas.openxmlformats.org/officeDocument/2006/relationships/hyperlink" Target="https://chromewebstore.google.com/detail/gadhgehadcnbmhjkpnjbhjhdbohdokpj" TargetMode="External"/><Relationship Id="rId5702" Type="http://schemas.openxmlformats.org/officeDocument/2006/relationships/hyperlink" Target="https://chromewebstore.google.com/detail/gajcbmkmmcacnlpaffppednahicmomfn" TargetMode="External"/><Relationship Id="rId5707" Type="http://schemas.openxmlformats.org/officeDocument/2006/relationships/hyperlink" Target="https://chromewebstore.google.com/detail/gbghegmimhjemkhpimohkdopkeahldbh" TargetMode="External"/><Relationship Id="rId5708" Type="http://schemas.openxmlformats.org/officeDocument/2006/relationships/hyperlink" Target="https://chromewebstore.google.com/detail/gbgigcmlilhenhgdndoejbenepgeaahc" TargetMode="External"/><Relationship Id="rId5705" Type="http://schemas.openxmlformats.org/officeDocument/2006/relationships/hyperlink" Target="https://chromewebstore.google.com/detail/ganniadnoflaogjededkdpicdfkloajf" TargetMode="External"/><Relationship Id="rId5706" Type="http://schemas.openxmlformats.org/officeDocument/2006/relationships/hyperlink" Target="https://chromewebstore.google.com/detail/gbfhdedhodbapamdigljaeenfpnilibo" TargetMode="External"/><Relationship Id="rId5709" Type="http://schemas.openxmlformats.org/officeDocument/2006/relationships/hyperlink" Target="https://chromewebstore.google.com/detail/gbladodjhonkijdnbbcfoingmljmolnp" TargetMode="External"/><Relationship Id="rId5700" Type="http://schemas.openxmlformats.org/officeDocument/2006/relationships/hyperlink" Target="https://chromewebstore.google.com/detail/fpmfnhlniafpabplcacficlgmnnckggm" TargetMode="External"/><Relationship Id="rId9253" Type="http://schemas.openxmlformats.org/officeDocument/2006/relationships/hyperlink" Target="https://chromewebstore.google.com/detail/jfocolikmfgljlbblhgpkcjlpehnapkm" TargetMode="External"/><Relationship Id="rId9254" Type="http://schemas.openxmlformats.org/officeDocument/2006/relationships/hyperlink" Target="https://chromewebstore.google.com/detail/nojpnnfpfaepolalpokjlblonedknfgf" TargetMode="External"/><Relationship Id="rId9255" Type="http://schemas.openxmlformats.org/officeDocument/2006/relationships/hyperlink" Target="https://chromewebstore.google.com/detail/odhjpfjdlmcoajgnphnpnkapienploji" TargetMode="External"/><Relationship Id="rId9256" Type="http://schemas.openxmlformats.org/officeDocument/2006/relationships/hyperlink" Target="https://chromewebstore.google.com/detail/lfklaoaoaampgnpbcdhbpdeccmjncina" TargetMode="External"/><Relationship Id="rId9250" Type="http://schemas.openxmlformats.org/officeDocument/2006/relationships/hyperlink" Target="https://chromewebstore.google.com/detail/eoelfnihmeicibagdaalkdhmmdohcgml" TargetMode="External"/><Relationship Id="rId9251" Type="http://schemas.openxmlformats.org/officeDocument/2006/relationships/hyperlink" Target="https://chromewebstore.google.com/detail/hhnfajcbggahlcegcochjopcogeekljh" TargetMode="External"/><Relationship Id="rId9252" Type="http://schemas.openxmlformats.org/officeDocument/2006/relationships/hyperlink" Target="https://chromewebstore.google.com/detail/jalepliekfbfmbckeiloniladgoldfid" TargetMode="External"/><Relationship Id="rId9257" Type="http://schemas.openxmlformats.org/officeDocument/2006/relationships/hyperlink" Target="https://chromewebstore.google.com/detail/nppohjmfdbpkfmenclcalicmdhmpnfpp" TargetMode="External"/><Relationship Id="rId9258" Type="http://schemas.openxmlformats.org/officeDocument/2006/relationships/hyperlink" Target="https://chromewebstore.google.com/detail/pgojdfajgcjjpjnbpfaelnpnjocakldb" TargetMode="External"/><Relationship Id="rId9259" Type="http://schemas.openxmlformats.org/officeDocument/2006/relationships/hyperlink" Target="https://chromewebstore.google.com/detail/ponjalfncfogplhjlmalcbbclbappnaf" TargetMode="External"/><Relationship Id="rId9242" Type="http://schemas.openxmlformats.org/officeDocument/2006/relationships/hyperlink" Target="https://chromewebstore.google.com/detail/ijdkccjcpjdoibhmmfihppfgpfhjkkch" TargetMode="External"/><Relationship Id="rId9243" Type="http://schemas.openxmlformats.org/officeDocument/2006/relationships/hyperlink" Target="https://chromewebstore.google.com/detail/kbfakkkdllpodegeoggpfcmjabodhpca" TargetMode="External"/><Relationship Id="rId9244" Type="http://schemas.openxmlformats.org/officeDocument/2006/relationships/hyperlink" Target="https://chromewebstore.google.com/detail/kjhffdfdniogmdjbgepekhidjbioofia" TargetMode="External"/><Relationship Id="rId9245" Type="http://schemas.openxmlformats.org/officeDocument/2006/relationships/hyperlink" Target="https://chromewebstore.google.com/detail/nohcngapdkhdknlekkchkmhcnkkbpdmk" TargetMode="External"/><Relationship Id="rId9240" Type="http://schemas.openxmlformats.org/officeDocument/2006/relationships/hyperlink" Target="https://chromewebstore.google.com/detail/cdjfjpoffkbfepobmlegdknkbddecodc" TargetMode="External"/><Relationship Id="rId9241" Type="http://schemas.openxmlformats.org/officeDocument/2006/relationships/hyperlink" Target="https://chromewebstore.google.com/detail/fpgnjacboogigbfnlemfjfeoefijihhd" TargetMode="External"/><Relationship Id="rId9246" Type="http://schemas.openxmlformats.org/officeDocument/2006/relationships/hyperlink" Target="https://chromewebstore.google.com/detail/pghmiecjdbdaibecngmefbdmglkcboof" TargetMode="External"/><Relationship Id="rId9247" Type="http://schemas.openxmlformats.org/officeDocument/2006/relationships/hyperlink" Target="https://chromewebstore.google.com/detail/amhdmooncdllnoekdgggjhjlfnlbkdei" TargetMode="External"/><Relationship Id="rId9248" Type="http://schemas.openxmlformats.org/officeDocument/2006/relationships/hyperlink" Target="https://chromewebstore.google.com/detail/delfklcekebhdglimiacenamgoimjedp" TargetMode="External"/><Relationship Id="rId9249" Type="http://schemas.openxmlformats.org/officeDocument/2006/relationships/hyperlink" Target="https://chromewebstore.google.com/detail/diobhoifomoegojeaaghkfleolkhbipj" TargetMode="External"/><Relationship Id="rId9280" Type="http://schemas.openxmlformats.org/officeDocument/2006/relationships/hyperlink" Target="https://chromewebstore.google.com/detail/glpjomjkomefedfilfhgoijnfkneifje" TargetMode="External"/><Relationship Id="rId9281" Type="http://schemas.openxmlformats.org/officeDocument/2006/relationships/hyperlink" Target="https://chromewebstore.google.com/detail/jljhicbdjdmlkfllfabjigbaedlphhcn" TargetMode="External"/><Relationship Id="rId9275" Type="http://schemas.openxmlformats.org/officeDocument/2006/relationships/hyperlink" Target="https://chromewebstore.google.com/detail/nhihjlnjgibefgjhobhcphmnckoogdea" TargetMode="External"/><Relationship Id="rId9276" Type="http://schemas.openxmlformats.org/officeDocument/2006/relationships/hyperlink" Target="https://chromewebstore.google.com/detail/acbomgcfbkgbbomhfclpojgceiglbnhl" TargetMode="External"/><Relationship Id="rId9277" Type="http://schemas.openxmlformats.org/officeDocument/2006/relationships/hyperlink" Target="https://chromewebstore.google.com/detail/aonfphdgolcjagpgmlejfpinabbckiio" TargetMode="External"/><Relationship Id="rId9278" Type="http://schemas.openxmlformats.org/officeDocument/2006/relationships/hyperlink" Target="https://chromewebstore.google.com/detail/effeahbhlcfhmgljedehdfjpkgmachjg" TargetMode="External"/><Relationship Id="rId9271" Type="http://schemas.openxmlformats.org/officeDocument/2006/relationships/hyperlink" Target="https://chromewebstore.google.com/detail/efhmjnajoegmphjiohhkedfejkkeffhe" TargetMode="External"/><Relationship Id="rId9272" Type="http://schemas.openxmlformats.org/officeDocument/2006/relationships/hyperlink" Target="https://chromewebstore.google.com/detail/egbeoffgmdepbefhbiilpkalgnfjbmjg" TargetMode="External"/><Relationship Id="rId9273" Type="http://schemas.openxmlformats.org/officeDocument/2006/relationships/hyperlink" Target="https://chromewebstore.google.com/detail/nbccedaochfcpakfdgclnjkdbagniplh" TargetMode="External"/><Relationship Id="rId9274" Type="http://schemas.openxmlformats.org/officeDocument/2006/relationships/hyperlink" Target="https://chromewebstore.google.com/detail/nbnocjjjcabknnadklnobhnlnlbgcfnj" TargetMode="External"/><Relationship Id="rId9279" Type="http://schemas.openxmlformats.org/officeDocument/2006/relationships/hyperlink" Target="https://chromewebstore.google.com/detail/gacfakhdjblhojjecllgohnjgjikdhgb" TargetMode="External"/><Relationship Id="rId9270" Type="http://schemas.openxmlformats.org/officeDocument/2006/relationships/hyperlink" Target="https://chromewebstore.google.com/detail/edfnfekndkopmlejjmlplpceflfldoae" TargetMode="External"/><Relationship Id="rId9264" Type="http://schemas.openxmlformats.org/officeDocument/2006/relationships/hyperlink" Target="https://chromewebstore.google.com/detail/kenphjfhfggmidbljbbnfjmeagicjbdh" TargetMode="External"/><Relationship Id="rId9265" Type="http://schemas.openxmlformats.org/officeDocument/2006/relationships/hyperlink" Target="https://chromewebstore.google.com/detail/lhgkcnjcljlcpopbleiggddjimcaphef" TargetMode="External"/><Relationship Id="rId9266" Type="http://schemas.openxmlformats.org/officeDocument/2006/relationships/hyperlink" Target="https://chromewebstore.google.com/detail/mbfdhnjobheppodaolenppfegicnhmhp" TargetMode="External"/><Relationship Id="rId9267" Type="http://schemas.openxmlformats.org/officeDocument/2006/relationships/hyperlink" Target="https://chromewebstore.google.com/detail/mbgdnfmdelffjdhkdggilmphfdihnmcj" TargetMode="External"/><Relationship Id="rId9260" Type="http://schemas.openxmlformats.org/officeDocument/2006/relationships/hyperlink" Target="https://chromewebstore.google.com/detail/bjnemjdjapmakafpckmbdanhglffgpoc" TargetMode="External"/><Relationship Id="rId9261" Type="http://schemas.openxmlformats.org/officeDocument/2006/relationships/hyperlink" Target="https://chromewebstore.google.com/detail/cfebnighhmfngiliojpieankfedbgloi" TargetMode="External"/><Relationship Id="rId9262" Type="http://schemas.openxmlformats.org/officeDocument/2006/relationships/hyperlink" Target="https://chromewebstore.google.com/detail/dejjobgejdajdjjhjcindbjcfohoiehn" TargetMode="External"/><Relationship Id="rId9263" Type="http://schemas.openxmlformats.org/officeDocument/2006/relationships/hyperlink" Target="https://chromewebstore.google.com/detail/ifbcdobnjihilgldbjeomakdaejhplii" TargetMode="External"/><Relationship Id="rId9268" Type="http://schemas.openxmlformats.org/officeDocument/2006/relationships/hyperlink" Target="https://chromewebstore.google.com/detail/mmgepjldageingldphdeebmgaemdciio" TargetMode="External"/><Relationship Id="rId9269" Type="http://schemas.openxmlformats.org/officeDocument/2006/relationships/hyperlink" Target="https://chromewebstore.google.com/detail/dfhigdjfidfnbmhockldodfnnaaolplm" TargetMode="External"/><Relationship Id="rId3117" Type="http://schemas.openxmlformats.org/officeDocument/2006/relationships/hyperlink" Target="https://chromewebstore.google.com/detail/lijdblodiicfbnabekcfgnfdohphbogb" TargetMode="External"/><Relationship Id="rId4448" Type="http://schemas.openxmlformats.org/officeDocument/2006/relationships/hyperlink" Target="https://chromewebstore.google.com/detail/jdlbgoobbclpbbdnhadjhojbnhfnlfcf" TargetMode="External"/><Relationship Id="rId3116" Type="http://schemas.openxmlformats.org/officeDocument/2006/relationships/hyperlink" Target="https://chromewebstore.google.com/detail/libkeepfhbgiamhpajlgfcoljimloknk" TargetMode="External"/><Relationship Id="rId4447" Type="http://schemas.openxmlformats.org/officeDocument/2006/relationships/hyperlink" Target="https://chromewebstore.google.com/detail/jdgnicdahegmelcbafckanbaidnkdmbe" TargetMode="External"/><Relationship Id="rId3119" Type="http://schemas.openxmlformats.org/officeDocument/2006/relationships/hyperlink" Target="https://chromewebstore.google.com/detail/lipchhllklhmehlnknonpkjgaolabkfd" TargetMode="External"/><Relationship Id="rId5778" Type="http://schemas.openxmlformats.org/officeDocument/2006/relationships/hyperlink" Target="https://chromewebstore.google.com/detail/glljpjmfmlajokkjcpabaclmjecmlgoo" TargetMode="External"/><Relationship Id="rId3118" Type="http://schemas.openxmlformats.org/officeDocument/2006/relationships/hyperlink" Target="https://chromewebstore.google.com/detail/likiiimmebiicjdadpepiifoknjfddfj" TargetMode="External"/><Relationship Id="rId4449" Type="http://schemas.openxmlformats.org/officeDocument/2006/relationships/hyperlink" Target="https://chromewebstore.google.com/detail/jeehkhpiepgmjpbcckdglnfmogadopkj" TargetMode="External"/><Relationship Id="rId5779" Type="http://schemas.openxmlformats.org/officeDocument/2006/relationships/hyperlink" Target="https://chromewebstore.google.com/detail/glmjeemfonfjmnggjfphkcnjpnenbjkp" TargetMode="External"/><Relationship Id="rId4440" Type="http://schemas.openxmlformats.org/officeDocument/2006/relationships/hyperlink" Target="https://chromewebstore.google.com/detail/jbehgpdjkcconnaagjhddddfdajbpfhi" TargetMode="External"/><Relationship Id="rId5772" Type="http://schemas.openxmlformats.org/officeDocument/2006/relationships/hyperlink" Target="https://chromewebstore.google.com/detail/gkopncgliliconghbmejgnbmmadgogbj" TargetMode="External"/><Relationship Id="rId5773" Type="http://schemas.openxmlformats.org/officeDocument/2006/relationships/hyperlink" Target="https://chromewebstore.google.com/detail/glbkmopajpdlfhmbdchelmchokighpei" TargetMode="External"/><Relationship Id="rId3111" Type="http://schemas.openxmlformats.org/officeDocument/2006/relationships/hyperlink" Target="https://chromewebstore.google.com/detail/ldolgfmfhlgpgnmplmblipcdmojfhbld" TargetMode="External"/><Relationship Id="rId4442" Type="http://schemas.openxmlformats.org/officeDocument/2006/relationships/hyperlink" Target="https://chromewebstore.google.com/detail/jbnhjginpjihefndhjlhlggblfbefpod" TargetMode="External"/><Relationship Id="rId5770" Type="http://schemas.openxmlformats.org/officeDocument/2006/relationships/hyperlink" Target="https://chromewebstore.google.com/detail/gklkhffllgehhcfeaoanogjcgfdekeom" TargetMode="External"/><Relationship Id="rId3110" Type="http://schemas.openxmlformats.org/officeDocument/2006/relationships/hyperlink" Target="https://chromewebstore.google.com/detail/ldioohgilefagnheacoadblbnijeicln" TargetMode="External"/><Relationship Id="rId4441" Type="http://schemas.openxmlformats.org/officeDocument/2006/relationships/hyperlink" Target="https://chromewebstore.google.com/detail/jbhickinadkalablbimhndacboibojem" TargetMode="External"/><Relationship Id="rId5771" Type="http://schemas.openxmlformats.org/officeDocument/2006/relationships/hyperlink" Target="https://chromewebstore.google.com/detail/gknbnafalimbhgkmichoadhmkaoingil" TargetMode="External"/><Relationship Id="rId3113" Type="http://schemas.openxmlformats.org/officeDocument/2006/relationships/hyperlink" Target="https://chromewebstore.google.com/detail/lhjppngegpcocmjoflncllmpcldjnbmk" TargetMode="External"/><Relationship Id="rId4444" Type="http://schemas.openxmlformats.org/officeDocument/2006/relationships/hyperlink" Target="https://chromewebstore.google.com/detail/jcjnciohaigmilnefoekdcpankdgkbpp" TargetMode="External"/><Relationship Id="rId5776" Type="http://schemas.openxmlformats.org/officeDocument/2006/relationships/hyperlink" Target="https://chromewebstore.google.com/detail/glgdckpipcpcjmbkcmnponlnphnkkikn" TargetMode="External"/><Relationship Id="rId3112" Type="http://schemas.openxmlformats.org/officeDocument/2006/relationships/hyperlink" Target="https://chromewebstore.google.com/detail/lfaegjjpmoccjblndpnlgkkaikkcjhhi" TargetMode="External"/><Relationship Id="rId4443" Type="http://schemas.openxmlformats.org/officeDocument/2006/relationships/hyperlink" Target="https://chromewebstore.google.com/detail/jcjaaeialhaakckfpmpkipnjeiggekib" TargetMode="External"/><Relationship Id="rId5777" Type="http://schemas.openxmlformats.org/officeDocument/2006/relationships/hyperlink" Target="https://chromewebstore.google.com/detail/glglefmmcceobfdjabhgbcalfkicncgj" TargetMode="External"/><Relationship Id="rId3115" Type="http://schemas.openxmlformats.org/officeDocument/2006/relationships/hyperlink" Target="https://chromewebstore.google.com/detail/liabdglniakbjkmeljnanknablieadkg" TargetMode="External"/><Relationship Id="rId4446" Type="http://schemas.openxmlformats.org/officeDocument/2006/relationships/hyperlink" Target="https://chromewebstore.google.com/detail/jddckpfgmljninkckblfgdgkbondijge" TargetMode="External"/><Relationship Id="rId5774" Type="http://schemas.openxmlformats.org/officeDocument/2006/relationships/hyperlink" Target="https://chromewebstore.google.com/detail/glcdefibajbglmeelclffdbakgjjjopc" TargetMode="External"/><Relationship Id="rId3114" Type="http://schemas.openxmlformats.org/officeDocument/2006/relationships/hyperlink" Target="https://chromewebstore.google.com/detail/lhmkiondbkdipiamhlejekifohkchahl" TargetMode="External"/><Relationship Id="rId4445" Type="http://schemas.openxmlformats.org/officeDocument/2006/relationships/hyperlink" Target="https://chromewebstore.google.com/detail/jcofnjnjaijcgkcdklddpokkdmdnmckn" TargetMode="External"/><Relationship Id="rId5775" Type="http://schemas.openxmlformats.org/officeDocument/2006/relationships/hyperlink" Target="https://chromewebstore.google.com/detail/gldakbghopefnhcagpbhdocnopmmnbfp" TargetMode="External"/><Relationship Id="rId3106" Type="http://schemas.openxmlformats.org/officeDocument/2006/relationships/hyperlink" Target="https://chromewebstore.google.com/detail/lbedjfknabfhnfchndcipdipllmmkljm" TargetMode="External"/><Relationship Id="rId4437" Type="http://schemas.openxmlformats.org/officeDocument/2006/relationships/hyperlink" Target="https://chromewebstore.google.com/detail/jamfbhbmmopcmncgnapfifjiimomgpfp" TargetMode="External"/><Relationship Id="rId5769" Type="http://schemas.openxmlformats.org/officeDocument/2006/relationships/hyperlink" Target="https://chromewebstore.google.com/detail/gkjdlidimdcgmohgflkklbhkphgfpkfk" TargetMode="External"/><Relationship Id="rId3105" Type="http://schemas.openxmlformats.org/officeDocument/2006/relationships/hyperlink" Target="https://chromewebstore.google.com/detail/lbcjaollbgiecemkpbllpkbeffegcllo" TargetMode="External"/><Relationship Id="rId4436" Type="http://schemas.openxmlformats.org/officeDocument/2006/relationships/hyperlink" Target="https://chromewebstore.google.com/detail/jajkmamknneolieidnbnlhighhehbpik" TargetMode="External"/><Relationship Id="rId3108" Type="http://schemas.openxmlformats.org/officeDocument/2006/relationships/hyperlink" Target="https://chromewebstore.google.com/detail/lcgdpfaiipaelnpepigdafiogebaeedg" TargetMode="External"/><Relationship Id="rId4439" Type="http://schemas.openxmlformats.org/officeDocument/2006/relationships/hyperlink" Target="https://chromewebstore.google.com/detail/jbbhegjcohelhpcpbmdlmbegdifpmmkm" TargetMode="External"/><Relationship Id="rId5767" Type="http://schemas.openxmlformats.org/officeDocument/2006/relationships/hyperlink" Target="https://chromewebstore.google.com/detail/gkfpnohhmkonpkkpdbebccbgnajfgpjp" TargetMode="External"/><Relationship Id="rId3107" Type="http://schemas.openxmlformats.org/officeDocument/2006/relationships/hyperlink" Target="https://chromewebstore.google.com/detail/lbhgdbhopkhialmcnhdcpomjpekkekpf" TargetMode="External"/><Relationship Id="rId4438" Type="http://schemas.openxmlformats.org/officeDocument/2006/relationships/hyperlink" Target="https://chromewebstore.google.com/detail/japjbgpadlgeagbegagkfccjpfnadgeb" TargetMode="External"/><Relationship Id="rId5768" Type="http://schemas.openxmlformats.org/officeDocument/2006/relationships/hyperlink" Target="https://chromewebstore.google.com/detail/gkjcjolgbgobjdmnocfmojklgpapdnff" TargetMode="External"/><Relationship Id="rId3109" Type="http://schemas.openxmlformats.org/officeDocument/2006/relationships/hyperlink" Target="https://chromewebstore.google.com/detail/ldbemkmafmibhpncgagpegmhbhpolnlp" TargetMode="External"/><Relationship Id="rId5761" Type="http://schemas.openxmlformats.org/officeDocument/2006/relationships/hyperlink" Target="https://chromewebstore.google.com/detail/giplmolhikmggbhmliaighboilflkfph" TargetMode="External"/><Relationship Id="rId5762" Type="http://schemas.openxmlformats.org/officeDocument/2006/relationships/hyperlink" Target="https://chromewebstore.google.com/detail/gjaimbbhbanehmbfnfikbpnimkcciofl" TargetMode="External"/><Relationship Id="rId3100" Type="http://schemas.openxmlformats.org/officeDocument/2006/relationships/hyperlink" Target="https://chromewebstore.google.com/detail/kpdinddojclpdndplpblgckkfepjplie" TargetMode="External"/><Relationship Id="rId4431" Type="http://schemas.openxmlformats.org/officeDocument/2006/relationships/hyperlink" Target="https://chromewebstore.google.com/detail/iojdllcccblbhnmidkcjkldijflcoblb" TargetMode="External"/><Relationship Id="rId4430" Type="http://schemas.openxmlformats.org/officeDocument/2006/relationships/hyperlink" Target="https://chromewebstore.google.com/detail/iocebdgkllilbhbekghlbpmhfeejgcgi" TargetMode="External"/><Relationship Id="rId5760" Type="http://schemas.openxmlformats.org/officeDocument/2006/relationships/hyperlink" Target="https://chromewebstore.google.com/detail/ginfoceafejgiojoiomkmcdgimgagdal" TargetMode="External"/><Relationship Id="rId3102" Type="http://schemas.openxmlformats.org/officeDocument/2006/relationships/hyperlink" Target="https://chromewebstore.google.com/detail/ladhbdfdpfjaeonkdmdnogplgbpoiaja" TargetMode="External"/><Relationship Id="rId4433" Type="http://schemas.openxmlformats.org/officeDocument/2006/relationships/hyperlink" Target="https://chromewebstore.google.com/detail/jaafhbjfikdfpofhpkekcbfcfapafbmf" TargetMode="External"/><Relationship Id="rId5765" Type="http://schemas.openxmlformats.org/officeDocument/2006/relationships/hyperlink" Target="https://chromewebstore.google.com/detail/gjnjekopfnpjfbophjifjinbigkldcol" TargetMode="External"/><Relationship Id="rId3101" Type="http://schemas.openxmlformats.org/officeDocument/2006/relationships/hyperlink" Target="https://chromewebstore.google.com/detail/kpnpeakbgaamfdapfedfgpbnkfhaalgg" TargetMode="External"/><Relationship Id="rId4432" Type="http://schemas.openxmlformats.org/officeDocument/2006/relationships/hyperlink" Target="https://chromewebstore.google.com/detail/ioppgifkecchbmpobbkdkobildodihed" TargetMode="External"/><Relationship Id="rId5766" Type="http://schemas.openxmlformats.org/officeDocument/2006/relationships/hyperlink" Target="https://chromewebstore.google.com/detail/gkfjmfmjckaabogdpclnahenmcijplpe" TargetMode="External"/><Relationship Id="rId3104" Type="http://schemas.openxmlformats.org/officeDocument/2006/relationships/hyperlink" Target="https://chromewebstore.google.com/detail/lakkbciakcddnjmpenppddehppgjmdno" TargetMode="External"/><Relationship Id="rId4435" Type="http://schemas.openxmlformats.org/officeDocument/2006/relationships/hyperlink" Target="https://chromewebstore.google.com/detail/jajkeadlaiibpkpnnihopfalndpfioag" TargetMode="External"/><Relationship Id="rId5763" Type="http://schemas.openxmlformats.org/officeDocument/2006/relationships/hyperlink" Target="https://chromewebstore.google.com/detail/gjegofcnbogmeijackegenkifhkgkigi" TargetMode="External"/><Relationship Id="rId3103" Type="http://schemas.openxmlformats.org/officeDocument/2006/relationships/hyperlink" Target="https://chromewebstore.google.com/detail/ladmdjdnjfflielmgnmcnljncjpnlklk" TargetMode="External"/><Relationship Id="rId4434" Type="http://schemas.openxmlformats.org/officeDocument/2006/relationships/hyperlink" Target="https://chromewebstore.google.com/detail/jadldmlipbooilonkjgpepfoalappaog" TargetMode="External"/><Relationship Id="rId5764" Type="http://schemas.openxmlformats.org/officeDocument/2006/relationships/hyperlink" Target="https://chromewebstore.google.com/detail/gjgadmpbpojbdcehgijdlboanljfmnel" TargetMode="External"/><Relationship Id="rId3139" Type="http://schemas.openxmlformats.org/officeDocument/2006/relationships/hyperlink" Target="https://chromewebstore.google.com/detail/mjbgoobglbjpjmjkocghjmpkcponiemh" TargetMode="External"/><Relationship Id="rId3138" Type="http://schemas.openxmlformats.org/officeDocument/2006/relationships/hyperlink" Target="https://chromewebstore.google.com/detail/mhdcjcilknaincbghadamlbdfgnpcebg" TargetMode="External"/><Relationship Id="rId4469" Type="http://schemas.openxmlformats.org/officeDocument/2006/relationships/hyperlink" Target="https://chromewebstore.google.com/detail/jipobffkabkgddgmdmmgjoaopbnjnffn" TargetMode="External"/><Relationship Id="rId5790" Type="http://schemas.openxmlformats.org/officeDocument/2006/relationships/hyperlink" Target="https://chromewebstore.google.com/detail/gmogjpphjifpompcibhiafmlkhdmbbkb" TargetMode="External"/><Relationship Id="rId5791" Type="http://schemas.openxmlformats.org/officeDocument/2006/relationships/hyperlink" Target="https://chromewebstore.google.com/detail/gmojchmfkdpbmcboingdhcpaejpffhem" TargetMode="External"/><Relationship Id="rId4460" Type="http://schemas.openxmlformats.org/officeDocument/2006/relationships/hyperlink" Target="https://chromewebstore.google.com/detail/jgaaimajipbpdogpdglhaphldakikgef" TargetMode="External"/><Relationship Id="rId3131" Type="http://schemas.openxmlformats.org/officeDocument/2006/relationships/hyperlink" Target="https://chromewebstore.google.com/detail/mdcgnhlfpnbeieiiccmebgkfdebafodo" TargetMode="External"/><Relationship Id="rId4462" Type="http://schemas.openxmlformats.org/officeDocument/2006/relationships/hyperlink" Target="https://chromewebstore.google.com/detail/jgmkoefgnppfpagkhifpialkkkgnfgag" TargetMode="External"/><Relationship Id="rId5794" Type="http://schemas.openxmlformats.org/officeDocument/2006/relationships/hyperlink" Target="https://chromewebstore.google.com/detail/gnhoncdnkjpdoikknikbmecicaihhiai" TargetMode="External"/><Relationship Id="rId3130" Type="http://schemas.openxmlformats.org/officeDocument/2006/relationships/hyperlink" Target="https://chromewebstore.google.com/detail/mcljfnnepfafdljkpfacdbohjobjhbmo" TargetMode="External"/><Relationship Id="rId4461" Type="http://schemas.openxmlformats.org/officeDocument/2006/relationships/hyperlink" Target="https://chromewebstore.google.com/detail/jgmemodiapblpagmpfdkpjinbhfkpife" TargetMode="External"/><Relationship Id="rId5795" Type="http://schemas.openxmlformats.org/officeDocument/2006/relationships/hyperlink" Target="https://chromewebstore.google.com/detail/gnhpgfjkcocbojfegmijaaapefldpemb" TargetMode="External"/><Relationship Id="rId3133" Type="http://schemas.openxmlformats.org/officeDocument/2006/relationships/hyperlink" Target="https://chromewebstore.google.com/detail/megchchilhekbbnfcklodmndefbhkbco" TargetMode="External"/><Relationship Id="rId4464" Type="http://schemas.openxmlformats.org/officeDocument/2006/relationships/hyperlink" Target="https://chromewebstore.google.com/detail/jgpilhblmknfggjpkdcabajchcccgfeo" TargetMode="External"/><Relationship Id="rId5792" Type="http://schemas.openxmlformats.org/officeDocument/2006/relationships/hyperlink" Target="https://chromewebstore.google.com/detail/gnblbfpegnbgfflpomkmhdegcpcjkbnh" TargetMode="External"/><Relationship Id="rId3132" Type="http://schemas.openxmlformats.org/officeDocument/2006/relationships/hyperlink" Target="https://chromewebstore.google.com/detail/mdpfffijdiaiooefbiojcjilebamggig" TargetMode="External"/><Relationship Id="rId4463" Type="http://schemas.openxmlformats.org/officeDocument/2006/relationships/hyperlink" Target="https://chromewebstore.google.com/detail/jgnbklefkgedfbpjebhjgibfnobjcbli" TargetMode="External"/><Relationship Id="rId5793" Type="http://schemas.openxmlformats.org/officeDocument/2006/relationships/hyperlink" Target="https://chromewebstore.google.com/detail/gnfkfajglnnkaaiaaeheiinmcmniecni" TargetMode="External"/><Relationship Id="rId3135" Type="http://schemas.openxmlformats.org/officeDocument/2006/relationships/hyperlink" Target="https://chromewebstore.google.com/detail/mfcddagpdnfokfnbnoeephmfoifgdbid" TargetMode="External"/><Relationship Id="rId4466" Type="http://schemas.openxmlformats.org/officeDocument/2006/relationships/hyperlink" Target="https://chromewebstore.google.com/detail/jhpjlmmgagjofmhmbpdhpjifdgghobkn" TargetMode="External"/><Relationship Id="rId5798" Type="http://schemas.openxmlformats.org/officeDocument/2006/relationships/hyperlink" Target="https://chromewebstore.google.com/detail/gnoegjcomgnaofcdeckopfoajfbboplb" TargetMode="External"/><Relationship Id="rId3134" Type="http://schemas.openxmlformats.org/officeDocument/2006/relationships/hyperlink" Target="https://chromewebstore.google.com/detail/meonopfejondoahgndhocmaenpcebkhb" TargetMode="External"/><Relationship Id="rId4465" Type="http://schemas.openxmlformats.org/officeDocument/2006/relationships/hyperlink" Target="https://chromewebstore.google.com/detail/jhgjgbepielhcjdamofdopfmfcdcfiin" TargetMode="External"/><Relationship Id="rId5799" Type="http://schemas.openxmlformats.org/officeDocument/2006/relationships/hyperlink" Target="https://chromewebstore.google.com/detail/gnofggopjcccippphnjmajelmklljmhl" TargetMode="External"/><Relationship Id="rId3137" Type="http://schemas.openxmlformats.org/officeDocument/2006/relationships/hyperlink" Target="https://chromewebstore.google.com/detail/mgmjbodjgijnebfgohlnjkegdpbdjgin" TargetMode="External"/><Relationship Id="rId4468" Type="http://schemas.openxmlformats.org/officeDocument/2006/relationships/hyperlink" Target="https://chromewebstore.google.com/detail/jijileelaefjahodboljljdgfpbjjlac" TargetMode="External"/><Relationship Id="rId5796" Type="http://schemas.openxmlformats.org/officeDocument/2006/relationships/hyperlink" Target="https://chromewebstore.google.com/detail/gnijgfamanlebomemfebpndnnbbpcijl" TargetMode="External"/><Relationship Id="rId3136" Type="http://schemas.openxmlformats.org/officeDocument/2006/relationships/hyperlink" Target="https://chromewebstore.google.com/detail/mgbmndipjhghcencokiedbkfgbomdpmd" TargetMode="External"/><Relationship Id="rId4467" Type="http://schemas.openxmlformats.org/officeDocument/2006/relationships/hyperlink" Target="https://chromewebstore.google.com/detail/jiijikchlpdbgiddomlooeippbamognf" TargetMode="External"/><Relationship Id="rId5797" Type="http://schemas.openxmlformats.org/officeDocument/2006/relationships/hyperlink" Target="https://chromewebstore.google.com/detail/gnmacbkcpgnljoegkpmhoejgiipfdian" TargetMode="External"/><Relationship Id="rId3128" Type="http://schemas.openxmlformats.org/officeDocument/2006/relationships/hyperlink" Target="https://chromewebstore.google.com/detail/maljbdebgffplibkcchbjahfjhppkpmp" TargetMode="External"/><Relationship Id="rId4459" Type="http://schemas.openxmlformats.org/officeDocument/2006/relationships/hyperlink" Target="https://chromewebstore.google.com/detail/jfnlkegibnoaagfdabjkchhocdhnoofk" TargetMode="External"/><Relationship Id="rId3127" Type="http://schemas.openxmlformats.org/officeDocument/2006/relationships/hyperlink" Target="https://chromewebstore.google.com/detail/lndmkajeoopejggihiomoaepinlhblmm" TargetMode="External"/><Relationship Id="rId4458" Type="http://schemas.openxmlformats.org/officeDocument/2006/relationships/hyperlink" Target="https://chromewebstore.google.com/detail/jfjffepjjcndpmlblipanlddaiebobgh" TargetMode="External"/><Relationship Id="rId5789" Type="http://schemas.openxmlformats.org/officeDocument/2006/relationships/hyperlink" Target="https://chromewebstore.google.com/detail/gmodkkelloolkcebchmmjfdbhhdhnfpb" TargetMode="External"/><Relationship Id="rId3129" Type="http://schemas.openxmlformats.org/officeDocument/2006/relationships/hyperlink" Target="https://chromewebstore.google.com/detail/maoigfcibanjdgnepaiiadjhgmejclea" TargetMode="External"/><Relationship Id="rId5780" Type="http://schemas.openxmlformats.org/officeDocument/2006/relationships/hyperlink" Target="https://chromewebstore.google.com/detail/glogljhklaiimlocpigpigckeipgekkm" TargetMode="External"/><Relationship Id="rId3120" Type="http://schemas.openxmlformats.org/officeDocument/2006/relationships/hyperlink" Target="https://chromewebstore.google.com/detail/ljafjhbjenhgcgnikniijchkngljgjda" TargetMode="External"/><Relationship Id="rId4451" Type="http://schemas.openxmlformats.org/officeDocument/2006/relationships/hyperlink" Target="https://chromewebstore.google.com/detail/jegkfbnfbfnohncpcfcimepibmhlkldo" TargetMode="External"/><Relationship Id="rId5783" Type="http://schemas.openxmlformats.org/officeDocument/2006/relationships/hyperlink" Target="https://chromewebstore.google.com/detail/gmdmngbeceipkojacdoljnllcnfpdgce" TargetMode="External"/><Relationship Id="rId4450" Type="http://schemas.openxmlformats.org/officeDocument/2006/relationships/hyperlink" Target="https://chromewebstore.google.com/detail/jefgmnencamogchjibmjbikfjhkkbgkh" TargetMode="External"/><Relationship Id="rId5784" Type="http://schemas.openxmlformats.org/officeDocument/2006/relationships/hyperlink" Target="https://chromewebstore.google.com/detail/gmgeefghnadlmkpbjfamblomkoknhjga" TargetMode="External"/><Relationship Id="rId3122" Type="http://schemas.openxmlformats.org/officeDocument/2006/relationships/hyperlink" Target="https://chromewebstore.google.com/detail/lkpiolleljimgohflbgekkbeoiajighj" TargetMode="External"/><Relationship Id="rId4453" Type="http://schemas.openxmlformats.org/officeDocument/2006/relationships/hyperlink" Target="https://chromewebstore.google.com/detail/jekojlmhflhofoniakbljfijmhobcgam" TargetMode="External"/><Relationship Id="rId5781" Type="http://schemas.openxmlformats.org/officeDocument/2006/relationships/hyperlink" Target="https://chromewebstore.google.com/detail/glpejjlbjjegcemceejaipihnhjkaddf" TargetMode="External"/><Relationship Id="rId3121" Type="http://schemas.openxmlformats.org/officeDocument/2006/relationships/hyperlink" Target="https://chromewebstore.google.com/detail/ljociicifligbnfpobemibmmecnbbmla" TargetMode="External"/><Relationship Id="rId4452" Type="http://schemas.openxmlformats.org/officeDocument/2006/relationships/hyperlink" Target="https://chromewebstore.google.com/detail/jeieekjcmkhfffleemgbiooooockfmha" TargetMode="External"/><Relationship Id="rId5782" Type="http://schemas.openxmlformats.org/officeDocument/2006/relationships/hyperlink" Target="https://chromewebstore.google.com/detail/glpkdnkdpcloinlicdbnlemidgdmglhh" TargetMode="External"/><Relationship Id="rId3124" Type="http://schemas.openxmlformats.org/officeDocument/2006/relationships/hyperlink" Target="https://chromewebstore.google.com/detail/llondniabnmnappjekpflmgcikaiilmh" TargetMode="External"/><Relationship Id="rId4455" Type="http://schemas.openxmlformats.org/officeDocument/2006/relationships/hyperlink" Target="https://chromewebstore.google.com/detail/jfaelnolkgonnjdlkfokjadedkacbnib" TargetMode="External"/><Relationship Id="rId5787" Type="http://schemas.openxmlformats.org/officeDocument/2006/relationships/hyperlink" Target="https://chromewebstore.google.com/detail/gmlafnjffcblkipjaelgjdgdpmgmjbfp" TargetMode="External"/><Relationship Id="rId3123" Type="http://schemas.openxmlformats.org/officeDocument/2006/relationships/hyperlink" Target="https://chromewebstore.google.com/detail/lleedlmnoojfhnkaecmgkhemapcgpppl" TargetMode="External"/><Relationship Id="rId4454" Type="http://schemas.openxmlformats.org/officeDocument/2006/relationships/hyperlink" Target="https://chromewebstore.google.com/detail/jeonhldgclpilgdoioblomenlbokoaff" TargetMode="External"/><Relationship Id="rId5788" Type="http://schemas.openxmlformats.org/officeDocument/2006/relationships/hyperlink" Target="https://chromewebstore.google.com/detail/gmmcieaimnaokicplhkelbbggnaipnce" TargetMode="External"/><Relationship Id="rId3126" Type="http://schemas.openxmlformats.org/officeDocument/2006/relationships/hyperlink" Target="https://chromewebstore.google.com/detail/lnbaadooobnmoahpcgljfioimghcnfje" TargetMode="External"/><Relationship Id="rId4457" Type="http://schemas.openxmlformats.org/officeDocument/2006/relationships/hyperlink" Target="https://chromewebstore.google.com/detail/jfcncfpncjolblnbmgolgngenbofmgil" TargetMode="External"/><Relationship Id="rId5785" Type="http://schemas.openxmlformats.org/officeDocument/2006/relationships/hyperlink" Target="https://chromewebstore.google.com/detail/gmhaddmfnmddbjgobfjfghpjlbgmeiop" TargetMode="External"/><Relationship Id="rId3125" Type="http://schemas.openxmlformats.org/officeDocument/2006/relationships/hyperlink" Target="https://chromewebstore.google.com/detail/lmelmdoimijenelaokcdhhebmfhpjipd" TargetMode="External"/><Relationship Id="rId4456" Type="http://schemas.openxmlformats.org/officeDocument/2006/relationships/hyperlink" Target="https://chromewebstore.google.com/detail/jfbeaemkapflnkojkefefbpliabnflpf" TargetMode="External"/><Relationship Id="rId5786" Type="http://schemas.openxmlformats.org/officeDocument/2006/relationships/hyperlink" Target="https://chromewebstore.google.com/detail/gmkeppffdejhpppfnbgakglpoeaobhhh" TargetMode="External"/><Relationship Id="rId4404" Type="http://schemas.openxmlformats.org/officeDocument/2006/relationships/hyperlink" Target="https://chromewebstore.google.com/detail/ihgjiapheabakagbnbaminbheoihgajn" TargetMode="External"/><Relationship Id="rId5736" Type="http://schemas.openxmlformats.org/officeDocument/2006/relationships/hyperlink" Target="https://chromewebstore.google.com/detail/geopiocdphdpmkapnceogppdcfjklhbj" TargetMode="External"/><Relationship Id="rId4403" Type="http://schemas.openxmlformats.org/officeDocument/2006/relationships/hyperlink" Target="https://chromewebstore.google.com/detail/ihfogeehoikadinpdoeapemeolcppfjf" TargetMode="External"/><Relationship Id="rId5737" Type="http://schemas.openxmlformats.org/officeDocument/2006/relationships/hyperlink" Target="https://chromewebstore.google.com/detail/gfcfendehdonmfflgpkkaijdfbafkdfa" TargetMode="External"/><Relationship Id="rId4406" Type="http://schemas.openxmlformats.org/officeDocument/2006/relationships/hyperlink" Target="https://chromewebstore.google.com/detail/ihmllonaidjepimjdhjdcgodgekcmhop" TargetMode="External"/><Relationship Id="rId5734" Type="http://schemas.openxmlformats.org/officeDocument/2006/relationships/hyperlink" Target="https://chromewebstore.google.com/detail/gehpcmgffmioghpbkmgfpcaldchnaefk" TargetMode="External"/><Relationship Id="rId4405" Type="http://schemas.openxmlformats.org/officeDocument/2006/relationships/hyperlink" Target="https://chromewebstore.google.com/detail/ihlalbalpneokgcdiafhkjpnbekhlnmc" TargetMode="External"/><Relationship Id="rId5735" Type="http://schemas.openxmlformats.org/officeDocument/2006/relationships/hyperlink" Target="https://chromewebstore.google.com/detail/genhbfcaempmppmoonblekidkagafkio" TargetMode="External"/><Relationship Id="rId4408" Type="http://schemas.openxmlformats.org/officeDocument/2006/relationships/hyperlink" Target="https://chromewebstore.google.com/detail/iilpjebedgohcmlffhnkhbjhabkdhfmn" TargetMode="External"/><Relationship Id="rId4407" Type="http://schemas.openxmlformats.org/officeDocument/2006/relationships/hyperlink" Target="https://chromewebstore.google.com/detail/iiegolhfllkppagjhcchakhkkbmepdgd" TargetMode="External"/><Relationship Id="rId5738" Type="http://schemas.openxmlformats.org/officeDocument/2006/relationships/hyperlink" Target="https://chromewebstore.google.com/detail/gfedcgdbdlokekhnkgmgcdjoaoecocaj" TargetMode="External"/><Relationship Id="rId4409" Type="http://schemas.openxmlformats.org/officeDocument/2006/relationships/hyperlink" Target="https://chromewebstore.google.com/detail/iimhkldbldnmapepklmeeinclchfkddd" TargetMode="External"/><Relationship Id="rId5739" Type="http://schemas.openxmlformats.org/officeDocument/2006/relationships/hyperlink" Target="https://chromewebstore.google.com/detail/gffmljieoedhigbaagdjoipecmbiifkf" TargetMode="External"/><Relationship Id="rId4400" Type="http://schemas.openxmlformats.org/officeDocument/2006/relationships/hyperlink" Target="https://chromewebstore.google.com/detail/igkahjifnfkdaekmfddldheeddgmmbpp" TargetMode="External"/><Relationship Id="rId5732" Type="http://schemas.openxmlformats.org/officeDocument/2006/relationships/hyperlink" Target="https://chromewebstore.google.com/detail/gefgndifclopmilijflfficigjpjpfik" TargetMode="External"/><Relationship Id="rId5733" Type="http://schemas.openxmlformats.org/officeDocument/2006/relationships/hyperlink" Target="https://chromewebstore.google.com/detail/gehmihiiaeebmlflnmegjmocnnjghcch" TargetMode="External"/><Relationship Id="rId4402" Type="http://schemas.openxmlformats.org/officeDocument/2006/relationships/hyperlink" Target="https://chromewebstore.google.com/detail/iheomcimaienmjdfppikgopbibjmcnda" TargetMode="External"/><Relationship Id="rId5730" Type="http://schemas.openxmlformats.org/officeDocument/2006/relationships/hyperlink" Target="https://chromewebstore.google.com/detail/geeaennekbbdgfnjhnbgafdfjoefhmbb" TargetMode="External"/><Relationship Id="rId4401" Type="http://schemas.openxmlformats.org/officeDocument/2006/relationships/hyperlink" Target="https://chromewebstore.google.com/detail/igncokdengclanbghanhfichlnhlpihl" TargetMode="External"/><Relationship Id="rId5731" Type="http://schemas.openxmlformats.org/officeDocument/2006/relationships/hyperlink" Target="https://chromewebstore.google.com/detail/gefbnbbmfoakmbblphigemkiekfelahe" TargetMode="External"/><Relationship Id="rId5725" Type="http://schemas.openxmlformats.org/officeDocument/2006/relationships/hyperlink" Target="https://chromewebstore.google.com/detail/gdmapdijiljmjingeihifkgchmfiaaic" TargetMode="External"/><Relationship Id="rId5726" Type="http://schemas.openxmlformats.org/officeDocument/2006/relationships/hyperlink" Target="https://chromewebstore.google.com/detail/gdngbglapejijhppfmpaofmcgbcpofnj" TargetMode="External"/><Relationship Id="rId5723" Type="http://schemas.openxmlformats.org/officeDocument/2006/relationships/hyperlink" Target="https://chromewebstore.google.com/detail/gdihpadobhahlfahpojgbbhiiicaipom" TargetMode="External"/><Relationship Id="rId5724" Type="http://schemas.openxmlformats.org/officeDocument/2006/relationships/hyperlink" Target="https://chromewebstore.google.com/detail/gdlphncgdlaajddhdginocbkndmceaml" TargetMode="External"/><Relationship Id="rId5729" Type="http://schemas.openxmlformats.org/officeDocument/2006/relationships/hyperlink" Target="https://chromewebstore.google.com/detail/geancnifhbkbjijfkcjjdnfemppmcjmk" TargetMode="External"/><Relationship Id="rId5727" Type="http://schemas.openxmlformats.org/officeDocument/2006/relationships/hyperlink" Target="https://chromewebstore.google.com/detail/gdoiopdelonmejbbcfoiibojafcpihhm" TargetMode="External"/><Relationship Id="rId5728" Type="http://schemas.openxmlformats.org/officeDocument/2006/relationships/hyperlink" Target="https://chromewebstore.google.com/detail/gdooemnipkaehoocmkfhicaidlaejjgc" TargetMode="External"/><Relationship Id="rId5721" Type="http://schemas.openxmlformats.org/officeDocument/2006/relationships/hyperlink" Target="https://chromewebstore.google.com/detail/gdicngljankkhfnhjffcdlnnfeooihbk" TargetMode="External"/><Relationship Id="rId5722" Type="http://schemas.openxmlformats.org/officeDocument/2006/relationships/hyperlink" Target="https://chromewebstore.google.com/detail/gdifdhnjmjaidbajhapmbcbnoocoeooc" TargetMode="External"/><Relationship Id="rId5720" Type="http://schemas.openxmlformats.org/officeDocument/2006/relationships/hyperlink" Target="https://chromewebstore.google.com/detail/gdedhdlfdeaakpdfkikflkfnbiegaonb" TargetMode="External"/><Relationship Id="rId4426" Type="http://schemas.openxmlformats.org/officeDocument/2006/relationships/hyperlink" Target="https://chromewebstore.google.com/detail/inedpbopjmklilkeklabaailcdjegflc" TargetMode="External"/><Relationship Id="rId5758" Type="http://schemas.openxmlformats.org/officeDocument/2006/relationships/hyperlink" Target="https://chromewebstore.google.com/detail/gidcdbfijclcchilpkmeihnpjeepbjjm" TargetMode="External"/><Relationship Id="rId4425" Type="http://schemas.openxmlformats.org/officeDocument/2006/relationships/hyperlink" Target="https://chromewebstore.google.com/detail/inagencdkahngbepkiglkggohojnmgnj" TargetMode="External"/><Relationship Id="rId5759" Type="http://schemas.openxmlformats.org/officeDocument/2006/relationships/hyperlink" Target="https://chromewebstore.google.com/detail/gihginompkjijnipckobcjioandcmjgp" TargetMode="External"/><Relationship Id="rId4428" Type="http://schemas.openxmlformats.org/officeDocument/2006/relationships/hyperlink" Target="https://chromewebstore.google.com/detail/inncfpkneoefpgnoggjhcnkjhbcdeimo" TargetMode="External"/><Relationship Id="rId5756" Type="http://schemas.openxmlformats.org/officeDocument/2006/relationships/hyperlink" Target="https://chromewebstore.google.com/detail/ghndenjnakialbecpflcknnhipancekk" TargetMode="External"/><Relationship Id="rId4427" Type="http://schemas.openxmlformats.org/officeDocument/2006/relationships/hyperlink" Target="https://chromewebstore.google.com/detail/ingpkkkghfgkpejmhnojmmmjjfgkncga" TargetMode="External"/><Relationship Id="rId5757" Type="http://schemas.openxmlformats.org/officeDocument/2006/relationships/hyperlink" Target="https://chromewebstore.google.com/detail/gialkacknhjboidnkgappheioemdcona" TargetMode="External"/><Relationship Id="rId4429" Type="http://schemas.openxmlformats.org/officeDocument/2006/relationships/hyperlink" Target="https://chromewebstore.google.com/detail/ioanocinpfgampobfhpajpojecdjnnno" TargetMode="External"/><Relationship Id="rId5750" Type="http://schemas.openxmlformats.org/officeDocument/2006/relationships/hyperlink" Target="https://chromewebstore.google.com/detail/ghbefppmmpdhcpeebokjjnkmdflcgbcn" TargetMode="External"/><Relationship Id="rId5751" Type="http://schemas.openxmlformats.org/officeDocument/2006/relationships/hyperlink" Target="https://chromewebstore.google.com/detail/ghboalniiaeppganfgbbdejcmjcfcjgh" TargetMode="External"/><Relationship Id="rId4420" Type="http://schemas.openxmlformats.org/officeDocument/2006/relationships/hyperlink" Target="https://chromewebstore.google.com/detail/illmpnnkeobcgnnjghammeohfjpjoljp" TargetMode="External"/><Relationship Id="rId4422" Type="http://schemas.openxmlformats.org/officeDocument/2006/relationships/hyperlink" Target="https://chromewebstore.google.com/detail/ilnalplocpellobinblnoaeafioahbmo" TargetMode="External"/><Relationship Id="rId5754" Type="http://schemas.openxmlformats.org/officeDocument/2006/relationships/hyperlink" Target="https://chromewebstore.google.com/detail/ghmdcodhffmkgjclaimakmogaacfekch" TargetMode="External"/><Relationship Id="rId4421" Type="http://schemas.openxmlformats.org/officeDocument/2006/relationships/hyperlink" Target="https://chromewebstore.google.com/detail/ilmaafbmfcklldgoehebccigadbkbdpc" TargetMode="External"/><Relationship Id="rId5755" Type="http://schemas.openxmlformats.org/officeDocument/2006/relationships/hyperlink" Target="https://chromewebstore.google.com/detail/ghmkhegmedggpnghojodmkkflpokmlab" TargetMode="External"/><Relationship Id="rId4424" Type="http://schemas.openxmlformats.org/officeDocument/2006/relationships/hyperlink" Target="https://chromewebstore.google.com/detail/impicfhanbdnokdchlcnafgdhenlffph" TargetMode="External"/><Relationship Id="rId5752" Type="http://schemas.openxmlformats.org/officeDocument/2006/relationships/hyperlink" Target="https://chromewebstore.google.com/detail/ghikdcejfdebjjhpljbebapifdpphbkc" TargetMode="External"/><Relationship Id="rId4423" Type="http://schemas.openxmlformats.org/officeDocument/2006/relationships/hyperlink" Target="https://chromewebstore.google.com/detail/imnggmkkiihmhjjadialnhgpnpcolpji" TargetMode="External"/><Relationship Id="rId5753" Type="http://schemas.openxmlformats.org/officeDocument/2006/relationships/hyperlink" Target="https://chromewebstore.google.com/detail/ghjcfdhamnkmmjiaponhaoikkhnighpc" TargetMode="External"/><Relationship Id="rId4415" Type="http://schemas.openxmlformats.org/officeDocument/2006/relationships/hyperlink" Target="https://chromewebstore.google.com/detail/ilabeeklpmaacpjamehodpkgkjidnmpf" TargetMode="External"/><Relationship Id="rId5747" Type="http://schemas.openxmlformats.org/officeDocument/2006/relationships/hyperlink" Target="https://chromewebstore.google.com/detail/gghkamaeinhfnhpempdbopannocnlbkg" TargetMode="External"/><Relationship Id="rId4414" Type="http://schemas.openxmlformats.org/officeDocument/2006/relationships/hyperlink" Target="https://chromewebstore.google.com/detail/ikoompcclgdajbbijbhpgfpigolnbgpk" TargetMode="External"/><Relationship Id="rId5748" Type="http://schemas.openxmlformats.org/officeDocument/2006/relationships/hyperlink" Target="https://chromewebstore.google.com/detail/ggkcbiemgdlcempheklmiljdelngeani" TargetMode="External"/><Relationship Id="rId4417" Type="http://schemas.openxmlformats.org/officeDocument/2006/relationships/hyperlink" Target="https://chromewebstore.google.com/detail/ilagegjgkbifmeambdfapeklafmnfmae" TargetMode="External"/><Relationship Id="rId5745" Type="http://schemas.openxmlformats.org/officeDocument/2006/relationships/hyperlink" Target="https://chromewebstore.google.com/detail/ggbmfiledfmoeinemnnappkjldilblfh" TargetMode="External"/><Relationship Id="rId4416" Type="http://schemas.openxmlformats.org/officeDocument/2006/relationships/hyperlink" Target="https://chromewebstore.google.com/detail/ilaebdchnmobmcalandfmfmlneeghoag" TargetMode="External"/><Relationship Id="rId5746" Type="http://schemas.openxmlformats.org/officeDocument/2006/relationships/hyperlink" Target="https://chromewebstore.google.com/detail/ggbojnjohnjgiloeoljkmnacjaeahhmc" TargetMode="External"/><Relationship Id="rId4419" Type="http://schemas.openxmlformats.org/officeDocument/2006/relationships/hyperlink" Target="https://chromewebstore.google.com/detail/ilhlicblaojlghndblbncdehbakkebim" TargetMode="External"/><Relationship Id="rId4418" Type="http://schemas.openxmlformats.org/officeDocument/2006/relationships/hyperlink" Target="https://chromewebstore.google.com/detail/ildjeipiccodnhbpjebhhodledejdeip" TargetMode="External"/><Relationship Id="rId5749" Type="http://schemas.openxmlformats.org/officeDocument/2006/relationships/hyperlink" Target="https://chromewebstore.google.com/detail/gglajafleceohegiiegjinmfnomagiaf" TargetMode="External"/><Relationship Id="rId5740" Type="http://schemas.openxmlformats.org/officeDocument/2006/relationships/hyperlink" Target="https://chromewebstore.google.com/detail/gfibmgbpcionfgicoganojajjbglffpe" TargetMode="External"/><Relationship Id="rId4411" Type="http://schemas.openxmlformats.org/officeDocument/2006/relationships/hyperlink" Target="https://chromewebstore.google.com/detail/ijoeanckpfaegjkbdmbihinbdpgpcbba" TargetMode="External"/><Relationship Id="rId5743" Type="http://schemas.openxmlformats.org/officeDocument/2006/relationships/hyperlink" Target="https://chromewebstore.google.com/detail/gfocmiihofighegjlbmdklopoboedema" TargetMode="External"/><Relationship Id="rId4410" Type="http://schemas.openxmlformats.org/officeDocument/2006/relationships/hyperlink" Target="https://chromewebstore.google.com/detail/ijloicdileadhbjdlccmbaihgjjhkmjl" TargetMode="External"/><Relationship Id="rId5744" Type="http://schemas.openxmlformats.org/officeDocument/2006/relationships/hyperlink" Target="https://chromewebstore.google.com/detail/gfpiiddjejppjlaegjhfommdfjdfkfop" TargetMode="External"/><Relationship Id="rId4413" Type="http://schemas.openxmlformats.org/officeDocument/2006/relationships/hyperlink" Target="https://chromewebstore.google.com/detail/ikjiakenkeediiafhihmipcdafkkhdno" TargetMode="External"/><Relationship Id="rId5741" Type="http://schemas.openxmlformats.org/officeDocument/2006/relationships/hyperlink" Target="https://chromewebstore.google.com/detail/gfiebgdcafaljnemebjjlgkoblpankml" TargetMode="External"/><Relationship Id="rId4412" Type="http://schemas.openxmlformats.org/officeDocument/2006/relationships/hyperlink" Target="https://chromewebstore.google.com/detail/ikbcccnfbfobgioefgaodgmnnnbjbbfn" TargetMode="External"/><Relationship Id="rId5742" Type="http://schemas.openxmlformats.org/officeDocument/2006/relationships/hyperlink" Target="https://chromewebstore.google.com/detail/gfkhjmihhdlbceonegblhnkbioiddjmi" TargetMode="External"/><Relationship Id="rId3191" Type="http://schemas.openxmlformats.org/officeDocument/2006/relationships/hyperlink" Target="https://chromewebstore.google.com/detail/obhjfdbfdbgdgfcmllkkenicklkpeebc" TargetMode="External"/><Relationship Id="rId3190" Type="http://schemas.openxmlformats.org/officeDocument/2006/relationships/hyperlink" Target="https://chromewebstore.google.com/detail/npigckpiilmfjkgngcffloobgehgmfme" TargetMode="External"/><Relationship Id="rId3193" Type="http://schemas.openxmlformats.org/officeDocument/2006/relationships/hyperlink" Target="https://chromewebstore.google.com/detail/ocbhjemiokgibfojkkjapfealnbmgoek" TargetMode="External"/><Relationship Id="rId3192" Type="http://schemas.openxmlformats.org/officeDocument/2006/relationships/hyperlink" Target="https://chromewebstore.google.com/detail/objjglckenggfelflfbgbgpdfljhiaah" TargetMode="External"/><Relationship Id="rId3195" Type="http://schemas.openxmlformats.org/officeDocument/2006/relationships/hyperlink" Target="https://chromewebstore.google.com/detail/odklofidedfkjjgjnobmpipmobmlgkel" TargetMode="External"/><Relationship Id="rId3194" Type="http://schemas.openxmlformats.org/officeDocument/2006/relationships/hyperlink" Target="https://chromewebstore.google.com/detail/ocmhoiiilbobfmailfagflkbgagjddem" TargetMode="External"/><Relationship Id="rId3197" Type="http://schemas.openxmlformats.org/officeDocument/2006/relationships/hyperlink" Target="https://chromewebstore.google.com/detail/oelfkekhpcninmpedocgakolepcflfko" TargetMode="External"/><Relationship Id="rId3196" Type="http://schemas.openxmlformats.org/officeDocument/2006/relationships/hyperlink" Target="https://chromewebstore.google.com/detail/ododnaepjbicadkebdookecppfhjdmhp" TargetMode="External"/><Relationship Id="rId3199" Type="http://schemas.openxmlformats.org/officeDocument/2006/relationships/hyperlink" Target="https://chromewebstore.google.com/detail/offpnjldifddbopdmimolhcjniloicin" TargetMode="External"/><Relationship Id="rId3198" Type="http://schemas.openxmlformats.org/officeDocument/2006/relationships/hyperlink" Target="https://chromewebstore.google.com/detail/oelplgmhagacafchcofdknhlfiinkjnj" TargetMode="External"/><Relationship Id="rId3180" Type="http://schemas.openxmlformats.org/officeDocument/2006/relationships/hyperlink" Target="https://chromewebstore.google.com/detail/njhgppihgleonhgjanbjojnpgjkfmijo" TargetMode="External"/><Relationship Id="rId3182" Type="http://schemas.openxmlformats.org/officeDocument/2006/relationships/hyperlink" Target="https://chromewebstore.google.com/detail/nlmjokbigoalhligphdopakiodopbckj" TargetMode="External"/><Relationship Id="rId3181" Type="http://schemas.openxmlformats.org/officeDocument/2006/relationships/hyperlink" Target="https://chromewebstore.google.com/detail/nkcckgodpfgkpcekfejhnjgmaobklaff" TargetMode="External"/><Relationship Id="rId3184" Type="http://schemas.openxmlformats.org/officeDocument/2006/relationships/hyperlink" Target="https://chromewebstore.google.com/detail/nnmmmhcflgbendklbhknkkacnjempijd" TargetMode="External"/><Relationship Id="rId3183" Type="http://schemas.openxmlformats.org/officeDocument/2006/relationships/hyperlink" Target="https://chromewebstore.google.com/detail/nneejgmhfoecfeoffakdnolopppbbkfi" TargetMode="External"/><Relationship Id="rId3186" Type="http://schemas.openxmlformats.org/officeDocument/2006/relationships/hyperlink" Target="https://chromewebstore.google.com/detail/nodbcjhlapenofbimeinhpojlcfaeobe" TargetMode="External"/><Relationship Id="rId3185" Type="http://schemas.openxmlformats.org/officeDocument/2006/relationships/hyperlink" Target="https://chromewebstore.google.com/detail/nnnnnpmcdcloafmfkiihafnjidjkfmek" TargetMode="External"/><Relationship Id="rId3188" Type="http://schemas.openxmlformats.org/officeDocument/2006/relationships/hyperlink" Target="https://chromewebstore.google.com/detail/nofeohbnmmegdlalmkbjhkcjgkgegblf" TargetMode="External"/><Relationship Id="rId3187" Type="http://schemas.openxmlformats.org/officeDocument/2006/relationships/hyperlink" Target="https://chromewebstore.google.com/detail/noehfcgcdhbabgbmhbahipodfpndjedc" TargetMode="External"/><Relationship Id="rId3189" Type="http://schemas.openxmlformats.org/officeDocument/2006/relationships/hyperlink" Target="https://chromewebstore.google.com/detail/npbgohkhpjcilfkglmmnkhelkbmmdloj" TargetMode="External"/><Relationship Id="rId4480" Type="http://schemas.openxmlformats.org/officeDocument/2006/relationships/hyperlink" Target="https://chromewebstore.google.com/detail/jmhlhicfnbopnflmpgdbeicgooafepli" TargetMode="External"/><Relationship Id="rId3151" Type="http://schemas.openxmlformats.org/officeDocument/2006/relationships/hyperlink" Target="https://chromewebstore.google.com/detail/mnellcecpgpeniolniglgfdfphfeoffo" TargetMode="External"/><Relationship Id="rId4482" Type="http://schemas.openxmlformats.org/officeDocument/2006/relationships/hyperlink" Target="https://chromewebstore.google.com/detail/jneeammdkdmlfgidcacmjmbijdmkdbjm" TargetMode="External"/><Relationship Id="rId3150" Type="http://schemas.openxmlformats.org/officeDocument/2006/relationships/hyperlink" Target="https://chromewebstore.google.com/detail/mmephpcmjcplemnjjjohocfgijndcnbn" TargetMode="External"/><Relationship Id="rId4481" Type="http://schemas.openxmlformats.org/officeDocument/2006/relationships/hyperlink" Target="https://chromewebstore.google.com/detail/jmlgjpmnmoamefpgloiafheajackekeb" TargetMode="External"/><Relationship Id="rId3153" Type="http://schemas.openxmlformats.org/officeDocument/2006/relationships/hyperlink" Target="https://chromewebstore.google.com/detail/moebmmkeehmohghiialcoemcmebekbap" TargetMode="External"/><Relationship Id="rId4484" Type="http://schemas.openxmlformats.org/officeDocument/2006/relationships/hyperlink" Target="https://chromewebstore.google.com/detail/jnlnibjgafmamocabdhidiaajkdphkpe" TargetMode="External"/><Relationship Id="rId3152" Type="http://schemas.openxmlformats.org/officeDocument/2006/relationships/hyperlink" Target="https://chromewebstore.google.com/detail/mnenbmhckgnahghjhelklajobocdiijf" TargetMode="External"/><Relationship Id="rId4483" Type="http://schemas.openxmlformats.org/officeDocument/2006/relationships/hyperlink" Target="https://chromewebstore.google.com/detail/jnknjejacdkpnaacfgolbmdohkhpphjb" TargetMode="External"/><Relationship Id="rId3155" Type="http://schemas.openxmlformats.org/officeDocument/2006/relationships/hyperlink" Target="https://chromewebstore.google.com/detail/naabbdmohmekdgecllphidjiaobnekcc" TargetMode="External"/><Relationship Id="rId4486" Type="http://schemas.openxmlformats.org/officeDocument/2006/relationships/hyperlink" Target="https://chromewebstore.google.com/detail/jnnifhpbkkodhfneckeloephjcopmlcd" TargetMode="External"/><Relationship Id="rId3154" Type="http://schemas.openxmlformats.org/officeDocument/2006/relationships/hyperlink" Target="https://chromewebstore.google.com/detail/mopoebekmlkmahpfjjgibkbnciooimhn" TargetMode="External"/><Relationship Id="rId4485" Type="http://schemas.openxmlformats.org/officeDocument/2006/relationships/hyperlink" Target="https://chromewebstore.google.com/detail/jnmdcbmpmfhnlchjdkcngihpjmgofajm" TargetMode="External"/><Relationship Id="rId3157" Type="http://schemas.openxmlformats.org/officeDocument/2006/relationships/hyperlink" Target="https://chromewebstore.google.com/detail/nahdeimiheknmpknkenfkmhonnlboeim" TargetMode="External"/><Relationship Id="rId4488" Type="http://schemas.openxmlformats.org/officeDocument/2006/relationships/hyperlink" Target="https://chromewebstore.google.com/detail/jpafaidkicnfcohbcfegbokibbghpnee" TargetMode="External"/><Relationship Id="rId3156" Type="http://schemas.openxmlformats.org/officeDocument/2006/relationships/hyperlink" Target="https://chromewebstore.google.com/detail/nacgpnjabcgfbnbgahakofjoebbknhao" TargetMode="External"/><Relationship Id="rId4487" Type="http://schemas.openxmlformats.org/officeDocument/2006/relationships/hyperlink" Target="https://chromewebstore.google.com/detail/jolbgfjnbicnaipkklmgkpcfjkkgflcb" TargetMode="External"/><Relationship Id="rId3159" Type="http://schemas.openxmlformats.org/officeDocument/2006/relationships/hyperlink" Target="https://chromewebstore.google.com/detail/naipbdlipiclagppfadakpfhfpmjpmae" TargetMode="External"/><Relationship Id="rId3158" Type="http://schemas.openxmlformats.org/officeDocument/2006/relationships/hyperlink" Target="https://chromewebstore.google.com/detail/naiegljfmojjaphollbjobpedcdnkkfp" TargetMode="External"/><Relationship Id="rId4489" Type="http://schemas.openxmlformats.org/officeDocument/2006/relationships/hyperlink" Target="https://chromewebstore.google.com/detail/jpoihkdhglpoihdkjmmgdkllpjalbmei" TargetMode="External"/><Relationship Id="rId3149" Type="http://schemas.openxmlformats.org/officeDocument/2006/relationships/hyperlink" Target="https://chromewebstore.google.com/detail/mmehkkgdjeabomkpmpfkemcomagemjfn" TargetMode="External"/><Relationship Id="rId3140" Type="http://schemas.openxmlformats.org/officeDocument/2006/relationships/hyperlink" Target="https://chromewebstore.google.com/detail/mjffedinmmdbebmljeoobdiccmoldidg" TargetMode="External"/><Relationship Id="rId4471" Type="http://schemas.openxmlformats.org/officeDocument/2006/relationships/hyperlink" Target="https://chromewebstore.google.com/detail/jjjjekfmojknabiflakbmnmapkkmefbe" TargetMode="External"/><Relationship Id="rId4470" Type="http://schemas.openxmlformats.org/officeDocument/2006/relationships/hyperlink" Target="https://chromewebstore.google.com/detail/jjbeocfmgckcnabhefnjnhbpppfmcgfd" TargetMode="External"/><Relationship Id="rId3142" Type="http://schemas.openxmlformats.org/officeDocument/2006/relationships/hyperlink" Target="https://chromewebstore.google.com/detail/mkepenkbhepjelljcfiooignmpfgochi" TargetMode="External"/><Relationship Id="rId4473" Type="http://schemas.openxmlformats.org/officeDocument/2006/relationships/hyperlink" Target="https://chromewebstore.google.com/detail/jjklmnaplojhioaalkolmpmbakgicpfc" TargetMode="External"/><Relationship Id="rId3141" Type="http://schemas.openxmlformats.org/officeDocument/2006/relationships/hyperlink" Target="https://chromewebstore.google.com/detail/mjpehbafabejicbgnchgmhnleppcbgfi" TargetMode="External"/><Relationship Id="rId4472" Type="http://schemas.openxmlformats.org/officeDocument/2006/relationships/hyperlink" Target="https://chromewebstore.google.com/detail/jjkdinonnkgnnapdocolkjfnabepfkmj" TargetMode="External"/><Relationship Id="rId3144" Type="http://schemas.openxmlformats.org/officeDocument/2006/relationships/hyperlink" Target="https://chromewebstore.google.com/detail/mkjmfnfelagifmamhjibjpggdidpjnjj" TargetMode="External"/><Relationship Id="rId4475" Type="http://schemas.openxmlformats.org/officeDocument/2006/relationships/hyperlink" Target="https://chromewebstore.google.com/detail/jkcbiekaonbmiomkbhhfdpllnjgicble" TargetMode="External"/><Relationship Id="rId3143" Type="http://schemas.openxmlformats.org/officeDocument/2006/relationships/hyperlink" Target="https://chromewebstore.google.com/detail/mkjcjbkackpifmmpmhjfojjindefnffk" TargetMode="External"/><Relationship Id="rId4474" Type="http://schemas.openxmlformats.org/officeDocument/2006/relationships/hyperlink" Target="https://chromewebstore.google.com/detail/jjppfdghakbnajlcgimoocongklffodn" TargetMode="External"/><Relationship Id="rId3146" Type="http://schemas.openxmlformats.org/officeDocument/2006/relationships/hyperlink" Target="https://chromewebstore.google.com/detail/mlhndmhjkoeggdhifdlglkldgppjifpf" TargetMode="External"/><Relationship Id="rId4477" Type="http://schemas.openxmlformats.org/officeDocument/2006/relationships/hyperlink" Target="https://chromewebstore.google.com/detail/jkiedgmdpandlnbobnjcbhfklnpdaflc" TargetMode="External"/><Relationship Id="rId3145" Type="http://schemas.openxmlformats.org/officeDocument/2006/relationships/hyperlink" Target="https://chromewebstore.google.com/detail/mklfhpmcnamcncipgjdildbffdjdfdol" TargetMode="External"/><Relationship Id="rId4476" Type="http://schemas.openxmlformats.org/officeDocument/2006/relationships/hyperlink" Target="https://chromewebstore.google.com/detail/jkfdkjomocoaljglgddnmhcbolldcafd" TargetMode="External"/><Relationship Id="rId3148" Type="http://schemas.openxmlformats.org/officeDocument/2006/relationships/hyperlink" Target="https://chromewebstore.google.com/detail/mmcgnaachjapbbchcpjihhgjhpfcnoan" TargetMode="External"/><Relationship Id="rId4479" Type="http://schemas.openxmlformats.org/officeDocument/2006/relationships/hyperlink" Target="https://chromewebstore.google.com/detail/jmhkbmmljlemjenoklondlldimojdgll" TargetMode="External"/><Relationship Id="rId3147" Type="http://schemas.openxmlformats.org/officeDocument/2006/relationships/hyperlink" Target="https://chromewebstore.google.com/detail/mmbiohbmijkiimgcgijfomelgpmdiigb" TargetMode="External"/><Relationship Id="rId4478" Type="http://schemas.openxmlformats.org/officeDocument/2006/relationships/hyperlink" Target="https://chromewebstore.google.com/detail/jmdenoijfejikcljfggmiijccnmdifjj" TargetMode="External"/><Relationship Id="rId3171" Type="http://schemas.openxmlformats.org/officeDocument/2006/relationships/hyperlink" Target="https://chromewebstore.google.com/detail/nflhamjkngakbdnihackfkjoabknmooi" TargetMode="External"/><Relationship Id="rId3170" Type="http://schemas.openxmlformats.org/officeDocument/2006/relationships/hyperlink" Target="https://chromewebstore.google.com/detail/nfhfkijfhpnnpiojakclepbbpjhefgla" TargetMode="External"/><Relationship Id="rId3173" Type="http://schemas.openxmlformats.org/officeDocument/2006/relationships/hyperlink" Target="https://chromewebstore.google.com/detail/ngfmobbhhdnhlafjcliaddmgcafbihcd" TargetMode="External"/><Relationship Id="rId3172" Type="http://schemas.openxmlformats.org/officeDocument/2006/relationships/hyperlink" Target="https://chromewebstore.google.com/detail/nfpglclbdnldbkeiicnnnodjbjclejem" TargetMode="External"/><Relationship Id="rId3175" Type="http://schemas.openxmlformats.org/officeDocument/2006/relationships/hyperlink" Target="https://chromewebstore.google.com/detail/ngjddnobeppdekpmimhiamkoonoaccdf" TargetMode="External"/><Relationship Id="rId3174" Type="http://schemas.openxmlformats.org/officeDocument/2006/relationships/hyperlink" Target="https://chromewebstore.google.com/detail/ngifhofemdmpebnnffnljccfdaiaoppd" TargetMode="External"/><Relationship Id="rId3177" Type="http://schemas.openxmlformats.org/officeDocument/2006/relationships/hyperlink" Target="https://chromewebstore.google.com/detail/nhndampajkkhamolmmnalddigpojomph" TargetMode="External"/><Relationship Id="rId3176" Type="http://schemas.openxmlformats.org/officeDocument/2006/relationships/hyperlink" Target="https://chromewebstore.google.com/detail/nhcaihbjbbggebncffmeemegdmkamppc" TargetMode="External"/><Relationship Id="rId3179" Type="http://schemas.openxmlformats.org/officeDocument/2006/relationships/hyperlink" Target="https://chromewebstore.google.com/detail/nimeojfecmndgolmlmjghjmbpdkhhogl" TargetMode="External"/><Relationship Id="rId3178" Type="http://schemas.openxmlformats.org/officeDocument/2006/relationships/hyperlink" Target="https://chromewebstore.google.com/detail/nibjplbnmmklkfnkpecgbffkifmdbjed" TargetMode="External"/><Relationship Id="rId3160" Type="http://schemas.openxmlformats.org/officeDocument/2006/relationships/hyperlink" Target="https://chromewebstore.google.com/detail/nbefemlknofkcmjaacjbfebcodllpncj" TargetMode="External"/><Relationship Id="rId4491" Type="http://schemas.openxmlformats.org/officeDocument/2006/relationships/hyperlink" Target="https://chromewebstore.google.com/detail/kaiofkekiongfpgocmlpomimfnmcnfii" TargetMode="External"/><Relationship Id="rId4490" Type="http://schemas.openxmlformats.org/officeDocument/2006/relationships/hyperlink" Target="https://chromewebstore.google.com/detail/kaioddlknfmbibclnlnmbgjajbacgnab" TargetMode="External"/><Relationship Id="rId3162" Type="http://schemas.openxmlformats.org/officeDocument/2006/relationships/hyperlink" Target="https://chromewebstore.google.com/detail/nbomnjapnclaocillijpceooehonajnk" TargetMode="External"/><Relationship Id="rId4493" Type="http://schemas.openxmlformats.org/officeDocument/2006/relationships/hyperlink" Target="https://chromewebstore.google.com/detail/kanfjhdeebkfgkbmnfknhejpadhlmiab" TargetMode="External"/><Relationship Id="rId3161" Type="http://schemas.openxmlformats.org/officeDocument/2006/relationships/hyperlink" Target="https://chromewebstore.google.com/detail/nbiajhhibgfgkjegbnflpdccejocmbbn" TargetMode="External"/><Relationship Id="rId4492" Type="http://schemas.openxmlformats.org/officeDocument/2006/relationships/hyperlink" Target="https://chromewebstore.google.com/detail/kalbgfbifcaigjnkgagbeimcflnaijmc" TargetMode="External"/><Relationship Id="rId3164" Type="http://schemas.openxmlformats.org/officeDocument/2006/relationships/hyperlink" Target="https://chromewebstore.google.com/detail/neefikeccjlabaelikoghiiknjdbckal" TargetMode="External"/><Relationship Id="rId4495" Type="http://schemas.openxmlformats.org/officeDocument/2006/relationships/hyperlink" Target="https://chromewebstore.google.com/detail/kbhidgghgflkbalnkoeokcipocmigkfh" TargetMode="External"/><Relationship Id="rId3163" Type="http://schemas.openxmlformats.org/officeDocument/2006/relationships/hyperlink" Target="https://chromewebstore.google.com/detail/nedmgahpcodjodffangidkibceihkdhn" TargetMode="External"/><Relationship Id="rId4494" Type="http://schemas.openxmlformats.org/officeDocument/2006/relationships/hyperlink" Target="https://chromewebstore.google.com/detail/kbbachocflopihajoahdchlbjpdfdfkk" TargetMode="External"/><Relationship Id="rId3166" Type="http://schemas.openxmlformats.org/officeDocument/2006/relationships/hyperlink" Target="https://chromewebstore.google.com/detail/nenoggmhpdbhlankidnhgmmpbhgdnnai" TargetMode="External"/><Relationship Id="rId4497" Type="http://schemas.openxmlformats.org/officeDocument/2006/relationships/hyperlink" Target="https://chromewebstore.google.com/detail/kbkofmkelombofknjlippaelfjhbpena" TargetMode="External"/><Relationship Id="rId3165" Type="http://schemas.openxmlformats.org/officeDocument/2006/relationships/hyperlink" Target="https://chromewebstore.google.com/detail/nehmaijilccnklmhkjlmmcnbjobdodhp" TargetMode="External"/><Relationship Id="rId4496" Type="http://schemas.openxmlformats.org/officeDocument/2006/relationships/hyperlink" Target="https://chromewebstore.google.com/detail/kbkjgbkmphnikcpkcodjbifkblmgidia" TargetMode="External"/><Relationship Id="rId3168" Type="http://schemas.openxmlformats.org/officeDocument/2006/relationships/hyperlink" Target="https://chromewebstore.google.com/detail/nfcldgholonecfckicgfmekkecmnopbi" TargetMode="External"/><Relationship Id="rId4499" Type="http://schemas.openxmlformats.org/officeDocument/2006/relationships/hyperlink" Target="https://chromewebstore.google.com/detail/kcalekkcloenlggckljneebibcfpoidh" TargetMode="External"/><Relationship Id="rId3167" Type="http://schemas.openxmlformats.org/officeDocument/2006/relationships/hyperlink" Target="https://chromewebstore.google.com/detail/nepgdloeceldecnoaaegljlichnfognh" TargetMode="External"/><Relationship Id="rId4498" Type="http://schemas.openxmlformats.org/officeDocument/2006/relationships/hyperlink" Target="https://chromewebstore.google.com/detail/kbokemhcejmkhggldpaeojhhejmnffjc" TargetMode="External"/><Relationship Id="rId3169" Type="http://schemas.openxmlformats.org/officeDocument/2006/relationships/hyperlink" Target="https://chromewebstore.google.com/detail/nfcnjkekppjddipfnfbbohdocpgjnmee" TargetMode="External"/><Relationship Id="rId9330" Type="http://schemas.openxmlformats.org/officeDocument/2006/relationships/hyperlink" Target="https://chromewebstore.google.com/detail/hofephhkknhfjphbcggfdjaohefcfohm" TargetMode="External"/><Relationship Id="rId9331" Type="http://schemas.openxmlformats.org/officeDocument/2006/relationships/hyperlink" Target="https://chromewebstore.google.com/detail/ichdjcfpibgdoecejabegkfpnbdjhhhf" TargetMode="External"/><Relationship Id="rId9332" Type="http://schemas.openxmlformats.org/officeDocument/2006/relationships/hyperlink" Target="https://chromewebstore.google.com/detail/idoiiaaneaalcjpokjiaopdcbikfjkgi" TargetMode="External"/><Relationship Id="rId9333" Type="http://schemas.openxmlformats.org/officeDocument/2006/relationships/hyperlink" Target="https://chromewebstore.google.com/detail/jikfjlngciobhhkkbmamhnjckmhmcfje" TargetMode="External"/><Relationship Id="rId8002" Type="http://schemas.openxmlformats.org/officeDocument/2006/relationships/hyperlink" Target="https://chromewebstore.google.com/detail/mcbkdemjpfgkelnhcnbkoafaljnblcjd" TargetMode="External"/><Relationship Id="rId8001" Type="http://schemas.openxmlformats.org/officeDocument/2006/relationships/hyperlink" Target="https://chromewebstore.google.com/detail/kkijalhkcfebhahlagllhlpocfehbfok" TargetMode="External"/><Relationship Id="rId8000" Type="http://schemas.openxmlformats.org/officeDocument/2006/relationships/hyperlink" Target="https://chromewebstore.google.com/detail/heffmihflilcadjdebaijhmmbccdmigg" TargetMode="External"/><Relationship Id="rId8006" Type="http://schemas.openxmlformats.org/officeDocument/2006/relationships/hyperlink" Target="https://chromewebstore.google.com/detail/bkhonkbidgpbiiocpcmakmheigldfkdj" TargetMode="External"/><Relationship Id="rId9338" Type="http://schemas.openxmlformats.org/officeDocument/2006/relationships/hyperlink" Target="https://chromewebstore.google.com/detail/adgfnlgphaiikchoamabifhaakkpbcpl" TargetMode="External"/><Relationship Id="rId8005" Type="http://schemas.openxmlformats.org/officeDocument/2006/relationships/hyperlink" Target="https://chromewebstore.google.com/detail/fegcpknnjjbjekicabkhmjldhokgjmoa" TargetMode="External"/><Relationship Id="rId9339" Type="http://schemas.openxmlformats.org/officeDocument/2006/relationships/hyperlink" Target="https://chromewebstore.google.com/detail/gajpkncnknlljkhblhllcnnfjpbcmebm" TargetMode="External"/><Relationship Id="rId8004" Type="http://schemas.openxmlformats.org/officeDocument/2006/relationships/hyperlink" Target="https://chromewebstore.google.com/detail/dncgjknchhlpnhebhabokhoippnmiloi" TargetMode="External"/><Relationship Id="rId8003" Type="http://schemas.openxmlformats.org/officeDocument/2006/relationships/hyperlink" Target="https://chromewebstore.google.com/detail/acijagaddpagpgcjdcoigjkmeiengplp" TargetMode="External"/><Relationship Id="rId9334" Type="http://schemas.openxmlformats.org/officeDocument/2006/relationships/hyperlink" Target="https://chromewebstore.google.com/detail/ojpinamipebjamgiknkdehdikemaiegi" TargetMode="External"/><Relationship Id="rId8009" Type="http://schemas.openxmlformats.org/officeDocument/2006/relationships/hyperlink" Target="https://chromewebstore.google.com/detail/endnddbohopbmapkpghdigekfngmjldj" TargetMode="External"/><Relationship Id="rId9335" Type="http://schemas.openxmlformats.org/officeDocument/2006/relationships/hyperlink" Target="https://chromewebstore.google.com/detail/olejfcpiodohggkokfkaecelidkbdpal" TargetMode="External"/><Relationship Id="rId8008" Type="http://schemas.openxmlformats.org/officeDocument/2006/relationships/hyperlink" Target="https://chromewebstore.google.com/detail/docmpmaaknodeakimnnbnodgaopgidjj" TargetMode="External"/><Relationship Id="rId9336" Type="http://schemas.openxmlformats.org/officeDocument/2006/relationships/hyperlink" Target="https://chromewebstore.google.com/detail/onkdeianmpjnloefjlmjjofjllkimmdk" TargetMode="External"/><Relationship Id="rId8007" Type="http://schemas.openxmlformats.org/officeDocument/2006/relationships/hyperlink" Target="https://chromewebstore.google.com/detail/blklnljefnfkonpnmknbbglbbhbhjieg" TargetMode="External"/><Relationship Id="rId9337" Type="http://schemas.openxmlformats.org/officeDocument/2006/relationships/hyperlink" Target="https://chromewebstore.google.com/detail/piphpieodkchnlmjjefbbniabeikafha" TargetMode="External"/><Relationship Id="rId9320" Type="http://schemas.openxmlformats.org/officeDocument/2006/relationships/hyperlink" Target="https://chromewebstore.google.com/detail/leebpoidhlfgjiepgjfafdbnlpnpmfod" TargetMode="External"/><Relationship Id="rId9321" Type="http://schemas.openxmlformats.org/officeDocument/2006/relationships/hyperlink" Target="https://chromewebstore.google.com/detail/mcfagipaddidedeajmcppionkanblpie" TargetMode="External"/><Relationship Id="rId9322" Type="http://schemas.openxmlformats.org/officeDocument/2006/relationships/hyperlink" Target="https://chromewebstore.google.com/detail/nlkgkpmmdbibfgbognoefhlnhpbkdefo" TargetMode="External"/><Relationship Id="rId9327" Type="http://schemas.openxmlformats.org/officeDocument/2006/relationships/hyperlink" Target="https://chromewebstore.google.com/detail/cebflmlebmjjbdclelkjbcmepkejmcnp" TargetMode="External"/><Relationship Id="rId9328" Type="http://schemas.openxmlformats.org/officeDocument/2006/relationships/hyperlink" Target="https://chromewebstore.google.com/detail/cmgdgmohnilgoblgjmnklajoedgpenan" TargetMode="External"/><Relationship Id="rId9329" Type="http://schemas.openxmlformats.org/officeDocument/2006/relationships/hyperlink" Target="https://chromewebstore.google.com/detail/dmfhnejhgijefokeolmpgielghdplame" TargetMode="External"/><Relationship Id="rId9323" Type="http://schemas.openxmlformats.org/officeDocument/2006/relationships/hyperlink" Target="https://chromewebstore.google.com/detail/pogmhkgpgojoolbdonmccgnnmfopelka" TargetMode="External"/><Relationship Id="rId9324" Type="http://schemas.openxmlformats.org/officeDocument/2006/relationships/hyperlink" Target="https://chromewebstore.google.com/detail/akaefbhdlppmfdecoakjogglbjgacdhm" TargetMode="External"/><Relationship Id="rId9325" Type="http://schemas.openxmlformats.org/officeDocument/2006/relationships/hyperlink" Target="https://chromewebstore.google.com/detail/apcmgifpdnhpakoggmocekhmihigllcc" TargetMode="External"/><Relationship Id="rId9326" Type="http://schemas.openxmlformats.org/officeDocument/2006/relationships/hyperlink" Target="https://chromewebstore.google.com/detail/bnnggflmajmfkpdnaagpjmnaaagbpjpd" TargetMode="External"/><Relationship Id="rId8020" Type="http://schemas.openxmlformats.org/officeDocument/2006/relationships/hyperlink" Target="https://chromewebstore.google.com/detail/kpjegcemlcajkehigehjegohoplbfmpm" TargetMode="External"/><Relationship Id="rId9352" Type="http://schemas.openxmlformats.org/officeDocument/2006/relationships/hyperlink" Target="https://chromewebstore.google.com/detail/kbhafnckenhchoejjiebccaehcnphgja" TargetMode="External"/><Relationship Id="rId9353" Type="http://schemas.openxmlformats.org/officeDocument/2006/relationships/hyperlink" Target="https://chromewebstore.google.com/detail/oehcmjobdahgnbfpbpaeboddkhkfkddi" TargetMode="External"/><Relationship Id="rId9354" Type="http://schemas.openxmlformats.org/officeDocument/2006/relationships/hyperlink" Target="https://chromewebstore.google.com/detail/phkflnpejpgehjgficbbikeclfcageic" TargetMode="External"/><Relationship Id="rId9355" Type="http://schemas.openxmlformats.org/officeDocument/2006/relationships/hyperlink" Target="https://chromewebstore.google.com/detail/djlpaeoknhjfjpedkniaphkhmnhmcgal" TargetMode="External"/><Relationship Id="rId8024" Type="http://schemas.openxmlformats.org/officeDocument/2006/relationships/hyperlink" Target="https://chromewebstore.google.com/detail/jlbeloojpkfehgnmfgneodpbhepgojkf" TargetMode="External"/><Relationship Id="rId8023" Type="http://schemas.openxmlformats.org/officeDocument/2006/relationships/hyperlink" Target="https://chromewebstore.google.com/detail/gcmmghdaojpilacbjnhikophkjhemmbi" TargetMode="External"/><Relationship Id="rId8022" Type="http://schemas.openxmlformats.org/officeDocument/2006/relationships/hyperlink" Target="https://chromewebstore.google.com/detail/djfmjecpknbihjjjeijgmdfhcbflahgb" TargetMode="External"/><Relationship Id="rId9350" Type="http://schemas.openxmlformats.org/officeDocument/2006/relationships/hyperlink" Target="https://chromewebstore.google.com/detail/hogemhpfbepbbdpfgighdmjbfdpaeein" TargetMode="External"/><Relationship Id="rId8021" Type="http://schemas.openxmlformats.org/officeDocument/2006/relationships/hyperlink" Target="https://chromewebstore.google.com/detail/cieofhhbpplmgpdlebmoocmoecneaolc" TargetMode="External"/><Relationship Id="rId9351" Type="http://schemas.openxmlformats.org/officeDocument/2006/relationships/hyperlink" Target="https://chromewebstore.google.com/detail/icmnddchchkigidflpbndpmmjfmnlajl" TargetMode="External"/><Relationship Id="rId8028" Type="http://schemas.openxmlformats.org/officeDocument/2006/relationships/hyperlink" Target="https://chromewebstore.google.com/detail/fmbchninojmfdlimbakaohgodgjpihcc" TargetMode="External"/><Relationship Id="rId8027" Type="http://schemas.openxmlformats.org/officeDocument/2006/relationships/hyperlink" Target="https://chromewebstore.google.com/detail/cenpoaamfdlkmfhagmklphodcadlejnh" TargetMode="External"/><Relationship Id="rId8026" Type="http://schemas.openxmlformats.org/officeDocument/2006/relationships/hyperlink" Target="https://chromewebstore.google.com/detail/bppfgbihmmcmdiokmoafejejgahilmom" TargetMode="External"/><Relationship Id="rId8025" Type="http://schemas.openxmlformats.org/officeDocument/2006/relationships/hyperlink" Target="https://chromewebstore.google.com/detail/mofhphpaefijhjcidmcibbihfgdemooa" TargetMode="External"/><Relationship Id="rId9356" Type="http://schemas.openxmlformats.org/officeDocument/2006/relationships/hyperlink" Target="https://chromewebstore.google.com/detail/dlckklnbefkepkjemodnlbjokaimbedb" TargetMode="External"/><Relationship Id="rId9357" Type="http://schemas.openxmlformats.org/officeDocument/2006/relationships/hyperlink" Target="https://chromewebstore.google.com/detail/gcjfilpilmofnjgelhjkhjndgnhgchmd" TargetMode="External"/><Relationship Id="rId9358" Type="http://schemas.openxmlformats.org/officeDocument/2006/relationships/hyperlink" Target="https://chromewebstore.google.com/detail/khhoinnlielpfndhpjldbednoefaficf" TargetMode="External"/><Relationship Id="rId8029" Type="http://schemas.openxmlformats.org/officeDocument/2006/relationships/hyperlink" Target="https://chromewebstore.google.com/detail/kboeaaibapmekfoncghackichkpfhdoh" TargetMode="External"/><Relationship Id="rId9359" Type="http://schemas.openxmlformats.org/officeDocument/2006/relationships/hyperlink" Target="https://chromewebstore.google.com/detail/lhlnaecofifmbdeegoffjohnfknbdeip" TargetMode="External"/><Relationship Id="rId9341" Type="http://schemas.openxmlformats.org/officeDocument/2006/relationships/hyperlink" Target="https://chromewebstore.google.com/detail/idfmjdjoikafiimapdkidadjjlfppdma" TargetMode="External"/><Relationship Id="rId9342" Type="http://schemas.openxmlformats.org/officeDocument/2006/relationships/hyperlink" Target="https://chromewebstore.google.com/detail/okngmpienjhpihnacbkkabmepmfkaojc" TargetMode="External"/><Relationship Id="rId9343" Type="http://schemas.openxmlformats.org/officeDocument/2006/relationships/hyperlink" Target="https://chromewebstore.google.com/detail/ppnedjgfgifikffabnchhklloiiioklm" TargetMode="External"/><Relationship Id="rId9344" Type="http://schemas.openxmlformats.org/officeDocument/2006/relationships/hyperlink" Target="https://chromewebstore.google.com/detail/aealfaceeajkaclbgikjbmndohfadiok" TargetMode="External"/><Relationship Id="rId8013" Type="http://schemas.openxmlformats.org/officeDocument/2006/relationships/hyperlink" Target="https://chromewebstore.google.com/detail/mhppgjeghhhfdeemdkfcfkcnmopmcnkf" TargetMode="External"/><Relationship Id="rId8012" Type="http://schemas.openxmlformats.org/officeDocument/2006/relationships/hyperlink" Target="https://chromewebstore.google.com/detail/biaodlmdjlkhhllcdgabfipilkjjekhh" TargetMode="External"/><Relationship Id="rId8011" Type="http://schemas.openxmlformats.org/officeDocument/2006/relationships/hyperlink" Target="https://chromewebstore.google.com/detail/nblmokgbialjjgfhfofbgfcghhbkejac" TargetMode="External"/><Relationship Id="rId8010" Type="http://schemas.openxmlformats.org/officeDocument/2006/relationships/hyperlink" Target="https://chromewebstore.google.com/detail/ikfphehapjecfjflnjagoaapglaihehn" TargetMode="External"/><Relationship Id="rId9340" Type="http://schemas.openxmlformats.org/officeDocument/2006/relationships/hyperlink" Target="https://chromewebstore.google.com/detail/hojbfdlckjamkeacedcejbahgkgagedk" TargetMode="External"/><Relationship Id="rId8017" Type="http://schemas.openxmlformats.org/officeDocument/2006/relationships/hyperlink" Target="https://chromewebstore.google.com/detail/bpfibgbdeacmameoklggiabcekheipei" TargetMode="External"/><Relationship Id="rId9349" Type="http://schemas.openxmlformats.org/officeDocument/2006/relationships/hyperlink" Target="https://chromewebstore.google.com/detail/gikkckcfijodmnfgadbgcknkmcpkecej" TargetMode="External"/><Relationship Id="rId8016" Type="http://schemas.openxmlformats.org/officeDocument/2006/relationships/hyperlink" Target="https://chromewebstore.google.com/detail/bkddolgokpghlbhhkflbbhhjghjdojck" TargetMode="External"/><Relationship Id="rId8015" Type="http://schemas.openxmlformats.org/officeDocument/2006/relationships/hyperlink" Target="https://chromewebstore.google.com/detail/ngecnggngjbaedajbnmbmppmbflgnpmp" TargetMode="External"/><Relationship Id="rId8014" Type="http://schemas.openxmlformats.org/officeDocument/2006/relationships/hyperlink" Target="https://chromewebstore.google.com/detail/mjehedmoboadebjmbmobpedkdgenmlhd" TargetMode="External"/><Relationship Id="rId9345" Type="http://schemas.openxmlformats.org/officeDocument/2006/relationships/hyperlink" Target="https://chromewebstore.google.com/detail/ahcfljhlbjpnbcgpdolhdbnbogddlmnl" TargetMode="External"/><Relationship Id="rId9346" Type="http://schemas.openxmlformats.org/officeDocument/2006/relationships/hyperlink" Target="https://chromewebstore.google.com/detail/bliaamgfpeogldcelkmkegfofapaocfn" TargetMode="External"/><Relationship Id="rId8019" Type="http://schemas.openxmlformats.org/officeDocument/2006/relationships/hyperlink" Target="https://chromewebstore.google.com/detail/gkobgglgpfmapkcacekjjdncldlajlhn" TargetMode="External"/><Relationship Id="rId9347" Type="http://schemas.openxmlformats.org/officeDocument/2006/relationships/hyperlink" Target="https://chromewebstore.google.com/detail/dbcjaehchnikgdjjcehagpcikmlpjefh" TargetMode="External"/><Relationship Id="rId8018" Type="http://schemas.openxmlformats.org/officeDocument/2006/relationships/hyperlink" Target="https://chromewebstore.google.com/detail/eijldmakpkmhciipnjchmhimcjcpahde" TargetMode="External"/><Relationship Id="rId9348" Type="http://schemas.openxmlformats.org/officeDocument/2006/relationships/hyperlink" Target="https://chromewebstore.google.com/detail/eadnohgkalgkbmhiehaonnjekbdfeldi" TargetMode="External"/><Relationship Id="rId9310" Type="http://schemas.openxmlformats.org/officeDocument/2006/relationships/hyperlink" Target="https://chromewebstore.google.com/detail/ncnlhecpjoajcgfdgpgfnkanieakhlcb" TargetMode="External"/><Relationship Id="rId9311" Type="http://schemas.openxmlformats.org/officeDocument/2006/relationships/hyperlink" Target="https://chromewebstore.google.com/detail/pbbmhedhahomalkbcigoejgllbbopofi" TargetMode="External"/><Relationship Id="rId9316" Type="http://schemas.openxmlformats.org/officeDocument/2006/relationships/hyperlink" Target="https://chromewebstore.google.com/detail/hpijhaededegbedhfnamnajebmhbdcla" TargetMode="External"/><Relationship Id="rId9317" Type="http://schemas.openxmlformats.org/officeDocument/2006/relationships/hyperlink" Target="https://chromewebstore.google.com/detail/jigkbfpiflmklapapepfgefgdangijbo" TargetMode="External"/><Relationship Id="rId9318" Type="http://schemas.openxmlformats.org/officeDocument/2006/relationships/hyperlink" Target="https://chromewebstore.google.com/detail/jjoopnaocjjmddfhakebddhnaabiofhe" TargetMode="External"/><Relationship Id="rId9319" Type="http://schemas.openxmlformats.org/officeDocument/2006/relationships/hyperlink" Target="https://chromewebstore.google.com/detail/jngegpjnningopcmphbohclpgcfocipi" TargetMode="External"/><Relationship Id="rId9312" Type="http://schemas.openxmlformats.org/officeDocument/2006/relationships/hyperlink" Target="https://chromewebstore.google.com/detail/piadnaffpgcjalpkfmkpgeamkajfeedc" TargetMode="External"/><Relationship Id="rId9313" Type="http://schemas.openxmlformats.org/officeDocument/2006/relationships/hyperlink" Target="https://chromewebstore.google.com/detail/bieiemldejhpeepmahblpodiifacebnd" TargetMode="External"/><Relationship Id="rId9314" Type="http://schemas.openxmlformats.org/officeDocument/2006/relationships/hyperlink" Target="https://chromewebstore.google.com/detail/dickhbnfhenadgcniknhlcihnkhoecai" TargetMode="External"/><Relationship Id="rId9315" Type="http://schemas.openxmlformats.org/officeDocument/2006/relationships/hyperlink" Target="https://chromewebstore.google.com/detail/epafonmjgndegnblfbkfkdniaflmkioi" TargetMode="External"/><Relationship Id="rId9309" Type="http://schemas.openxmlformats.org/officeDocument/2006/relationships/hyperlink" Target="https://chromewebstore.google.com/detail/nbkmegijepdgaibmjgkbkckmcabkabhc" TargetMode="External"/><Relationship Id="rId9300" Type="http://schemas.openxmlformats.org/officeDocument/2006/relationships/hyperlink" Target="https://chromewebstore.google.com/detail/ldbheajkebdflbjdckojokbfdndkahnl" TargetMode="External"/><Relationship Id="rId9305" Type="http://schemas.openxmlformats.org/officeDocument/2006/relationships/hyperlink" Target="https://chromewebstore.google.com/detail/jibhdmmjibghbdidboicahioanhpofbn" TargetMode="External"/><Relationship Id="rId9306" Type="http://schemas.openxmlformats.org/officeDocument/2006/relationships/hyperlink" Target="https://chromewebstore.google.com/detail/jpciphlnnncgmpdmebmnffmiffncmeoj" TargetMode="External"/><Relationship Id="rId9307" Type="http://schemas.openxmlformats.org/officeDocument/2006/relationships/hyperlink" Target="https://chromewebstore.google.com/detail/lbkfekhldbhpmanjgbepioddcbpbcfbo" TargetMode="External"/><Relationship Id="rId9308" Type="http://schemas.openxmlformats.org/officeDocument/2006/relationships/hyperlink" Target="https://chromewebstore.google.com/detail/liinagkdcgnopnmeodlgmccpiaalbbpa" TargetMode="External"/><Relationship Id="rId9301" Type="http://schemas.openxmlformats.org/officeDocument/2006/relationships/hyperlink" Target="https://chromewebstore.google.com/detail/mkfebldlkodkmhpdlgigfneaajboegdl" TargetMode="External"/><Relationship Id="rId9302" Type="http://schemas.openxmlformats.org/officeDocument/2006/relationships/hyperlink" Target="https://chromewebstore.google.com/detail/oaieodbeeaaamklhaolaphcllihkafpa" TargetMode="External"/><Relationship Id="rId9303" Type="http://schemas.openxmlformats.org/officeDocument/2006/relationships/hyperlink" Target="https://chromewebstore.google.com/detail/hodhokibkpkmpfgpenceamiahfffabem" TargetMode="External"/><Relationship Id="rId9304" Type="http://schemas.openxmlformats.org/officeDocument/2006/relationships/hyperlink" Target="https://chromewebstore.google.com/detail/icflgpakhkkjeaefoedcbdbahmjopbdc" TargetMode="External"/><Relationship Id="rId5813" Type="http://schemas.openxmlformats.org/officeDocument/2006/relationships/hyperlink" Target="https://chromewebstore.google.com/detail/gpdnihamialibcjfmdnfbjcljnfbgkbc" TargetMode="External"/><Relationship Id="rId5814" Type="http://schemas.openxmlformats.org/officeDocument/2006/relationships/hyperlink" Target="https://chromewebstore.google.com/detail/gpdohcgeplmiakcbgdagnajcdjlogbnl" TargetMode="External"/><Relationship Id="rId5811" Type="http://schemas.openxmlformats.org/officeDocument/2006/relationships/hyperlink" Target="https://chromewebstore.google.com/detail/gopnboakogbabooghplgljcbmebphmon" TargetMode="External"/><Relationship Id="rId5812" Type="http://schemas.openxmlformats.org/officeDocument/2006/relationships/hyperlink" Target="https://chromewebstore.google.com/detail/gpbhhjnhdfmdjephhladopnjpelhmplc" TargetMode="External"/><Relationship Id="rId5817" Type="http://schemas.openxmlformats.org/officeDocument/2006/relationships/hyperlink" Target="https://chromewebstore.google.com/detail/gpidlbbcdlkdifeooghlabmmgamkamlm" TargetMode="External"/><Relationship Id="rId5818" Type="http://schemas.openxmlformats.org/officeDocument/2006/relationships/hyperlink" Target="https://chromewebstore.google.com/detail/gpjbfckicpmdjmhgcjoecomooejngkam" TargetMode="External"/><Relationship Id="rId5815" Type="http://schemas.openxmlformats.org/officeDocument/2006/relationships/hyperlink" Target="https://chromewebstore.google.com/detail/gpfdhanahponbcjklpigjocndbfdejnc" TargetMode="External"/><Relationship Id="rId5816" Type="http://schemas.openxmlformats.org/officeDocument/2006/relationships/hyperlink" Target="https://chromewebstore.google.com/detail/gpfoeagcgabbdibhiofcmeimcbkafndo" TargetMode="External"/><Relationship Id="rId5819" Type="http://schemas.openxmlformats.org/officeDocument/2006/relationships/hyperlink" Target="https://chromewebstore.google.com/detail/gpjdnkhbioemglbhdaaikcnkdcnpgiph" TargetMode="External"/><Relationship Id="rId8093" Type="http://schemas.openxmlformats.org/officeDocument/2006/relationships/hyperlink" Target="https://chromewebstore.google.com/detail/ggcfcaiiadodpdfnphnejkocgjejcbic" TargetMode="External"/><Relationship Id="rId8092" Type="http://schemas.openxmlformats.org/officeDocument/2006/relationships/hyperlink" Target="https://chromewebstore.google.com/detail/fnfpnjjgpfifiilkencadlekjebpmbph" TargetMode="External"/><Relationship Id="rId8091" Type="http://schemas.openxmlformats.org/officeDocument/2006/relationships/hyperlink" Target="https://chromewebstore.google.com/detail/bdefieggjaidlmdhcaheokahplifomoa" TargetMode="External"/><Relationship Id="rId8090" Type="http://schemas.openxmlformats.org/officeDocument/2006/relationships/hyperlink" Target="https://chromewebstore.google.com/detail/pkmbaacpdcnaaeeddokcpdahdokceppb" TargetMode="External"/><Relationship Id="rId8086" Type="http://schemas.openxmlformats.org/officeDocument/2006/relationships/hyperlink" Target="https://chromewebstore.google.com/detail/bgbodedmnofjkldbogikhhbggijiebgm" TargetMode="External"/><Relationship Id="rId8085" Type="http://schemas.openxmlformats.org/officeDocument/2006/relationships/hyperlink" Target="https://chromewebstore.google.com/detail/akhdojncgcgflecepkmdhbdgnacgjbhg" TargetMode="External"/><Relationship Id="rId8084" Type="http://schemas.openxmlformats.org/officeDocument/2006/relationships/hyperlink" Target="https://chromewebstore.google.com/detail/oijiikmgkljldpbpddpmhiblpgkciobn" TargetMode="External"/><Relationship Id="rId8083" Type="http://schemas.openxmlformats.org/officeDocument/2006/relationships/hyperlink" Target="https://chromewebstore.google.com/detail/lihkjpmkolenlpmecejhbkdmcfhbaogf" TargetMode="External"/><Relationship Id="rId8089" Type="http://schemas.openxmlformats.org/officeDocument/2006/relationships/hyperlink" Target="https://chromewebstore.google.com/detail/ipbndnchcohcdddecocielghdlkfhjgb" TargetMode="External"/><Relationship Id="rId8088" Type="http://schemas.openxmlformats.org/officeDocument/2006/relationships/hyperlink" Target="https://chromewebstore.google.com/detail/fpjhoibmllbklaapilcdhnbdicilaeed" TargetMode="External"/><Relationship Id="rId8087" Type="http://schemas.openxmlformats.org/officeDocument/2006/relationships/hyperlink" Target="https://chromewebstore.google.com/detail/dopkjjecbigomblmonkbbadicpbehdgh" TargetMode="External"/><Relationship Id="rId5810" Type="http://schemas.openxmlformats.org/officeDocument/2006/relationships/hyperlink" Target="https://chromewebstore.google.com/detail/gopfokpflndblbooehdbffnnjmnegeph" TargetMode="External"/><Relationship Id="rId5802" Type="http://schemas.openxmlformats.org/officeDocument/2006/relationships/hyperlink" Target="https://chromewebstore.google.com/detail/gobkmjhllbkjeakbgmiodimehipofpmb" TargetMode="External"/><Relationship Id="rId5803" Type="http://schemas.openxmlformats.org/officeDocument/2006/relationships/hyperlink" Target="https://chromewebstore.google.com/detail/gocgbnckcebedcielkcikcjbmgejaknb" TargetMode="External"/><Relationship Id="rId5800" Type="http://schemas.openxmlformats.org/officeDocument/2006/relationships/hyperlink" Target="https://chromewebstore.google.com/detail/gnpbpbbdcikepgimaaflpdobempiegcp" TargetMode="External"/><Relationship Id="rId5801" Type="http://schemas.openxmlformats.org/officeDocument/2006/relationships/hyperlink" Target="https://chromewebstore.google.com/detail/gnpnpeephndoppbobdbpigepfdklacbp" TargetMode="External"/><Relationship Id="rId5806" Type="http://schemas.openxmlformats.org/officeDocument/2006/relationships/hyperlink" Target="https://chromewebstore.google.com/detail/gohnaeiejimgpgoaoehhocepoeafppeo" TargetMode="External"/><Relationship Id="rId5807" Type="http://schemas.openxmlformats.org/officeDocument/2006/relationships/hyperlink" Target="https://chromewebstore.google.com/detail/goiemopobkpclgiidbbbfeiibggbnnin" TargetMode="External"/><Relationship Id="rId5804" Type="http://schemas.openxmlformats.org/officeDocument/2006/relationships/hyperlink" Target="https://chromewebstore.google.com/detail/goelkfmlebeihlnanaindammeonplnhi" TargetMode="External"/><Relationship Id="rId5805" Type="http://schemas.openxmlformats.org/officeDocument/2006/relationships/hyperlink" Target="https://chromewebstore.google.com/detail/gohnadkcefpdhblajddfnhapimpdjkje" TargetMode="External"/><Relationship Id="rId5808" Type="http://schemas.openxmlformats.org/officeDocument/2006/relationships/hyperlink" Target="https://chromewebstore.google.com/detail/golladjmjodbefcoombodcdhimkmgemd" TargetMode="External"/><Relationship Id="rId5809" Type="http://schemas.openxmlformats.org/officeDocument/2006/relationships/hyperlink" Target="https://chromewebstore.google.com/detail/goofcmgbmabnnnkfmjcchocjdfpgjmlk" TargetMode="External"/><Relationship Id="rId8082" Type="http://schemas.openxmlformats.org/officeDocument/2006/relationships/hyperlink" Target="https://chromewebstore.google.com/detail/kofakgibcdhniefjoapcgamdhjjaaidf" TargetMode="External"/><Relationship Id="rId8081" Type="http://schemas.openxmlformats.org/officeDocument/2006/relationships/hyperlink" Target="https://chromewebstore.google.com/detail/hoglpfllfgiennflpdodjpaaecpfodpe" TargetMode="External"/><Relationship Id="rId8080" Type="http://schemas.openxmlformats.org/officeDocument/2006/relationships/hyperlink" Target="https://chromewebstore.google.com/detail/ehklcgfhalhkgjmjbpbdaligajmpofli" TargetMode="External"/><Relationship Id="rId8075" Type="http://schemas.openxmlformats.org/officeDocument/2006/relationships/hyperlink" Target="https://chromewebstore.google.com/detail/nnimbegadieahkenpkmdlmadcbkbehao" TargetMode="External"/><Relationship Id="rId8074" Type="http://schemas.openxmlformats.org/officeDocument/2006/relationships/hyperlink" Target="https://chromewebstore.google.com/detail/nfbfgaldeonhcepgjpaboikblamoodea" TargetMode="External"/><Relationship Id="rId8073" Type="http://schemas.openxmlformats.org/officeDocument/2006/relationships/hyperlink" Target="https://chromewebstore.google.com/detail/ilbjnijjaidemeofigoeapbnnplenmaj" TargetMode="External"/><Relationship Id="rId8072" Type="http://schemas.openxmlformats.org/officeDocument/2006/relationships/hyperlink" Target="https://chromewebstore.google.com/detail/fkccjmkhdcnogpgaojnglaheohcjodno" TargetMode="External"/><Relationship Id="rId8079" Type="http://schemas.openxmlformats.org/officeDocument/2006/relationships/hyperlink" Target="https://chromewebstore.google.com/detail/afoceahbjknneljdddlkhmcjmblokede" TargetMode="External"/><Relationship Id="rId8078" Type="http://schemas.openxmlformats.org/officeDocument/2006/relationships/hyperlink" Target="https://chromewebstore.google.com/detail/jnnmldnjikpokpfohpbcieipcmklhebb" TargetMode="External"/><Relationship Id="rId8077" Type="http://schemas.openxmlformats.org/officeDocument/2006/relationships/hyperlink" Target="https://chromewebstore.google.com/detail/dipbdmjcnihnpjpignoilhljekeimlkp" TargetMode="External"/><Relationship Id="rId8076" Type="http://schemas.openxmlformats.org/officeDocument/2006/relationships/hyperlink" Target="https://chromewebstore.google.com/detail/difblhehhojpopenmmmdlmfcjdbghkno" TargetMode="External"/><Relationship Id="rId4503" Type="http://schemas.openxmlformats.org/officeDocument/2006/relationships/hyperlink" Target="https://chromewebstore.google.com/detail/kcoiifklhfpfmpllamlgpbjbogafgini" TargetMode="External"/><Relationship Id="rId5835" Type="http://schemas.openxmlformats.org/officeDocument/2006/relationships/hyperlink" Target="https://chromewebstore.google.com/detail/hbhmnegpijmdbjpacncnjegdkieeffag" TargetMode="External"/><Relationship Id="rId4502" Type="http://schemas.openxmlformats.org/officeDocument/2006/relationships/hyperlink" Target="https://chromewebstore.google.com/detail/kclmpmjofefcpjlommdpokoccidafnbi" TargetMode="External"/><Relationship Id="rId5836" Type="http://schemas.openxmlformats.org/officeDocument/2006/relationships/hyperlink" Target="https://chromewebstore.google.com/detail/hbinnmjinjjgoknbmgeoomeamnbbokki" TargetMode="External"/><Relationship Id="rId4505" Type="http://schemas.openxmlformats.org/officeDocument/2006/relationships/hyperlink" Target="https://chromewebstore.google.com/detail/kdelmhecjnbelecadmekaelngjhmadoi" TargetMode="External"/><Relationship Id="rId5833" Type="http://schemas.openxmlformats.org/officeDocument/2006/relationships/hyperlink" Target="https://chromewebstore.google.com/detail/hbelphkdkebaclidgfhjaobpljdoagpd" TargetMode="External"/><Relationship Id="rId4504" Type="http://schemas.openxmlformats.org/officeDocument/2006/relationships/hyperlink" Target="https://chromewebstore.google.com/detail/kddidpldlbihphhcbiicmnldjhocmmpl" TargetMode="External"/><Relationship Id="rId5834" Type="http://schemas.openxmlformats.org/officeDocument/2006/relationships/hyperlink" Target="https://chromewebstore.google.com/detail/hbhkmnepjaoiamapfdbhpkjendeeegbb" TargetMode="External"/><Relationship Id="rId4507" Type="http://schemas.openxmlformats.org/officeDocument/2006/relationships/hyperlink" Target="https://chromewebstore.google.com/detail/kdjabmieeogkccoiopmaaapnilmonjfj" TargetMode="External"/><Relationship Id="rId5839" Type="http://schemas.openxmlformats.org/officeDocument/2006/relationships/hyperlink" Target="https://chromewebstore.google.com/detail/hbnmdgcdginbiabpiliphgbepbopajla" TargetMode="External"/><Relationship Id="rId4506" Type="http://schemas.openxmlformats.org/officeDocument/2006/relationships/hyperlink" Target="https://chromewebstore.google.com/detail/kdfhnpognnnngdhdkdhkkmdgfklljnkg" TargetMode="External"/><Relationship Id="rId4509" Type="http://schemas.openxmlformats.org/officeDocument/2006/relationships/hyperlink" Target="https://chromewebstore.google.com/detail/keddpcnedcpoeephcakklnpbihhccdpn" TargetMode="External"/><Relationship Id="rId5837" Type="http://schemas.openxmlformats.org/officeDocument/2006/relationships/hyperlink" Target="https://chromewebstore.google.com/detail/hbjipahjdnkchnhlmhlbakoooiilhkhh" TargetMode="External"/><Relationship Id="rId4508" Type="http://schemas.openxmlformats.org/officeDocument/2006/relationships/hyperlink" Target="https://chromewebstore.google.com/detail/keckkajhmnildpdamoepjjnkbgkcfhpl" TargetMode="External"/><Relationship Id="rId5838" Type="http://schemas.openxmlformats.org/officeDocument/2006/relationships/hyperlink" Target="https://chromewebstore.google.com/detail/hbkboegfdkllhmokangamapokbnnhfbl" TargetMode="External"/><Relationship Id="rId5831" Type="http://schemas.openxmlformats.org/officeDocument/2006/relationships/hyperlink" Target="https://chromewebstore.google.com/detail/hbcdmmaobjagbplobejomeefggahclkf" TargetMode="External"/><Relationship Id="rId5832" Type="http://schemas.openxmlformats.org/officeDocument/2006/relationships/hyperlink" Target="https://chromewebstore.google.com/detail/hbdplfijcjnbgeifjbhdgdpaniodhcbf" TargetMode="External"/><Relationship Id="rId4501" Type="http://schemas.openxmlformats.org/officeDocument/2006/relationships/hyperlink" Target="https://chromewebstore.google.com/detail/kcigpjcafekokoclamfendmaapcljead" TargetMode="External"/><Relationship Id="rId4500" Type="http://schemas.openxmlformats.org/officeDocument/2006/relationships/hyperlink" Target="https://chromewebstore.google.com/detail/kcebcpmpalcalchafgbhehjblldcakjb" TargetMode="External"/><Relationship Id="rId5830" Type="http://schemas.openxmlformats.org/officeDocument/2006/relationships/hyperlink" Target="https://chromewebstore.google.com/detail/hbajjpcdbninabigakflkhiogmmjaakm" TargetMode="External"/><Relationship Id="rId5824" Type="http://schemas.openxmlformats.org/officeDocument/2006/relationships/hyperlink" Target="https://chromewebstore.google.com/detail/haahcjpkljcjfjldgcllmkpojfbgjfaf" TargetMode="External"/><Relationship Id="rId5825" Type="http://schemas.openxmlformats.org/officeDocument/2006/relationships/hyperlink" Target="https://chromewebstore.google.com/detail/hackndbjgkehhjinjjoldifbhnfddklh" TargetMode="External"/><Relationship Id="rId5822" Type="http://schemas.openxmlformats.org/officeDocument/2006/relationships/hyperlink" Target="https://chromewebstore.google.com/detail/gpoanfafbmmhifpmbefgllakooeokdgl" TargetMode="External"/><Relationship Id="rId5823" Type="http://schemas.openxmlformats.org/officeDocument/2006/relationships/hyperlink" Target="https://chromewebstore.google.com/detail/gpoflfbdghibihmhhhlkebbeppilmoih" TargetMode="External"/><Relationship Id="rId5828" Type="http://schemas.openxmlformats.org/officeDocument/2006/relationships/hyperlink" Target="https://chromewebstore.google.com/detail/haedjkfbplpnlmlohhjhnhplcnljbnel" TargetMode="External"/><Relationship Id="rId5829" Type="http://schemas.openxmlformats.org/officeDocument/2006/relationships/hyperlink" Target="https://chromewebstore.google.com/detail/haflmpndeggigeeccecfbkcdaobjabib" TargetMode="External"/><Relationship Id="rId5826" Type="http://schemas.openxmlformats.org/officeDocument/2006/relationships/hyperlink" Target="https://chromewebstore.google.com/detail/hadbecmlcefimjheionmdhnmdjclpbnj" TargetMode="External"/><Relationship Id="rId5827" Type="http://schemas.openxmlformats.org/officeDocument/2006/relationships/hyperlink" Target="https://chromewebstore.google.com/detail/haebljcbppijaghbfigaiegljbiicllh" TargetMode="External"/><Relationship Id="rId8097" Type="http://schemas.openxmlformats.org/officeDocument/2006/relationships/hyperlink" Target="https://chromewebstore.google.com/detail/ehpdicggenhgapiikfpnmppdonadlnmp" TargetMode="External"/><Relationship Id="rId8096" Type="http://schemas.openxmlformats.org/officeDocument/2006/relationships/hyperlink" Target="https://chromewebstore.google.com/detail/opejkjehcoahdkeemeamadblglgabknf" TargetMode="External"/><Relationship Id="rId8095" Type="http://schemas.openxmlformats.org/officeDocument/2006/relationships/hyperlink" Target="https://chromewebstore.google.com/detail/lbmkcdphcmlokbdpgnjdpghmbednmhch" TargetMode="External"/><Relationship Id="rId8094" Type="http://schemas.openxmlformats.org/officeDocument/2006/relationships/hyperlink" Target="https://chromewebstore.google.com/detail/gnflplbfnfekejfoalgbcikilalbloec" TargetMode="External"/><Relationship Id="rId8099" Type="http://schemas.openxmlformats.org/officeDocument/2006/relationships/hyperlink" Target="https://chromewebstore.google.com/detail/mnkgahiafhiphkelfiignncoifadhpnd" TargetMode="External"/><Relationship Id="rId8098" Type="http://schemas.openxmlformats.org/officeDocument/2006/relationships/hyperlink" Target="https://chromewebstore.google.com/detail/ibggmlahcckfbcghmbnbdmkmolmaejfc" TargetMode="External"/><Relationship Id="rId5820" Type="http://schemas.openxmlformats.org/officeDocument/2006/relationships/hyperlink" Target="https://chromewebstore.google.com/detail/gplfbclbkplhmjblennehlnjfnngncgc" TargetMode="External"/><Relationship Id="rId5821" Type="http://schemas.openxmlformats.org/officeDocument/2006/relationships/hyperlink" Target="https://chromewebstore.google.com/detail/gpljbknhblkhonhioehklflggjhooopd" TargetMode="External"/><Relationship Id="rId9380" Type="http://schemas.openxmlformats.org/officeDocument/2006/relationships/hyperlink" Target="https://chromewebstore.google.com/detail/chbdmdapmeflnkgibpgbdcblndooljff" TargetMode="External"/><Relationship Id="rId8042" Type="http://schemas.openxmlformats.org/officeDocument/2006/relationships/hyperlink" Target="https://chromewebstore.google.com/detail/mkmdicbdlgeglfpnkbjlhooegdmkbgmn" TargetMode="External"/><Relationship Id="rId9374" Type="http://schemas.openxmlformats.org/officeDocument/2006/relationships/hyperlink" Target="https://chromewebstore.google.com/detail/ngmklkcbogmcobhiiglefpljdopgfbpn" TargetMode="External"/><Relationship Id="rId8041" Type="http://schemas.openxmlformats.org/officeDocument/2006/relationships/hyperlink" Target="https://chromewebstore.google.com/detail/hbambmdimfhkndanjdhfopdodgkfclhb" TargetMode="External"/><Relationship Id="rId9375" Type="http://schemas.openxmlformats.org/officeDocument/2006/relationships/hyperlink" Target="https://chromewebstore.google.com/detail/odilhboffanddepbhjlehcbdpmoddinj" TargetMode="External"/><Relationship Id="rId8040" Type="http://schemas.openxmlformats.org/officeDocument/2006/relationships/hyperlink" Target="https://chromewebstore.google.com/detail/baemnbkeofdleidjnpjfoleobieckdlk" TargetMode="External"/><Relationship Id="rId9376" Type="http://schemas.openxmlformats.org/officeDocument/2006/relationships/hyperlink" Target="https://chromewebstore.google.com/detail/pjkamnkpdfckpgjdlpebdnfgiecgfglj" TargetMode="External"/><Relationship Id="rId9377" Type="http://schemas.openxmlformats.org/officeDocument/2006/relationships/hyperlink" Target="https://chromewebstore.google.com/detail/plnmldbfapelebnbbpmeofhaokbnhfah" TargetMode="External"/><Relationship Id="rId8046" Type="http://schemas.openxmlformats.org/officeDocument/2006/relationships/hyperlink" Target="https://chromewebstore.google.com/detail/fcgkcfeognaadiinfndapngidgpnkjnf" TargetMode="External"/><Relationship Id="rId9370" Type="http://schemas.openxmlformats.org/officeDocument/2006/relationships/hyperlink" Target="https://chromewebstore.google.com/detail/hiflhkmicfagennabmnfcnnlpkmidfjj" TargetMode="External"/><Relationship Id="rId8045" Type="http://schemas.openxmlformats.org/officeDocument/2006/relationships/hyperlink" Target="https://chromewebstore.google.com/detail/egpjbhchaakkfmhkmclejpeeigahhhlj" TargetMode="External"/><Relationship Id="rId9371" Type="http://schemas.openxmlformats.org/officeDocument/2006/relationships/hyperlink" Target="https://chromewebstore.google.com/detail/hmpmgenfomdmebiokconplpaelkeejao" TargetMode="External"/><Relationship Id="rId8044" Type="http://schemas.openxmlformats.org/officeDocument/2006/relationships/hyperlink" Target="https://chromewebstore.google.com/detail/dnonpndeibhdojmapddbfjkldgidolml" TargetMode="External"/><Relationship Id="rId9372" Type="http://schemas.openxmlformats.org/officeDocument/2006/relationships/hyperlink" Target="https://chromewebstore.google.com/detail/mpoafkdidocmaiheimphkhjoocjcbgei" TargetMode="External"/><Relationship Id="rId8043" Type="http://schemas.openxmlformats.org/officeDocument/2006/relationships/hyperlink" Target="https://chromewebstore.google.com/detail/bngjiednbfbcmmdnhbfabgkkjgjhlbac" TargetMode="External"/><Relationship Id="rId9373" Type="http://schemas.openxmlformats.org/officeDocument/2006/relationships/hyperlink" Target="https://chromewebstore.google.com/detail/neabcchaoiabjmjmnaljajpjoinhpkln" TargetMode="External"/><Relationship Id="rId8049" Type="http://schemas.openxmlformats.org/officeDocument/2006/relationships/hyperlink" Target="https://chromewebstore.google.com/detail/iojlafmhhbgcoojblnfhioadhinpckgm" TargetMode="External"/><Relationship Id="rId8048" Type="http://schemas.openxmlformats.org/officeDocument/2006/relationships/hyperlink" Target="https://chromewebstore.google.com/detail/heecooojlcebffhjpmipceockeamgohd" TargetMode="External"/><Relationship Id="rId8047" Type="http://schemas.openxmlformats.org/officeDocument/2006/relationships/hyperlink" Target="https://chromewebstore.google.com/detail/hcmgmocihecidijbefmiecboedfegcgk" TargetMode="External"/><Relationship Id="rId9378" Type="http://schemas.openxmlformats.org/officeDocument/2006/relationships/hyperlink" Target="https://chromewebstore.google.com/detail/dikpenocomjknagfbfkonjfapmlkiedj" TargetMode="External"/><Relationship Id="rId9379" Type="http://schemas.openxmlformats.org/officeDocument/2006/relationships/hyperlink" Target="https://chromewebstore.google.com/detail/ekhcclfdfbgbcheceibcdfpofbjdbein" TargetMode="External"/><Relationship Id="rId8031" Type="http://schemas.openxmlformats.org/officeDocument/2006/relationships/hyperlink" Target="https://chromewebstore.google.com/detail/cnccnjdknbhcdcenjmelmlkpklbhlieg" TargetMode="External"/><Relationship Id="rId9363" Type="http://schemas.openxmlformats.org/officeDocument/2006/relationships/hyperlink" Target="https://chromewebstore.google.com/detail/egkebhhogppokoapdkjmbddeagahoifp" TargetMode="External"/><Relationship Id="rId8030" Type="http://schemas.openxmlformats.org/officeDocument/2006/relationships/hyperlink" Target="https://chromewebstore.google.com/detail/picalhhlpcjhonibabfigihelpmpadel" TargetMode="External"/><Relationship Id="rId9364" Type="http://schemas.openxmlformats.org/officeDocument/2006/relationships/hyperlink" Target="https://chromewebstore.google.com/detail/ggbbeigihjklpoafbfgmkbjmhifplcce" TargetMode="External"/><Relationship Id="rId9365" Type="http://schemas.openxmlformats.org/officeDocument/2006/relationships/hyperlink" Target="https://chromewebstore.google.com/detail/gpbababaddhddlmfhikljljamaikfghf" TargetMode="External"/><Relationship Id="rId9366" Type="http://schemas.openxmlformats.org/officeDocument/2006/relationships/hyperlink" Target="https://chromewebstore.google.com/detail/pjbeoppcjalfpobcfcfcdndbjdoeikkl" TargetMode="External"/><Relationship Id="rId8035" Type="http://schemas.openxmlformats.org/officeDocument/2006/relationships/hyperlink" Target="https://chromewebstore.google.com/detail/nfhpbeacfmdhhlhmolfcdlknnmalnled" TargetMode="External"/><Relationship Id="rId8034" Type="http://schemas.openxmlformats.org/officeDocument/2006/relationships/hyperlink" Target="https://chromewebstore.google.com/detail/mlacoffeehmpkkdajjgmhgcpfkonlnjn" TargetMode="External"/><Relationship Id="rId9360" Type="http://schemas.openxmlformats.org/officeDocument/2006/relationships/hyperlink" Target="https://chromewebstore.google.com/detail/mlcoidohpcjfjnknjjggenjccckcgmpn" TargetMode="External"/><Relationship Id="rId8033" Type="http://schemas.openxmlformats.org/officeDocument/2006/relationships/hyperlink" Target="https://chromewebstore.google.com/detail/mhmpcpfhhfdoeiejndcmogmnlomkfdkk" TargetMode="External"/><Relationship Id="rId9361" Type="http://schemas.openxmlformats.org/officeDocument/2006/relationships/hyperlink" Target="https://chromewebstore.google.com/detail/plpmkifleemfflmlnogdncmhlljcpdab" TargetMode="External"/><Relationship Id="rId8032" Type="http://schemas.openxmlformats.org/officeDocument/2006/relationships/hyperlink" Target="https://chromewebstore.google.com/detail/gchkodmdjkonohhibomiolgndijceoij" TargetMode="External"/><Relationship Id="rId9362" Type="http://schemas.openxmlformats.org/officeDocument/2006/relationships/hyperlink" Target="https://chromewebstore.google.com/detail/mhenhjfdnnhdfejcbhmpebenecffeolh" TargetMode="External"/><Relationship Id="rId8039" Type="http://schemas.openxmlformats.org/officeDocument/2006/relationships/hyperlink" Target="https://chromewebstore.google.com/detail/naeclkbhbhakmocfailmfffhdooeadpj" TargetMode="External"/><Relationship Id="rId8038" Type="http://schemas.openxmlformats.org/officeDocument/2006/relationships/hyperlink" Target="https://chromewebstore.google.com/detail/hpocmjkijiifppldckmofghmhjmmmcdk" TargetMode="External"/><Relationship Id="rId8037" Type="http://schemas.openxmlformats.org/officeDocument/2006/relationships/hyperlink" Target="https://chromewebstore.google.com/detail/adafilbceehejjehoccladhbkgbjmica" TargetMode="External"/><Relationship Id="rId8036" Type="http://schemas.openxmlformats.org/officeDocument/2006/relationships/hyperlink" Target="https://chromewebstore.google.com/detail/dkahhckcjhglekflgjmmmmmkpffnhnka" TargetMode="External"/><Relationship Id="rId9367" Type="http://schemas.openxmlformats.org/officeDocument/2006/relationships/hyperlink" Target="https://chromewebstore.google.com/detail/ckbmhabdbjkjcboaalpejnemefkjlpin" TargetMode="External"/><Relationship Id="rId9368" Type="http://schemas.openxmlformats.org/officeDocument/2006/relationships/hyperlink" Target="https://chromewebstore.google.com/detail/dnlbjgbbmhedhlijenejbbcnhndkhdnn" TargetMode="External"/><Relationship Id="rId9369" Type="http://schemas.openxmlformats.org/officeDocument/2006/relationships/hyperlink" Target="https://chromewebstore.google.com/detail/fgeiagiofeenlnogiegapddllnkcbgao" TargetMode="External"/><Relationship Id="rId8071" Type="http://schemas.openxmlformats.org/officeDocument/2006/relationships/hyperlink" Target="https://chromewebstore.google.com/detail/fdngjphcahnpgejdhledgcfggjokekgl" TargetMode="External"/><Relationship Id="rId8070" Type="http://schemas.openxmlformats.org/officeDocument/2006/relationships/hyperlink" Target="https://chromewebstore.google.com/detail/dnggapdaebddmmnpegfopeocoecimcaa" TargetMode="External"/><Relationship Id="rId8064" Type="http://schemas.openxmlformats.org/officeDocument/2006/relationships/hyperlink" Target="https://chromewebstore.google.com/detail/ngplfhblfejgjnaapcajgiccnapfhchi" TargetMode="External"/><Relationship Id="rId9396" Type="http://schemas.openxmlformats.org/officeDocument/2006/relationships/hyperlink" Target="https://chromewebstore.google.com/detail/bdfekokoflbjbmdbpidnaechcechkbbg" TargetMode="External"/><Relationship Id="rId8063" Type="http://schemas.openxmlformats.org/officeDocument/2006/relationships/hyperlink" Target="https://chromewebstore.google.com/detail/mlekifkggmodhopdfdpiofjnipnonmfn" TargetMode="External"/><Relationship Id="rId9397" Type="http://schemas.openxmlformats.org/officeDocument/2006/relationships/hyperlink" Target="https://chromewebstore.google.com/detail/bpammiodibnkhldphbaflnkidmpeaeon" TargetMode="External"/><Relationship Id="rId8062" Type="http://schemas.openxmlformats.org/officeDocument/2006/relationships/hyperlink" Target="https://chromewebstore.google.com/detail/mjnnnhalapjjgmplloheopnbkdgjpdfk" TargetMode="External"/><Relationship Id="rId9398" Type="http://schemas.openxmlformats.org/officeDocument/2006/relationships/hyperlink" Target="https://chromewebstore.google.com/detail/fjfpahedjlkhedobeiimiaekhiijbagn" TargetMode="External"/><Relationship Id="rId8061" Type="http://schemas.openxmlformats.org/officeDocument/2006/relationships/hyperlink" Target="https://chromewebstore.google.com/detail/cjifmfjjelmmfknfijnfdciabkblgame" TargetMode="External"/><Relationship Id="rId9399" Type="http://schemas.openxmlformats.org/officeDocument/2006/relationships/hyperlink" Target="https://chromewebstore.google.com/detail/gfoaliiacaaehpnoiocilhnhbnndmiok" TargetMode="External"/><Relationship Id="rId8068" Type="http://schemas.openxmlformats.org/officeDocument/2006/relationships/hyperlink" Target="https://chromewebstore.google.com/detail/albefehmnhpifecdlhjojlenkjpnnamk" TargetMode="External"/><Relationship Id="rId9392" Type="http://schemas.openxmlformats.org/officeDocument/2006/relationships/hyperlink" Target="https://chromewebstore.google.com/detail/ecojgafcjpiocnlfdbcohaegcdohobpj" TargetMode="External"/><Relationship Id="rId8067" Type="http://schemas.openxmlformats.org/officeDocument/2006/relationships/hyperlink" Target="https://chromewebstore.google.com/detail/ofcakejhikahjhchhgohnmckooafbjam" TargetMode="External"/><Relationship Id="rId9393" Type="http://schemas.openxmlformats.org/officeDocument/2006/relationships/hyperlink" Target="https://chromewebstore.google.com/detail/enjjhajnmggdgofagbokhmifgnaophmh" TargetMode="External"/><Relationship Id="rId8066" Type="http://schemas.openxmlformats.org/officeDocument/2006/relationships/hyperlink" Target="https://chromewebstore.google.com/detail/cbkfbpldkdcackefdcehbinedcmefbon" TargetMode="External"/><Relationship Id="rId9394" Type="http://schemas.openxmlformats.org/officeDocument/2006/relationships/hyperlink" Target="https://chromewebstore.google.com/detail/fdffoepgfafohjnlmdeaekigejifenpd" TargetMode="External"/><Relationship Id="rId8065" Type="http://schemas.openxmlformats.org/officeDocument/2006/relationships/hyperlink" Target="https://chromewebstore.google.com/detail/nlepkjdljbdlgblopipfdcebcclcjngc" TargetMode="External"/><Relationship Id="rId9395" Type="http://schemas.openxmlformats.org/officeDocument/2006/relationships/hyperlink" Target="https://chromewebstore.google.com/detail/igkbdohlalhjpmoephkoabpdecdagdnc" TargetMode="External"/><Relationship Id="rId8069" Type="http://schemas.openxmlformats.org/officeDocument/2006/relationships/hyperlink" Target="https://chromewebstore.google.com/detail/apdodcbnnfkiohphgedncobeejeccjbk" TargetMode="External"/><Relationship Id="rId9390" Type="http://schemas.openxmlformats.org/officeDocument/2006/relationships/hyperlink" Target="https://chromewebstore.google.com/detail/olnjnghiiigbjdjfnngpmjaghcgpmjkl" TargetMode="External"/><Relationship Id="rId9391" Type="http://schemas.openxmlformats.org/officeDocument/2006/relationships/hyperlink" Target="https://chromewebstore.google.com/detail/anlebgknmofbanplmaphgacnjddijdjj" TargetMode="External"/><Relationship Id="rId8060" Type="http://schemas.openxmlformats.org/officeDocument/2006/relationships/hyperlink" Target="https://chromewebstore.google.com/detail/ogaaeaoebonhcfbcjeommaodhmilomii" TargetMode="External"/><Relationship Id="rId8053" Type="http://schemas.openxmlformats.org/officeDocument/2006/relationships/hyperlink" Target="https://chromewebstore.google.com/detail/eompkohifnhnjdchhaieegileekehjhn" TargetMode="External"/><Relationship Id="rId9385" Type="http://schemas.openxmlformats.org/officeDocument/2006/relationships/hyperlink" Target="https://chromewebstore.google.com/detail/ijlipmjclpchckgkoieeihjmjenjehjk" TargetMode="External"/><Relationship Id="rId8052" Type="http://schemas.openxmlformats.org/officeDocument/2006/relationships/hyperlink" Target="https://chromewebstore.google.com/detail/ajfhmidimnkpbhnkcckllicmhhdipmoo" TargetMode="External"/><Relationship Id="rId9386" Type="http://schemas.openxmlformats.org/officeDocument/2006/relationships/hyperlink" Target="https://chromewebstore.google.com/detail/kdgccolojenjijefmdmclodecaeiimkl" TargetMode="External"/><Relationship Id="rId8051" Type="http://schemas.openxmlformats.org/officeDocument/2006/relationships/hyperlink" Target="https://chromewebstore.google.com/detail/kppmigaaekiicjfcnbjnchjjjhfodeej" TargetMode="External"/><Relationship Id="rId9387" Type="http://schemas.openxmlformats.org/officeDocument/2006/relationships/hyperlink" Target="https://chromewebstore.google.com/detail/mimooabamaoeldhibjbbmdgndnhdiknh" TargetMode="External"/><Relationship Id="rId8050" Type="http://schemas.openxmlformats.org/officeDocument/2006/relationships/hyperlink" Target="https://chromewebstore.google.com/detail/jlpkmcnaabibpmimadpdpocakebgcjnd" TargetMode="External"/><Relationship Id="rId9388" Type="http://schemas.openxmlformats.org/officeDocument/2006/relationships/hyperlink" Target="https://chromewebstore.google.com/detail/ncebfbcadlnhbfmfglhijjljfhimndil" TargetMode="External"/><Relationship Id="rId8057" Type="http://schemas.openxmlformats.org/officeDocument/2006/relationships/hyperlink" Target="https://chromewebstore.google.com/detail/kbjbjdhcadgapllledgnnllgfhjkldmc" TargetMode="External"/><Relationship Id="rId9381" Type="http://schemas.openxmlformats.org/officeDocument/2006/relationships/hyperlink" Target="https://chromewebstore.google.com/detail/cnjfiolbpeihgijepincpfjhigekegab" TargetMode="External"/><Relationship Id="rId8056" Type="http://schemas.openxmlformats.org/officeDocument/2006/relationships/hyperlink" Target="https://chromewebstore.google.com/detail/jkgihpigffcfeebgedpklldebdibbnne" TargetMode="External"/><Relationship Id="rId9382" Type="http://schemas.openxmlformats.org/officeDocument/2006/relationships/hyperlink" Target="https://chromewebstore.google.com/detail/fajaolmbohlcgfhogpglddfddbdcgeol" TargetMode="External"/><Relationship Id="rId8055" Type="http://schemas.openxmlformats.org/officeDocument/2006/relationships/hyperlink" Target="https://chromewebstore.google.com/detail/mmngbmmjfjannofkffhoindghfbhcool" TargetMode="External"/><Relationship Id="rId9383" Type="http://schemas.openxmlformats.org/officeDocument/2006/relationships/hyperlink" Target="https://chromewebstore.google.com/detail/fhmcbmpjkemimhcmlcahaocnkgcpjkdf" TargetMode="External"/><Relationship Id="rId8054" Type="http://schemas.openxmlformats.org/officeDocument/2006/relationships/hyperlink" Target="https://chromewebstore.google.com/detail/lbbnflmcjoiccbnphomocoiomkcaohlb" TargetMode="External"/><Relationship Id="rId9384" Type="http://schemas.openxmlformats.org/officeDocument/2006/relationships/hyperlink" Target="https://chromewebstore.google.com/detail/gmifhfmjkaahaabgeaficgjkihpfeabn" TargetMode="External"/><Relationship Id="rId8059" Type="http://schemas.openxmlformats.org/officeDocument/2006/relationships/hyperlink" Target="https://chromewebstore.google.com/detail/nkbflgdoljijfdopjgfnbjdcedjkbfnm" TargetMode="External"/><Relationship Id="rId8058" Type="http://schemas.openxmlformats.org/officeDocument/2006/relationships/hyperlink" Target="https://chromewebstore.google.com/detail/ndhdjddnbbjnojdjbglbpenimlpnlpbl" TargetMode="External"/><Relationship Id="rId9389" Type="http://schemas.openxmlformats.org/officeDocument/2006/relationships/hyperlink" Target="https://chromewebstore.google.com/detail/niflkbcabljnoonhlbajmganinkplfpd" TargetMode="External"/><Relationship Id="rId3238" Type="http://schemas.openxmlformats.org/officeDocument/2006/relationships/hyperlink" Target="https://chromewebstore.google.com/detail/plpkmjcnhhnpkblimgenmdhghfgghdpp" TargetMode="External"/><Relationship Id="rId4569" Type="http://schemas.openxmlformats.org/officeDocument/2006/relationships/hyperlink" Target="https://chromewebstore.google.com/detail/lclaiahiipkdhlgaepaklgpcggmgcfid" TargetMode="External"/><Relationship Id="rId3237" Type="http://schemas.openxmlformats.org/officeDocument/2006/relationships/hyperlink" Target="https://chromewebstore.google.com/detail/pkhdocodnaconhfddcgdgkhkommjemic" TargetMode="External"/><Relationship Id="rId4568" Type="http://schemas.openxmlformats.org/officeDocument/2006/relationships/hyperlink" Target="https://chromewebstore.google.com/detail/lckanjabhailhdngplhaejjjbpnfmdld" TargetMode="External"/><Relationship Id="rId5899" Type="http://schemas.openxmlformats.org/officeDocument/2006/relationships/hyperlink" Target="https://chromewebstore.google.com/detail/higclgihaoclpabfngjkpihkkdfbgihh" TargetMode="External"/><Relationship Id="rId3239" Type="http://schemas.openxmlformats.org/officeDocument/2006/relationships/hyperlink" Target="https://chromewebstore.google.com/detail/pmoglnmodacnbbofbgcagndelmgaclel" TargetMode="External"/><Relationship Id="rId5890" Type="http://schemas.openxmlformats.org/officeDocument/2006/relationships/hyperlink" Target="https://chromewebstore.google.com/detail/hhjnoabnlicjpahfibejifhankpfahnd" TargetMode="External"/><Relationship Id="rId3230" Type="http://schemas.openxmlformats.org/officeDocument/2006/relationships/hyperlink" Target="https://chromewebstore.google.com/detail/pfbeenngglcojppheoegjjjomfkejibg" TargetMode="External"/><Relationship Id="rId4561" Type="http://schemas.openxmlformats.org/officeDocument/2006/relationships/hyperlink" Target="https://chromewebstore.google.com/detail/lbeomnhfagdagoldnknhbfjfkdndfjof" TargetMode="External"/><Relationship Id="rId5893" Type="http://schemas.openxmlformats.org/officeDocument/2006/relationships/hyperlink" Target="https://chromewebstore.google.com/detail/hhnkmoijlinhobdagnchdhogdmedamce" TargetMode="External"/><Relationship Id="rId4560" Type="http://schemas.openxmlformats.org/officeDocument/2006/relationships/hyperlink" Target="https://chromewebstore.google.com/detail/lbehdhpgigdlinfkidifkbhjnaglfojc" TargetMode="External"/><Relationship Id="rId5894" Type="http://schemas.openxmlformats.org/officeDocument/2006/relationships/hyperlink" Target="https://chromewebstore.google.com/detail/hhoihjklpidiicnmmlndmpkahnmfmfho" TargetMode="External"/><Relationship Id="rId3232" Type="http://schemas.openxmlformats.org/officeDocument/2006/relationships/hyperlink" Target="https://chromewebstore.google.com/detail/pgkfjobhhfckamidemkddfnnkknomobe" TargetMode="External"/><Relationship Id="rId4563" Type="http://schemas.openxmlformats.org/officeDocument/2006/relationships/hyperlink" Target="https://chromewebstore.google.com/detail/lbkpckaekpilejfambbkphfedniacanj" TargetMode="External"/><Relationship Id="rId5891" Type="http://schemas.openxmlformats.org/officeDocument/2006/relationships/hyperlink" Target="https://chromewebstore.google.com/detail/hhklogggdjdonnoldcekmhkdifjapggo" TargetMode="External"/><Relationship Id="rId3231" Type="http://schemas.openxmlformats.org/officeDocument/2006/relationships/hyperlink" Target="https://chromewebstore.google.com/detail/pgaabedmnacicfkgnbfdodgmdmpbcnpk" TargetMode="External"/><Relationship Id="rId4562" Type="http://schemas.openxmlformats.org/officeDocument/2006/relationships/hyperlink" Target="https://chromewebstore.google.com/detail/lbjfeiidhldnfohmhnnnjgcmgjbnibgd" TargetMode="External"/><Relationship Id="rId5892" Type="http://schemas.openxmlformats.org/officeDocument/2006/relationships/hyperlink" Target="https://chromewebstore.google.com/detail/hhkpllkpdbjolfmnooionbkpjkeeigjg" TargetMode="External"/><Relationship Id="rId3234" Type="http://schemas.openxmlformats.org/officeDocument/2006/relationships/hyperlink" Target="https://chromewebstore.google.com/detail/phpfkeikhkofikgikkgkhlafelljmpii" TargetMode="External"/><Relationship Id="rId4565" Type="http://schemas.openxmlformats.org/officeDocument/2006/relationships/hyperlink" Target="https://chromewebstore.google.com/detail/lcanobbdndljimodckphgdmllahfcadd" TargetMode="External"/><Relationship Id="rId5897" Type="http://schemas.openxmlformats.org/officeDocument/2006/relationships/hyperlink" Target="https://chromewebstore.google.com/detail/hiemiigjnmkjedjibioplldlbkhekbjk" TargetMode="External"/><Relationship Id="rId3233" Type="http://schemas.openxmlformats.org/officeDocument/2006/relationships/hyperlink" Target="https://chromewebstore.google.com/detail/phabfadigilgfagiclfpjnjljedbjclf" TargetMode="External"/><Relationship Id="rId4564" Type="http://schemas.openxmlformats.org/officeDocument/2006/relationships/hyperlink" Target="https://chromewebstore.google.com/detail/lbmeghcehlmclgjmnefeflchpbdblamd" TargetMode="External"/><Relationship Id="rId5898" Type="http://schemas.openxmlformats.org/officeDocument/2006/relationships/hyperlink" Target="https://chromewebstore.google.com/detail/hieolpjdilnibgamiafklnlcmagdngoo" TargetMode="External"/><Relationship Id="rId3236" Type="http://schemas.openxmlformats.org/officeDocument/2006/relationships/hyperlink" Target="https://chromewebstore.google.com/detail/pjcclpcnpfkpdkblgajbbjlmojdllmdi" TargetMode="External"/><Relationship Id="rId4567" Type="http://schemas.openxmlformats.org/officeDocument/2006/relationships/hyperlink" Target="https://chromewebstore.google.com/detail/lcipncfbfemopganndembnmjjnhbaomk" TargetMode="External"/><Relationship Id="rId5895" Type="http://schemas.openxmlformats.org/officeDocument/2006/relationships/hyperlink" Target="https://chromewebstore.google.com/detail/hhopdkekcmkdfpdjbpajmmfbheglcaac" TargetMode="External"/><Relationship Id="rId3235" Type="http://schemas.openxmlformats.org/officeDocument/2006/relationships/hyperlink" Target="https://chromewebstore.google.com/detail/piidfhkmlknfcpenlollfnbhfeamonmm" TargetMode="External"/><Relationship Id="rId4566" Type="http://schemas.openxmlformats.org/officeDocument/2006/relationships/hyperlink" Target="https://chromewebstore.google.com/detail/lcficnblkhejenkbmiloebohoclaebdj" TargetMode="External"/><Relationship Id="rId5896" Type="http://schemas.openxmlformats.org/officeDocument/2006/relationships/hyperlink" Target="https://chromewebstore.google.com/detail/hicbenbldlkghoodigniooplopgjjpnh" TargetMode="External"/><Relationship Id="rId3227" Type="http://schemas.openxmlformats.org/officeDocument/2006/relationships/hyperlink" Target="https://chromewebstore.google.com/detail/pdjihecpdkkgkocecgomaambbpbioeao" TargetMode="External"/><Relationship Id="rId4558" Type="http://schemas.openxmlformats.org/officeDocument/2006/relationships/hyperlink" Target="https://chromewebstore.google.com/detail/lalhboihpjkhmcalhjlkehfnphpjebma" TargetMode="External"/><Relationship Id="rId3226" Type="http://schemas.openxmlformats.org/officeDocument/2006/relationships/hyperlink" Target="https://chromewebstore.google.com/detail/pdfladlchakneeclhmpoboohikpbchkj" TargetMode="External"/><Relationship Id="rId4557" Type="http://schemas.openxmlformats.org/officeDocument/2006/relationships/hyperlink" Target="https://chromewebstore.google.com/detail/laejnpabidnmdilphnjohkghnflgafdb" TargetMode="External"/><Relationship Id="rId3229" Type="http://schemas.openxmlformats.org/officeDocument/2006/relationships/hyperlink" Target="https://chromewebstore.google.com/detail/penhhnlldkmlfappgmgjhhfkgeekdmpl" TargetMode="External"/><Relationship Id="rId5888" Type="http://schemas.openxmlformats.org/officeDocument/2006/relationships/hyperlink" Target="https://chromewebstore.google.com/detail/hhfnbfhcojlgbojpphigjibpjkccfikh" TargetMode="External"/><Relationship Id="rId3228" Type="http://schemas.openxmlformats.org/officeDocument/2006/relationships/hyperlink" Target="https://chromewebstore.google.com/detail/pdoebgohinaejdpncadbahijijgoffke" TargetMode="External"/><Relationship Id="rId4559" Type="http://schemas.openxmlformats.org/officeDocument/2006/relationships/hyperlink" Target="https://chromewebstore.google.com/detail/laoclledadegilngghaiilbepfgpekil" TargetMode="External"/><Relationship Id="rId5889" Type="http://schemas.openxmlformats.org/officeDocument/2006/relationships/hyperlink" Target="https://chromewebstore.google.com/detail/hhjdhphdahdiegkachmnakmdbikakplo" TargetMode="External"/><Relationship Id="rId4550" Type="http://schemas.openxmlformats.org/officeDocument/2006/relationships/hyperlink" Target="https://chromewebstore.google.com/detail/knooimelchgpbpblfhlgkdifnabcolin" TargetMode="External"/><Relationship Id="rId5882" Type="http://schemas.openxmlformats.org/officeDocument/2006/relationships/hyperlink" Target="https://chromewebstore.google.com/detail/hgmhpkajleaiioafngcamefgfekmlgfm" TargetMode="External"/><Relationship Id="rId5883" Type="http://schemas.openxmlformats.org/officeDocument/2006/relationships/hyperlink" Target="https://chromewebstore.google.com/detail/hgnipgiknaeinnpcclfendkbppdhjkbd" TargetMode="External"/><Relationship Id="rId3221" Type="http://schemas.openxmlformats.org/officeDocument/2006/relationships/hyperlink" Target="https://chromewebstore.google.com/detail/paflchebahgbgeambpbhoieeanaddehf" TargetMode="External"/><Relationship Id="rId4552" Type="http://schemas.openxmlformats.org/officeDocument/2006/relationships/hyperlink" Target="https://chromewebstore.google.com/detail/kogebojdmfhcaipmkfnnandcjmppfplh" TargetMode="External"/><Relationship Id="rId5880" Type="http://schemas.openxmlformats.org/officeDocument/2006/relationships/hyperlink" Target="https://chromewebstore.google.com/detail/hgkidiolliocgcfaaoohdjoheoamnmdd" TargetMode="External"/><Relationship Id="rId3220" Type="http://schemas.openxmlformats.org/officeDocument/2006/relationships/hyperlink" Target="https://chromewebstore.google.com/detail/paeeebcnfgiekoajpjllamdjihpbmokn" TargetMode="External"/><Relationship Id="rId4551" Type="http://schemas.openxmlformats.org/officeDocument/2006/relationships/hyperlink" Target="https://chromewebstore.google.com/detail/kobbebjdlkjcdbnnonblhfofcajfkigj" TargetMode="External"/><Relationship Id="rId5881" Type="http://schemas.openxmlformats.org/officeDocument/2006/relationships/hyperlink" Target="https://chromewebstore.google.com/detail/hglnfjenacgcagdcfniidbdakdhdbale" TargetMode="External"/><Relationship Id="rId3223" Type="http://schemas.openxmlformats.org/officeDocument/2006/relationships/hyperlink" Target="https://chromewebstore.google.com/detail/palmdpiephigbbghebiffdcilobkggab" TargetMode="External"/><Relationship Id="rId4554" Type="http://schemas.openxmlformats.org/officeDocument/2006/relationships/hyperlink" Target="https://chromewebstore.google.com/detail/kpgmkamkehfbeilamncpcaafbdfbjmmc" TargetMode="External"/><Relationship Id="rId5886" Type="http://schemas.openxmlformats.org/officeDocument/2006/relationships/hyperlink" Target="https://chromewebstore.google.com/detail/hhfiihfaaibbapieenkaiklejldlhhfd" TargetMode="External"/><Relationship Id="rId3222" Type="http://schemas.openxmlformats.org/officeDocument/2006/relationships/hyperlink" Target="https://chromewebstore.google.com/detail/pakhjhphleppgakhlffhlfhbekfnobbk" TargetMode="External"/><Relationship Id="rId4553" Type="http://schemas.openxmlformats.org/officeDocument/2006/relationships/hyperlink" Target="https://chromewebstore.google.com/detail/kpapekbedehhbojdcjklkjoflfncfpfa" TargetMode="External"/><Relationship Id="rId5887" Type="http://schemas.openxmlformats.org/officeDocument/2006/relationships/hyperlink" Target="http://codedoodl.es" TargetMode="External"/><Relationship Id="rId3225" Type="http://schemas.openxmlformats.org/officeDocument/2006/relationships/hyperlink" Target="https://chromewebstore.google.com/detail/pchnedaeogijkjjkjigbijhbcanbdjkc" TargetMode="External"/><Relationship Id="rId4556" Type="http://schemas.openxmlformats.org/officeDocument/2006/relationships/hyperlink" Target="https://chromewebstore.google.com/detail/kppdpnmdpdjckgihabenefhimmebobgc" TargetMode="External"/><Relationship Id="rId5884" Type="http://schemas.openxmlformats.org/officeDocument/2006/relationships/hyperlink" Target="https://chromewebstore.google.com/detail/hgoefiiboehgnhnhdhlfckklmamnlfkc" TargetMode="External"/><Relationship Id="rId3224" Type="http://schemas.openxmlformats.org/officeDocument/2006/relationships/hyperlink" Target="https://chromewebstore.google.com/detail/pbkobmcegbmmjnfhholeonfacmfkpcja" TargetMode="External"/><Relationship Id="rId4555" Type="http://schemas.openxmlformats.org/officeDocument/2006/relationships/hyperlink" Target="https://chromewebstore.google.com/detail/kpkplkjmphmbgikkcfdfefdmpdojapdj" TargetMode="External"/><Relationship Id="rId5885" Type="http://schemas.openxmlformats.org/officeDocument/2006/relationships/hyperlink" Target="https://chromewebstore.google.com/detail/hhbjppdghagniamelnodbhnlbnpmipnm" TargetMode="External"/><Relationship Id="rId3259" Type="http://schemas.openxmlformats.org/officeDocument/2006/relationships/hyperlink" Target="https://chromewebstore.google.com/detail/ageglinjmdhkgnaldlfaojgannkojcie" TargetMode="External"/><Relationship Id="rId3250" Type="http://schemas.openxmlformats.org/officeDocument/2006/relationships/hyperlink" Target="https://chromewebstore.google.com/detail/admjdaoijfccdllogfnddnllkghmkpfb" TargetMode="External"/><Relationship Id="rId4581" Type="http://schemas.openxmlformats.org/officeDocument/2006/relationships/hyperlink" Target="https://chromewebstore.google.com/detail/leiejllaoknebomjeebdjfeicdaaeijp" TargetMode="External"/><Relationship Id="rId4580" Type="http://schemas.openxmlformats.org/officeDocument/2006/relationships/hyperlink" Target="https://chromewebstore.google.com/detail/lehnmibfjbbbpmfableamfaoieocghgn" TargetMode="External"/><Relationship Id="rId3252" Type="http://schemas.openxmlformats.org/officeDocument/2006/relationships/hyperlink" Target="https://chromewebstore.google.com/detail/adnheflgkdelinknpflldgdapjpoampc" TargetMode="External"/><Relationship Id="rId4583" Type="http://schemas.openxmlformats.org/officeDocument/2006/relationships/hyperlink" Target="https://chromewebstore.google.com/detail/lekmaaaemhcgldgmgalajmoehddphfag" TargetMode="External"/><Relationship Id="rId3251" Type="http://schemas.openxmlformats.org/officeDocument/2006/relationships/hyperlink" Target="https://chromewebstore.google.com/detail/adnclnmfdlbkemdddekdhmofeippakhf" TargetMode="External"/><Relationship Id="rId4582" Type="http://schemas.openxmlformats.org/officeDocument/2006/relationships/hyperlink" Target="https://chromewebstore.google.com/detail/leimmikdkodgbaimglohhceidbooddma" TargetMode="External"/><Relationship Id="rId3254" Type="http://schemas.openxmlformats.org/officeDocument/2006/relationships/hyperlink" Target="https://chromewebstore.google.com/detail/aeeiilbigdgkjonfhkpeajhdlhchokmo" TargetMode="External"/><Relationship Id="rId4585" Type="http://schemas.openxmlformats.org/officeDocument/2006/relationships/hyperlink" Target="https://chromewebstore.google.com/detail/lfccbkicpiohnnalhapdgjadlcahicip" TargetMode="External"/><Relationship Id="rId3253" Type="http://schemas.openxmlformats.org/officeDocument/2006/relationships/hyperlink" Target="https://chromewebstore.google.com/detail/aedgoefpkibhaiigkbjjgccgncldoice" TargetMode="External"/><Relationship Id="rId4584" Type="http://schemas.openxmlformats.org/officeDocument/2006/relationships/hyperlink" Target="https://chromewebstore.google.com/detail/lencaglpgihlglecbdkfhelldkbdholc" TargetMode="External"/><Relationship Id="rId3256" Type="http://schemas.openxmlformats.org/officeDocument/2006/relationships/hyperlink" Target="https://chromewebstore.google.com/detail/afdannbjainhcddbjjlhamdgnojibeoi" TargetMode="External"/><Relationship Id="rId4587" Type="http://schemas.openxmlformats.org/officeDocument/2006/relationships/hyperlink" Target="https://chromewebstore.google.com/detail/lfojgmgodcgmjoiokklgmailddgolmda" TargetMode="External"/><Relationship Id="rId3255" Type="http://schemas.openxmlformats.org/officeDocument/2006/relationships/hyperlink" Target="https://chromewebstore.google.com/detail/aemcokmmdpmcgfegnllnjfnocamllleh" TargetMode="External"/><Relationship Id="rId4586" Type="http://schemas.openxmlformats.org/officeDocument/2006/relationships/hyperlink" Target="https://chromewebstore.google.com/detail/lfecojmicibekimjllflggfnbacephnm" TargetMode="External"/><Relationship Id="rId3258" Type="http://schemas.openxmlformats.org/officeDocument/2006/relationships/hyperlink" Target="https://chromewebstore.google.com/detail/agedeoibceidbaeajbehgiejlekicbfd" TargetMode="External"/><Relationship Id="rId4589" Type="http://schemas.openxmlformats.org/officeDocument/2006/relationships/hyperlink" Target="https://chromewebstore.google.com/detail/lgcickaldmfnogadcbgiadelhbfmbeoi" TargetMode="External"/><Relationship Id="rId3257" Type="http://schemas.openxmlformats.org/officeDocument/2006/relationships/hyperlink" Target="https://chromewebstore.google.com/detail/aflocdggkpgjglpbmdaabpkeklghkahl" TargetMode="External"/><Relationship Id="rId4588" Type="http://schemas.openxmlformats.org/officeDocument/2006/relationships/hyperlink" Target="https://chromewebstore.google.com/detail/lgbommihnaoiabjnhfhckodfmfppfcgl" TargetMode="External"/><Relationship Id="rId3249" Type="http://schemas.openxmlformats.org/officeDocument/2006/relationships/hyperlink" Target="https://chromewebstore.google.com/detail/acohddgjcjfelbhaodiebiabljoadldk" TargetMode="External"/><Relationship Id="rId3248" Type="http://schemas.openxmlformats.org/officeDocument/2006/relationships/hyperlink" Target="https://chromewebstore.google.com/detail/abfejejjdbkmhigbgcmgmoihbjckiklb" TargetMode="External"/><Relationship Id="rId4579" Type="http://schemas.openxmlformats.org/officeDocument/2006/relationships/hyperlink" Target="https://chromewebstore.google.com/detail/lehhmglccbkmehbbldcmekdegmapaknb" TargetMode="External"/><Relationship Id="rId4570" Type="http://schemas.openxmlformats.org/officeDocument/2006/relationships/hyperlink" Target="https://chromewebstore.google.com/detail/ldblmmabeclbplhbniokpnpaojcaekif" TargetMode="External"/><Relationship Id="rId3241" Type="http://schemas.openxmlformats.org/officeDocument/2006/relationships/hyperlink" Target="https://chromewebstore.google.com/detail/poobpimndkmecgplnmojjpnmmgafbkph" TargetMode="External"/><Relationship Id="rId4572" Type="http://schemas.openxmlformats.org/officeDocument/2006/relationships/hyperlink" Target="https://chromewebstore.google.com/detail/ldfboinpfdahkgnljbkohgimhimmafip" TargetMode="External"/><Relationship Id="rId3240" Type="http://schemas.openxmlformats.org/officeDocument/2006/relationships/hyperlink" Target="https://chromewebstore.google.com/detail/pocokkgjockoghhdjanddeclpedkpdni" TargetMode="External"/><Relationship Id="rId4571" Type="http://schemas.openxmlformats.org/officeDocument/2006/relationships/hyperlink" Target="https://chromewebstore.google.com/detail/lddpfhnjbpgjdklcemagkpmoooejhkfk" TargetMode="External"/><Relationship Id="rId3243" Type="http://schemas.openxmlformats.org/officeDocument/2006/relationships/hyperlink" Target="https://chromewebstore.google.com/detail/epdelmeadnnoadlcalkmacoopocdafnp" TargetMode="External"/><Relationship Id="rId4574" Type="http://schemas.openxmlformats.org/officeDocument/2006/relationships/hyperlink" Target="https://chromewebstore.google.com/detail/ldkfclmdlbkfifhjmheijigihfbpjmfg" TargetMode="External"/><Relationship Id="rId3242" Type="http://schemas.openxmlformats.org/officeDocument/2006/relationships/hyperlink" Target="https://chromewebstore.google.com/detail/ppmoihbfiilgkkgcogbblhhanjjaocil" TargetMode="External"/><Relationship Id="rId4573" Type="http://schemas.openxmlformats.org/officeDocument/2006/relationships/hyperlink" Target="https://chromewebstore.google.com/detail/ldifejjbhohmbcmepeoapookgnilmjlk" TargetMode="External"/><Relationship Id="rId3245" Type="http://schemas.openxmlformats.org/officeDocument/2006/relationships/hyperlink" Target="https://chromewebstore.google.com/detail/cjianfjpjmljmhjjphoepbdieknkfkfb" TargetMode="External"/><Relationship Id="rId4576" Type="http://schemas.openxmlformats.org/officeDocument/2006/relationships/hyperlink" Target="https://chromewebstore.google.com/detail/ldphmgppmllkbknkbjkhpimlgjgkbogp" TargetMode="External"/><Relationship Id="rId3244" Type="http://schemas.openxmlformats.org/officeDocument/2006/relationships/hyperlink" Target="https://chromewebstore.google.com/detail/ekegjbcgahdlpdhjohalkecfeknpbfke" TargetMode="External"/><Relationship Id="rId4575" Type="http://schemas.openxmlformats.org/officeDocument/2006/relationships/hyperlink" Target="https://chromewebstore.google.com/detail/ldlogbmoofpmjhkccjhajjkkkjojenip" TargetMode="External"/><Relationship Id="rId3247" Type="http://schemas.openxmlformats.org/officeDocument/2006/relationships/hyperlink" Target="https://chromewebstore.google.com/detail/aaighaoobppofhhfoakhmhpgdagfbdgc" TargetMode="External"/><Relationship Id="rId4578" Type="http://schemas.openxmlformats.org/officeDocument/2006/relationships/hyperlink" Target="https://chromewebstore.google.com/detail/ledenamcmhhcjlolpkcglgcbbcjfmahg" TargetMode="External"/><Relationship Id="rId3246" Type="http://schemas.openxmlformats.org/officeDocument/2006/relationships/hyperlink" Target="https://chromewebstore.google.com/detail/aaafaichkdancmiadaonoglfjeodjkik" TargetMode="External"/><Relationship Id="rId4577" Type="http://schemas.openxmlformats.org/officeDocument/2006/relationships/hyperlink" Target="https://chromewebstore.google.com/detail/leakgmkipjfnmnacgakpggmilnhlmbcg" TargetMode="External"/><Relationship Id="rId4525" Type="http://schemas.openxmlformats.org/officeDocument/2006/relationships/hyperlink" Target="https://chromewebstore.google.com/detail/kgmadhplahebfoiijgloflhakfjlkbpb" TargetMode="External"/><Relationship Id="rId5857" Type="http://schemas.openxmlformats.org/officeDocument/2006/relationships/hyperlink" Target="https://chromewebstore.google.com/detail/hedbhjnengmmoddkcajcfdlaaiclkfdl" TargetMode="External"/><Relationship Id="rId4524" Type="http://schemas.openxmlformats.org/officeDocument/2006/relationships/hyperlink" Target="https://chromewebstore.google.com/detail/kgfmdmaophhlcbningclnghjeijcokmi" TargetMode="External"/><Relationship Id="rId5858" Type="http://schemas.openxmlformats.org/officeDocument/2006/relationships/hyperlink" Target="https://chromewebstore.google.com/detail/heemmlhkhdppoankkjldbmnfnoanemlj" TargetMode="External"/><Relationship Id="rId4527" Type="http://schemas.openxmlformats.org/officeDocument/2006/relationships/hyperlink" Target="https://chromewebstore.google.com/detail/kgpiejjjpjkcijopeabfleliifbhfnci" TargetMode="External"/><Relationship Id="rId5855" Type="http://schemas.openxmlformats.org/officeDocument/2006/relationships/hyperlink" Target="https://chromewebstore.google.com/detail/hdpnapnmccppiagahpoclpjdoimjjkic" TargetMode="External"/><Relationship Id="rId4526" Type="http://schemas.openxmlformats.org/officeDocument/2006/relationships/hyperlink" Target="https://chromewebstore.google.com/detail/kgoiecbcpnodglnehemdbnkdmelhonec" TargetMode="External"/><Relationship Id="rId5856" Type="http://schemas.openxmlformats.org/officeDocument/2006/relationships/hyperlink" Target="https://chromewebstore.google.com/detail/hecfkgekabkkhiidlinmifelhdooeool" TargetMode="External"/><Relationship Id="rId4529" Type="http://schemas.openxmlformats.org/officeDocument/2006/relationships/hyperlink" Target="https://chromewebstore.google.com/detail/khjolfgpcjhcmealonfmmchhagngnecf" TargetMode="External"/><Relationship Id="rId4528" Type="http://schemas.openxmlformats.org/officeDocument/2006/relationships/hyperlink" Target="https://chromewebstore.google.com/detail/khfheicddakgkjkocaokijccaaeebfko" TargetMode="External"/><Relationship Id="rId5859" Type="http://schemas.openxmlformats.org/officeDocument/2006/relationships/hyperlink" Target="https://chromewebstore.google.com/detail/hegebeakcbcknnoepfmhgmfhbgeahhjl" TargetMode="External"/><Relationship Id="rId5850" Type="http://schemas.openxmlformats.org/officeDocument/2006/relationships/hyperlink" Target="https://chromewebstore.google.com/detail/hdadofjbdnckpfbmddfkgpnpchcfbpki" TargetMode="External"/><Relationship Id="rId4521" Type="http://schemas.openxmlformats.org/officeDocument/2006/relationships/hyperlink" Target="https://chromewebstore.google.com/detail/kgdllopgpknhbnmagaiifhddjkchmeln" TargetMode="External"/><Relationship Id="rId5853" Type="http://schemas.openxmlformats.org/officeDocument/2006/relationships/hyperlink" Target="https://chromewebstore.google.com/detail/hdlhboohbcbdmkcnjcldhcpgmoliflee" TargetMode="External"/><Relationship Id="rId4520" Type="http://schemas.openxmlformats.org/officeDocument/2006/relationships/hyperlink" Target="https://chromewebstore.google.com/detail/kgdbehohjbnkilhnglcmeaobgkfojnlo" TargetMode="External"/><Relationship Id="rId5854" Type="http://schemas.openxmlformats.org/officeDocument/2006/relationships/hyperlink" Target="https://chromewebstore.google.com/detail/hdongmdneapmhfblomidbafplpanpdmm" TargetMode="External"/><Relationship Id="rId4523" Type="http://schemas.openxmlformats.org/officeDocument/2006/relationships/hyperlink" Target="https://chromewebstore.google.com/detail/kgfjafdahhkoiabgaappgdnojpgjbahi" TargetMode="External"/><Relationship Id="rId5851" Type="http://schemas.openxmlformats.org/officeDocument/2006/relationships/hyperlink" Target="https://chromewebstore.google.com/detail/hdidglkcgdolpoijdckmafdnddjoglia" TargetMode="External"/><Relationship Id="rId4522" Type="http://schemas.openxmlformats.org/officeDocument/2006/relationships/hyperlink" Target="https://chromewebstore.google.com/detail/kgecldbalfgmgelepbblodfoogmjdgmj" TargetMode="External"/><Relationship Id="rId5852" Type="http://schemas.openxmlformats.org/officeDocument/2006/relationships/hyperlink" Target="https://chromewebstore.google.com/detail/hdifhbpniaokcjogffalpnbphplppdcb" TargetMode="External"/><Relationship Id="rId4514" Type="http://schemas.openxmlformats.org/officeDocument/2006/relationships/hyperlink" Target="https://chromewebstore.google.com/detail/kfaajmhbkjgcpgehokmponmafikeojoi" TargetMode="External"/><Relationship Id="rId5846" Type="http://schemas.openxmlformats.org/officeDocument/2006/relationships/hyperlink" Target="https://chromewebstore.google.com/detail/hclnhkcfkccpjnkgjmaghkchfgbppcaj" TargetMode="External"/><Relationship Id="rId4513" Type="http://schemas.openxmlformats.org/officeDocument/2006/relationships/hyperlink" Target="https://chromewebstore.google.com/detail/kenkeoadgknhbidjgipfoganifcbbhkg" TargetMode="External"/><Relationship Id="rId5847" Type="http://schemas.openxmlformats.org/officeDocument/2006/relationships/hyperlink" Target="https://chromewebstore.google.com/detail/hcnohopcajeibomnkkbaebokofafkgbf" TargetMode="External"/><Relationship Id="rId4516" Type="http://schemas.openxmlformats.org/officeDocument/2006/relationships/hyperlink" Target="https://chromewebstore.google.com/detail/kfmkbbiclelmdohlohkbiafbelpnnlda" TargetMode="External"/><Relationship Id="rId5844" Type="http://schemas.openxmlformats.org/officeDocument/2006/relationships/hyperlink" Target="https://chromewebstore.google.com/detail/hchbodopdlebbofpkiaebjhionnkhkgi" TargetMode="External"/><Relationship Id="rId4515" Type="http://schemas.openxmlformats.org/officeDocument/2006/relationships/hyperlink" Target="https://chromewebstore.google.com/detail/kflgmkikmbklpikoicfhonemdcemkdia" TargetMode="External"/><Relationship Id="rId5845" Type="http://schemas.openxmlformats.org/officeDocument/2006/relationships/hyperlink" Target="https://chromewebstore.google.com/detail/hcicdlofgmjjiloeecipffiacpholmkb" TargetMode="External"/><Relationship Id="rId4518" Type="http://schemas.openxmlformats.org/officeDocument/2006/relationships/hyperlink" Target="https://chromewebstore.google.com/detail/kfollpcdnbaimpmjhkoghaegiendpidj" TargetMode="External"/><Relationship Id="rId4517" Type="http://schemas.openxmlformats.org/officeDocument/2006/relationships/hyperlink" Target="https://chromewebstore.google.com/detail/kfnkfhdbeidcdpdlefbfabepmfhldkoi" TargetMode="External"/><Relationship Id="rId5848" Type="http://schemas.openxmlformats.org/officeDocument/2006/relationships/hyperlink" Target="https://chromewebstore.google.com/detail/hcogkbekdbiipilncghmakoknoblnhif" TargetMode="External"/><Relationship Id="rId4519" Type="http://schemas.openxmlformats.org/officeDocument/2006/relationships/hyperlink" Target="https://chromewebstore.google.com/detail/kfopmjhmejbgomgeajemgpgpbckpoopg" TargetMode="External"/><Relationship Id="rId5849" Type="http://schemas.openxmlformats.org/officeDocument/2006/relationships/hyperlink" Target="https://chromewebstore.google.com/detail/hcpgdfjpehdkdebjepgcmgkhoabjdegf" TargetMode="External"/><Relationship Id="rId4510" Type="http://schemas.openxmlformats.org/officeDocument/2006/relationships/hyperlink" Target="https://chromewebstore.google.com/detail/kegeenojcnijgmfgkcokknkbpmjcabdm" TargetMode="External"/><Relationship Id="rId5842" Type="http://schemas.openxmlformats.org/officeDocument/2006/relationships/hyperlink" Target="https://chromewebstore.google.com/detail/hcffgojagdaebjicjhbcjpmbolaaepme" TargetMode="External"/><Relationship Id="rId5843" Type="http://schemas.openxmlformats.org/officeDocument/2006/relationships/hyperlink" Target="https://chromewebstore.google.com/detail/hcgpoobeoeoahbhfcdabdjciflibpdal" TargetMode="External"/><Relationship Id="rId4512" Type="http://schemas.openxmlformats.org/officeDocument/2006/relationships/hyperlink" Target="https://chromewebstore.google.com/detail/kelgbdopkppoipmnjaeggkcbhncpeplb" TargetMode="External"/><Relationship Id="rId5840" Type="http://schemas.openxmlformats.org/officeDocument/2006/relationships/hyperlink" Target="https://chromewebstore.google.com/detail/hbnnphjhkbdeagbpjcnihdgianfhdgoo" TargetMode="External"/><Relationship Id="rId4511" Type="http://schemas.openxmlformats.org/officeDocument/2006/relationships/hyperlink" Target="https://chromewebstore.google.com/detail/kekjbckkfbdknpcpcdpmlkbnleeddamg" TargetMode="External"/><Relationship Id="rId5841" Type="http://schemas.openxmlformats.org/officeDocument/2006/relationships/hyperlink" Target="https://chromewebstore.google.com/detail/hcdkopihmfgkkjdjgpfhehgmijgmebjl" TargetMode="External"/><Relationship Id="rId3216" Type="http://schemas.openxmlformats.org/officeDocument/2006/relationships/hyperlink" Target="https://chromewebstore.google.com/detail/opepgmgohfgekifjilijmdldmccfbgke" TargetMode="External"/><Relationship Id="rId4547" Type="http://schemas.openxmlformats.org/officeDocument/2006/relationships/hyperlink" Target="https://chromewebstore.google.com/detail/kmpmofoajdopdjcgpbobcmlllfnjdknn" TargetMode="External"/><Relationship Id="rId5879" Type="http://schemas.openxmlformats.org/officeDocument/2006/relationships/hyperlink" Target="https://chromewebstore.google.com/detail/hgjjflccppnaefhbhboinilggpmlcaff" TargetMode="External"/><Relationship Id="rId3215" Type="http://schemas.openxmlformats.org/officeDocument/2006/relationships/hyperlink" Target="https://chromewebstore.google.com/detail/onanhgahgihhhhjppnopocjglpbplkbc" TargetMode="External"/><Relationship Id="rId4546" Type="http://schemas.openxmlformats.org/officeDocument/2006/relationships/hyperlink" Target="https://chromewebstore.google.com/detail/kmpgegdondpjighcnnlnomapbefebhpj" TargetMode="External"/><Relationship Id="rId3218" Type="http://schemas.openxmlformats.org/officeDocument/2006/relationships/hyperlink" Target="https://chromewebstore.google.com/detail/opkjbkcbngimnacfmollcfldnpkdjhle" TargetMode="External"/><Relationship Id="rId4549" Type="http://schemas.openxmlformats.org/officeDocument/2006/relationships/hyperlink" Target="https://chromewebstore.google.com/detail/knliaomflpbgdhnlhomjmmoahdfhnhae" TargetMode="External"/><Relationship Id="rId5877" Type="http://schemas.openxmlformats.org/officeDocument/2006/relationships/hyperlink" Target="https://chromewebstore.google.com/detail/hghhhfmjdmdgfjnpkmfbelagbdcjamek" TargetMode="External"/><Relationship Id="rId3217" Type="http://schemas.openxmlformats.org/officeDocument/2006/relationships/hyperlink" Target="https://chromewebstore.google.com/detail/opgcocnebgmkhcafcclmgfldjhlnacjd" TargetMode="External"/><Relationship Id="rId4548" Type="http://schemas.openxmlformats.org/officeDocument/2006/relationships/hyperlink" Target="https://chromewebstore.google.com/detail/kndacjhnpeocfgcflefoakfnegadncna" TargetMode="External"/><Relationship Id="rId5878" Type="http://schemas.openxmlformats.org/officeDocument/2006/relationships/hyperlink" Target="https://chromewebstore.google.com/detail/hgipnfbocicekiedonjljfceicobdfgo" TargetMode="External"/><Relationship Id="rId3219" Type="http://schemas.openxmlformats.org/officeDocument/2006/relationships/hyperlink" Target="https://chromewebstore.google.com/detail/opmmhbgndkjfloemfinlmklapbdebdcg" TargetMode="External"/><Relationship Id="rId5871" Type="http://schemas.openxmlformats.org/officeDocument/2006/relationships/hyperlink" Target="https://chromewebstore.google.com/detail/hgaahalodagndnfjpggmojcbdololagh" TargetMode="External"/><Relationship Id="rId5872" Type="http://schemas.openxmlformats.org/officeDocument/2006/relationships/hyperlink" Target="https://chromewebstore.google.com/detail/hgabbjfneihcmbbcnbnfdnfdcbpodnhp" TargetMode="External"/><Relationship Id="rId3210" Type="http://schemas.openxmlformats.org/officeDocument/2006/relationships/hyperlink" Target="https://chromewebstore.google.com/detail/ojpnimfglaagmipdcdabpfnehbbbaonm" TargetMode="External"/><Relationship Id="rId4541" Type="http://schemas.openxmlformats.org/officeDocument/2006/relationships/hyperlink" Target="https://chromewebstore.google.com/detail/kmbnhpalnepccnjgaobhndnkimepecbl" TargetMode="External"/><Relationship Id="rId4540" Type="http://schemas.openxmlformats.org/officeDocument/2006/relationships/hyperlink" Target="https://chromewebstore.google.com/detail/kmbmjdabhpdnpeobnbdchihdcdaccidi" TargetMode="External"/><Relationship Id="rId5870" Type="http://schemas.openxmlformats.org/officeDocument/2006/relationships/hyperlink" Target="https://chromewebstore.google.com/detail/hfpkpdncnibdboledobffdkpfgccdbpn" TargetMode="External"/><Relationship Id="rId3212" Type="http://schemas.openxmlformats.org/officeDocument/2006/relationships/hyperlink" Target="https://chromewebstore.google.com/detail/olccdihofjbikcpbejfgipnighnpabai" TargetMode="External"/><Relationship Id="rId4543" Type="http://schemas.openxmlformats.org/officeDocument/2006/relationships/hyperlink" Target="https://chromewebstore.google.com/detail/kmegdgpjegibeilcfnaoodjmfhajbffh" TargetMode="External"/><Relationship Id="rId5875" Type="http://schemas.openxmlformats.org/officeDocument/2006/relationships/hyperlink" Target="https://chromewebstore.google.com/detail/hgeefdjnmmeindmchabjodoggbfkhaam" TargetMode="External"/><Relationship Id="rId3211" Type="http://schemas.openxmlformats.org/officeDocument/2006/relationships/hyperlink" Target="https://chromewebstore.google.com/detail/okgfglgogpkomipfflpajohdkaflndoh" TargetMode="External"/><Relationship Id="rId4542" Type="http://schemas.openxmlformats.org/officeDocument/2006/relationships/hyperlink" Target="https://chromewebstore.google.com/detail/kmdepbjjhlbhohppiancfgdpkjcoajgb" TargetMode="External"/><Relationship Id="rId5876" Type="http://schemas.openxmlformats.org/officeDocument/2006/relationships/hyperlink" Target="https://chromewebstore.google.com/detail/hgfehgeccidmnomgijefcdmmkhobjbpp" TargetMode="External"/><Relationship Id="rId3214" Type="http://schemas.openxmlformats.org/officeDocument/2006/relationships/hyperlink" Target="https://chromewebstore.google.com/detail/onaeegcgechoaflpkpmdcbgmdfhbbibp" TargetMode="External"/><Relationship Id="rId4545" Type="http://schemas.openxmlformats.org/officeDocument/2006/relationships/hyperlink" Target="https://chromewebstore.google.com/detail/kmmedleieefbfhaifgpleobiikoegbof" TargetMode="External"/><Relationship Id="rId5873" Type="http://schemas.openxmlformats.org/officeDocument/2006/relationships/hyperlink" Target="https://chromewebstore.google.com/detail/hgdanalmcipcgojcicjenedeaoedebla" TargetMode="External"/><Relationship Id="rId3213" Type="http://schemas.openxmlformats.org/officeDocument/2006/relationships/hyperlink" Target="https://chromewebstore.google.com/detail/olkmpnafmgcfindlljhgnminkhkfcckl" TargetMode="External"/><Relationship Id="rId4544" Type="http://schemas.openxmlformats.org/officeDocument/2006/relationships/hyperlink" Target="https://chromewebstore.google.com/detail/kmelgddoogigbocjfhgplgjplmlgclmo" TargetMode="External"/><Relationship Id="rId5874" Type="http://schemas.openxmlformats.org/officeDocument/2006/relationships/hyperlink" Target="https://chromewebstore.google.com/detail/hgdlbdfhokgghlojnkonhkcdlamolagk" TargetMode="External"/><Relationship Id="rId3205" Type="http://schemas.openxmlformats.org/officeDocument/2006/relationships/hyperlink" Target="https://chromewebstore.google.com/detail/ohpiacnomiacdnhcfalghggiankgknak" TargetMode="External"/><Relationship Id="rId4536" Type="http://schemas.openxmlformats.org/officeDocument/2006/relationships/hyperlink" Target="https://chromewebstore.google.com/detail/kkdiabnhbdikbmpaabginbifkmhbpbcf" TargetMode="External"/><Relationship Id="rId5868" Type="http://schemas.openxmlformats.org/officeDocument/2006/relationships/hyperlink" Target="https://chromewebstore.google.com/detail/hflngkajjgpnnedmkbncjngebjohefoc" TargetMode="External"/><Relationship Id="rId3204" Type="http://schemas.openxmlformats.org/officeDocument/2006/relationships/hyperlink" Target="https://chromewebstore.google.com/detail/ohncdkkhephpakbbecnkclhjkmbjnmlo" TargetMode="External"/><Relationship Id="rId4535" Type="http://schemas.openxmlformats.org/officeDocument/2006/relationships/hyperlink" Target="https://chromewebstore.google.com/detail/kkbhjaadbajeblffmifelmhmagjmlpne" TargetMode="External"/><Relationship Id="rId5869" Type="http://schemas.openxmlformats.org/officeDocument/2006/relationships/hyperlink" Target="https://chromewebstore.google.com/detail/hfnlihmimmlilelpcclhdhchamjlopgl" TargetMode="External"/><Relationship Id="rId3207" Type="http://schemas.openxmlformats.org/officeDocument/2006/relationships/hyperlink" Target="https://chromewebstore.google.com/detail/ojaclcbknieckfcapcbifaijoocfmpaj" TargetMode="External"/><Relationship Id="rId4538" Type="http://schemas.openxmlformats.org/officeDocument/2006/relationships/hyperlink" Target="https://chromewebstore.google.com/detail/kllkegeooedapeomenkneoilkodcleaa" TargetMode="External"/><Relationship Id="rId5866" Type="http://schemas.openxmlformats.org/officeDocument/2006/relationships/hyperlink" Target="https://chromewebstore.google.com/detail/hfkbfaacabmkdnemhpffhhhpnecnmkjg" TargetMode="External"/><Relationship Id="rId3206" Type="http://schemas.openxmlformats.org/officeDocument/2006/relationships/hyperlink" Target="https://chromewebstore.google.com/detail/oifbpnmoaigfdjgpndhealhnnbbncmon" TargetMode="External"/><Relationship Id="rId4537" Type="http://schemas.openxmlformats.org/officeDocument/2006/relationships/hyperlink" Target="https://chromewebstore.google.com/detail/klcpekhgaebbghffffpofgaipfcdplkc" TargetMode="External"/><Relationship Id="rId5867" Type="http://schemas.openxmlformats.org/officeDocument/2006/relationships/hyperlink" Target="https://chromewebstore.google.com/detail/hfkcllpkaefjfaiiobanmfkabkncfike" TargetMode="External"/><Relationship Id="rId3209" Type="http://schemas.openxmlformats.org/officeDocument/2006/relationships/hyperlink" Target="https://chromewebstore.google.com/detail/ojooeaohlmgpcjajikhmibcnbebfenid" TargetMode="External"/><Relationship Id="rId3208" Type="http://schemas.openxmlformats.org/officeDocument/2006/relationships/hyperlink" Target="https://chromewebstore.google.com/detail/ojlocjfaheiilmgjdgnoehhdigfedhjl" TargetMode="External"/><Relationship Id="rId4539" Type="http://schemas.openxmlformats.org/officeDocument/2006/relationships/hyperlink" Target="https://chromewebstore.google.com/detail/klommbdmeefgobphaflhmnieheipjajm" TargetMode="External"/><Relationship Id="rId5860" Type="http://schemas.openxmlformats.org/officeDocument/2006/relationships/hyperlink" Target="https://chromewebstore.google.com/detail/heiclpadccjamigpdpfpbdkcfnglcjgc" TargetMode="External"/><Relationship Id="rId5861" Type="http://schemas.openxmlformats.org/officeDocument/2006/relationships/hyperlink" Target="https://chromewebstore.google.com/detail/hendnmfbkcgmpafikljbfhpgphdilohj" TargetMode="External"/><Relationship Id="rId4530" Type="http://schemas.openxmlformats.org/officeDocument/2006/relationships/hyperlink" Target="https://chromewebstore.google.com/detail/khnloieeghjghmpjeaopaenibbneljpk" TargetMode="External"/><Relationship Id="rId3201" Type="http://schemas.openxmlformats.org/officeDocument/2006/relationships/hyperlink" Target="https://chromewebstore.google.com/detail/ogliegjmpalokmaaeckcdgbhdeedcnmf" TargetMode="External"/><Relationship Id="rId4532" Type="http://schemas.openxmlformats.org/officeDocument/2006/relationships/hyperlink" Target="https://chromewebstore.google.com/detail/kidgbjjjkhkickaakajjpgdkcfnidphn" TargetMode="External"/><Relationship Id="rId5864" Type="http://schemas.openxmlformats.org/officeDocument/2006/relationships/hyperlink" Target="https://chromewebstore.google.com/detail/hffpgicobjkkimfijonhiccjfbcibdhg" TargetMode="External"/><Relationship Id="rId3200" Type="http://schemas.openxmlformats.org/officeDocument/2006/relationships/hyperlink" Target="https://chromewebstore.google.com/detail/ogkcgcbjhhpamnmaaplbafkmedigofaa" TargetMode="External"/><Relationship Id="rId4531" Type="http://schemas.openxmlformats.org/officeDocument/2006/relationships/hyperlink" Target="https://chromewebstore.google.com/detail/khohmflpainliicgcnenjnldnmffnaec" TargetMode="External"/><Relationship Id="rId5865" Type="http://schemas.openxmlformats.org/officeDocument/2006/relationships/hyperlink" Target="https://chromewebstore.google.com/detail/hfiemcjbbibdkggfinmbmfepbbmehomc" TargetMode="External"/><Relationship Id="rId3203" Type="http://schemas.openxmlformats.org/officeDocument/2006/relationships/hyperlink" Target="https://chromewebstore.google.com/detail/ohkkpdodpaopjnbnkjhkbjijgimgpclk" TargetMode="External"/><Relationship Id="rId4534" Type="http://schemas.openxmlformats.org/officeDocument/2006/relationships/hyperlink" Target="https://chromewebstore.google.com/detail/kjjlfnmamiphaeamdngahedegooecnnc" TargetMode="External"/><Relationship Id="rId5862" Type="http://schemas.openxmlformats.org/officeDocument/2006/relationships/hyperlink" Target="https://chromewebstore.google.com/detail/henlmhlhpgnkeecjjcbhhcfmecohnilo" TargetMode="External"/><Relationship Id="rId3202" Type="http://schemas.openxmlformats.org/officeDocument/2006/relationships/hyperlink" Target="https://chromewebstore.google.com/detail/ohbfcdioplpccjeafjgapdmjcephkdif" TargetMode="External"/><Relationship Id="rId4533" Type="http://schemas.openxmlformats.org/officeDocument/2006/relationships/hyperlink" Target="https://chromewebstore.google.com/detail/kjehaadplpgckpgeoddpnijogjaldela" TargetMode="External"/><Relationship Id="rId5863" Type="http://schemas.openxmlformats.org/officeDocument/2006/relationships/hyperlink" Target="https://chromewebstore.google.com/detail/hfbiabiflljddpmkngbjkgoenmeijcnl" TargetMode="External"/><Relationship Id="rId190" Type="http://schemas.openxmlformats.org/officeDocument/2006/relationships/hyperlink" Target="https://chromewebstore.google.com/detail/egobelhdffdoidcnhpgkngoghpiebial" TargetMode="External"/><Relationship Id="rId194" Type="http://schemas.openxmlformats.org/officeDocument/2006/relationships/hyperlink" Target="https://chromewebstore.google.com/detail/emfeppdfcjnldjgmofdkbggeacapegen" TargetMode="External"/><Relationship Id="rId193" Type="http://schemas.openxmlformats.org/officeDocument/2006/relationships/hyperlink" Target="https://chromewebstore.google.com/detail/ekmpmkmabbkjmceejhcdeckofhmbnoen" TargetMode="External"/><Relationship Id="rId192" Type="http://schemas.openxmlformats.org/officeDocument/2006/relationships/hyperlink" Target="https://chromewebstore.google.com/detail/ejddcgojdblidajhngkogefpkknnebdh" TargetMode="External"/><Relationship Id="rId191" Type="http://schemas.openxmlformats.org/officeDocument/2006/relationships/hyperlink" Target="https://chromewebstore.google.com/detail/ejcfdikabeebbgbopoagpabbdokepnff" TargetMode="External"/><Relationship Id="rId187" Type="http://schemas.openxmlformats.org/officeDocument/2006/relationships/hyperlink" Target="https://chromewebstore.google.com/detail/dlagkjochbkkfmcgofjlipnjneahkfjn" TargetMode="External"/><Relationship Id="rId186" Type="http://schemas.openxmlformats.org/officeDocument/2006/relationships/hyperlink" Target="https://chromewebstore.google.com/detail/dhccaifficimfjcpbapjockkipmmlkab" TargetMode="External"/><Relationship Id="rId185" Type="http://schemas.openxmlformats.org/officeDocument/2006/relationships/hyperlink" Target="https://chromewebstore.google.com/detail/dgjhfomjieaadpoljlnidmbgkdffpack" TargetMode="External"/><Relationship Id="rId184" Type="http://schemas.openxmlformats.org/officeDocument/2006/relationships/hyperlink" Target="https://chromewebstore.google.com/detail/defhgdcldhhmoenjjpaiekkenhnbledj" TargetMode="External"/><Relationship Id="rId189" Type="http://schemas.openxmlformats.org/officeDocument/2006/relationships/hyperlink" Target="https://chromewebstore.google.com/detail/efdhoaajjjgckpbkoglidkeendpkolai" TargetMode="External"/><Relationship Id="rId188" Type="http://schemas.openxmlformats.org/officeDocument/2006/relationships/hyperlink" Target="https://chromewebstore.google.com/detail/dlbbmhhaadfnbbdnjalilhdakfmiffeg" TargetMode="External"/><Relationship Id="rId183" Type="http://schemas.openxmlformats.org/officeDocument/2006/relationships/hyperlink" Target="https://chromewebstore.google.com/detail/daocgoilgdmkpilllpkjbaankampnbmj" TargetMode="External"/><Relationship Id="rId182" Type="http://schemas.openxmlformats.org/officeDocument/2006/relationships/hyperlink" Target="https://chromewebstore.google.com/detail/cpnngmckccgcopllekpgppnfhaefbaam" TargetMode="External"/><Relationship Id="rId181" Type="http://schemas.openxmlformats.org/officeDocument/2006/relationships/hyperlink" Target="https://chromewebstore.google.com/detail/coohjcphdfgbiolnekdpbcijmhambjff" TargetMode="External"/><Relationship Id="rId180" Type="http://schemas.openxmlformats.org/officeDocument/2006/relationships/hyperlink" Target="https://chromewebstore.google.com/detail/cmjihoeplpkmlmbbiiognkceoechmand" TargetMode="External"/><Relationship Id="rId176" Type="http://schemas.openxmlformats.org/officeDocument/2006/relationships/hyperlink" Target="https://chromewebstore.google.com/detail/cedbddnnmhgnedpamoenmdkhnpnfbpjb" TargetMode="External"/><Relationship Id="rId175" Type="http://schemas.openxmlformats.org/officeDocument/2006/relationships/hyperlink" Target="https://chromewebstore.google.com/detail/cbnfajeeaebnldmgnodjlkfeomdacjlc" TargetMode="External"/><Relationship Id="rId174" Type="http://schemas.openxmlformats.org/officeDocument/2006/relationships/hyperlink" Target="https://chromewebstore.google.com/detail/cbhdjmlgamciejnfglfejgbgmjdddckh" TargetMode="External"/><Relationship Id="rId173" Type="http://schemas.openxmlformats.org/officeDocument/2006/relationships/hyperlink" Target="https://chromewebstore.google.com/detail/cankofcoohmbhfpcemhmaaeennfbnmgp" TargetMode="External"/><Relationship Id="rId179" Type="http://schemas.openxmlformats.org/officeDocument/2006/relationships/hyperlink" Target="https://chromewebstore.google.com/detail/clloobkgbdighillbfomkhjhgeempchd" TargetMode="External"/><Relationship Id="rId178" Type="http://schemas.openxmlformats.org/officeDocument/2006/relationships/hyperlink" Target="https://chromewebstore.google.com/detail/cledppeceojodgghbbkaciochldmpdfk" TargetMode="External"/><Relationship Id="rId177" Type="http://schemas.openxmlformats.org/officeDocument/2006/relationships/hyperlink" Target="https://chromewebstore.google.com/detail/cepmakjlanepojocakadfpohnhhalfol" TargetMode="External"/><Relationship Id="rId198" Type="http://schemas.openxmlformats.org/officeDocument/2006/relationships/hyperlink" Target="https://chromewebstore.google.com/detail/eopjamdnofihpioajgfdikhhbobonhbb" TargetMode="External"/><Relationship Id="rId197" Type="http://schemas.openxmlformats.org/officeDocument/2006/relationships/hyperlink" Target="https://chromewebstore.google.com/detail/eoieeedlomnegifmaghhjnghhmcldobl" TargetMode="External"/><Relationship Id="rId196" Type="http://schemas.openxmlformats.org/officeDocument/2006/relationships/hyperlink" Target="https://chromewebstore.google.com/detail/emikbbbebcdfohonlaifafnoanocnebl" TargetMode="External"/><Relationship Id="rId195" Type="http://schemas.openxmlformats.org/officeDocument/2006/relationships/hyperlink" Target="https://chromewebstore.google.com/detail/emhohdghchmjepmigjojkehidlielknj" TargetMode="External"/><Relationship Id="rId199" Type="http://schemas.openxmlformats.org/officeDocument/2006/relationships/hyperlink" Target="https://chromewebstore.google.com/detail/fcdbimocephnflhcladjelkceaefdcjh" TargetMode="External"/><Relationship Id="rId150" Type="http://schemas.openxmlformats.org/officeDocument/2006/relationships/hyperlink" Target="https://chromewebstore.google.com/detail/npknlajilknlnfgeihkpdaaeonbdcnia" TargetMode="External"/><Relationship Id="rId149" Type="http://schemas.openxmlformats.org/officeDocument/2006/relationships/hyperlink" Target="https://chromewebstore.google.com/detail/nodkcjollmmjidmcnhloaoahmciabnai" TargetMode="External"/><Relationship Id="rId148" Type="http://schemas.openxmlformats.org/officeDocument/2006/relationships/hyperlink" Target="https://chromewebstore.google.com/detail/ngmncgebkdchkdokiecifpmodajbaopj" TargetMode="External"/><Relationship Id="rId3270" Type="http://schemas.openxmlformats.org/officeDocument/2006/relationships/hyperlink" Target="https://chromewebstore.google.com/detail/akofeegpkdihaikifokhbilkaipgjboe" TargetMode="External"/><Relationship Id="rId3272" Type="http://schemas.openxmlformats.org/officeDocument/2006/relationships/hyperlink" Target="https://chromewebstore.google.com/detail/amlphicekaahonoefoalobphkodkoalp" TargetMode="External"/><Relationship Id="rId3271" Type="http://schemas.openxmlformats.org/officeDocument/2006/relationships/hyperlink" Target="https://chromewebstore.google.com/detail/amlbbbgcijmiooecobhkjblcdkjldmdk" TargetMode="External"/><Relationship Id="rId143" Type="http://schemas.openxmlformats.org/officeDocument/2006/relationships/hyperlink" Target="https://chromewebstore.google.com/detail/jjpmjccpemllnmgiaojaocgnakpmfgjg" TargetMode="External"/><Relationship Id="rId3274" Type="http://schemas.openxmlformats.org/officeDocument/2006/relationships/hyperlink" Target="https://chromewebstore.google.com/detail/aonhapalnnnjlonafnammcbnafmafmpg" TargetMode="External"/><Relationship Id="rId142" Type="http://schemas.openxmlformats.org/officeDocument/2006/relationships/hyperlink" Target="https://chromewebstore.google.com/detail/infppggnoaenmfagbfknfkancpbljcca" TargetMode="External"/><Relationship Id="rId3273" Type="http://schemas.openxmlformats.org/officeDocument/2006/relationships/hyperlink" Target="https://chromewebstore.google.com/detail/aogpohpdlalgbanndjocbimokbklkfbh" TargetMode="External"/><Relationship Id="rId141" Type="http://schemas.openxmlformats.org/officeDocument/2006/relationships/hyperlink" Target="https://chromewebstore.google.com/detail/ijickplbjolieoligpppakdmfdajmgij" TargetMode="External"/><Relationship Id="rId3276" Type="http://schemas.openxmlformats.org/officeDocument/2006/relationships/hyperlink" Target="https://chromewebstore.google.com/detail/apadkficecnpmnjmedbpdbkikcofdpim" TargetMode="External"/><Relationship Id="rId140" Type="http://schemas.openxmlformats.org/officeDocument/2006/relationships/hyperlink" Target="https://chromewebstore.google.com/detail/igiofjhpmpihnifddepnpngfjhkfenbp" TargetMode="External"/><Relationship Id="rId3275" Type="http://schemas.openxmlformats.org/officeDocument/2006/relationships/hyperlink" Target="https://chromewebstore.google.com/detail/aoplmgafblbhcgmbcgdjlgckefefmpbg" TargetMode="External"/><Relationship Id="rId147" Type="http://schemas.openxmlformats.org/officeDocument/2006/relationships/hyperlink" Target="https://chromewebstore.google.com/detail/mghabdfikjldejcdcmclcmpcmknjahli" TargetMode="External"/><Relationship Id="rId3278" Type="http://schemas.openxmlformats.org/officeDocument/2006/relationships/hyperlink" Target="https://chromewebstore.google.com/detail/aphphgiefmjmofabjffjdbhgiomkocil" TargetMode="External"/><Relationship Id="rId146" Type="http://schemas.openxmlformats.org/officeDocument/2006/relationships/hyperlink" Target="https://chromewebstore.google.com/detail/lmaghghbppffhmndhlneljdcikhdckcn" TargetMode="External"/><Relationship Id="rId3277" Type="http://schemas.openxmlformats.org/officeDocument/2006/relationships/hyperlink" Target="https://chromewebstore.google.com/detail/apdkepbhjfikeebchkdgljccbogjdmom" TargetMode="External"/><Relationship Id="rId145" Type="http://schemas.openxmlformats.org/officeDocument/2006/relationships/hyperlink" Target="https://chromewebstore.google.com/detail/licccgnfdlgmmmgaddmbcepikfadcmpe" TargetMode="External"/><Relationship Id="rId144" Type="http://schemas.openxmlformats.org/officeDocument/2006/relationships/hyperlink" Target="https://chromewebstore.google.com/detail/lfhmikememgdcahcdlaciloancbhjino" TargetMode="External"/><Relationship Id="rId3279" Type="http://schemas.openxmlformats.org/officeDocument/2006/relationships/hyperlink" Target="https://chromewebstore.google.com/detail/apkcacbhdpjmpgbioenjmjdlecijmbch" TargetMode="External"/><Relationship Id="rId139" Type="http://schemas.openxmlformats.org/officeDocument/2006/relationships/hyperlink" Target="https://chromewebstore.google.com/detail/ifipmflagepipjokmbdecpmjbibjnakm" TargetMode="External"/><Relationship Id="rId138" Type="http://schemas.openxmlformats.org/officeDocument/2006/relationships/hyperlink" Target="https://chromewebstore.google.com/detail/ienfdfooajmkbebiaplehejbamefbboi" TargetMode="External"/><Relationship Id="rId137" Type="http://schemas.openxmlformats.org/officeDocument/2006/relationships/hyperlink" Target="https://chromewebstore.google.com/detail/iahnhfdhidomcpggpaimmmahffihkfnj" TargetMode="External"/><Relationship Id="rId4590" Type="http://schemas.openxmlformats.org/officeDocument/2006/relationships/hyperlink" Target="https://chromewebstore.google.com/detail/lgjdkielngenkbnfmioemjcldnhlcpkn" TargetMode="External"/><Relationship Id="rId3261" Type="http://schemas.openxmlformats.org/officeDocument/2006/relationships/hyperlink" Target="https://chromewebstore.google.com/detail/ahkmaoddmipjgkfhcfpljkiibpekmehn" TargetMode="External"/><Relationship Id="rId4592" Type="http://schemas.openxmlformats.org/officeDocument/2006/relationships/hyperlink" Target="https://chromewebstore.google.com/detail/lhaamjcmnafobcjjcjfpglfonpdkoedb" TargetMode="External"/><Relationship Id="rId3260" Type="http://schemas.openxmlformats.org/officeDocument/2006/relationships/hyperlink" Target="https://chromewebstore.google.com/detail/ahajhopfbfpekcljjjppolcmapaidldc" TargetMode="External"/><Relationship Id="rId4591" Type="http://schemas.openxmlformats.org/officeDocument/2006/relationships/hyperlink" Target="https://chromewebstore.google.com/detail/lglmeekjblljbeemilnpakfhgaodnpik" TargetMode="External"/><Relationship Id="rId132" Type="http://schemas.openxmlformats.org/officeDocument/2006/relationships/hyperlink" Target="https://chromewebstore.google.com/detail/gokgophibdidjjpildcdbfpmcahilaaf" TargetMode="External"/><Relationship Id="rId3263" Type="http://schemas.openxmlformats.org/officeDocument/2006/relationships/hyperlink" Target="https://chromewebstore.google.com/detail/aiebakhanplhafhhhebkaekfdiiecoog" TargetMode="External"/><Relationship Id="rId4594" Type="http://schemas.openxmlformats.org/officeDocument/2006/relationships/hyperlink" Target="https://chromewebstore.google.com/detail/lhhpifdkcdahnllampbkpideiogbjplm" TargetMode="External"/><Relationship Id="rId131" Type="http://schemas.openxmlformats.org/officeDocument/2006/relationships/hyperlink" Target="https://chromewebstore.google.com/detail/glgomjpomoahpeekneidkinhcfjnnhmb" TargetMode="External"/><Relationship Id="rId3262" Type="http://schemas.openxmlformats.org/officeDocument/2006/relationships/hyperlink" Target="https://chromewebstore.google.com/detail/aiapcdmdlkmmlcnjnoochgppbmbpobng" TargetMode="External"/><Relationship Id="rId4593" Type="http://schemas.openxmlformats.org/officeDocument/2006/relationships/hyperlink" Target="https://chromewebstore.google.com/detail/lhdfonhgkclaigpfmclbahllambeednh" TargetMode="External"/><Relationship Id="rId130" Type="http://schemas.openxmlformats.org/officeDocument/2006/relationships/hyperlink" Target="https://chromewebstore.google.com/detail/gjedkhmeelbomjafdlehdcomjhobcnbk" TargetMode="External"/><Relationship Id="rId3265" Type="http://schemas.openxmlformats.org/officeDocument/2006/relationships/hyperlink" Target="https://chromewebstore.google.com/detail/aiojhapcgfgmiacbbjfgedhlcchmpelh" TargetMode="External"/><Relationship Id="rId4596" Type="http://schemas.openxmlformats.org/officeDocument/2006/relationships/hyperlink" Target="https://chromewebstore.google.com/detail/lhpckbimofmmlihkgccfhejhjdklcemp" TargetMode="External"/><Relationship Id="rId3264" Type="http://schemas.openxmlformats.org/officeDocument/2006/relationships/hyperlink" Target="https://chromewebstore.google.com/detail/aijfbconiilhjgfljolkoiaockgenpgn" TargetMode="External"/><Relationship Id="rId4595" Type="http://schemas.openxmlformats.org/officeDocument/2006/relationships/hyperlink" Target="https://chromewebstore.google.com/detail/lhieoncdgamiiogcllfmboilhgoknmpi" TargetMode="External"/><Relationship Id="rId136" Type="http://schemas.openxmlformats.org/officeDocument/2006/relationships/hyperlink" Target="https://chromewebstore.google.com/detail/hojmjpdlmjopaeginhldhiokeidchjid" TargetMode="External"/><Relationship Id="rId3267" Type="http://schemas.openxmlformats.org/officeDocument/2006/relationships/hyperlink" Target="https://chromewebstore.google.com/detail/ajlbdflhaaflcepndpkdgejimggjcpnm" TargetMode="External"/><Relationship Id="rId4598" Type="http://schemas.openxmlformats.org/officeDocument/2006/relationships/hyperlink" Target="https://chromewebstore.google.com/detail/licgjijkcdabjnhdhadlpepdigkjjigp" TargetMode="External"/><Relationship Id="rId135" Type="http://schemas.openxmlformats.org/officeDocument/2006/relationships/hyperlink" Target="https://chromewebstore.google.com/detail/hfpmbfgodkfcebpgheiedaddoikmljkk" TargetMode="External"/><Relationship Id="rId3266" Type="http://schemas.openxmlformats.org/officeDocument/2006/relationships/hyperlink" Target="https://chromewebstore.google.com/detail/ajklapihhlcmcoaeecfeegnfaibiahdg" TargetMode="External"/><Relationship Id="rId4597" Type="http://schemas.openxmlformats.org/officeDocument/2006/relationships/hyperlink" Target="https://chromewebstore.google.com/detail/liceejagengiobjejmofgipjdmcojlli" TargetMode="External"/><Relationship Id="rId134" Type="http://schemas.openxmlformats.org/officeDocument/2006/relationships/hyperlink" Target="https://chromewebstore.google.com/detail/hahkjjkedonglpienpfiganogikkkoii" TargetMode="External"/><Relationship Id="rId3269" Type="http://schemas.openxmlformats.org/officeDocument/2006/relationships/hyperlink" Target="https://chromewebstore.google.com/detail/aklbjhncdccehkmomddjccjlpgfadegj" TargetMode="External"/><Relationship Id="rId133" Type="http://schemas.openxmlformats.org/officeDocument/2006/relationships/hyperlink" Target="https://chromewebstore.google.com/detail/hafdlehgocfcodbgjnpecfajgkeejnaa" TargetMode="External"/><Relationship Id="rId3268" Type="http://schemas.openxmlformats.org/officeDocument/2006/relationships/hyperlink" Target="https://chromewebstore.google.com/detail/ajmebljhmdndihimeodajeiicccpdfei" TargetMode="External"/><Relationship Id="rId4599" Type="http://schemas.openxmlformats.org/officeDocument/2006/relationships/hyperlink" Target="https://chromewebstore.google.com/detail/ljbmkpdkikehladkjibcgdgogagagcag" TargetMode="External"/><Relationship Id="rId172" Type="http://schemas.openxmlformats.org/officeDocument/2006/relationships/hyperlink" Target="https://chromewebstore.google.com/detail/bocbaocobfecmglnmeaeppambideimao" TargetMode="External"/><Relationship Id="rId171" Type="http://schemas.openxmlformats.org/officeDocument/2006/relationships/hyperlink" Target="https://chromewebstore.google.com/detail/bkiiljdcpccihhoigelmohcfkehdnjej" TargetMode="External"/><Relationship Id="rId170" Type="http://schemas.openxmlformats.org/officeDocument/2006/relationships/hyperlink" Target="https://chromewebstore.google.com/detail/bkfagmnjmfjalbbaiphoiiafghlknpog" TargetMode="External"/><Relationship Id="rId3290" Type="http://schemas.openxmlformats.org/officeDocument/2006/relationships/hyperlink" Target="https://chromewebstore.google.com/detail/bfpajabhojlnokoghgnpjibklipampab" TargetMode="External"/><Relationship Id="rId3292" Type="http://schemas.openxmlformats.org/officeDocument/2006/relationships/hyperlink" Target="https://chromewebstore.google.com/detail/bgjfbcjoaghcfdhnnnnaofkjbnelkkcm" TargetMode="External"/><Relationship Id="rId3291" Type="http://schemas.openxmlformats.org/officeDocument/2006/relationships/hyperlink" Target="https://chromewebstore.google.com/detail/bgflddecjcadaapedngfifbkhghnpmep" TargetMode="External"/><Relationship Id="rId3294" Type="http://schemas.openxmlformats.org/officeDocument/2006/relationships/hyperlink" Target="https://chromewebstore.google.com/detail/bgldhlkimfdidhgmndninednbehpcenk" TargetMode="External"/><Relationship Id="rId3293" Type="http://schemas.openxmlformats.org/officeDocument/2006/relationships/hyperlink" Target="https://chromewebstore.google.com/detail/bgjmoeebomokfcfmopbappgncbhppmec" TargetMode="External"/><Relationship Id="rId165" Type="http://schemas.openxmlformats.org/officeDocument/2006/relationships/hyperlink" Target="https://chromewebstore.google.com/detail/bdakmnplckeopfghnlpocafcepegjeap" TargetMode="External"/><Relationship Id="rId3296" Type="http://schemas.openxmlformats.org/officeDocument/2006/relationships/hyperlink" Target="https://chromewebstore.google.com/detail/bijmchgbjjmcmhldfpbamobldomjoioo" TargetMode="External"/><Relationship Id="rId164" Type="http://schemas.openxmlformats.org/officeDocument/2006/relationships/hyperlink" Target="https://chromewebstore.google.com/detail/bcellnicpceplkigjnldelfglfmomhon" TargetMode="External"/><Relationship Id="rId3295" Type="http://schemas.openxmlformats.org/officeDocument/2006/relationships/hyperlink" Target="https://chromewebstore.google.com/detail/bhnlonlaadgnjhbmbjafmigneejilano" TargetMode="External"/><Relationship Id="rId163" Type="http://schemas.openxmlformats.org/officeDocument/2006/relationships/hyperlink" Target="https://chromewebstore.google.com/detail/aleggpabliehgbeagmfhnodcijcmbonb" TargetMode="External"/><Relationship Id="rId3298" Type="http://schemas.openxmlformats.org/officeDocument/2006/relationships/hyperlink" Target="https://chromewebstore.google.com/detail/bjdfpdlbeklikgponpiohccngpibjfeb" TargetMode="External"/><Relationship Id="rId162" Type="http://schemas.openxmlformats.org/officeDocument/2006/relationships/hyperlink" Target="https://chromewebstore.google.com/detail/aikbehojjdffmangolfbohjdigfdnepa" TargetMode="External"/><Relationship Id="rId3297" Type="http://schemas.openxmlformats.org/officeDocument/2006/relationships/hyperlink" Target="https://chromewebstore.google.com/detail/binboaimbgchaamickjnhgjdccohndin" TargetMode="External"/><Relationship Id="rId169" Type="http://schemas.openxmlformats.org/officeDocument/2006/relationships/hyperlink" Target="https://chromewebstore.google.com/detail/bhplkbgoehhhddaoolmakpocnenplmhf" TargetMode="External"/><Relationship Id="rId168" Type="http://schemas.openxmlformats.org/officeDocument/2006/relationships/hyperlink" Target="https://chromewebstore.google.com/detail/bflolcmnokpcochfhappdfipeficedjf" TargetMode="External"/><Relationship Id="rId3299" Type="http://schemas.openxmlformats.org/officeDocument/2006/relationships/hyperlink" Target="https://chromewebstore.google.com/detail/bjdkhikjbkefnnfkaghgeejggggplfbi" TargetMode="External"/><Relationship Id="rId167" Type="http://schemas.openxmlformats.org/officeDocument/2006/relationships/hyperlink" Target="https://chromewebstore.google.com/detail/bebdhgdigjiiamnkcenegafmfjoghafk" TargetMode="External"/><Relationship Id="rId166" Type="http://schemas.openxmlformats.org/officeDocument/2006/relationships/hyperlink" Target="https://chromewebstore.google.com/detail/bdjaekjkckpdknkfncfnaibkabdcgmkg" TargetMode="External"/><Relationship Id="rId161" Type="http://schemas.openxmlformats.org/officeDocument/2006/relationships/hyperlink" Target="https://chromewebstore.google.com/detail/aiahkbnnpafepcgnhhecilboebmmolnn" TargetMode="External"/><Relationship Id="rId160" Type="http://schemas.openxmlformats.org/officeDocument/2006/relationships/hyperlink" Target="https://chromewebstore.google.com/detail/agpmgihmmmfkbhckmciedmhincdggomo" TargetMode="External"/><Relationship Id="rId159" Type="http://schemas.openxmlformats.org/officeDocument/2006/relationships/hyperlink" Target="https://chromewebstore.google.com/detail/agkcaldeglaadeknkclfbpdojhhclfej" TargetMode="External"/><Relationship Id="rId3281" Type="http://schemas.openxmlformats.org/officeDocument/2006/relationships/hyperlink" Target="https://chromewebstore.google.com/detail/appogchhpnhejfnleocdbnbhdmmledgc" TargetMode="External"/><Relationship Id="rId3280" Type="http://schemas.openxmlformats.org/officeDocument/2006/relationships/hyperlink" Target="https://chromewebstore.google.com/detail/apnenglknmpfjpfcdbobpjigmaapjoip" TargetMode="External"/><Relationship Id="rId3283" Type="http://schemas.openxmlformats.org/officeDocument/2006/relationships/hyperlink" Target="https://chromewebstore.google.com/detail/bappiabcodbpphnojdiaddhnilfnjmpm" TargetMode="External"/><Relationship Id="rId3282" Type="http://schemas.openxmlformats.org/officeDocument/2006/relationships/hyperlink" Target="https://chromewebstore.google.com/detail/baojhpeknpmkhplkcnpdcficcaaniaih" TargetMode="External"/><Relationship Id="rId154" Type="http://schemas.openxmlformats.org/officeDocument/2006/relationships/hyperlink" Target="https://chromewebstore.google.com/detail/abdkkegmcbiomijcbdaodaflgehfffed" TargetMode="External"/><Relationship Id="rId3285" Type="http://schemas.openxmlformats.org/officeDocument/2006/relationships/hyperlink" Target="https://chromewebstore.google.com/detail/bckkmpmpogeglgfbdklgiknbglddloki" TargetMode="External"/><Relationship Id="rId153" Type="http://schemas.openxmlformats.org/officeDocument/2006/relationships/hyperlink" Target="https://chromewebstore.google.com/detail/pjpiknifcdmhabpbikmkhhfgppafidna" TargetMode="External"/><Relationship Id="rId3284" Type="http://schemas.openxmlformats.org/officeDocument/2006/relationships/hyperlink" Target="https://chromewebstore.google.com/detail/bchmmfnbdgiijhplkbbkohfhpihmamac" TargetMode="External"/><Relationship Id="rId152" Type="http://schemas.openxmlformats.org/officeDocument/2006/relationships/hyperlink" Target="https://chromewebstore.google.com/detail/ofoeigeaodhbjogdigckajfhjbonaofg" TargetMode="External"/><Relationship Id="rId3287" Type="http://schemas.openxmlformats.org/officeDocument/2006/relationships/hyperlink" Target="https://chromewebstore.google.com/detail/bdllbpaajbedehahefgjglijelgmmhjm" TargetMode="External"/><Relationship Id="rId151" Type="http://schemas.openxmlformats.org/officeDocument/2006/relationships/hyperlink" Target="https://chromewebstore.google.com/detail/ofmpffnppnlgkgmbgidhhjcglloeejpg" TargetMode="External"/><Relationship Id="rId3286" Type="http://schemas.openxmlformats.org/officeDocument/2006/relationships/hyperlink" Target="https://chromewebstore.google.com/detail/bddbafgkmneiebpibclbakmdnijhgeim" TargetMode="External"/><Relationship Id="rId158" Type="http://schemas.openxmlformats.org/officeDocument/2006/relationships/hyperlink" Target="https://chromewebstore.google.com/detail/aghldgpdpmfhlmlojfpeeepcjdopcmgn" TargetMode="External"/><Relationship Id="rId3289" Type="http://schemas.openxmlformats.org/officeDocument/2006/relationships/hyperlink" Target="https://chromewebstore.google.com/detail/bfibdamncbfdindaeeecehmgkdjenjgb" TargetMode="External"/><Relationship Id="rId157" Type="http://schemas.openxmlformats.org/officeDocument/2006/relationships/hyperlink" Target="https://chromewebstore.google.com/detail/adepkmleadimefolboaaedghfnnbfpnp" TargetMode="External"/><Relationship Id="rId3288" Type="http://schemas.openxmlformats.org/officeDocument/2006/relationships/hyperlink" Target="https://chromewebstore.google.com/detail/bfdonckegflhbiamlmidciapolfccmmb" TargetMode="External"/><Relationship Id="rId156" Type="http://schemas.openxmlformats.org/officeDocument/2006/relationships/hyperlink" Target="https://chromewebstore.google.com/detail/acgimceffoceigocablmjdpebeodphgc" TargetMode="External"/><Relationship Id="rId155" Type="http://schemas.openxmlformats.org/officeDocument/2006/relationships/hyperlink" Target="https://chromewebstore.google.com/detail/accllpimnoffllpeblphooameaofhnah" TargetMode="External"/><Relationship Id="rId9451" Type="http://schemas.openxmlformats.org/officeDocument/2006/relationships/hyperlink" Target="https://chromewebstore.google.com/detail/cnidobammcifdlagbiobgfmkoecfoaib" TargetMode="External"/><Relationship Id="rId9452" Type="http://schemas.openxmlformats.org/officeDocument/2006/relationships/hyperlink" Target="https://chromewebstore.google.com/detail/glkopfadnnchjlikendfaaajmdkbbalj" TargetMode="External"/><Relationship Id="rId9453" Type="http://schemas.openxmlformats.org/officeDocument/2006/relationships/hyperlink" Target="https://chromewebstore.google.com/detail/hejblflceieoemjadbnlpplaajbneedn" TargetMode="External"/><Relationship Id="rId9454" Type="http://schemas.openxmlformats.org/officeDocument/2006/relationships/hyperlink" Target="https://chromewebstore.google.com/detail/ilcedokeaoecefkdndkjpodieiamefdm" TargetMode="External"/><Relationship Id="rId8123" Type="http://schemas.openxmlformats.org/officeDocument/2006/relationships/hyperlink" Target="https://chromewebstore.google.com/detail/libajdoapablnccbiakfbjjoofohelah" TargetMode="External"/><Relationship Id="rId8122" Type="http://schemas.openxmlformats.org/officeDocument/2006/relationships/hyperlink" Target="https://chromewebstore.google.com/detail/hkhlmkflfapnfamjjldmemkbgplfhbnl" TargetMode="External"/><Relationship Id="rId8121" Type="http://schemas.openxmlformats.org/officeDocument/2006/relationships/hyperlink" Target="https://chromewebstore.google.com/detail/cdmpmfcgepijfiaaojbahpmpjfkgdgja" TargetMode="External"/><Relationship Id="rId8120" Type="http://schemas.openxmlformats.org/officeDocument/2006/relationships/hyperlink" Target="https://chromewebstore.google.com/detail/pafeplegibgoknhlkemcfeemoghbamfj" TargetMode="External"/><Relationship Id="rId9450" Type="http://schemas.openxmlformats.org/officeDocument/2006/relationships/hyperlink" Target="https://chromewebstore.google.com/detail/cejcamkfmcboeoaplnoeckholcdnfcnb" TargetMode="External"/><Relationship Id="rId8127" Type="http://schemas.openxmlformats.org/officeDocument/2006/relationships/hyperlink" Target="https://chromewebstore.google.com/detail/fhdjnnbfgbgheebemnjaopachfanifhh" TargetMode="External"/><Relationship Id="rId9459" Type="http://schemas.openxmlformats.org/officeDocument/2006/relationships/hyperlink" Target="https://chromewebstore.google.com/detail/cilgjbakamckjkiebndhokceglicbodi" TargetMode="External"/><Relationship Id="rId8126" Type="http://schemas.openxmlformats.org/officeDocument/2006/relationships/hyperlink" Target="https://chromewebstore.google.com/detail/eafdoeojplandfjbmjkglljhlckoajcg" TargetMode="External"/><Relationship Id="rId8125" Type="http://schemas.openxmlformats.org/officeDocument/2006/relationships/hyperlink" Target="https://chromewebstore.google.com/detail/bomipglfgpeaeailgdcgkcppjhkgbhoh" TargetMode="External"/><Relationship Id="rId8124" Type="http://schemas.openxmlformats.org/officeDocument/2006/relationships/hyperlink" Target="https://chromewebstore.google.com/detail/aiickpjplakbajmoglephfflijahgblj" TargetMode="External"/><Relationship Id="rId9455" Type="http://schemas.openxmlformats.org/officeDocument/2006/relationships/hyperlink" Target="https://chromewebstore.google.com/detail/pkbcojdobadeaaokfccfhakpboblbdhd" TargetMode="External"/><Relationship Id="rId9456" Type="http://schemas.openxmlformats.org/officeDocument/2006/relationships/hyperlink" Target="https://chromewebstore.google.com/detail/aljcdaalmbiafjpicnnloialbbceiljn" TargetMode="External"/><Relationship Id="rId8129" Type="http://schemas.openxmlformats.org/officeDocument/2006/relationships/hyperlink" Target="https://chromewebstore.google.com/detail/mpflpgaobfpjcpefkdnpalfdodifkkgc" TargetMode="External"/><Relationship Id="rId9457" Type="http://schemas.openxmlformats.org/officeDocument/2006/relationships/hyperlink" Target="https://chromewebstore.google.com/detail/bhdoamafjclkjalgmndfnpfpfpllopdh" TargetMode="External"/><Relationship Id="rId8128" Type="http://schemas.openxmlformats.org/officeDocument/2006/relationships/hyperlink" Target="https://chromewebstore.google.com/detail/mkgeplonhadmdlocjaneefkldpfdcago" TargetMode="External"/><Relationship Id="rId9458" Type="http://schemas.openxmlformats.org/officeDocument/2006/relationships/hyperlink" Target="https://chromewebstore.google.com/detail/bnmjajghllhhhgiaeipaibfmnjnponhd" TargetMode="External"/><Relationship Id="rId9440" Type="http://schemas.openxmlformats.org/officeDocument/2006/relationships/hyperlink" Target="https://chromewebstore.google.com/detail/gheadcedfdipckeikghfagbolhjgaapb" TargetMode="External"/><Relationship Id="rId9441" Type="http://schemas.openxmlformats.org/officeDocument/2006/relationships/hyperlink" Target="https://chromewebstore.google.com/detail/jihfaailcmkcaohhaloniapfpambpbgh" TargetMode="External"/><Relationship Id="rId9442" Type="http://schemas.openxmlformats.org/officeDocument/2006/relationships/hyperlink" Target="https://chromewebstore.google.com/detail/lcdcimlkaneihfjboiomfiigpcfllbig" TargetMode="External"/><Relationship Id="rId9443" Type="http://schemas.openxmlformats.org/officeDocument/2006/relationships/hyperlink" Target="https://chromewebstore.google.com/detail/lkggefncopjobklggpoepdgmpfdfjlkm" TargetMode="External"/><Relationship Id="rId8112" Type="http://schemas.openxmlformats.org/officeDocument/2006/relationships/hyperlink" Target="https://chromewebstore.google.com/detail/bafhnpibhakejchipdcnhbdpejphjiem" TargetMode="External"/><Relationship Id="rId8111" Type="http://schemas.openxmlformats.org/officeDocument/2006/relationships/hyperlink" Target="https://chromewebstore.google.com/detail/aamdbafophajiecmhbnbakndfgjkfpce" TargetMode="External"/><Relationship Id="rId8110" Type="http://schemas.openxmlformats.org/officeDocument/2006/relationships/hyperlink" Target="https://chromewebstore.google.com/detail/phacgaokecahmpcfcbpelnbpbjcglapd" TargetMode="External"/><Relationship Id="rId8116" Type="http://schemas.openxmlformats.org/officeDocument/2006/relationships/hyperlink" Target="https://chromewebstore.google.com/detail/jilkhaondmaoalimddiaeiahpfkkchkf" TargetMode="External"/><Relationship Id="rId9448" Type="http://schemas.openxmlformats.org/officeDocument/2006/relationships/hyperlink" Target="https://chromewebstore.google.com/detail/ippaapoiolpdkljaeicdcjilfdimgklb" TargetMode="External"/><Relationship Id="rId8115" Type="http://schemas.openxmlformats.org/officeDocument/2006/relationships/hyperlink" Target="https://chromewebstore.google.com/detail/igfghgmlefpidcbinpcifhknoifdamdj" TargetMode="External"/><Relationship Id="rId9449" Type="http://schemas.openxmlformats.org/officeDocument/2006/relationships/hyperlink" Target="https://chromewebstore.google.com/detail/bfbgdbiecfcepelcdmbokphbkoloeimp" TargetMode="External"/><Relationship Id="rId8114" Type="http://schemas.openxmlformats.org/officeDocument/2006/relationships/hyperlink" Target="https://chromewebstore.google.com/detail/ckfphpmobmoadbdkmffnffngagjohjmf" TargetMode="External"/><Relationship Id="rId8113" Type="http://schemas.openxmlformats.org/officeDocument/2006/relationships/hyperlink" Target="https://chromewebstore.google.com/detail/cbebgcijnnddaopldijabckkahpbimgi" TargetMode="External"/><Relationship Id="rId9444" Type="http://schemas.openxmlformats.org/officeDocument/2006/relationships/hyperlink" Target="https://chromewebstore.google.com/detail/mkmemciklmkffcpnihapnjkfhpchlodh" TargetMode="External"/><Relationship Id="rId8119" Type="http://schemas.openxmlformats.org/officeDocument/2006/relationships/hyperlink" Target="https://chromewebstore.google.com/detail/kcgmdmiklefbbknlajdlngofclkianjp" TargetMode="External"/><Relationship Id="rId9445" Type="http://schemas.openxmlformats.org/officeDocument/2006/relationships/hyperlink" Target="https://chromewebstore.google.com/detail/pjpafklkkifgjbpeinonoelpeckhoaje" TargetMode="External"/><Relationship Id="rId8118" Type="http://schemas.openxmlformats.org/officeDocument/2006/relationships/hyperlink" Target="https://chromewebstore.google.com/detail/knammbkafbpckgibgjilgpcnpacmecme" TargetMode="External"/><Relationship Id="rId9446" Type="http://schemas.openxmlformats.org/officeDocument/2006/relationships/hyperlink" Target="https://chromewebstore.google.com/detail/hlmhjakokajncnencjkhieokhpkdilfl" TargetMode="External"/><Relationship Id="rId8117" Type="http://schemas.openxmlformats.org/officeDocument/2006/relationships/hyperlink" Target="https://chromewebstore.google.com/detail/kgljgnbhcigffgoifhjbbifhbdkapmgm" TargetMode="External"/><Relationship Id="rId9447" Type="http://schemas.openxmlformats.org/officeDocument/2006/relationships/hyperlink" Target="https://chromewebstore.google.com/detail/iahfandbphfkbofbkkhkikgjhkfgdhai" TargetMode="External"/><Relationship Id="rId8141" Type="http://schemas.openxmlformats.org/officeDocument/2006/relationships/hyperlink" Target="https://chromewebstore.google.com/detail/gkaekoklibblfgbmjcellibkjmgddcjh" TargetMode="External"/><Relationship Id="rId9473" Type="http://schemas.openxmlformats.org/officeDocument/2006/relationships/hyperlink" Target="https://chromewebstore.google.com/detail/diipoibplgmlelojkgdpjibgfjgfjkih" TargetMode="External"/><Relationship Id="rId8140" Type="http://schemas.openxmlformats.org/officeDocument/2006/relationships/hyperlink" Target="https://chromewebstore.google.com/detail/gioecfncgelemfipmklohlfondkogeha" TargetMode="External"/><Relationship Id="rId9474" Type="http://schemas.openxmlformats.org/officeDocument/2006/relationships/hyperlink" Target="https://chromewebstore.google.com/detail/fceankoalphgakeplaphillmcgmdeckc" TargetMode="External"/><Relationship Id="rId9475" Type="http://schemas.openxmlformats.org/officeDocument/2006/relationships/hyperlink" Target="https://chromewebstore.google.com/detail/fkdpddcmgklcnejajcoafipmlodbgeom" TargetMode="External"/><Relationship Id="rId9476" Type="http://schemas.openxmlformats.org/officeDocument/2006/relationships/hyperlink" Target="https://chromewebstore.google.com/detail/peboekgeiffcaddndeonkmkledekeegl" TargetMode="External"/><Relationship Id="rId8145" Type="http://schemas.openxmlformats.org/officeDocument/2006/relationships/hyperlink" Target="https://chromewebstore.google.com/detail/mjdphmpknkepficogfmnfhabmlngggip" TargetMode="External"/><Relationship Id="rId8144" Type="http://schemas.openxmlformats.org/officeDocument/2006/relationships/hyperlink" Target="https://chromewebstore.google.com/detail/keokkojbogejboamkdahfibbeiegfpek" TargetMode="External"/><Relationship Id="rId9470" Type="http://schemas.openxmlformats.org/officeDocument/2006/relationships/hyperlink" Target="https://chromewebstore.google.com/detail/adglgkhcpfdcocgekhbkghpajnbgcekd" TargetMode="External"/><Relationship Id="rId8143" Type="http://schemas.openxmlformats.org/officeDocument/2006/relationships/hyperlink" Target="https://chromewebstore.google.com/detail/hciflkkadhmficnfopeojmdfjfcaoejf" TargetMode="External"/><Relationship Id="rId9471" Type="http://schemas.openxmlformats.org/officeDocument/2006/relationships/hyperlink" Target="https://chromewebstore.google.com/detail/ahenlbboobkcclimcmfmeppgldbnemfh" TargetMode="External"/><Relationship Id="rId8142" Type="http://schemas.openxmlformats.org/officeDocument/2006/relationships/hyperlink" Target="https://chromewebstore.google.com/detail/glbjlbehokkbmdfmnkbpkiidamifooci" TargetMode="External"/><Relationship Id="rId9472" Type="http://schemas.openxmlformats.org/officeDocument/2006/relationships/hyperlink" Target="https://chromewebstore.google.com/detail/aoapgplnpgfjgdjkmnklhojkldpihmji" TargetMode="External"/><Relationship Id="rId8149" Type="http://schemas.openxmlformats.org/officeDocument/2006/relationships/hyperlink" Target="https://chromewebstore.google.com/detail/hlabkdeeoecamlejpjgaedopbpflfhjm" TargetMode="External"/><Relationship Id="rId8148" Type="http://schemas.openxmlformats.org/officeDocument/2006/relationships/hyperlink" Target="https://chromewebstore.google.com/detail/facgjnnnpnopaambndocnfehnikijpdm" TargetMode="External"/><Relationship Id="rId8147" Type="http://schemas.openxmlformats.org/officeDocument/2006/relationships/hyperlink" Target="https://chromewebstore.google.com/detail/danoojfpckpaacgbaebfakjeepeenaop" TargetMode="External"/><Relationship Id="rId8146" Type="http://schemas.openxmlformats.org/officeDocument/2006/relationships/hyperlink" Target="https://chromewebstore.google.com/detail/poheidbodnopapiohmaiicjljellfneg" TargetMode="External"/><Relationship Id="rId9477" Type="http://schemas.openxmlformats.org/officeDocument/2006/relationships/hyperlink" Target="https://chromewebstore.google.com/detail/anbcbibcejpgaohknmjoikdepodjfiac" TargetMode="External"/><Relationship Id="rId9478" Type="http://schemas.openxmlformats.org/officeDocument/2006/relationships/hyperlink" Target="https://chromewebstore.google.com/detail/dokdgfodmeaaamnbpbaomjcidljofpio" TargetMode="External"/><Relationship Id="rId9479" Type="http://schemas.openxmlformats.org/officeDocument/2006/relationships/hyperlink" Target="https://chromewebstore.google.com/detail/gfnaeiaojgbbcdbmlhgcihofhiblmkmi" TargetMode="External"/><Relationship Id="rId8130" Type="http://schemas.openxmlformats.org/officeDocument/2006/relationships/hyperlink" Target="https://chromewebstore.google.com/detail/odgmkhgpjabofenjcinopoocomeaepej" TargetMode="External"/><Relationship Id="rId9462" Type="http://schemas.openxmlformats.org/officeDocument/2006/relationships/hyperlink" Target="https://chromewebstore.google.com/detail/enakpddkofoddibleaedgbcpbnpoeond" TargetMode="External"/><Relationship Id="rId9463" Type="http://schemas.openxmlformats.org/officeDocument/2006/relationships/hyperlink" Target="https://chromewebstore.google.com/detail/eodkflpkbmfkfocinkokegcmmjemmgde" TargetMode="External"/><Relationship Id="rId9464" Type="http://schemas.openxmlformats.org/officeDocument/2006/relationships/hyperlink" Target="https://chromewebstore.google.com/detail/hogcjpgnoecbkmbamlakaacafkloopbn" TargetMode="External"/><Relationship Id="rId9465" Type="http://schemas.openxmlformats.org/officeDocument/2006/relationships/hyperlink" Target="https://chromewebstore.google.com/detail/jobneimllpaijdidliomlnekgjkjhpfn" TargetMode="External"/><Relationship Id="rId8134" Type="http://schemas.openxmlformats.org/officeDocument/2006/relationships/hyperlink" Target="https://chromewebstore.google.com/detail/kcmgccejanjgdkfdhcjohbepjlbefdje" TargetMode="External"/><Relationship Id="rId8133" Type="http://schemas.openxmlformats.org/officeDocument/2006/relationships/hyperlink" Target="https://chromewebstore.google.com/detail/ekgbhfcaocclbckaiodiegejdinnndja" TargetMode="External"/><Relationship Id="rId8132" Type="http://schemas.openxmlformats.org/officeDocument/2006/relationships/hyperlink" Target="https://chromewebstore.google.com/detail/eaemaefgnoddejclbjbkdjhnejojlnda" TargetMode="External"/><Relationship Id="rId9460" Type="http://schemas.openxmlformats.org/officeDocument/2006/relationships/hyperlink" Target="https://chromewebstore.google.com/detail/efiapikahogejddbbbcncibamackdmno" TargetMode="External"/><Relationship Id="rId8131" Type="http://schemas.openxmlformats.org/officeDocument/2006/relationships/hyperlink" Target="https://chromewebstore.google.com/detail/cdlcldfkcgmpndknbabgmhfkeeampkcn" TargetMode="External"/><Relationship Id="rId9461" Type="http://schemas.openxmlformats.org/officeDocument/2006/relationships/hyperlink" Target="https://chromewebstore.google.com/detail/ekakdgpjkglaghkjgemfefihilpgkbli" TargetMode="External"/><Relationship Id="rId8138" Type="http://schemas.openxmlformats.org/officeDocument/2006/relationships/hyperlink" Target="https://chromewebstore.google.com/detail/fhaodkdhmbgaogggcaaihcpinapofffk" TargetMode="External"/><Relationship Id="rId8137" Type="http://schemas.openxmlformats.org/officeDocument/2006/relationships/hyperlink" Target="https://chromewebstore.google.com/detail/fgpecdgiijcjpcammohmmjmanehafffc" TargetMode="External"/><Relationship Id="rId8136" Type="http://schemas.openxmlformats.org/officeDocument/2006/relationships/hyperlink" Target="https://chromewebstore.google.com/detail/mcfkanphaccondbcfdenamohbpfbploe" TargetMode="External"/><Relationship Id="rId8135" Type="http://schemas.openxmlformats.org/officeDocument/2006/relationships/hyperlink" Target="https://chromewebstore.google.com/detail/ldgmbjnnjnjjnkllaffafcdgblhaijnh" TargetMode="External"/><Relationship Id="rId9466" Type="http://schemas.openxmlformats.org/officeDocument/2006/relationships/hyperlink" Target="https://chromewebstore.google.com/detail/klbjilppccpjnpmmdbcebibofmbnogpi" TargetMode="External"/><Relationship Id="rId9467" Type="http://schemas.openxmlformats.org/officeDocument/2006/relationships/hyperlink" Target="https://chromewebstore.google.com/detail/lhecbjgjgknjminomebnbfcopdfdfmel" TargetMode="External"/><Relationship Id="rId9468" Type="http://schemas.openxmlformats.org/officeDocument/2006/relationships/hyperlink" Target="https://chromewebstore.google.com/detail/lolmkmiaecmddbaldhdhmangbndidpka" TargetMode="External"/><Relationship Id="rId8139" Type="http://schemas.openxmlformats.org/officeDocument/2006/relationships/hyperlink" Target="https://chromewebstore.google.com/detail/fkjnfffkjhkpnogngcclhloiafjcpmbf" TargetMode="External"/><Relationship Id="rId9469" Type="http://schemas.openxmlformats.org/officeDocument/2006/relationships/hyperlink" Target="https://chromewebstore.google.com/detail/paeemhflfemffkcggpldnaofhgmffnlh" TargetMode="External"/><Relationship Id="rId9419" Type="http://schemas.openxmlformats.org/officeDocument/2006/relationships/hyperlink" Target="https://chromewebstore.google.com/detail/dgnoamldbmmlajkghgdmhnmanjonnjjg" TargetMode="External"/><Relationship Id="rId9410" Type="http://schemas.openxmlformats.org/officeDocument/2006/relationships/hyperlink" Target="https://chromewebstore.google.com/detail/cmhkipfbmfnfmonimopiekohoobcbjmk" TargetMode="External"/><Relationship Id="rId9415" Type="http://schemas.openxmlformats.org/officeDocument/2006/relationships/hyperlink" Target="https://chromewebstore.google.com/detail/nidobgjfikdhjkmdbpppjokehnnfcefb" TargetMode="External"/><Relationship Id="rId9416" Type="http://schemas.openxmlformats.org/officeDocument/2006/relationships/hyperlink" Target="https://chromewebstore.google.com/detail/okoenbnfjolgghkpgpcnogfgfgjbhkkd" TargetMode="External"/><Relationship Id="rId9417" Type="http://schemas.openxmlformats.org/officeDocument/2006/relationships/hyperlink" Target="https://chromewebstore.google.com/detail/pomjhbedidaoemdkgbnbkdioimdefphh" TargetMode="External"/><Relationship Id="rId9418" Type="http://schemas.openxmlformats.org/officeDocument/2006/relationships/hyperlink" Target="https://chromewebstore.google.com/detail/ahnedoddoeoelbaaiccbimdpgnlmdlgc" TargetMode="External"/><Relationship Id="rId9411" Type="http://schemas.openxmlformats.org/officeDocument/2006/relationships/hyperlink" Target="https://chromewebstore.google.com/detail/dmkjpfgdjiokimcemagieionmjgadjkg" TargetMode="External"/><Relationship Id="rId9412" Type="http://schemas.openxmlformats.org/officeDocument/2006/relationships/hyperlink" Target="https://chromewebstore.google.com/detail/ihodpbacinandgbjjdjgflbhbipbobam" TargetMode="External"/><Relationship Id="rId9413" Type="http://schemas.openxmlformats.org/officeDocument/2006/relationships/hyperlink" Target="https://chromewebstore.google.com/detail/iknijibagdnddbokpcndofbolngfcghj" TargetMode="External"/><Relationship Id="rId9414" Type="http://schemas.openxmlformats.org/officeDocument/2006/relationships/hyperlink" Target="https://chromewebstore.google.com/detail/llpednpgkdbefobnjkkmcoldhjppabdp" TargetMode="External"/><Relationship Id="rId9408" Type="http://schemas.openxmlformats.org/officeDocument/2006/relationships/hyperlink" Target="https://chromewebstore.google.com/detail/bdbhephmimagiadamkkipjedljddgncb" TargetMode="External"/><Relationship Id="rId9409" Type="http://schemas.openxmlformats.org/officeDocument/2006/relationships/hyperlink" Target="https://chromewebstore.google.com/detail/bgddcngmfadknajipncoemekkikibfhg" TargetMode="External"/><Relationship Id="rId9404" Type="http://schemas.openxmlformats.org/officeDocument/2006/relationships/hyperlink" Target="https://chromewebstore.google.com/detail/oaddmoajgbicokmobehhmpafhcllepcf" TargetMode="External"/><Relationship Id="rId9405" Type="http://schemas.openxmlformats.org/officeDocument/2006/relationships/hyperlink" Target="https://chromewebstore.google.com/detail/oaelcicjdkdkcioniblhpnanpnhegoad" TargetMode="External"/><Relationship Id="rId9406" Type="http://schemas.openxmlformats.org/officeDocument/2006/relationships/hyperlink" Target="https://chromewebstore.google.com/detail/oailcamkmclecbdgffdeamkknojkecjm" TargetMode="External"/><Relationship Id="rId9407" Type="http://schemas.openxmlformats.org/officeDocument/2006/relationships/hyperlink" Target="https://chromewebstore.google.com/detail/aflgknnjpkjdoapemodkijpmgclcingn" TargetMode="External"/><Relationship Id="rId9400" Type="http://schemas.openxmlformats.org/officeDocument/2006/relationships/hyperlink" Target="https://chromewebstore.google.com/detail/inafnanoajecodppognidcacbaghfmdd" TargetMode="External"/><Relationship Id="rId9401" Type="http://schemas.openxmlformats.org/officeDocument/2006/relationships/hyperlink" Target="https://chromewebstore.google.com/detail/ipdoelbonfnecijpmlgdmmakmifnicci" TargetMode="External"/><Relationship Id="rId9402" Type="http://schemas.openxmlformats.org/officeDocument/2006/relationships/hyperlink" Target="https://chromewebstore.google.com/detail/kfkkmpmfofgkfnpiaepanikkeoelnbbf" TargetMode="External"/><Relationship Id="rId9403" Type="http://schemas.openxmlformats.org/officeDocument/2006/relationships/hyperlink" Target="https://chromewebstore.google.com/detail/kmegpialdlakejlimkocdcecpjikfhen" TargetMode="External"/><Relationship Id="rId9430" Type="http://schemas.openxmlformats.org/officeDocument/2006/relationships/hyperlink" Target="https://chromewebstore.google.com/detail/caeimpdeapdimekjkkkggpibnlijlnka" TargetMode="External"/><Relationship Id="rId9431" Type="http://schemas.openxmlformats.org/officeDocument/2006/relationships/hyperlink" Target="https://chromewebstore.google.com/detail/jeioblfnlhjafmeciefmmoeaaoklmlmh" TargetMode="External"/><Relationship Id="rId9432" Type="http://schemas.openxmlformats.org/officeDocument/2006/relationships/hyperlink" Target="https://chromewebstore.google.com/detail/kflhcogenbenbimiocmfccalpdhcgngg" TargetMode="External"/><Relationship Id="rId8101" Type="http://schemas.openxmlformats.org/officeDocument/2006/relationships/hyperlink" Target="https://chromewebstore.google.com/detail/oagdkccjchnflfcikaagcelgipminjhd" TargetMode="External"/><Relationship Id="rId8100" Type="http://schemas.openxmlformats.org/officeDocument/2006/relationships/hyperlink" Target="https://chromewebstore.google.com/detail/madpgppmbhecemnaicfpkokbookighmg" TargetMode="External"/><Relationship Id="rId8105" Type="http://schemas.openxmlformats.org/officeDocument/2006/relationships/hyperlink" Target="https://chromewebstore.google.com/detail/ikogmikbjiooajfagjhobaopmehnooko" TargetMode="External"/><Relationship Id="rId9437" Type="http://schemas.openxmlformats.org/officeDocument/2006/relationships/hyperlink" Target="https://chromewebstore.google.com/detail/aileihjgpakhkhedejpkpamnhpbnjhoj" TargetMode="External"/><Relationship Id="rId8104" Type="http://schemas.openxmlformats.org/officeDocument/2006/relationships/hyperlink" Target="https://chromewebstore.google.com/detail/ialodjkaifigeaffjdbifgeimoaccidp" TargetMode="External"/><Relationship Id="rId9438" Type="http://schemas.openxmlformats.org/officeDocument/2006/relationships/hyperlink" Target="https://chromewebstore.google.com/detail/ambfjegfngakpjckfappcbokegkoghfk" TargetMode="External"/><Relationship Id="rId8103" Type="http://schemas.openxmlformats.org/officeDocument/2006/relationships/hyperlink" Target="https://chromewebstore.google.com/detail/cglnpjdjjinnbaioncegaiaifdpildne" TargetMode="External"/><Relationship Id="rId9439" Type="http://schemas.openxmlformats.org/officeDocument/2006/relationships/hyperlink" Target="https://chromewebstore.google.com/detail/cpddpjigmffffmkmadafbfddaacckkbb" TargetMode="External"/><Relationship Id="rId8102" Type="http://schemas.openxmlformats.org/officeDocument/2006/relationships/hyperlink" Target="https://chromewebstore.google.com/detail/oakefghfmmcnejnpgpehidmbjgkelmdm" TargetMode="External"/><Relationship Id="rId8109" Type="http://schemas.openxmlformats.org/officeDocument/2006/relationships/hyperlink" Target="https://chromewebstore.google.com/detail/ehiookjpopjjpogmbhhmhiikdincggnh" TargetMode="External"/><Relationship Id="rId9433" Type="http://schemas.openxmlformats.org/officeDocument/2006/relationships/hyperlink" Target="https://chromewebstore.google.com/detail/majjmbbkgbemgahmpgihhklgbckdhdce" TargetMode="External"/><Relationship Id="rId8108" Type="http://schemas.openxmlformats.org/officeDocument/2006/relationships/hyperlink" Target="https://chromewebstore.google.com/detail/ecofnlndicmgjgodcoiggbjlaipjmenb" TargetMode="External"/><Relationship Id="rId9434" Type="http://schemas.openxmlformats.org/officeDocument/2006/relationships/hyperlink" Target="https://chromewebstore.google.com/detail/mlgbjnpehhfngjopcifmbcdfbacncfap" TargetMode="External"/><Relationship Id="rId8107" Type="http://schemas.openxmlformats.org/officeDocument/2006/relationships/hyperlink" Target="https://chromewebstore.google.com/detail/apoejkbnhcajliaadjmnomdfhhpojnak" TargetMode="External"/><Relationship Id="rId9435" Type="http://schemas.openxmlformats.org/officeDocument/2006/relationships/hyperlink" Target="https://chromewebstore.google.com/detail/mpgcknahnhkphbjahkhpkdpgaipolkgb" TargetMode="External"/><Relationship Id="rId8106" Type="http://schemas.openxmlformats.org/officeDocument/2006/relationships/hyperlink" Target="https://chromewebstore.google.com/detail/ndlpokknholbnmpamepplidpkfnmplgf" TargetMode="External"/><Relationship Id="rId9436" Type="http://schemas.openxmlformats.org/officeDocument/2006/relationships/hyperlink" Target="https://chromewebstore.google.com/detail/pckjjhfnnmonhkfekgnbbdafndfjpjap" TargetMode="External"/><Relationship Id="rId9420" Type="http://schemas.openxmlformats.org/officeDocument/2006/relationships/hyperlink" Target="https://chromewebstore.google.com/detail/ehkndchainpkdfpnancgobgfnfjnmmeh" TargetMode="External"/><Relationship Id="rId9421" Type="http://schemas.openxmlformats.org/officeDocument/2006/relationships/hyperlink" Target="https://chromewebstore.google.com/detail/geefgfmfmeaohjjamffolfjfekjpcacg" TargetMode="External"/><Relationship Id="rId9426" Type="http://schemas.openxmlformats.org/officeDocument/2006/relationships/hyperlink" Target="https://chromewebstore.google.com/detail/egimhkfghkdkffalnjbkeoidpildondf" TargetMode="External"/><Relationship Id="rId9427" Type="http://schemas.openxmlformats.org/officeDocument/2006/relationships/hyperlink" Target="https://chromewebstore.google.com/detail/jajemmdkpanhmmnlddnclnefeplgohah" TargetMode="External"/><Relationship Id="rId9428" Type="http://schemas.openxmlformats.org/officeDocument/2006/relationships/hyperlink" Target="https://chromewebstore.google.com/detail/moanghbdjdafhoppikcalbkggpnbhhid" TargetMode="External"/><Relationship Id="rId9429" Type="http://schemas.openxmlformats.org/officeDocument/2006/relationships/hyperlink" Target="https://chromewebstore.google.com/detail/olimlaagoemplbakikagdfnhcejamhek" TargetMode="External"/><Relationship Id="rId9422" Type="http://schemas.openxmlformats.org/officeDocument/2006/relationships/hyperlink" Target="https://chromewebstore.google.com/detail/hjckmeeoamkjlfljoddpmblkbmbiaigf" TargetMode="External"/><Relationship Id="rId9423" Type="http://schemas.openxmlformats.org/officeDocument/2006/relationships/hyperlink" Target="https://chromewebstore.google.com/detail/jkihjjibkpmkmkjikbolmpoigbomhomb" TargetMode="External"/><Relationship Id="rId9424" Type="http://schemas.openxmlformats.org/officeDocument/2006/relationships/hyperlink" Target="https://chromewebstore.google.com/detail/lcpoakjecdidnegmabgpkjhmbgbakfpd" TargetMode="External"/><Relationship Id="rId9425" Type="http://schemas.openxmlformats.org/officeDocument/2006/relationships/hyperlink" Target="https://chromewebstore.google.com/detail/afapcfoaobcdldlafeoacnpjlnjgnaeg" TargetMode="External"/><Relationship Id="rId4602" Type="http://schemas.openxmlformats.org/officeDocument/2006/relationships/hyperlink" Target="https://chromewebstore.google.com/detail/ljobjlafonikaiipfkggjbhkghgicgoh" TargetMode="External"/><Relationship Id="rId5934" Type="http://schemas.openxmlformats.org/officeDocument/2006/relationships/hyperlink" Target="https://chromewebstore.google.com/detail/hngdnbnepjjamanhmkgolabelaaladjk" TargetMode="External"/><Relationship Id="rId4601" Type="http://schemas.openxmlformats.org/officeDocument/2006/relationships/hyperlink" Target="https://chromewebstore.google.com/detail/ljdhjpmbnkbengahefamnhmegbdifhlb" TargetMode="External"/><Relationship Id="rId5935" Type="http://schemas.openxmlformats.org/officeDocument/2006/relationships/hyperlink" Target="https://chromewebstore.google.com/detail/hnhplmcglkomfmoapojflionoibodhla" TargetMode="External"/><Relationship Id="rId4604" Type="http://schemas.openxmlformats.org/officeDocument/2006/relationships/hyperlink" Target="https://chromewebstore.google.com/detail/lkdmfkbmdklogdfgcbcgdfhkmanmbhih" TargetMode="External"/><Relationship Id="rId5932" Type="http://schemas.openxmlformats.org/officeDocument/2006/relationships/hyperlink" Target="https://chromewebstore.google.com/detail/hnbnabjejnidmgpndhgcgmbhadhnicha" TargetMode="External"/><Relationship Id="rId4603" Type="http://schemas.openxmlformats.org/officeDocument/2006/relationships/hyperlink" Target="https://chromewebstore.google.com/detail/ljocfimgoablkhddbgakcbgfhdoamkhi" TargetMode="External"/><Relationship Id="rId5933" Type="http://schemas.openxmlformats.org/officeDocument/2006/relationships/hyperlink" Target="https://chromewebstore.google.com/detail/hncmdohencefmegacfphphmbplacfjaj" TargetMode="External"/><Relationship Id="rId4606" Type="http://schemas.openxmlformats.org/officeDocument/2006/relationships/hyperlink" Target="https://chromewebstore.google.com/detail/lklafmehbmplcclnpcnpafbkocebmbam" TargetMode="External"/><Relationship Id="rId5938" Type="http://schemas.openxmlformats.org/officeDocument/2006/relationships/hyperlink" Target="https://chromewebstore.google.com/detail/hobpbmcamljoikiiajiopaognabcoceh" TargetMode="External"/><Relationship Id="rId4605" Type="http://schemas.openxmlformats.org/officeDocument/2006/relationships/hyperlink" Target="https://chromewebstore.google.com/detail/lkkdmddhgagekfkngjpldinmkjbfcfab" TargetMode="External"/><Relationship Id="rId5939" Type="http://schemas.openxmlformats.org/officeDocument/2006/relationships/hyperlink" Target="https://chromewebstore.google.com/detail/hoccpcefjcgnabbmojbfoflggkecmpgd" TargetMode="External"/><Relationship Id="rId4608" Type="http://schemas.openxmlformats.org/officeDocument/2006/relationships/hyperlink" Target="https://chromewebstore.google.com/detail/lkoingeajallinlnijfpmmddoeoficef" TargetMode="External"/><Relationship Id="rId5936" Type="http://schemas.openxmlformats.org/officeDocument/2006/relationships/hyperlink" Target="https://chromewebstore.google.com/detail/hnpkjoifldafgenlhognhkfjbpglbmmp" TargetMode="External"/><Relationship Id="rId4607" Type="http://schemas.openxmlformats.org/officeDocument/2006/relationships/hyperlink" Target="https://chromewebstore.google.com/detail/lknjmkdopggoignpeekjhlldnmlfibef" TargetMode="External"/><Relationship Id="rId5937" Type="http://schemas.openxmlformats.org/officeDocument/2006/relationships/hyperlink" Target="https://chromewebstore.google.com/detail/hoaehblonfjfhjimblnicebllhkpanpi" TargetMode="External"/><Relationship Id="rId4609" Type="http://schemas.openxmlformats.org/officeDocument/2006/relationships/hyperlink" Target="https://chromewebstore.google.com/detail/llbjnfdjheebjhdojkmlgpnlmfmgicdc" TargetMode="External"/><Relationship Id="rId5930" Type="http://schemas.openxmlformats.org/officeDocument/2006/relationships/hyperlink" Target="https://chromewebstore.google.com/detail/hmkkdkhgadgmaplnhahncddmmcdegjhi" TargetMode="External"/><Relationship Id="rId5931" Type="http://schemas.openxmlformats.org/officeDocument/2006/relationships/hyperlink" Target="https://chromewebstore.google.com/detail/hnajjdkmjekcoclmnmockmblibnmkbdb" TargetMode="External"/><Relationship Id="rId4600" Type="http://schemas.openxmlformats.org/officeDocument/2006/relationships/hyperlink" Target="https://chromewebstore.google.com/detail/ljdgplocfnmnofbhpkjclbefmjoikgke" TargetMode="External"/><Relationship Id="rId5923" Type="http://schemas.openxmlformats.org/officeDocument/2006/relationships/hyperlink" Target="https://chromewebstore.google.com/detail/hmejdnnbejbmmpfnpojbmhecjfkkheme" TargetMode="External"/><Relationship Id="rId5924" Type="http://schemas.openxmlformats.org/officeDocument/2006/relationships/hyperlink" Target="https://chromewebstore.google.com/detail/hmfecahlfpofpenneelahhaobgafijhb" TargetMode="External"/><Relationship Id="rId5921" Type="http://schemas.openxmlformats.org/officeDocument/2006/relationships/hyperlink" Target="https://chromewebstore.google.com/detail/hmcfamnbfmaaogikhpkmgkanecnkpkpa" TargetMode="External"/><Relationship Id="rId5922" Type="http://schemas.openxmlformats.org/officeDocument/2006/relationships/hyperlink" Target="https://chromewebstore.google.com/detail/hmebhknlgddhfbbdhgplnillngljgmdi" TargetMode="External"/><Relationship Id="rId5927" Type="http://schemas.openxmlformats.org/officeDocument/2006/relationships/hyperlink" Target="https://chromewebstore.google.com/detail/hmhickbbhblacjileplnjeabeeolffkf" TargetMode="External"/><Relationship Id="rId5928" Type="http://schemas.openxmlformats.org/officeDocument/2006/relationships/hyperlink" Target="https://chromewebstore.google.com/detail/hmipmjjongmaabhjnllmdfehpnimjpjj" TargetMode="External"/><Relationship Id="rId5925" Type="http://schemas.openxmlformats.org/officeDocument/2006/relationships/hyperlink" Target="https://chromewebstore.google.com/detail/hmfocflebeolgkehnimcchankdjljepb" TargetMode="External"/><Relationship Id="rId5926" Type="http://schemas.openxmlformats.org/officeDocument/2006/relationships/hyperlink" Target="https://chromewebstore.google.com/detail/hmhgfkoeogiaopknabgfochofnnijnnn" TargetMode="External"/><Relationship Id="rId5929" Type="http://schemas.openxmlformats.org/officeDocument/2006/relationships/hyperlink" Target="https://chromewebstore.google.com/detail/hmkadgiamebgpakhbliibifeaijfnlca" TargetMode="External"/><Relationship Id="rId8196" Type="http://schemas.openxmlformats.org/officeDocument/2006/relationships/hyperlink" Target="https://chromewebstore.google.com/detail/mkalpcklojnhdnaanfbamjgippoijdnf" TargetMode="External"/><Relationship Id="rId8195" Type="http://schemas.openxmlformats.org/officeDocument/2006/relationships/hyperlink" Target="https://chromewebstore.google.com/detail/llajifecehalipnfbehdcjpappgdjkpf" TargetMode="External"/><Relationship Id="rId8194" Type="http://schemas.openxmlformats.org/officeDocument/2006/relationships/hyperlink" Target="https://chromewebstore.google.com/detail/jkgiedeofneodbglnndcejlabknincfp" TargetMode="External"/><Relationship Id="rId8193" Type="http://schemas.openxmlformats.org/officeDocument/2006/relationships/hyperlink" Target="https://chromewebstore.google.com/detail/hoeoebicgchngdidmbadgkdiempefcfn" TargetMode="External"/><Relationship Id="rId8199" Type="http://schemas.openxmlformats.org/officeDocument/2006/relationships/hyperlink" Target="https://chromewebstore.google.com/detail/inicknfojohdbgekdffgcdfiheflpnbh" TargetMode="External"/><Relationship Id="rId8198" Type="http://schemas.openxmlformats.org/officeDocument/2006/relationships/hyperlink" Target="https://chromewebstore.google.com/detail/blcmjmbalenihipjodgeebipglnbjjen" TargetMode="External"/><Relationship Id="rId8197" Type="http://schemas.openxmlformats.org/officeDocument/2006/relationships/hyperlink" Target="https://chromewebstore.google.com/detail/pfnkplljjpbbbclllghfeakdlfcldpfj" TargetMode="External"/><Relationship Id="rId5920" Type="http://schemas.openxmlformats.org/officeDocument/2006/relationships/hyperlink" Target="https://chromewebstore.google.com/detail/hlodlcjfnnoingcnaaicdnjmddaejlnf" TargetMode="External"/><Relationship Id="rId4624" Type="http://schemas.openxmlformats.org/officeDocument/2006/relationships/hyperlink" Target="https://chromewebstore.google.com/detail/lpfiljldhgjecfepfljnbjnbjfhennpd" TargetMode="External"/><Relationship Id="rId5956" Type="http://schemas.openxmlformats.org/officeDocument/2006/relationships/hyperlink" Target="https://chromewebstore.google.com/detail/hppojpmpiodfkpibhmjjmknaccnhjaaa" TargetMode="External"/><Relationship Id="rId4623" Type="http://schemas.openxmlformats.org/officeDocument/2006/relationships/hyperlink" Target="https://chromewebstore.google.com/detail/lpedgppinmnpgdblfmjdppaeeldcpnil" TargetMode="External"/><Relationship Id="rId5957" Type="http://schemas.openxmlformats.org/officeDocument/2006/relationships/hyperlink" Target="https://chromewebstore.google.com/detail/iadfnfppbfedncehcbccibaapaeipocd" TargetMode="External"/><Relationship Id="rId4626" Type="http://schemas.openxmlformats.org/officeDocument/2006/relationships/hyperlink" Target="https://chromewebstore.google.com/detail/maaccnhcoaehdeehahenkmchinbdjjmi" TargetMode="External"/><Relationship Id="rId5954" Type="http://schemas.openxmlformats.org/officeDocument/2006/relationships/hyperlink" Target="https://chromewebstore.google.com/detail/hpmlhjbpfidpmpioffejokldcojmljjf" TargetMode="External"/><Relationship Id="rId4625" Type="http://schemas.openxmlformats.org/officeDocument/2006/relationships/hyperlink" Target="https://chromewebstore.google.com/detail/lpjdifkmhncpkkaaglchomjbgbopfjeo" TargetMode="External"/><Relationship Id="rId5955" Type="http://schemas.openxmlformats.org/officeDocument/2006/relationships/hyperlink" Target="https://chromewebstore.google.com/detail/hpoppoplmjinccgllbdponidaffcflcc" TargetMode="External"/><Relationship Id="rId4628" Type="http://schemas.openxmlformats.org/officeDocument/2006/relationships/hyperlink" Target="https://chromewebstore.google.com/detail/maglaephdkllcoiapnigipoejifepooh" TargetMode="External"/><Relationship Id="rId4627" Type="http://schemas.openxmlformats.org/officeDocument/2006/relationships/hyperlink" Target="https://chromewebstore.google.com/detail/maffnemieclgahnalopfngbddfhneghd" TargetMode="External"/><Relationship Id="rId5958" Type="http://schemas.openxmlformats.org/officeDocument/2006/relationships/hyperlink" Target="https://chromewebstore.google.com/detail/iagkfbcmjgeodpjjhafegmjnedpaandi" TargetMode="External"/><Relationship Id="rId4629" Type="http://schemas.openxmlformats.org/officeDocument/2006/relationships/hyperlink" Target="https://chromewebstore.google.com/detail/mahlicjkigbecnbblcogenidhakmghdk" TargetMode="External"/><Relationship Id="rId5959" Type="http://schemas.openxmlformats.org/officeDocument/2006/relationships/hyperlink" Target="https://chromewebstore.google.com/detail/iakcnnmjbdoemkjecojadhpinebnkipm" TargetMode="External"/><Relationship Id="rId4620" Type="http://schemas.openxmlformats.org/officeDocument/2006/relationships/hyperlink" Target="https://chromewebstore.google.com/detail/lndphafdikhmpgopmchckooegfnifafm" TargetMode="External"/><Relationship Id="rId5952" Type="http://schemas.openxmlformats.org/officeDocument/2006/relationships/hyperlink" Target="https://chromewebstore.google.com/detail/hpjkfdjeaikfhkponnlcfkcagidigdfm" TargetMode="External"/><Relationship Id="rId5953" Type="http://schemas.openxmlformats.org/officeDocument/2006/relationships/hyperlink" Target="https://chromewebstore.google.com/detail/hplbaefjnkjpbnbkcbkjmdcedcbncppm" TargetMode="External"/><Relationship Id="rId4622" Type="http://schemas.openxmlformats.org/officeDocument/2006/relationships/hyperlink" Target="https://chromewebstore.google.com/detail/loiinpcflpeaeiojgdaidimhemjhobjp" TargetMode="External"/><Relationship Id="rId5950" Type="http://schemas.openxmlformats.org/officeDocument/2006/relationships/hyperlink" Target="https://chromewebstore.google.com/detail/hphbefeddlckdmlajndflekopnhgolgb" TargetMode="External"/><Relationship Id="rId4621" Type="http://schemas.openxmlformats.org/officeDocument/2006/relationships/hyperlink" Target="https://chromewebstore.google.com/detail/locbifcbeldmnphbgkdigjmkbfkhbnca" TargetMode="External"/><Relationship Id="rId5951" Type="http://schemas.openxmlformats.org/officeDocument/2006/relationships/hyperlink" Target="https://chromewebstore.google.com/detail/hpjhbnhnnjbokhecalhbbllcombnbmdl" TargetMode="External"/><Relationship Id="rId4613" Type="http://schemas.openxmlformats.org/officeDocument/2006/relationships/hyperlink" Target="https://chromewebstore.google.com/detail/llhmhhnpmiikplpnkmbgbgmlenleecle" TargetMode="External"/><Relationship Id="rId5945" Type="http://schemas.openxmlformats.org/officeDocument/2006/relationships/hyperlink" Target="https://chromewebstore.google.com/detail/holnmhdkmdnlefbmmcanbcicakfbiopi" TargetMode="External"/><Relationship Id="rId4612" Type="http://schemas.openxmlformats.org/officeDocument/2006/relationships/hyperlink" Target="https://chromewebstore.google.com/detail/llhdoolhgigbnppanegcohafahjgbpek" TargetMode="External"/><Relationship Id="rId5946" Type="http://schemas.openxmlformats.org/officeDocument/2006/relationships/hyperlink" Target="https://chromewebstore.google.com/detail/hopdblcmcfipdidllgkjflmaopndofmp" TargetMode="External"/><Relationship Id="rId4615" Type="http://schemas.openxmlformats.org/officeDocument/2006/relationships/hyperlink" Target="https://chromewebstore.google.com/detail/lloolcmnedpjhdcjpjoelobpagijonnp" TargetMode="External"/><Relationship Id="rId5943" Type="http://schemas.openxmlformats.org/officeDocument/2006/relationships/hyperlink" Target="https://chromewebstore.google.com/detail/holbbklonohcgehjencimoakedfmoonh" TargetMode="External"/><Relationship Id="rId4614" Type="http://schemas.openxmlformats.org/officeDocument/2006/relationships/hyperlink" Target="https://chromewebstore.google.com/detail/lllcghinlkiklfoijochnncceebbnkoo" TargetMode="External"/><Relationship Id="rId5944" Type="http://schemas.openxmlformats.org/officeDocument/2006/relationships/hyperlink" Target="https://chromewebstore.google.com/detail/holbpikmjepcdgpfclodjljclfnpojak" TargetMode="External"/><Relationship Id="rId4617" Type="http://schemas.openxmlformats.org/officeDocument/2006/relationships/hyperlink" Target="https://chromewebstore.google.com/detail/lmhkmmkefopogbadhkfcaccjnaihajbh" TargetMode="External"/><Relationship Id="rId5949" Type="http://schemas.openxmlformats.org/officeDocument/2006/relationships/hyperlink" Target="https://chromewebstore.google.com/detail/hpeooigmanddmkodommkgpeoppkacccp" TargetMode="External"/><Relationship Id="rId4616" Type="http://schemas.openxmlformats.org/officeDocument/2006/relationships/hyperlink" Target="https://chromewebstore.google.com/detail/lmelpnmpkekjahgdihfajfebaddffokl" TargetMode="External"/><Relationship Id="rId4619" Type="http://schemas.openxmlformats.org/officeDocument/2006/relationships/hyperlink" Target="https://chromewebstore.google.com/detail/lmmkdhhionkgeflajjokpmeogekfdoel" TargetMode="External"/><Relationship Id="rId5947" Type="http://schemas.openxmlformats.org/officeDocument/2006/relationships/hyperlink" Target="https://chromewebstore.google.com/detail/hpbpclohalginomgpnnnalelfnjaeiac" TargetMode="External"/><Relationship Id="rId4618" Type="http://schemas.openxmlformats.org/officeDocument/2006/relationships/hyperlink" Target="https://chromewebstore.google.com/detail/lmkkgchhgipopmpglpnpggpjgoipkobi" TargetMode="External"/><Relationship Id="rId5948" Type="http://schemas.openxmlformats.org/officeDocument/2006/relationships/hyperlink" Target="https://chromewebstore.google.com/detail/hpdcheheebhjfkbdbialimlbhoopehil" TargetMode="External"/><Relationship Id="rId5941" Type="http://schemas.openxmlformats.org/officeDocument/2006/relationships/hyperlink" Target="https://chromewebstore.google.com/detail/hohlhlgjmkmoifphmaloogebclmjnhgb" TargetMode="External"/><Relationship Id="rId5942" Type="http://schemas.openxmlformats.org/officeDocument/2006/relationships/hyperlink" Target="https://chromewebstore.google.com/detail/hokcepcfcicnhalinladgknhaljndhpc" TargetMode="External"/><Relationship Id="rId4611" Type="http://schemas.openxmlformats.org/officeDocument/2006/relationships/hyperlink" Target="https://chromewebstore.google.com/detail/llgknofgmghejanicfcjdibnhpofaefd" TargetMode="External"/><Relationship Id="rId4610" Type="http://schemas.openxmlformats.org/officeDocument/2006/relationships/hyperlink" Target="https://chromewebstore.google.com/detail/llegephenamkbmnjbjpgkdakkfmgeggp" TargetMode="External"/><Relationship Id="rId5940" Type="http://schemas.openxmlformats.org/officeDocument/2006/relationships/hyperlink" Target="https://chromewebstore.google.com/detail/hogfjibfigegjgnilealmgcmaclnfook" TargetMode="External"/><Relationship Id="rId8170" Type="http://schemas.openxmlformats.org/officeDocument/2006/relationships/hyperlink" Target="https://chromewebstore.google.com/detail/nobaaibkcalggmjnjhnlmmcldllpogjp" TargetMode="External"/><Relationship Id="rId8163" Type="http://schemas.openxmlformats.org/officeDocument/2006/relationships/hyperlink" Target="https://chromewebstore.google.com/detail/joablcpjombbhaongiepgcnefbepblal" TargetMode="External"/><Relationship Id="rId9495" Type="http://schemas.openxmlformats.org/officeDocument/2006/relationships/hyperlink" Target="https://chromewebstore.google.com/detail/dfcffkjnapandffpkglmnbjfnfdififc" TargetMode="External"/><Relationship Id="rId8162" Type="http://schemas.openxmlformats.org/officeDocument/2006/relationships/hyperlink" Target="https://chromewebstore.google.com/detail/ghicpnbjacakmhdneadbiacfnjajlaeg" TargetMode="External"/><Relationship Id="rId9496" Type="http://schemas.openxmlformats.org/officeDocument/2006/relationships/hyperlink" Target="https://chromewebstore.google.com/detail/dkhnigliajfonnhdgdgkcceknciijlhp" TargetMode="External"/><Relationship Id="rId8161" Type="http://schemas.openxmlformats.org/officeDocument/2006/relationships/hyperlink" Target="https://chromewebstore.google.com/detail/deoidkimdgonjkhffoaieoejhfcmcfbn" TargetMode="External"/><Relationship Id="rId9497" Type="http://schemas.openxmlformats.org/officeDocument/2006/relationships/hyperlink" Target="https://chromewebstore.google.com/detail/fdmnpmpggclnmknppdijngajpepkakhe" TargetMode="External"/><Relationship Id="rId8160" Type="http://schemas.openxmlformats.org/officeDocument/2006/relationships/hyperlink" Target="https://chromewebstore.google.com/detail/ahpieafhibipfkfjapdjkhiolckdfill" TargetMode="External"/><Relationship Id="rId9498" Type="http://schemas.openxmlformats.org/officeDocument/2006/relationships/hyperlink" Target="https://chromewebstore.google.com/detail/gfeaclafcmbiakopneapkbaiifnhbkng" TargetMode="External"/><Relationship Id="rId8167" Type="http://schemas.openxmlformats.org/officeDocument/2006/relationships/hyperlink" Target="https://chromewebstore.google.com/detail/bnabedeodphlebnlohfpmmiinphfadem" TargetMode="External"/><Relationship Id="rId9491" Type="http://schemas.openxmlformats.org/officeDocument/2006/relationships/hyperlink" Target="https://chromewebstore.google.com/detail/jnbbpclapocmlmdeokcblbdgnhejjiel" TargetMode="External"/><Relationship Id="rId8166" Type="http://schemas.openxmlformats.org/officeDocument/2006/relationships/hyperlink" Target="https://chromewebstore.google.com/detail/opimkfaiaekjknodenklcjdeaeedjdkc" TargetMode="External"/><Relationship Id="rId9492" Type="http://schemas.openxmlformats.org/officeDocument/2006/relationships/hyperlink" Target="https://chromewebstore.google.com/detail/mnpnejdcejcccechaimefcknpkkhlkhd" TargetMode="External"/><Relationship Id="rId8165" Type="http://schemas.openxmlformats.org/officeDocument/2006/relationships/hyperlink" Target="https://chromewebstore.google.com/detail/oakfhpoofifebonhbmegpdkpjgfmlcdb" TargetMode="External"/><Relationship Id="rId9493" Type="http://schemas.openxmlformats.org/officeDocument/2006/relationships/hyperlink" Target="https://chromewebstore.google.com/detail/bdkggofegebecpmlidhmfjbbedllocae" TargetMode="External"/><Relationship Id="rId8164" Type="http://schemas.openxmlformats.org/officeDocument/2006/relationships/hyperlink" Target="https://chromewebstore.google.com/detail/kogpmjpahimpmhfcciipfhoahjjfkenm" TargetMode="External"/><Relationship Id="rId9494" Type="http://schemas.openxmlformats.org/officeDocument/2006/relationships/hyperlink" Target="https://chromewebstore.google.com/detail/bhnjaoemjjpolobopjbnchecajgoefgp" TargetMode="External"/><Relationship Id="rId8169" Type="http://schemas.openxmlformats.org/officeDocument/2006/relationships/hyperlink" Target="https://chromewebstore.google.com/detail/mhidlbegmoiddmebedbiijmpckambgfj" TargetMode="External"/><Relationship Id="rId8168" Type="http://schemas.openxmlformats.org/officeDocument/2006/relationships/hyperlink" Target="https://chromewebstore.google.com/detail/bnbpeolijjenmnpfiohapnejmhoecchh" TargetMode="External"/><Relationship Id="rId9499" Type="http://schemas.openxmlformats.org/officeDocument/2006/relationships/hyperlink" Target="https://chromewebstore.google.com/detail/hpidplbbhlibnefjdbepbinmanddipne" TargetMode="External"/><Relationship Id="rId9490" Type="http://schemas.openxmlformats.org/officeDocument/2006/relationships/hyperlink" Target="https://chromewebstore.google.com/detail/jbhpgmghgghpoobleomkefagoiihmmkn" TargetMode="External"/><Relationship Id="rId8152" Type="http://schemas.openxmlformats.org/officeDocument/2006/relationships/hyperlink" Target="https://chromewebstore.google.com/detail/ognafeffndmmiliegaamoockceneedea" TargetMode="External"/><Relationship Id="rId9484" Type="http://schemas.openxmlformats.org/officeDocument/2006/relationships/hyperlink" Target="https://chromewebstore.google.com/detail/namnibpjolgkffcmpnhpjdhogolekkfp" TargetMode="External"/><Relationship Id="rId8151" Type="http://schemas.openxmlformats.org/officeDocument/2006/relationships/hyperlink" Target="https://chromewebstore.google.com/detail/lcnackgadgeghepobofcongbnjajafag" TargetMode="External"/><Relationship Id="rId9485" Type="http://schemas.openxmlformats.org/officeDocument/2006/relationships/hyperlink" Target="https://chromewebstore.google.com/detail/nkfomneflebeghfjmjnjlepkkamppnaj" TargetMode="External"/><Relationship Id="rId8150" Type="http://schemas.openxmlformats.org/officeDocument/2006/relationships/hyperlink" Target="https://chromewebstore.google.com/detail/kfgpcicheodmhneglkflmggjhflimmaj" TargetMode="External"/><Relationship Id="rId9486" Type="http://schemas.openxmlformats.org/officeDocument/2006/relationships/hyperlink" Target="https://chromewebstore.google.com/detail/acaddjpeboeoklpaaiopefoidbijnahb" TargetMode="External"/><Relationship Id="rId9487" Type="http://schemas.openxmlformats.org/officeDocument/2006/relationships/hyperlink" Target="https://chromewebstore.google.com/detail/aoekkpoenkmdemcheddbmclndonmiplc" TargetMode="External"/><Relationship Id="rId8156" Type="http://schemas.openxmlformats.org/officeDocument/2006/relationships/hyperlink" Target="https://chromewebstore.google.com/detail/eibnpeegkdkfcoaakejdjcimjjncefln" TargetMode="External"/><Relationship Id="rId9480" Type="http://schemas.openxmlformats.org/officeDocument/2006/relationships/hyperlink" Target="https://chromewebstore.google.com/detail/hhnejkbilifegcpncclnckocdimclape" TargetMode="External"/><Relationship Id="rId8155" Type="http://schemas.openxmlformats.org/officeDocument/2006/relationships/hyperlink" Target="https://chromewebstore.google.com/detail/dlepnjlehdglcllkkhbdihcanplfjknj" TargetMode="External"/><Relationship Id="rId9481" Type="http://schemas.openxmlformats.org/officeDocument/2006/relationships/hyperlink" Target="https://chromewebstore.google.com/detail/hmfmpbejccdgjaeohanfadencaalkbnd" TargetMode="External"/><Relationship Id="rId8154" Type="http://schemas.openxmlformats.org/officeDocument/2006/relationships/hyperlink" Target="https://chromewebstore.google.com/detail/bifhfmlnimmkleegfinieegidihkbjml" TargetMode="External"/><Relationship Id="rId9482" Type="http://schemas.openxmlformats.org/officeDocument/2006/relationships/hyperlink" Target="https://chromewebstore.google.com/detail/laicgabamgnpheichgkfgedjnogpmmlc" TargetMode="External"/><Relationship Id="rId8153" Type="http://schemas.openxmlformats.org/officeDocument/2006/relationships/hyperlink" Target="https://chromewebstore.google.com/detail/ajcdhdekjnodelbjdobjeodhemkkconf" TargetMode="External"/><Relationship Id="rId9483" Type="http://schemas.openxmlformats.org/officeDocument/2006/relationships/hyperlink" Target="https://chromewebstore.google.com/detail/lhfkmfkjjeilbgfolpcndcbdgbdhbnlk" TargetMode="External"/><Relationship Id="rId8159" Type="http://schemas.openxmlformats.org/officeDocument/2006/relationships/hyperlink" Target="https://chromewebstore.google.com/detail/jjnknmlibfooipdjmggpfpeoafbjhmoo" TargetMode="External"/><Relationship Id="rId8158" Type="http://schemas.openxmlformats.org/officeDocument/2006/relationships/hyperlink" Target="https://chromewebstore.google.com/detail/jbpkdhiabgiejinphngblmjmfiominfm" TargetMode="External"/><Relationship Id="rId8157" Type="http://schemas.openxmlformats.org/officeDocument/2006/relationships/hyperlink" Target="https://chromewebstore.google.com/detail/ihibpepjbcahppdceephbdpgflncodce" TargetMode="External"/><Relationship Id="rId9488" Type="http://schemas.openxmlformats.org/officeDocument/2006/relationships/hyperlink" Target="https://chromewebstore.google.com/detail/fijncdcfiafomlkmhkhnjnfcaolddoca" TargetMode="External"/><Relationship Id="rId9489" Type="http://schemas.openxmlformats.org/officeDocument/2006/relationships/hyperlink" Target="https://chromewebstore.google.com/detail/fnbjpobbemnfhgbhehomehgnpleigdcl" TargetMode="External"/><Relationship Id="rId5912" Type="http://schemas.openxmlformats.org/officeDocument/2006/relationships/hyperlink" Target="https://chromewebstore.google.com/detail/hkoblclipggkhhbllgefhnbjdcajmelh" TargetMode="External"/><Relationship Id="rId5913" Type="http://schemas.openxmlformats.org/officeDocument/2006/relationships/hyperlink" Target="https://chromewebstore.google.com/detail/hkpmdgakkflkddmiffelfaokkgoamlil" TargetMode="External"/><Relationship Id="rId5910" Type="http://schemas.openxmlformats.org/officeDocument/2006/relationships/hyperlink" Target="https://chromewebstore.google.com/detail/hkjmkgflkdnkdbhgomjghknpfhinkonn" TargetMode="External"/><Relationship Id="rId5911" Type="http://schemas.openxmlformats.org/officeDocument/2006/relationships/hyperlink" Target="https://chromewebstore.google.com/detail/hkkjcknodnahjdnemannhkhnfedifkoh" TargetMode="External"/><Relationship Id="rId5916" Type="http://schemas.openxmlformats.org/officeDocument/2006/relationships/hyperlink" Target="https://chromewebstore.google.com/detail/hljoencdappihmlkilchbhcjoldimkbn" TargetMode="External"/><Relationship Id="rId5917" Type="http://schemas.openxmlformats.org/officeDocument/2006/relationships/hyperlink" Target="https://chromewebstore.google.com/detail/hllkmgbbakimjdblagoeejllkccghbmh" TargetMode="External"/><Relationship Id="rId5914" Type="http://schemas.openxmlformats.org/officeDocument/2006/relationships/hyperlink" Target="https://chromewebstore.google.com/detail/hlagecmhpppmpfdifmigdglnhcpnohib" TargetMode="External"/><Relationship Id="rId5915" Type="http://schemas.openxmlformats.org/officeDocument/2006/relationships/hyperlink" Target="https://chromewebstore.google.com/detail/hlblemoeejhimmggbhheapknebnlhhnb" TargetMode="External"/><Relationship Id="rId5918" Type="http://schemas.openxmlformats.org/officeDocument/2006/relationships/hyperlink" Target="https://chromewebstore.google.com/detail/hlnfnoahfgnjnbkdckfnolacbmoknlmi" TargetMode="External"/><Relationship Id="rId5919" Type="http://schemas.openxmlformats.org/officeDocument/2006/relationships/hyperlink" Target="https://chromewebstore.google.com/detail/hlnmjkbpmnbgeondjeceaomhafdacmlj" TargetMode="External"/><Relationship Id="rId8192" Type="http://schemas.openxmlformats.org/officeDocument/2006/relationships/hyperlink" Target="https://chromewebstore.google.com/detail/feeaojjpfjaggengmoigjlckepbmkane" TargetMode="External"/><Relationship Id="rId8191" Type="http://schemas.openxmlformats.org/officeDocument/2006/relationships/hyperlink" Target="https://chromewebstore.google.com/detail/fdbnpficlmmbjmhmmaklmpggddbljieg" TargetMode="External"/><Relationship Id="rId8190" Type="http://schemas.openxmlformats.org/officeDocument/2006/relationships/hyperlink" Target="https://chromewebstore.google.com/detail/fcjgbihlfjnhdlgefhdodfpnkilofilb" TargetMode="External"/><Relationship Id="rId8185" Type="http://schemas.openxmlformats.org/officeDocument/2006/relationships/hyperlink" Target="https://chromewebstore.google.com/detail/jbkelkchcmmkhnhoekdcfbflmabnhpji" TargetMode="External"/><Relationship Id="rId8184" Type="http://schemas.openxmlformats.org/officeDocument/2006/relationships/hyperlink" Target="https://chromewebstore.google.com/detail/hbfhjphklnjcpfindkfbbajlaajkhbnh" TargetMode="External"/><Relationship Id="rId8183" Type="http://schemas.openxmlformats.org/officeDocument/2006/relationships/hyperlink" Target="https://chromewebstore.google.com/detail/gnfemeofnjpbaigdpammdejmmjhdejih" TargetMode="External"/><Relationship Id="rId8182" Type="http://schemas.openxmlformats.org/officeDocument/2006/relationships/hyperlink" Target="https://chromewebstore.google.com/detail/folffjepoklmnclkciffhfonkgfikbgf" TargetMode="External"/><Relationship Id="rId8189" Type="http://schemas.openxmlformats.org/officeDocument/2006/relationships/hyperlink" Target="https://chromewebstore.google.com/detail/bnpfaalcobpnjdbkmhmhlchialhgaapm" TargetMode="External"/><Relationship Id="rId8188" Type="http://schemas.openxmlformats.org/officeDocument/2006/relationships/hyperlink" Target="https://chromewebstore.google.com/detail/agfmhdblakkkljpdgpamkbfblikonemn" TargetMode="External"/><Relationship Id="rId8187" Type="http://schemas.openxmlformats.org/officeDocument/2006/relationships/hyperlink" Target="https://chromewebstore.google.com/detail/klknffnahnlkjiohdgngaefninbdlfkg" TargetMode="External"/><Relationship Id="rId8186" Type="http://schemas.openxmlformats.org/officeDocument/2006/relationships/hyperlink" Target="https://chromewebstore.google.com/detail/jcdnefhhiabcloefaejmgdihedgdeplg" TargetMode="External"/><Relationship Id="rId5901" Type="http://schemas.openxmlformats.org/officeDocument/2006/relationships/hyperlink" Target="https://chromewebstore.google.com/detail/himdgcgphpbdjgkdeiofihmgneenojlg" TargetMode="External"/><Relationship Id="rId5902" Type="http://schemas.openxmlformats.org/officeDocument/2006/relationships/hyperlink" Target="https://chromewebstore.google.com/detail/himjpafoalifigpnpmigmngiinghljhh" TargetMode="External"/><Relationship Id="rId5900" Type="http://schemas.openxmlformats.org/officeDocument/2006/relationships/hyperlink" Target="https://chromewebstore.google.com/detail/hiiobhaaokpmdmkkcaokdlanlemmcoah" TargetMode="External"/><Relationship Id="rId5905" Type="http://schemas.openxmlformats.org/officeDocument/2006/relationships/hyperlink" Target="https://chromewebstore.google.com/detail/hjimacdiplfkaobglkdgkmhlamjjlnik" TargetMode="External"/><Relationship Id="rId5906" Type="http://schemas.openxmlformats.org/officeDocument/2006/relationships/hyperlink" Target="https://chromewebstore.google.com/detail/hjlbhnjnmmfadkobjkmddmgopanllkna" TargetMode="External"/><Relationship Id="rId5903" Type="http://schemas.openxmlformats.org/officeDocument/2006/relationships/hyperlink" Target="https://chromewebstore.google.com/detail/hinoflbjclgnnaccbpbenmjomjmiafmc" TargetMode="External"/><Relationship Id="rId5904" Type="http://schemas.openxmlformats.org/officeDocument/2006/relationships/hyperlink" Target="https://chromewebstore.google.com/detail/hjaomadfoogedimonbneolajleaneifj" TargetMode="External"/><Relationship Id="rId5909" Type="http://schemas.openxmlformats.org/officeDocument/2006/relationships/hyperlink" Target="https://chromewebstore.google.com/detail/hkjclebibhoolmdkpahfndidllgbkalg" TargetMode="External"/><Relationship Id="rId5907" Type="http://schemas.openxmlformats.org/officeDocument/2006/relationships/hyperlink" Target="https://chromewebstore.google.com/detail/hjppbpdnpakbidnpdlekfhenadbnohcb" TargetMode="External"/><Relationship Id="rId5908" Type="http://schemas.openxmlformats.org/officeDocument/2006/relationships/hyperlink" Target="https://chromewebstore.google.com/detail/hkckiflbaedpdigcjoeiacmfnlncpeoj" TargetMode="External"/><Relationship Id="rId8181" Type="http://schemas.openxmlformats.org/officeDocument/2006/relationships/hyperlink" Target="https://chromewebstore.google.com/detail/epjgogeknnnaanaegbdheeciocdlcknl" TargetMode="External"/><Relationship Id="rId8180" Type="http://schemas.openxmlformats.org/officeDocument/2006/relationships/hyperlink" Target="https://chromewebstore.google.com/detail/bgceopfkpahkhabbcjegjmanckmmdlde" TargetMode="External"/><Relationship Id="rId8174" Type="http://schemas.openxmlformats.org/officeDocument/2006/relationships/hyperlink" Target="https://chromewebstore.google.com/detail/oocbddhjkohbpgjgaeedmnkhejelialp" TargetMode="External"/><Relationship Id="rId8173" Type="http://schemas.openxmlformats.org/officeDocument/2006/relationships/hyperlink" Target="https://chromewebstore.google.com/detail/gfhlhiifmefkepebndobmgogmoljjfil" TargetMode="External"/><Relationship Id="rId8172" Type="http://schemas.openxmlformats.org/officeDocument/2006/relationships/hyperlink" Target="https://chromewebstore.google.com/detail/cngfpffdiefnoblplbcdejppdpceaehm" TargetMode="External"/><Relationship Id="rId8171" Type="http://schemas.openxmlformats.org/officeDocument/2006/relationships/hyperlink" Target="https://chromewebstore.google.com/detail/pjnpalcebijghomiebbpmokmejfpjaml" TargetMode="External"/><Relationship Id="rId8178" Type="http://schemas.openxmlformats.org/officeDocument/2006/relationships/hyperlink" Target="https://chromewebstore.google.com/detail/kciklomoepmlnofhghfmlnhgolnjackh" TargetMode="External"/><Relationship Id="rId8177" Type="http://schemas.openxmlformats.org/officeDocument/2006/relationships/hyperlink" Target="https://chromewebstore.google.com/detail/ielmedmaojjcccenembkobaocbikcepl" TargetMode="External"/><Relationship Id="rId8176" Type="http://schemas.openxmlformats.org/officeDocument/2006/relationships/hyperlink" Target="https://chromewebstore.google.com/detail/kielfocekgmlnkdpibcedkofgafkkppg" TargetMode="External"/><Relationship Id="rId8175" Type="http://schemas.openxmlformats.org/officeDocument/2006/relationships/hyperlink" Target="https://chromewebstore.google.com/detail/ibfoabadoicmplbdpmchomcagkpmfama" TargetMode="External"/><Relationship Id="rId8179" Type="http://schemas.openxmlformats.org/officeDocument/2006/relationships/hyperlink" Target="https://chromewebstore.google.com/detail/nfadnflafdfmekapgcgddbccooagpndk" TargetMode="External"/><Relationship Id="rId2027" Type="http://schemas.openxmlformats.org/officeDocument/2006/relationships/hyperlink" Target="https://chromewebstore.google.com/detail/nalcmippmnicanikekphpdmmcgoojjlm" TargetMode="External"/><Relationship Id="rId3359" Type="http://schemas.openxmlformats.org/officeDocument/2006/relationships/hyperlink" Target="https://chromewebstore.google.com/detail/dbhkpibloniaemkipklamlepffjihaom" TargetMode="External"/><Relationship Id="rId2028" Type="http://schemas.openxmlformats.org/officeDocument/2006/relationships/hyperlink" Target="https://chromewebstore.google.com/detail/ndhncndbgnmheelpkdmldlcdhmieiagm" TargetMode="External"/><Relationship Id="rId3358" Type="http://schemas.openxmlformats.org/officeDocument/2006/relationships/hyperlink" Target="https://chromewebstore.google.com/detail/dbaahnceahihnikjnogoijfdccdonlia" TargetMode="External"/><Relationship Id="rId4689" Type="http://schemas.openxmlformats.org/officeDocument/2006/relationships/hyperlink" Target="https://chromewebstore.google.com/detail/moncnfejkabmlhblomihhdoifkgpgkhh" TargetMode="External"/><Relationship Id="rId2029" Type="http://schemas.openxmlformats.org/officeDocument/2006/relationships/hyperlink" Target="https://chromewebstore.google.com/detail/nfegliocdfiepinnicnnhidandnbhage" TargetMode="External"/><Relationship Id="rId107" Type="http://schemas.openxmlformats.org/officeDocument/2006/relationships/hyperlink" Target="https://chromewebstore.google.com/detail/molncoemjfmpgdkbdlbjmhlcgniigdnf" TargetMode="External"/><Relationship Id="rId106" Type="http://schemas.openxmlformats.org/officeDocument/2006/relationships/hyperlink" Target="https://chromewebstore.google.com/detail/mjdepdfccjgcndkmemponafgioodelna" TargetMode="External"/><Relationship Id="rId105" Type="http://schemas.openxmlformats.org/officeDocument/2006/relationships/hyperlink" Target="https://chromewebstore.google.com/detail/megbklhjamjbcafknkgmokldgolkdfig" TargetMode="External"/><Relationship Id="rId104" Type="http://schemas.openxmlformats.org/officeDocument/2006/relationships/hyperlink" Target="https://chromewebstore.google.com/detail/meajfmicibjppdgbjfkpdikfjcflabpk" TargetMode="External"/><Relationship Id="rId109" Type="http://schemas.openxmlformats.org/officeDocument/2006/relationships/hyperlink" Target="https://chromewebstore.google.com/detail/aakchaleigkohafkfjfjbblobjifikek" TargetMode="External"/><Relationship Id="rId4680" Type="http://schemas.openxmlformats.org/officeDocument/2006/relationships/hyperlink" Target="https://chromewebstore.google.com/detail/mndijfcodpjlhgjcpcbhncjakaboedbl" TargetMode="External"/><Relationship Id="rId108" Type="http://schemas.openxmlformats.org/officeDocument/2006/relationships/hyperlink" Target="https://chromewebstore.google.com/detail/nhkoenoennbjnibepkjdheodiaojdgpk" TargetMode="External"/><Relationship Id="rId3351" Type="http://schemas.openxmlformats.org/officeDocument/2006/relationships/hyperlink" Target="https://chromewebstore.google.com/detail/cnhfhjlfbaehncgjfnleejhehimhleip" TargetMode="External"/><Relationship Id="rId4682" Type="http://schemas.openxmlformats.org/officeDocument/2006/relationships/hyperlink" Target="https://chromewebstore.google.com/detail/mnnkkdhkjbcnjljenmicbmlojmnpmaaf" TargetMode="External"/><Relationship Id="rId2020" Type="http://schemas.openxmlformats.org/officeDocument/2006/relationships/hyperlink" Target="https://chromewebstore.google.com/detail/lpkdnfkjhdkcpimadpdcgapffceacjem" TargetMode="External"/><Relationship Id="rId3350" Type="http://schemas.openxmlformats.org/officeDocument/2006/relationships/hyperlink" Target="https://chromewebstore.google.com/detail/cnffkgfknlbnbfhihojeagbmcdcfdcnb" TargetMode="External"/><Relationship Id="rId4681" Type="http://schemas.openxmlformats.org/officeDocument/2006/relationships/hyperlink" Target="https://chromewebstore.google.com/detail/mnghobmdphconlpnmemodmmmcpoopecj" TargetMode="External"/><Relationship Id="rId2021" Type="http://schemas.openxmlformats.org/officeDocument/2006/relationships/hyperlink" Target="https://chromewebstore.google.com/detail/mgacpehhdickdokbochifdboemjmkbde" TargetMode="External"/><Relationship Id="rId3353" Type="http://schemas.openxmlformats.org/officeDocument/2006/relationships/hyperlink" Target="https://chromewebstore.google.com/detail/cpjmmjoehdjkicbaiikanabgecjbdoko" TargetMode="External"/><Relationship Id="rId4684" Type="http://schemas.openxmlformats.org/officeDocument/2006/relationships/hyperlink" Target="https://chromewebstore.google.com/detail/moeffcjghgaaifjmiaheamkndbbaepmf" TargetMode="External"/><Relationship Id="rId2022" Type="http://schemas.openxmlformats.org/officeDocument/2006/relationships/hyperlink" Target="https://chromewebstore.google.com/detail/miagjfhahnjmnnmhdgelhmbpjgojfnok" TargetMode="External"/><Relationship Id="rId3352" Type="http://schemas.openxmlformats.org/officeDocument/2006/relationships/hyperlink" Target="https://chromewebstore.google.com/detail/comgdpdblghhphamnlfjdmcpfekanbke" TargetMode="External"/><Relationship Id="rId4683" Type="http://schemas.openxmlformats.org/officeDocument/2006/relationships/hyperlink" Target="https://chromewebstore.google.com/detail/mnonoobhfgdhidonjmabidmejggjcnil" TargetMode="External"/><Relationship Id="rId103" Type="http://schemas.openxmlformats.org/officeDocument/2006/relationships/hyperlink" Target="https://chromewebstore.google.com/detail/lojgmehidjdhhbmpjfamhpkpodfcodef" TargetMode="External"/><Relationship Id="rId2023" Type="http://schemas.openxmlformats.org/officeDocument/2006/relationships/hyperlink" Target="https://chromewebstore.google.com/detail/mjgebmfeoicljihlfniblbklfjiafaec" TargetMode="External"/><Relationship Id="rId3355" Type="http://schemas.openxmlformats.org/officeDocument/2006/relationships/hyperlink" Target="https://chromewebstore.google.com/detail/dahidcllknfnoleplldmphdnmacjglph" TargetMode="External"/><Relationship Id="rId4686" Type="http://schemas.openxmlformats.org/officeDocument/2006/relationships/hyperlink" Target="https://chromewebstore.google.com/detail/moiimdfnkckkpfebeinkpoomplfdmgbh" TargetMode="External"/><Relationship Id="rId102" Type="http://schemas.openxmlformats.org/officeDocument/2006/relationships/hyperlink" Target="https://chromewebstore.google.com/detail/lfpjkncokllnfokkgpkobnkbkmelfefj" TargetMode="External"/><Relationship Id="rId2024" Type="http://schemas.openxmlformats.org/officeDocument/2006/relationships/hyperlink" Target="https://chromewebstore.google.com/detail/mlommmdimfnldmhmfobflhhjcgjphhpm" TargetMode="External"/><Relationship Id="rId3354" Type="http://schemas.openxmlformats.org/officeDocument/2006/relationships/hyperlink" Target="https://chromewebstore.google.com/detail/dahicfbjacnkkdhphlloeeaadkenloaf" TargetMode="External"/><Relationship Id="rId4685" Type="http://schemas.openxmlformats.org/officeDocument/2006/relationships/hyperlink" Target="https://chromewebstore.google.com/detail/mogbbilahcoegijagmcmleheifpijffa" TargetMode="External"/><Relationship Id="rId101" Type="http://schemas.openxmlformats.org/officeDocument/2006/relationships/hyperlink" Target="https://chromewebstore.google.com/detail/jjckigopagkhaikodedjnmbccfpnmiea" TargetMode="External"/><Relationship Id="rId2025" Type="http://schemas.openxmlformats.org/officeDocument/2006/relationships/hyperlink" Target="https://chromewebstore.google.com/detail/mmoahbbnojgkclgceahhakhnccimnplk" TargetMode="External"/><Relationship Id="rId3357" Type="http://schemas.openxmlformats.org/officeDocument/2006/relationships/hyperlink" Target="https://chromewebstore.google.com/detail/dapnjppagigkdklehjnihbflmgkpbapm" TargetMode="External"/><Relationship Id="rId4688" Type="http://schemas.openxmlformats.org/officeDocument/2006/relationships/hyperlink" Target="https://chromewebstore.google.com/detail/molobeedbmpeindgkpkdokknjpoaaldg" TargetMode="External"/><Relationship Id="rId100" Type="http://schemas.openxmlformats.org/officeDocument/2006/relationships/hyperlink" Target="https://chromewebstore.google.com/detail/jfchnphgogjhineanplmfkofljiagjfb" TargetMode="External"/><Relationship Id="rId2026" Type="http://schemas.openxmlformats.org/officeDocument/2006/relationships/hyperlink" Target="https://chromewebstore.google.com/detail/naghkjogakhpimmejjmakpmnbdeccinm" TargetMode="External"/><Relationship Id="rId3356" Type="http://schemas.openxmlformats.org/officeDocument/2006/relationships/hyperlink" Target="https://chromewebstore.google.com/detail/dalfpgoflklogpfibbjelegbgfamlhof" TargetMode="External"/><Relationship Id="rId4687" Type="http://schemas.openxmlformats.org/officeDocument/2006/relationships/hyperlink" Target="https://chromewebstore.google.com/detail/molhdaofohigaepljchpmfablknhabmo" TargetMode="External"/><Relationship Id="rId2016" Type="http://schemas.openxmlformats.org/officeDocument/2006/relationships/hyperlink" Target="https://chromewebstore.google.com/detail/lkgdbimigeeehofgaacanklgmfkilglm" TargetMode="External"/><Relationship Id="rId3348" Type="http://schemas.openxmlformats.org/officeDocument/2006/relationships/hyperlink" Target="https://chromewebstore.google.com/detail/cmjaflcjfodgbadocmpelolnfneppipe" TargetMode="External"/><Relationship Id="rId4679" Type="http://schemas.openxmlformats.org/officeDocument/2006/relationships/hyperlink" Target="https://chromewebstore.google.com/detail/mncidhppmkifjpbcjbhkcbdlgdjgbpah" TargetMode="External"/><Relationship Id="rId2017" Type="http://schemas.openxmlformats.org/officeDocument/2006/relationships/hyperlink" Target="https://chromewebstore.google.com/detail/lkmakcpikbbbdpkfloniiohhifhghbhm" TargetMode="External"/><Relationship Id="rId3347" Type="http://schemas.openxmlformats.org/officeDocument/2006/relationships/hyperlink" Target="https://chromewebstore.google.com/detail/cmhdhpcfabppigjedlenkmleklplflhp" TargetMode="External"/><Relationship Id="rId4678" Type="http://schemas.openxmlformats.org/officeDocument/2006/relationships/hyperlink" Target="https://chromewebstore.google.com/detail/mncdeeeclhogadpcgpjalpkjfobildhe" TargetMode="External"/><Relationship Id="rId2018" Type="http://schemas.openxmlformats.org/officeDocument/2006/relationships/hyperlink" Target="https://chromewebstore.google.com/detail/loiejdbcheeiipmakhghinclmpafiiel" TargetMode="External"/><Relationship Id="rId2019" Type="http://schemas.openxmlformats.org/officeDocument/2006/relationships/hyperlink" Target="https://chromewebstore.google.com/detail/lpjpnhjhnabnoljnfhlkakkligcfpgch" TargetMode="External"/><Relationship Id="rId3349" Type="http://schemas.openxmlformats.org/officeDocument/2006/relationships/hyperlink" Target="https://chromewebstore.google.com/detail/cnapdogghpeenfmlficdcbhflhemeoob" TargetMode="External"/><Relationship Id="rId3340" Type="http://schemas.openxmlformats.org/officeDocument/2006/relationships/hyperlink" Target="https://chromewebstore.google.com/detail/cjlaagghmikageagedknpkmapcjodnno" TargetMode="External"/><Relationship Id="rId4671" Type="http://schemas.openxmlformats.org/officeDocument/2006/relationships/hyperlink" Target="https://chromewebstore.google.com/detail/mlelamfpbkmcjighmglfodehbknhmlod" TargetMode="External"/><Relationship Id="rId4670" Type="http://schemas.openxmlformats.org/officeDocument/2006/relationships/hyperlink" Target="https://chromewebstore.google.com/detail/mkhdgadimehhojbgpphhkodolihgmmfe" TargetMode="External"/><Relationship Id="rId2010" Type="http://schemas.openxmlformats.org/officeDocument/2006/relationships/hyperlink" Target="https://chromewebstore.google.com/detail/kmfnnmioagmcopmmbdfpodhcpnehddbi" TargetMode="External"/><Relationship Id="rId3342" Type="http://schemas.openxmlformats.org/officeDocument/2006/relationships/hyperlink" Target="https://chromewebstore.google.com/detail/ckaofffdgmblmfkglibpaleigpldjjem" TargetMode="External"/><Relationship Id="rId4673" Type="http://schemas.openxmlformats.org/officeDocument/2006/relationships/hyperlink" Target="https://chromewebstore.google.com/detail/mloainmlkoomaleindanmpgialfgbjjc" TargetMode="External"/><Relationship Id="rId2011" Type="http://schemas.openxmlformats.org/officeDocument/2006/relationships/hyperlink" Target="https://chromewebstore.google.com/detail/lalfbopdcggfdchjfgkhgnifhippfnco" TargetMode="External"/><Relationship Id="rId3341" Type="http://schemas.openxmlformats.org/officeDocument/2006/relationships/hyperlink" Target="https://chromewebstore.google.com/detail/cjnnojbahbfmbhhpkcoihncbojdlhbnj" TargetMode="External"/><Relationship Id="rId4672" Type="http://schemas.openxmlformats.org/officeDocument/2006/relationships/hyperlink" Target="https://chromewebstore.google.com/detail/mlgnpmfabelpnbinakibjcaibnfdnpkn" TargetMode="External"/><Relationship Id="rId2012" Type="http://schemas.openxmlformats.org/officeDocument/2006/relationships/hyperlink" Target="https://chromewebstore.google.com/detail/ldpibpcjnhbdpmjfollggppibfocgefj" TargetMode="External"/><Relationship Id="rId3344" Type="http://schemas.openxmlformats.org/officeDocument/2006/relationships/hyperlink" Target="https://chromewebstore.google.com/detail/cklfhmnfapocoofjpkkceaabdkimgkbf" TargetMode="External"/><Relationship Id="rId4675" Type="http://schemas.openxmlformats.org/officeDocument/2006/relationships/hyperlink" Target="https://chromewebstore.google.com/detail/mmfbdcekojokeeonagpnlpoklelkcjon" TargetMode="External"/><Relationship Id="rId2013" Type="http://schemas.openxmlformats.org/officeDocument/2006/relationships/hyperlink" Target="https://chromewebstore.google.com/detail/lejgfmmlngaigdmmikblappdafcmkndb" TargetMode="External"/><Relationship Id="rId3343" Type="http://schemas.openxmlformats.org/officeDocument/2006/relationships/hyperlink" Target="https://chromewebstore.google.com/detail/cklaghejbnabhfdlaelhbjdepkfodkcj" TargetMode="External"/><Relationship Id="rId4674" Type="http://schemas.openxmlformats.org/officeDocument/2006/relationships/hyperlink" Target="https://chromewebstore.google.com/detail/mmamcliopoldnjhobmflbocmblapjhhn" TargetMode="External"/><Relationship Id="rId2014" Type="http://schemas.openxmlformats.org/officeDocument/2006/relationships/hyperlink" Target="https://chromewebstore.google.com/detail/ljeebljkookphadpedhmnlokpennimon" TargetMode="External"/><Relationship Id="rId3346" Type="http://schemas.openxmlformats.org/officeDocument/2006/relationships/hyperlink" Target="https://chromewebstore.google.com/detail/clcbpepidaphghjahkionjhffkolcpek" TargetMode="External"/><Relationship Id="rId4677" Type="http://schemas.openxmlformats.org/officeDocument/2006/relationships/hyperlink" Target="https://chromewebstore.google.com/detail/mnbfkkkpphlcbeaeemeblclibjnofamn" TargetMode="External"/><Relationship Id="rId2015" Type="http://schemas.openxmlformats.org/officeDocument/2006/relationships/hyperlink" Target="https://chromewebstore.google.com/detail/lkdbkiggalhffmapafobkmjadhhlopig" TargetMode="External"/><Relationship Id="rId3345" Type="http://schemas.openxmlformats.org/officeDocument/2006/relationships/hyperlink" Target="https://chromewebstore.google.com/detail/clbaflfnbbbgjppjogdmnhkgpiijamdg" TargetMode="External"/><Relationship Id="rId4676" Type="http://schemas.openxmlformats.org/officeDocument/2006/relationships/hyperlink" Target="https://chromewebstore.google.com/detail/mmgfafehampkahlmoahbjcjcmgmkppab" TargetMode="External"/><Relationship Id="rId2049" Type="http://schemas.openxmlformats.org/officeDocument/2006/relationships/hyperlink" Target="https://chromewebstore.google.com/detail/pgbnfimhfgoibnimmfoeacjehkecgkmk" TargetMode="External"/><Relationship Id="rId129" Type="http://schemas.openxmlformats.org/officeDocument/2006/relationships/hyperlink" Target="https://chromewebstore.google.com/detail/ggfgijbpiheegefliciemofobhmofgce" TargetMode="External"/><Relationship Id="rId128" Type="http://schemas.openxmlformats.org/officeDocument/2006/relationships/hyperlink" Target="https://chromewebstore.google.com/detail/gcjpefhffmcgplgklffgbebganmhffje" TargetMode="External"/><Relationship Id="rId127" Type="http://schemas.openxmlformats.org/officeDocument/2006/relationships/hyperlink" Target="https://chromewebstore.google.com/detail/gamlckmepdclkglolaedeigblmmpmfhf" TargetMode="External"/><Relationship Id="rId126" Type="http://schemas.openxmlformats.org/officeDocument/2006/relationships/hyperlink" Target="https://chromewebstore.google.com/detail/fnplhdldnhaodknidfddmkfdhlhjihpd" TargetMode="External"/><Relationship Id="rId3371" Type="http://schemas.openxmlformats.org/officeDocument/2006/relationships/hyperlink" Target="https://chromewebstore.google.com/detail/dekjmbgmibnaghglnmmknjghlocibjbo" TargetMode="External"/><Relationship Id="rId2040" Type="http://schemas.openxmlformats.org/officeDocument/2006/relationships/hyperlink" Target="https://chromewebstore.google.com/detail/ohcmmfphdpigpccfppacepjhamgcffjh" TargetMode="External"/><Relationship Id="rId3370" Type="http://schemas.openxmlformats.org/officeDocument/2006/relationships/hyperlink" Target="https://chromewebstore.google.com/detail/deiongpjjbocjmonefmnldjmmkgbpkmh" TargetMode="External"/><Relationship Id="rId121" Type="http://schemas.openxmlformats.org/officeDocument/2006/relationships/hyperlink" Target="https://chromewebstore.google.com/detail/emnphkkblegpebimobpbekeedfgemhof" TargetMode="External"/><Relationship Id="rId2041" Type="http://schemas.openxmlformats.org/officeDocument/2006/relationships/hyperlink" Target="https://chromewebstore.google.com/detail/oheliokfcgehhjlhiiglekmbebigpbdj" TargetMode="External"/><Relationship Id="rId3373" Type="http://schemas.openxmlformats.org/officeDocument/2006/relationships/hyperlink" Target="https://chromewebstore.google.com/detail/dfemhmpfkfmcmfdfiknifofpainceiki" TargetMode="External"/><Relationship Id="rId120" Type="http://schemas.openxmlformats.org/officeDocument/2006/relationships/hyperlink" Target="https://chromewebstore.google.com/detail/eekbbmglbfldjpgbmajenafphnfjonnc" TargetMode="External"/><Relationship Id="rId2042" Type="http://schemas.openxmlformats.org/officeDocument/2006/relationships/hyperlink" Target="https://chromewebstore.google.com/detail/ohpgmmkibgooecniliccgpjlpjhgmfoo" TargetMode="External"/><Relationship Id="rId3372" Type="http://schemas.openxmlformats.org/officeDocument/2006/relationships/hyperlink" Target="https://chromewebstore.google.com/detail/deknijehbgjmcifokgebbchmhpenfnee" TargetMode="External"/><Relationship Id="rId2043" Type="http://schemas.openxmlformats.org/officeDocument/2006/relationships/hyperlink" Target="https://chromewebstore.google.com/detail/ojnlojnakahpmkbpigmjhcgibccnidpk" TargetMode="External"/><Relationship Id="rId3375" Type="http://schemas.openxmlformats.org/officeDocument/2006/relationships/hyperlink" Target="https://chromewebstore.google.com/detail/dfoplpgihamfobjlgeefieflfbpnpffg" TargetMode="External"/><Relationship Id="rId2044" Type="http://schemas.openxmlformats.org/officeDocument/2006/relationships/hyperlink" Target="https://chromewebstore.google.com/detail/olnlihilabjhneiedkofjdenhboogmeg" TargetMode="External"/><Relationship Id="rId3374" Type="http://schemas.openxmlformats.org/officeDocument/2006/relationships/hyperlink" Target="https://chromewebstore.google.com/detail/dflnhmchphajjkfadohcpiobjdhnfaed" TargetMode="External"/><Relationship Id="rId125" Type="http://schemas.openxmlformats.org/officeDocument/2006/relationships/hyperlink" Target="https://chromewebstore.google.com/detail/fkiljfkkceaopbpfgfmjdnkiejaifkgd" TargetMode="External"/><Relationship Id="rId2045" Type="http://schemas.openxmlformats.org/officeDocument/2006/relationships/hyperlink" Target="https://chromewebstore.google.com/detail/onfocbngcbpfnfdmnhleidllhleaiokn" TargetMode="External"/><Relationship Id="rId3377" Type="http://schemas.openxmlformats.org/officeDocument/2006/relationships/hyperlink" Target="https://chromewebstore.google.com/detail/dgcpabogbpfgndfnfhjkhkjaniaigclf" TargetMode="External"/><Relationship Id="rId124" Type="http://schemas.openxmlformats.org/officeDocument/2006/relationships/hyperlink" Target="https://chromewebstore.google.com/detail/fjdmkanbdloodhegphphhklnjfngoffa" TargetMode="External"/><Relationship Id="rId2046" Type="http://schemas.openxmlformats.org/officeDocument/2006/relationships/hyperlink" Target="https://chromewebstore.google.com/detail/oniljfenfhbbjpmpcphgnpjhbapcapek" TargetMode="External"/><Relationship Id="rId3376" Type="http://schemas.openxmlformats.org/officeDocument/2006/relationships/hyperlink" Target="https://chromewebstore.google.com/detail/dgbkldehhidnhpecibnmabmbclnokikd" TargetMode="External"/><Relationship Id="rId123" Type="http://schemas.openxmlformats.org/officeDocument/2006/relationships/hyperlink" Target="https://chromewebstore.google.com/detail/ffbhefmlcoihbjcmibbfkocmnaiacinp" TargetMode="External"/><Relationship Id="rId2047" Type="http://schemas.openxmlformats.org/officeDocument/2006/relationships/hyperlink" Target="https://chromewebstore.google.com/detail/pacllhnfaalmndlofaggllkjdonlgjnc" TargetMode="External"/><Relationship Id="rId3379" Type="http://schemas.openxmlformats.org/officeDocument/2006/relationships/hyperlink" Target="https://chromewebstore.google.com/detail/dhgkdkollobnolailbckohhaikklnnki" TargetMode="External"/><Relationship Id="rId122" Type="http://schemas.openxmlformats.org/officeDocument/2006/relationships/hyperlink" Target="https://chromewebstore.google.com/detail/eningockdidmgiojffjmkdblpjocbhgh" TargetMode="External"/><Relationship Id="rId2048" Type="http://schemas.openxmlformats.org/officeDocument/2006/relationships/hyperlink" Target="https://chromewebstore.google.com/detail/pcdocoohpenibkkkfigkgelhpbeogimb" TargetMode="External"/><Relationship Id="rId3378" Type="http://schemas.openxmlformats.org/officeDocument/2006/relationships/hyperlink" Target="https://chromewebstore.google.com/detail/dhdfpijlmfebebnjcmpoeigbjekfmjmf" TargetMode="External"/><Relationship Id="rId2038" Type="http://schemas.openxmlformats.org/officeDocument/2006/relationships/hyperlink" Target="https://chromewebstore.google.com/detail/ogbjfaoljhhadaijpjaojepohlnipmlp" TargetMode="External"/><Relationship Id="rId2039" Type="http://schemas.openxmlformats.org/officeDocument/2006/relationships/hyperlink" Target="https://chromewebstore.google.com/detail/ohcdfkmeiinmedcnjfdpdmffmohlomjd" TargetMode="External"/><Relationship Id="rId3369" Type="http://schemas.openxmlformats.org/officeDocument/2006/relationships/hyperlink" Target="https://chromewebstore.google.com/detail/ddjfolemleelcjeolkjafagchgibcekb" TargetMode="External"/><Relationship Id="rId118" Type="http://schemas.openxmlformats.org/officeDocument/2006/relationships/hyperlink" Target="https://chromewebstore.google.com/detail/dlombpffcodogboaljnamhpphpdkjdam" TargetMode="External"/><Relationship Id="rId117" Type="http://schemas.openxmlformats.org/officeDocument/2006/relationships/hyperlink" Target="https://chromewebstore.google.com/detail/dlknooajieciikpedpldejhhijacnbda" TargetMode="External"/><Relationship Id="rId116" Type="http://schemas.openxmlformats.org/officeDocument/2006/relationships/hyperlink" Target="https://chromewebstore.google.com/detail/djonnbgfieijldcieafgjcnhmpcfpmgg" TargetMode="External"/><Relationship Id="rId115" Type="http://schemas.openxmlformats.org/officeDocument/2006/relationships/hyperlink" Target="https://chromewebstore.google.com/detail/djnhkfljnimcpelfndpcjcgngmefaobl" TargetMode="External"/><Relationship Id="rId3360" Type="http://schemas.openxmlformats.org/officeDocument/2006/relationships/hyperlink" Target="https://chromewebstore.google.com/detail/dbimlbkcbphdbocgfkdanelhejpcbpfj" TargetMode="External"/><Relationship Id="rId4691" Type="http://schemas.openxmlformats.org/officeDocument/2006/relationships/hyperlink" Target="https://chromewebstore.google.com/detail/mpeppilpojkpjkplhihbcfapmlnlkckb" TargetMode="External"/><Relationship Id="rId119" Type="http://schemas.openxmlformats.org/officeDocument/2006/relationships/hyperlink" Target="https://chromewebstore.google.com/detail/eadndfjplgieldjbigjakmdgkmoaaaoc" TargetMode="External"/><Relationship Id="rId4690" Type="http://schemas.openxmlformats.org/officeDocument/2006/relationships/hyperlink" Target="https://chromewebstore.google.com/detail/moogknkkdfgmplijlmmdhfcjccaoahcl" TargetMode="External"/><Relationship Id="rId110" Type="http://schemas.openxmlformats.org/officeDocument/2006/relationships/hyperlink" Target="https://chromewebstore.google.com/detail/amaaokahonnfjjemodnpmeenfpnnbkco" TargetMode="External"/><Relationship Id="rId2030" Type="http://schemas.openxmlformats.org/officeDocument/2006/relationships/hyperlink" Target="https://chromewebstore.google.com/detail/nglbmaiijljohnphofifiodoommladkj" TargetMode="External"/><Relationship Id="rId3362" Type="http://schemas.openxmlformats.org/officeDocument/2006/relationships/hyperlink" Target="https://chromewebstore.google.com/detail/dbooaamklijfogllbgookpiliaphkahb" TargetMode="External"/><Relationship Id="rId4693" Type="http://schemas.openxmlformats.org/officeDocument/2006/relationships/hyperlink" Target="https://chromewebstore.google.com/detail/mponkehblfpkgfeomegpjmbadbkojdpb" TargetMode="External"/><Relationship Id="rId2031" Type="http://schemas.openxmlformats.org/officeDocument/2006/relationships/hyperlink" Target="https://chromewebstore.google.com/detail/nlbgnehakmlibpichhhicnifdidgegbo" TargetMode="External"/><Relationship Id="rId3361" Type="http://schemas.openxmlformats.org/officeDocument/2006/relationships/hyperlink" Target="https://chromewebstore.google.com/detail/dbjilbkolbodebenablpomgeihnclgel" TargetMode="External"/><Relationship Id="rId4692" Type="http://schemas.openxmlformats.org/officeDocument/2006/relationships/hyperlink" Target="https://chromewebstore.google.com/detail/mpfiekgcmecnlobbggjjlpnmdafenkmh" TargetMode="External"/><Relationship Id="rId2032" Type="http://schemas.openxmlformats.org/officeDocument/2006/relationships/hyperlink" Target="https://chromewebstore.google.com/detail/nlddakjbmpidooplakalfoogdincflfh" TargetMode="External"/><Relationship Id="rId3364" Type="http://schemas.openxmlformats.org/officeDocument/2006/relationships/hyperlink" Target="https://chromewebstore.google.com/detail/dccddkkncdbglmlfmfjcgmhbppgddkag" TargetMode="External"/><Relationship Id="rId4695" Type="http://schemas.openxmlformats.org/officeDocument/2006/relationships/hyperlink" Target="https://chromewebstore.google.com/detail/naigkjmkbhfljhflbnbfnmbdgdnlfael" TargetMode="External"/><Relationship Id="rId2033" Type="http://schemas.openxmlformats.org/officeDocument/2006/relationships/hyperlink" Target="https://chromewebstore.google.com/detail/npbefkilaedbdaibnmiiedgnocbbindb" TargetMode="External"/><Relationship Id="rId3363" Type="http://schemas.openxmlformats.org/officeDocument/2006/relationships/hyperlink" Target="https://chromewebstore.google.com/detail/dcbhlmadhngmgbnjlegflhpbijcbbdde" TargetMode="External"/><Relationship Id="rId4694" Type="http://schemas.openxmlformats.org/officeDocument/2006/relationships/hyperlink" Target="https://chromewebstore.google.com/detail/naedodplkghehbefblmepndhpokdjobi" TargetMode="External"/><Relationship Id="rId114" Type="http://schemas.openxmlformats.org/officeDocument/2006/relationships/hyperlink" Target="https://chromewebstore.google.com/detail/difcjdggkffcfgcfconafogflmmaadco" TargetMode="External"/><Relationship Id="rId2034" Type="http://schemas.openxmlformats.org/officeDocument/2006/relationships/hyperlink" Target="https://chromewebstore.google.com/detail/oabmdoehbmfjibhoidonpdmjjgbkppbp" TargetMode="External"/><Relationship Id="rId3366" Type="http://schemas.openxmlformats.org/officeDocument/2006/relationships/hyperlink" Target="https://chromewebstore.google.com/detail/dcljefehlpjmoefgoohaobehbenocmkg" TargetMode="External"/><Relationship Id="rId4697" Type="http://schemas.openxmlformats.org/officeDocument/2006/relationships/hyperlink" Target="https://chromewebstore.google.com/detail/nalmbmopkipfhijmcncelapgbkgoligf" TargetMode="External"/><Relationship Id="rId113" Type="http://schemas.openxmlformats.org/officeDocument/2006/relationships/hyperlink" Target="https://chromewebstore.google.com/detail/bfbckhhmjfnmedpakkaaflpnmkamdppf" TargetMode="External"/><Relationship Id="rId2035" Type="http://schemas.openxmlformats.org/officeDocument/2006/relationships/hyperlink" Target="https://chromewebstore.google.com/detail/oddfihdjoneffhjjlpgdjaefeklefmdi" TargetMode="External"/><Relationship Id="rId3365" Type="http://schemas.openxmlformats.org/officeDocument/2006/relationships/hyperlink" Target="https://chromewebstore.google.com/detail/dcecmgaholkhgdkebcpgdjemmcmflpmf" TargetMode="External"/><Relationship Id="rId4696" Type="http://schemas.openxmlformats.org/officeDocument/2006/relationships/hyperlink" Target="https://chromewebstore.google.com/detail/nakcejjjkpbhmgkpkjeichbmklcgpjki" TargetMode="External"/><Relationship Id="rId112" Type="http://schemas.openxmlformats.org/officeDocument/2006/relationships/hyperlink" Target="https://chromewebstore.google.com/detail/baocaagndhipibgklemoalmkljaimfdj" TargetMode="External"/><Relationship Id="rId2036" Type="http://schemas.openxmlformats.org/officeDocument/2006/relationships/hyperlink" Target="https://chromewebstore.google.com/detail/odibemolpgeomdbopjcplbmhlpbkdggd" TargetMode="External"/><Relationship Id="rId3368" Type="http://schemas.openxmlformats.org/officeDocument/2006/relationships/hyperlink" Target="https://chromewebstore.google.com/detail/dddcejkalllobbpblapmkgnnehcfagdf" TargetMode="External"/><Relationship Id="rId4699" Type="http://schemas.openxmlformats.org/officeDocument/2006/relationships/hyperlink" Target="https://chromewebstore.google.com/detail/naoajjeoiblmpegfelhkapanmmaaghmi" TargetMode="External"/><Relationship Id="rId111" Type="http://schemas.openxmlformats.org/officeDocument/2006/relationships/hyperlink" Target="https://chromewebstore.google.com/detail/apfkepiiddolifkgjmfdgpnipgnfejab" TargetMode="External"/><Relationship Id="rId2037" Type="http://schemas.openxmlformats.org/officeDocument/2006/relationships/hyperlink" Target="https://chromewebstore.google.com/detail/offkdfbbigofcgdokjemgjpdockaafjg" TargetMode="External"/><Relationship Id="rId3367" Type="http://schemas.openxmlformats.org/officeDocument/2006/relationships/hyperlink" Target="https://chromewebstore.google.com/detail/dcmllfkiihingappljlkffafnlhdpbai" TargetMode="External"/><Relationship Id="rId4698" Type="http://schemas.openxmlformats.org/officeDocument/2006/relationships/hyperlink" Target="https://chromewebstore.google.com/detail/nandgdgkehbimcjgfnkcebjkidimenee" TargetMode="External"/><Relationship Id="rId3315" Type="http://schemas.openxmlformats.org/officeDocument/2006/relationships/hyperlink" Target="https://chromewebstore.google.com/detail/bodjneffehabmoepacpcomhfakbpagbe" TargetMode="External"/><Relationship Id="rId4646" Type="http://schemas.openxmlformats.org/officeDocument/2006/relationships/hyperlink" Target="https://chromewebstore.google.com/detail/mepooemkkklmilplmgkeljlnpnokjlbo" TargetMode="External"/><Relationship Id="rId5978" Type="http://schemas.openxmlformats.org/officeDocument/2006/relationships/hyperlink" Target="https://chromewebstore.google.com/detail/idkamlaejpamdckefmbhknakamfgkaih" TargetMode="External"/><Relationship Id="rId3314" Type="http://schemas.openxmlformats.org/officeDocument/2006/relationships/hyperlink" Target="https://chromewebstore.google.com/detail/bnocffbiglfjjcgmifcampfmcbkfbhgc" TargetMode="External"/><Relationship Id="rId4645" Type="http://schemas.openxmlformats.org/officeDocument/2006/relationships/hyperlink" Target="https://chromewebstore.google.com/detail/melffdlldjphddahoppfddcacpaophhf" TargetMode="External"/><Relationship Id="rId5979" Type="http://schemas.openxmlformats.org/officeDocument/2006/relationships/hyperlink" Target="https://chromewebstore.google.com/detail/idnmlamplcoognldklompmmabhlldllo" TargetMode="External"/><Relationship Id="rId3317" Type="http://schemas.openxmlformats.org/officeDocument/2006/relationships/hyperlink" Target="https://chromewebstore.google.com/detail/bponbdjkefbmgkfiiphhabghkkfocook" TargetMode="External"/><Relationship Id="rId4648" Type="http://schemas.openxmlformats.org/officeDocument/2006/relationships/hyperlink" Target="https://chromewebstore.google.com/detail/mfdedbeljebbgkenmgfpjmjfnkgcffdm" TargetMode="External"/><Relationship Id="rId5976" Type="http://schemas.openxmlformats.org/officeDocument/2006/relationships/hyperlink" Target="https://chromewebstore.google.com/detail/idckcaillgcgdmbfldkdajbiipgdcihe" TargetMode="External"/><Relationship Id="rId3316" Type="http://schemas.openxmlformats.org/officeDocument/2006/relationships/hyperlink" Target="https://chromewebstore.google.com/detail/boepmphdpbdnficfifejnkejlljcefjb" TargetMode="External"/><Relationship Id="rId4647" Type="http://schemas.openxmlformats.org/officeDocument/2006/relationships/hyperlink" Target="https://chromewebstore.google.com/detail/mfckggnkebdpaocogfekaaicafooeiik" TargetMode="External"/><Relationship Id="rId5977" Type="http://schemas.openxmlformats.org/officeDocument/2006/relationships/hyperlink" Target="https://chromewebstore.google.com/detail/idiomkjpboogdmkpndeepnkldhbpnnpb" TargetMode="External"/><Relationship Id="rId3319" Type="http://schemas.openxmlformats.org/officeDocument/2006/relationships/hyperlink" Target="https://chromewebstore.google.com/detail/cacofhihgjfapcpaocgkaadkpmgfieki" TargetMode="External"/><Relationship Id="rId3318" Type="http://schemas.openxmlformats.org/officeDocument/2006/relationships/hyperlink" Target="https://chromewebstore.google.com/detail/caafhkjcgpbinkgnghkojaoipgdkbcbc" TargetMode="External"/><Relationship Id="rId4649" Type="http://schemas.openxmlformats.org/officeDocument/2006/relationships/hyperlink" Target="https://chromewebstore.google.com/detail/mfdnijcalgckckdhbfplfjaoiclaagnj" TargetMode="External"/><Relationship Id="rId5970" Type="http://schemas.openxmlformats.org/officeDocument/2006/relationships/hyperlink" Target="https://chromewebstore.google.com/detail/icfblmejfimdamccpnoihghdjdhkaedi" TargetMode="External"/><Relationship Id="rId5971" Type="http://schemas.openxmlformats.org/officeDocument/2006/relationships/hyperlink" Target="https://chromewebstore.google.com/detail/icgllojphobcelnadkpnpakckhlmnoaa" TargetMode="External"/><Relationship Id="rId4640" Type="http://schemas.openxmlformats.org/officeDocument/2006/relationships/hyperlink" Target="https://chromewebstore.google.com/detail/mddbkffabnjjaihpiocjdagclghhlcmd" TargetMode="External"/><Relationship Id="rId3311" Type="http://schemas.openxmlformats.org/officeDocument/2006/relationships/hyperlink" Target="https://chromewebstore.google.com/detail/bldankcfaddopfeelafmbkjboflldjki" TargetMode="External"/><Relationship Id="rId4642" Type="http://schemas.openxmlformats.org/officeDocument/2006/relationships/hyperlink" Target="https://chromewebstore.google.com/detail/mdjljoiaeenpboejapmbogfjpdljjndh" TargetMode="External"/><Relationship Id="rId5974" Type="http://schemas.openxmlformats.org/officeDocument/2006/relationships/hyperlink" Target="https://chromewebstore.google.com/detail/icnhjdhclnciidcbbafekjogmkdhhgib" TargetMode="External"/><Relationship Id="rId3310" Type="http://schemas.openxmlformats.org/officeDocument/2006/relationships/hyperlink" Target="https://chromewebstore.google.com/detail/blbifcidolpiceehdgfhcfcnainjmcmj" TargetMode="External"/><Relationship Id="rId4641" Type="http://schemas.openxmlformats.org/officeDocument/2006/relationships/hyperlink" Target="https://chromewebstore.google.com/detail/mdgncmfemcgcpdmchnenmkgfdpedokgo" TargetMode="External"/><Relationship Id="rId5975" Type="http://schemas.openxmlformats.org/officeDocument/2006/relationships/hyperlink" Target="https://chromewebstore.google.com/detail/idbnpledljooaelhbodmpjaeimmbdcmo" TargetMode="External"/><Relationship Id="rId3313" Type="http://schemas.openxmlformats.org/officeDocument/2006/relationships/hyperlink" Target="https://chromewebstore.google.com/detail/bmjjlaomahkobdcmgnbihomlipaoolnh" TargetMode="External"/><Relationship Id="rId4644" Type="http://schemas.openxmlformats.org/officeDocument/2006/relationships/hyperlink" Target="https://chromewebstore.google.com/detail/mefkpmhgfljflbldannlgahlmhagdcoe" TargetMode="External"/><Relationship Id="rId5972" Type="http://schemas.openxmlformats.org/officeDocument/2006/relationships/hyperlink" Target="https://chromewebstore.google.com/detail/icjlfhgfjjmpbfminikodoeipbinmjcm" TargetMode="External"/><Relationship Id="rId3312" Type="http://schemas.openxmlformats.org/officeDocument/2006/relationships/hyperlink" Target="https://chromewebstore.google.com/detail/blemhogdenfkkojlpghcinocbfjheioc" TargetMode="External"/><Relationship Id="rId4643" Type="http://schemas.openxmlformats.org/officeDocument/2006/relationships/hyperlink" Target="https://chromewebstore.google.com/detail/mebfblkahpknogabckmdjcmjbnpfdpcj" TargetMode="External"/><Relationship Id="rId5973" Type="http://schemas.openxmlformats.org/officeDocument/2006/relationships/hyperlink" Target="https://chromewebstore.google.com/detail/icncdnmkpbfelimpahkncfjdkdhgammm" TargetMode="External"/><Relationship Id="rId3304" Type="http://schemas.openxmlformats.org/officeDocument/2006/relationships/hyperlink" Target="https://chromewebstore.google.com/detail/bkegjcmidjgnmjbeninfbhoaelblpgic" TargetMode="External"/><Relationship Id="rId4635" Type="http://schemas.openxmlformats.org/officeDocument/2006/relationships/hyperlink" Target="https://chromewebstore.google.com/detail/mbmmfmfiglgpcpboljabbhlogbcpebdh" TargetMode="External"/><Relationship Id="rId5967" Type="http://schemas.openxmlformats.org/officeDocument/2006/relationships/hyperlink" Target="https://chromewebstore.google.com/detail/ibnjlibjbocfijndlhlfdkjihmjlmibd" TargetMode="External"/><Relationship Id="rId3303" Type="http://schemas.openxmlformats.org/officeDocument/2006/relationships/hyperlink" Target="https://chromewebstore.google.com/detail/bjpokniooffiidjfhdofmalkpplpfeoa" TargetMode="External"/><Relationship Id="rId4634" Type="http://schemas.openxmlformats.org/officeDocument/2006/relationships/hyperlink" Target="https://chromewebstore.google.com/detail/mbeedbpphndkijipfcklhlgmoolapiml" TargetMode="External"/><Relationship Id="rId5968" Type="http://schemas.openxmlformats.org/officeDocument/2006/relationships/hyperlink" Target="https://chromewebstore.google.com/detail/icebdekglepmmohgnelpphfbonigmfgp" TargetMode="External"/><Relationship Id="rId3306" Type="http://schemas.openxmlformats.org/officeDocument/2006/relationships/hyperlink" Target="https://chromewebstore.google.com/detail/bkkkofmilenhmllncomknceafibcpgkc" TargetMode="External"/><Relationship Id="rId4637" Type="http://schemas.openxmlformats.org/officeDocument/2006/relationships/hyperlink" Target="https://chromewebstore.google.com/detail/mciklklnhemleglghlcjeigibjohmgac" TargetMode="External"/><Relationship Id="rId5965" Type="http://schemas.openxmlformats.org/officeDocument/2006/relationships/hyperlink" Target="https://chromewebstore.google.com/detail/ibljmcpffldiiccjmnbnpnehgkjddapk" TargetMode="External"/><Relationship Id="rId3305" Type="http://schemas.openxmlformats.org/officeDocument/2006/relationships/hyperlink" Target="https://chromewebstore.google.com/detail/bkjeokcipbjcghinfpkeelfgnjffhpkf" TargetMode="External"/><Relationship Id="rId4636" Type="http://schemas.openxmlformats.org/officeDocument/2006/relationships/hyperlink" Target="https://chromewebstore.google.com/detail/mcaikbdablblhjhgpnbknbkbegogbhlm" TargetMode="External"/><Relationship Id="rId5966" Type="http://schemas.openxmlformats.org/officeDocument/2006/relationships/hyperlink" Target="https://chromewebstore.google.com/detail/ibncmbgpniokogofpkjnlcpfpiodoppk" TargetMode="External"/><Relationship Id="rId3308" Type="http://schemas.openxmlformats.org/officeDocument/2006/relationships/hyperlink" Target="https://chromewebstore.google.com/detail/bknaplcbimdibpjbabccgddcleoealam" TargetMode="External"/><Relationship Id="rId4639" Type="http://schemas.openxmlformats.org/officeDocument/2006/relationships/hyperlink" Target="https://chromewebstore.google.com/detail/mcnddmglmjbomnfgkehnnblncllkaedm" TargetMode="External"/><Relationship Id="rId3307" Type="http://schemas.openxmlformats.org/officeDocument/2006/relationships/hyperlink" Target="https://chromewebstore.google.com/detail/bkklifkecemccedpkhcebagjpehhabfb" TargetMode="External"/><Relationship Id="rId4638" Type="http://schemas.openxmlformats.org/officeDocument/2006/relationships/hyperlink" Target="https://chromewebstore.google.com/detail/mcjbehbddnhmcecicjalhcigjhdccaac" TargetMode="External"/><Relationship Id="rId5969" Type="http://schemas.openxmlformats.org/officeDocument/2006/relationships/hyperlink" Target="https://chromewebstore.google.com/detail/iceiemadajkmhlnchhmdenbfgnjkjnlh" TargetMode="External"/><Relationship Id="rId3309" Type="http://schemas.openxmlformats.org/officeDocument/2006/relationships/hyperlink" Target="https://chromewebstore.google.com/detail/blabgegddnndfabfkcgibjomjliibapn" TargetMode="External"/><Relationship Id="rId5960" Type="http://schemas.openxmlformats.org/officeDocument/2006/relationships/hyperlink" Target="https://chromewebstore.google.com/detail/iamjbjphhaopopflkbbkddfpbiihangc" TargetMode="External"/><Relationship Id="rId3300" Type="http://schemas.openxmlformats.org/officeDocument/2006/relationships/hyperlink" Target="https://chromewebstore.google.com/detail/bjigpljapjlemfipjmmeidlcbaabcffe" TargetMode="External"/><Relationship Id="rId4631" Type="http://schemas.openxmlformats.org/officeDocument/2006/relationships/hyperlink" Target="https://chromewebstore.google.com/detail/manbfoambbfcbnhmjbnbggklhoclonnb" TargetMode="External"/><Relationship Id="rId5963" Type="http://schemas.openxmlformats.org/officeDocument/2006/relationships/hyperlink" Target="https://chromewebstore.google.com/detail/ibehnpdcgpabccnlefccelhblhphbbpl" TargetMode="External"/><Relationship Id="rId4630" Type="http://schemas.openxmlformats.org/officeDocument/2006/relationships/hyperlink" Target="https://chromewebstore.google.com/detail/maldlhiallkfciipjnedanjjpnfaljpl" TargetMode="External"/><Relationship Id="rId5964" Type="http://schemas.openxmlformats.org/officeDocument/2006/relationships/hyperlink" Target="https://chromewebstore.google.com/detail/ibhhbcaipjilldjkhhblhgdedjgoecap" TargetMode="External"/><Relationship Id="rId3302" Type="http://schemas.openxmlformats.org/officeDocument/2006/relationships/hyperlink" Target="https://chromewebstore.google.com/detail/bjkmldgdbbehjahimccnckggoofdommo" TargetMode="External"/><Relationship Id="rId4633" Type="http://schemas.openxmlformats.org/officeDocument/2006/relationships/hyperlink" Target="https://chromewebstore.google.com/detail/mbdbfbeebekieflbpicploepnkblcmjp" TargetMode="External"/><Relationship Id="rId5961" Type="http://schemas.openxmlformats.org/officeDocument/2006/relationships/hyperlink" Target="https://chromewebstore.google.com/detail/iangopklojclohjcbiobemaknapklaeg" TargetMode="External"/><Relationship Id="rId3301" Type="http://schemas.openxmlformats.org/officeDocument/2006/relationships/hyperlink" Target="https://chromewebstore.google.com/detail/bjkkgiokpelbekeldjbjfklkjhfdbjgk" TargetMode="External"/><Relationship Id="rId4632" Type="http://schemas.openxmlformats.org/officeDocument/2006/relationships/hyperlink" Target="https://chromewebstore.google.com/detail/mbaflkdlneldejanggphlhcepncjfaco" TargetMode="External"/><Relationship Id="rId5962" Type="http://schemas.openxmlformats.org/officeDocument/2006/relationships/hyperlink" Target="https://chromewebstore.google.com/detail/ibalioppfbgkpnijdonlogccokhmplif" TargetMode="External"/><Relationship Id="rId2005" Type="http://schemas.openxmlformats.org/officeDocument/2006/relationships/hyperlink" Target="https://chromewebstore.google.com/detail/kefcbonbdcahbihclibfdeeddceiabjm" TargetMode="External"/><Relationship Id="rId3337" Type="http://schemas.openxmlformats.org/officeDocument/2006/relationships/hyperlink" Target="https://chromewebstore.google.com/detail/cgfnijlagkjceiojopgopojbenmecdgn" TargetMode="External"/><Relationship Id="rId4668" Type="http://schemas.openxmlformats.org/officeDocument/2006/relationships/hyperlink" Target="https://chromewebstore.google.com/detail/mjonmjnmjeopaknkgopihjpmlbbkkchj" TargetMode="External"/><Relationship Id="rId2006" Type="http://schemas.openxmlformats.org/officeDocument/2006/relationships/hyperlink" Target="https://chromewebstore.google.com/detail/kfgafkkfnmkbdeejdgefkpcmimbommna" TargetMode="External"/><Relationship Id="rId3336" Type="http://schemas.openxmlformats.org/officeDocument/2006/relationships/hyperlink" Target="https://chromewebstore.google.com/detail/cgaoglehhddipnfdhdjmpcopgpejpofg" TargetMode="External"/><Relationship Id="rId4667" Type="http://schemas.openxmlformats.org/officeDocument/2006/relationships/hyperlink" Target="https://chromewebstore.google.com/detail/mjmkojcifkohagopplnehodbmlcacjlh" TargetMode="External"/><Relationship Id="rId2007" Type="http://schemas.openxmlformats.org/officeDocument/2006/relationships/hyperlink" Target="https://chromewebstore.google.com/detail/kfoghncheahclnnidbiplloogoppcagi" TargetMode="External"/><Relationship Id="rId3339" Type="http://schemas.openxmlformats.org/officeDocument/2006/relationships/hyperlink" Target="https://chromewebstore.google.com/detail/chpphekfimlabghbdankokcohcmnbmab" TargetMode="External"/><Relationship Id="rId5998" Type="http://schemas.openxmlformats.org/officeDocument/2006/relationships/hyperlink" Target="https://chromewebstore.google.com/detail/igjmkejolekkpjnaeknjgaghhlhhekle" TargetMode="External"/><Relationship Id="rId2008" Type="http://schemas.openxmlformats.org/officeDocument/2006/relationships/hyperlink" Target="https://chromewebstore.google.com/detail/kjfkmlhcgelgmepdemdhkgioggaffibj" TargetMode="External"/><Relationship Id="rId3338" Type="http://schemas.openxmlformats.org/officeDocument/2006/relationships/hyperlink" Target="https://chromewebstore.google.com/detail/cgopjgigkebmoobiijhnkdljjehckcpg" TargetMode="External"/><Relationship Id="rId4669" Type="http://schemas.openxmlformats.org/officeDocument/2006/relationships/hyperlink" Target="https://chromewebstore.google.com/detail/mkflfhejpbpoinpcenpmfpbfgkeldfod" TargetMode="External"/><Relationship Id="rId5999" Type="http://schemas.openxmlformats.org/officeDocument/2006/relationships/hyperlink" Target="https://chromewebstore.google.com/detail/igkhfelkcokndphgeoimbijbegmfpcep" TargetMode="External"/><Relationship Id="rId2009" Type="http://schemas.openxmlformats.org/officeDocument/2006/relationships/hyperlink" Target="https://chromewebstore.google.com/detail/kjnjkjjgnclpobbpdpdplbjjhdcnaoia" TargetMode="External"/><Relationship Id="rId4660" Type="http://schemas.openxmlformats.org/officeDocument/2006/relationships/hyperlink" Target="https://chromewebstore.google.com/detail/mhijjfhmpocbdbjkhcodbllohlobkpko" TargetMode="External"/><Relationship Id="rId5992" Type="http://schemas.openxmlformats.org/officeDocument/2006/relationships/hyperlink" Target="https://chromewebstore.google.com/detail/ifmejflahgcnbjoocdchmcfbgcpbpooa" TargetMode="External"/><Relationship Id="rId5993" Type="http://schemas.openxmlformats.org/officeDocument/2006/relationships/hyperlink" Target="https://chromewebstore.google.com/detail/ifmencfdmeefbminibdligiflakibpoh" TargetMode="External"/><Relationship Id="rId3331" Type="http://schemas.openxmlformats.org/officeDocument/2006/relationships/hyperlink" Target="https://chromewebstore.google.com/detail/ceipgkongjnjgeckhcinapechblgchjb" TargetMode="External"/><Relationship Id="rId4662" Type="http://schemas.openxmlformats.org/officeDocument/2006/relationships/hyperlink" Target="https://chromewebstore.google.com/detail/miccnfohnpjfahhbghknejkbmpkkbapa" TargetMode="External"/><Relationship Id="rId5990" Type="http://schemas.openxmlformats.org/officeDocument/2006/relationships/hyperlink" Target="https://chromewebstore.google.com/detail/iflmcpajnjgcmfcdlokppahkgkolmcfd" TargetMode="External"/><Relationship Id="rId2000" Type="http://schemas.openxmlformats.org/officeDocument/2006/relationships/hyperlink" Target="https://chromewebstore.google.com/detail/jojicnfhgajfeddfalfahidfeicmmdgo" TargetMode="External"/><Relationship Id="rId3330" Type="http://schemas.openxmlformats.org/officeDocument/2006/relationships/hyperlink" Target="https://chromewebstore.google.com/detail/cdnggghhipolhgompbcoofhkebpogdoe" TargetMode="External"/><Relationship Id="rId4661" Type="http://schemas.openxmlformats.org/officeDocument/2006/relationships/hyperlink" Target="https://chromewebstore.google.com/detail/mhpfiackdifhfjphkicjidjlnibkfgek" TargetMode="External"/><Relationship Id="rId5991" Type="http://schemas.openxmlformats.org/officeDocument/2006/relationships/hyperlink" Target="https://chromewebstore.google.com/detail/ifmcadkgfhfofgnmmhkegecdhallnhge" TargetMode="External"/><Relationship Id="rId2001" Type="http://schemas.openxmlformats.org/officeDocument/2006/relationships/hyperlink" Target="https://chromewebstore.google.com/detail/kacdmmlabjolkpfoapmdmjkdaheaobna" TargetMode="External"/><Relationship Id="rId3333" Type="http://schemas.openxmlformats.org/officeDocument/2006/relationships/hyperlink" Target="https://chromewebstore.google.com/detail/celbdinhikbidipcbkmphghkoibafbik" TargetMode="External"/><Relationship Id="rId4664" Type="http://schemas.openxmlformats.org/officeDocument/2006/relationships/hyperlink" Target="https://chromewebstore.google.com/detail/mjfkhdokgloajdhicnjngfldhfibkckp" TargetMode="External"/><Relationship Id="rId5996" Type="http://schemas.openxmlformats.org/officeDocument/2006/relationships/hyperlink" Target="https://chromewebstore.google.com/detail/igeggliaekimdimalkgichjgepnjbnap" TargetMode="External"/><Relationship Id="rId2002" Type="http://schemas.openxmlformats.org/officeDocument/2006/relationships/hyperlink" Target="https://chromewebstore.google.com/detail/kaiblbjjcealhldhdnjhpjmckgclnbca" TargetMode="External"/><Relationship Id="rId3332" Type="http://schemas.openxmlformats.org/officeDocument/2006/relationships/hyperlink" Target="https://chromewebstore.google.com/detail/cekafjbmkfofacenifehbglhmajimhjf" TargetMode="External"/><Relationship Id="rId4663" Type="http://schemas.openxmlformats.org/officeDocument/2006/relationships/hyperlink" Target="https://chromewebstore.google.com/detail/mihnakoibnncegmcibpgallmgephjepk" TargetMode="External"/><Relationship Id="rId5997" Type="http://schemas.openxmlformats.org/officeDocument/2006/relationships/hyperlink" Target="https://chromewebstore.google.com/detail/igjaadcoconlababjpkhmjimepgnekdo" TargetMode="External"/><Relationship Id="rId2003" Type="http://schemas.openxmlformats.org/officeDocument/2006/relationships/hyperlink" Target="https://chromewebstore.google.com/detail/kbgmbmkhepchmmcnbdbclpkpegbgikjc" TargetMode="External"/><Relationship Id="rId3335" Type="http://schemas.openxmlformats.org/officeDocument/2006/relationships/hyperlink" Target="https://chromewebstore.google.com/detail/cfkhahgibalbckgminkacbbblpinfgoa" TargetMode="External"/><Relationship Id="rId4666" Type="http://schemas.openxmlformats.org/officeDocument/2006/relationships/hyperlink" Target="https://chromewebstore.google.com/detail/mjlgdiclanhcloangjbhpmoagbhmjlgc" TargetMode="External"/><Relationship Id="rId5994" Type="http://schemas.openxmlformats.org/officeDocument/2006/relationships/hyperlink" Target="https://chromewebstore.google.com/detail/igafblhljepfhmcccgklehhlbheclmob" TargetMode="External"/><Relationship Id="rId2004" Type="http://schemas.openxmlformats.org/officeDocument/2006/relationships/hyperlink" Target="https://chromewebstore.google.com/detail/kbnhlagadnlfihhgjkmcaffjadkadoap" TargetMode="External"/><Relationship Id="rId3334" Type="http://schemas.openxmlformats.org/officeDocument/2006/relationships/hyperlink" Target="https://chromewebstore.google.com/detail/cfjbdignpheklanjahlbdogdnbaklhig" TargetMode="External"/><Relationship Id="rId4665" Type="http://schemas.openxmlformats.org/officeDocument/2006/relationships/hyperlink" Target="https://chromewebstore.google.com/detail/mjfpekkpgmdihmfemmiodkhiebgbjnhm" TargetMode="External"/><Relationship Id="rId5995" Type="http://schemas.openxmlformats.org/officeDocument/2006/relationships/hyperlink" Target="https://chromewebstore.google.com/detail/igedhbjllcmgidlmhclmphmhlllkibkb" TargetMode="External"/><Relationship Id="rId3326" Type="http://schemas.openxmlformats.org/officeDocument/2006/relationships/hyperlink" Target="https://chromewebstore.google.com/detail/cchjblhbdobgdokadbmaebmoiibllodl" TargetMode="External"/><Relationship Id="rId4657" Type="http://schemas.openxmlformats.org/officeDocument/2006/relationships/hyperlink" Target="https://chromewebstore.google.com/detail/mghdcdlpcdiodelbplncnodiiadljhhk" TargetMode="External"/><Relationship Id="rId5989" Type="http://schemas.openxmlformats.org/officeDocument/2006/relationships/hyperlink" Target="https://chromewebstore.google.com/detail/ifjnjbjmhoicgefokkkeclokbphfaeki" TargetMode="External"/><Relationship Id="rId3325" Type="http://schemas.openxmlformats.org/officeDocument/2006/relationships/hyperlink" Target="https://chromewebstore.google.com/detail/ccddopnnikeeoogpfbnfommfoeliaidg" TargetMode="External"/><Relationship Id="rId4656" Type="http://schemas.openxmlformats.org/officeDocument/2006/relationships/hyperlink" Target="https://chromewebstore.google.com/detail/mgbnhohohiggdomiccdpkhaponabbfbc" TargetMode="External"/><Relationship Id="rId3328" Type="http://schemas.openxmlformats.org/officeDocument/2006/relationships/hyperlink" Target="https://chromewebstore.google.com/detail/cdfbiogeodmlhbdbonimjojagiodddej" TargetMode="External"/><Relationship Id="rId4659" Type="http://schemas.openxmlformats.org/officeDocument/2006/relationships/hyperlink" Target="https://chromewebstore.google.com/detail/mhhnbhdbgdlbolfilnpiecnkleiliidk" TargetMode="External"/><Relationship Id="rId5987" Type="http://schemas.openxmlformats.org/officeDocument/2006/relationships/hyperlink" Target="https://chromewebstore.google.com/detail/ifgdeokhnfkbgdocafpokgdnnfbnbbok" TargetMode="External"/><Relationship Id="rId3327" Type="http://schemas.openxmlformats.org/officeDocument/2006/relationships/hyperlink" Target="https://chromewebstore.google.com/detail/ccommbdjhehjihcilflmcdkooamhcncc" TargetMode="External"/><Relationship Id="rId4658" Type="http://schemas.openxmlformats.org/officeDocument/2006/relationships/hyperlink" Target="https://chromewebstore.google.com/detail/mginbgceeeielfenknclfcfegblhpkpf" TargetMode="External"/><Relationship Id="rId5988" Type="http://schemas.openxmlformats.org/officeDocument/2006/relationships/hyperlink" Target="https://chromewebstore.google.com/detail/ifhnmgllkaeebiklhakndljclagikoak" TargetMode="External"/><Relationship Id="rId3329" Type="http://schemas.openxmlformats.org/officeDocument/2006/relationships/hyperlink" Target="https://chromewebstore.google.com/detail/cdjhlfdiajgnadonhhdlekfcdoefomen" TargetMode="External"/><Relationship Id="rId5981" Type="http://schemas.openxmlformats.org/officeDocument/2006/relationships/hyperlink" Target="https://chromewebstore.google.com/detail/ieadkjmeiojipognhgeomlcdlpgdpekn" TargetMode="External"/><Relationship Id="rId5982" Type="http://schemas.openxmlformats.org/officeDocument/2006/relationships/hyperlink" Target="https://chromewebstore.google.com/detail/iegcbninklpnmdhbmdfbcpjlahemibba" TargetMode="External"/><Relationship Id="rId3320" Type="http://schemas.openxmlformats.org/officeDocument/2006/relationships/hyperlink" Target="https://chromewebstore.google.com/detail/cakhljgchfghghfapljifddkaomfijcn" TargetMode="External"/><Relationship Id="rId4651" Type="http://schemas.openxmlformats.org/officeDocument/2006/relationships/hyperlink" Target="https://chromewebstore.google.com/detail/mfinfiagnpnbijihonbeadgnfbihhpcf" TargetMode="External"/><Relationship Id="rId4650" Type="http://schemas.openxmlformats.org/officeDocument/2006/relationships/hyperlink" Target="https://chromewebstore.google.com/detail/mffcogdacgpjnckjepacaicfliaocneb" TargetMode="External"/><Relationship Id="rId5980" Type="http://schemas.openxmlformats.org/officeDocument/2006/relationships/hyperlink" Target="https://chromewebstore.google.com/detail/idpkhlmnodphnlldoadnmflmoiflcbeo" TargetMode="External"/><Relationship Id="rId3322" Type="http://schemas.openxmlformats.org/officeDocument/2006/relationships/hyperlink" Target="https://chromewebstore.google.com/detail/capojgaalppngkaagaobmigigcgnidmn" TargetMode="External"/><Relationship Id="rId4653" Type="http://schemas.openxmlformats.org/officeDocument/2006/relationships/hyperlink" Target="https://chromewebstore.google.com/detail/mfojbimoijkkmhoinjalikpafpklfdif" TargetMode="External"/><Relationship Id="rId5985" Type="http://schemas.openxmlformats.org/officeDocument/2006/relationships/hyperlink" Target="https://chromewebstore.google.com/detail/ifbdkkmplemchhmcafjphahhmdgleolp" TargetMode="External"/><Relationship Id="rId3321" Type="http://schemas.openxmlformats.org/officeDocument/2006/relationships/hyperlink" Target="https://chromewebstore.google.com/detail/capkagcahfpeicbnbfepenbmognpecae" TargetMode="External"/><Relationship Id="rId4652" Type="http://schemas.openxmlformats.org/officeDocument/2006/relationships/hyperlink" Target="https://chromewebstore.google.com/detail/mflkegihknjnhmpfnaimpfkjbkelhhkf" TargetMode="External"/><Relationship Id="rId5986" Type="http://schemas.openxmlformats.org/officeDocument/2006/relationships/hyperlink" Target="https://chromewebstore.google.com/detail/ifdnjffggmmjiammdpklgldliaaempce" TargetMode="External"/><Relationship Id="rId3324" Type="http://schemas.openxmlformats.org/officeDocument/2006/relationships/hyperlink" Target="https://chromewebstore.google.com/detail/cbomnmkpjmleifejmnjhfnfnpiileiin" TargetMode="External"/><Relationship Id="rId4655" Type="http://schemas.openxmlformats.org/officeDocument/2006/relationships/hyperlink" Target="https://chromewebstore.google.com/detail/mgaphgebhfgmkahikdhdomnnpelbijmo" TargetMode="External"/><Relationship Id="rId5983" Type="http://schemas.openxmlformats.org/officeDocument/2006/relationships/hyperlink" Target="https://chromewebstore.google.com/detail/iejckekdjogeeilmllnabmgkbbmedeal" TargetMode="External"/><Relationship Id="rId3323" Type="http://schemas.openxmlformats.org/officeDocument/2006/relationships/hyperlink" Target="https://chromewebstore.google.com/detail/cbkdeoaaclnbidadjimofnhpbfhjakoe" TargetMode="External"/><Relationship Id="rId4654" Type="http://schemas.openxmlformats.org/officeDocument/2006/relationships/hyperlink" Target="https://chromewebstore.google.com/detail/mganbjhcinhhpelabgdgnogoaedcakke" TargetMode="External"/><Relationship Id="rId5984" Type="http://schemas.openxmlformats.org/officeDocument/2006/relationships/hyperlink" Target="https://chromewebstore.google.com/detail/iepmcfkedcobclgjlblahmlekodmnmmk" TargetMode="External"/><Relationship Id="rId2090" Type="http://schemas.openxmlformats.org/officeDocument/2006/relationships/hyperlink" Target="https://chromewebstore.google.com/detail/cdimdlckbkfelaogjhfbkjcfncbpngkn" TargetMode="External"/><Relationship Id="rId2091" Type="http://schemas.openxmlformats.org/officeDocument/2006/relationships/hyperlink" Target="https://chromewebstore.google.com/detail/cgjalgdhmbpaacnnejmodfinclbdgaci" TargetMode="External"/><Relationship Id="rId2092" Type="http://schemas.openxmlformats.org/officeDocument/2006/relationships/hyperlink" Target="https://chromewebstore.google.com/detail/cgpbbgjlljobcemhhimjknkldpinacpn" TargetMode="External"/><Relationship Id="rId2093" Type="http://schemas.openxmlformats.org/officeDocument/2006/relationships/hyperlink" Target="https://chromewebstore.google.com/detail/cifabpkihmmedjjpefgfnajkpdnhbmfl" TargetMode="External"/><Relationship Id="rId2094" Type="http://schemas.openxmlformats.org/officeDocument/2006/relationships/hyperlink" Target="https://chromewebstore.google.com/detail/cjjokddcaglagiofkpeoiepkfafkapbj" TargetMode="External"/><Relationship Id="rId2095" Type="http://schemas.openxmlformats.org/officeDocument/2006/relationships/hyperlink" Target="https://chromewebstore.google.com/detail/ckdcladimoocjeeiopknkdmpppmpeagb" TargetMode="External"/><Relationship Id="rId2096" Type="http://schemas.openxmlformats.org/officeDocument/2006/relationships/hyperlink" Target="https://chromewebstore.google.com/detail/ckkfnchnfmgpiejgaacmbngkcjbaaipd" TargetMode="External"/><Relationship Id="rId2097" Type="http://schemas.openxmlformats.org/officeDocument/2006/relationships/hyperlink" Target="https://chromewebstore.google.com/detail/cnfnooplfaeijohhiknoebeboiphdmea" TargetMode="External"/><Relationship Id="rId2098" Type="http://schemas.openxmlformats.org/officeDocument/2006/relationships/hyperlink" Target="https://chromewebstore.google.com/detail/cplillmhmcegjlhcbedmgmalbgjpmlkh" TargetMode="External"/><Relationship Id="rId2099" Type="http://schemas.openxmlformats.org/officeDocument/2006/relationships/hyperlink" Target="https://chromewebstore.google.com/detail/dapehldnfebpbfpfknddmlhghjlbjhdb" TargetMode="External"/><Relationship Id="rId9518" Type="http://schemas.openxmlformats.org/officeDocument/2006/relationships/hyperlink" Target="https://chromewebstore.google.com/detail/ibbapakgcgmnnlkikmfcgembolalfbpd" TargetMode="External"/><Relationship Id="rId9519" Type="http://schemas.openxmlformats.org/officeDocument/2006/relationships/hyperlink" Target="https://chromewebstore.google.com/detail/logjaoidoeihjlkmgncnnjfldhdiagac" TargetMode="External"/><Relationship Id="rId9514" Type="http://schemas.openxmlformats.org/officeDocument/2006/relationships/hyperlink" Target="https://chromewebstore.google.com/detail/cibnlngbgpkcmbiilfdeekaojmfhimag" TargetMode="External"/><Relationship Id="rId9515" Type="http://schemas.openxmlformats.org/officeDocument/2006/relationships/hyperlink" Target="https://chromewebstore.google.com/detail/dfolnmgmfdfnlimmfbkmndnlbbonbamg" TargetMode="External"/><Relationship Id="rId9516" Type="http://schemas.openxmlformats.org/officeDocument/2006/relationships/hyperlink" Target="https://chromewebstore.google.com/detail/ehjbcokpmfbmpjlldihlcbkoakikcomd" TargetMode="External"/><Relationship Id="rId9517" Type="http://schemas.openxmlformats.org/officeDocument/2006/relationships/hyperlink" Target="https://chromewebstore.google.com/detail/gebpccdpnkhendljmgniflcjbcopoaag" TargetMode="External"/><Relationship Id="rId9510" Type="http://schemas.openxmlformats.org/officeDocument/2006/relationships/hyperlink" Target="https://chromewebstore.google.com/detail/kjhpjckadnmiafbailekidjcfhnlocek" TargetMode="External"/><Relationship Id="rId9511" Type="http://schemas.openxmlformats.org/officeDocument/2006/relationships/hyperlink" Target="https://chromewebstore.google.com/detail/kmdlpnpjmmdjgfeoandcgppokdaknkhm" TargetMode="External"/><Relationship Id="rId9512" Type="http://schemas.openxmlformats.org/officeDocument/2006/relationships/hyperlink" Target="https://chromewebstore.google.com/detail/ljbepbcfkmbpoleofmfndmfhldomkdlb" TargetMode="External"/><Relationship Id="rId9513" Type="http://schemas.openxmlformats.org/officeDocument/2006/relationships/hyperlink" Target="https://chromewebstore.google.com/detail/mmakemefcnfogodnbgdflchnllmfickc" TargetMode="External"/><Relationship Id="rId9507" Type="http://schemas.openxmlformats.org/officeDocument/2006/relationships/hyperlink" Target="https://chromewebstore.google.com/detail/ekeoiemflcjdojgbafpelkaanhdbnofl" TargetMode="External"/><Relationship Id="rId9508" Type="http://schemas.openxmlformats.org/officeDocument/2006/relationships/hyperlink" Target="https://chromewebstore.google.com/detail/iaoghbeamaalcgoembjppfekhelajipd" TargetMode="External"/><Relationship Id="rId9509" Type="http://schemas.openxmlformats.org/officeDocument/2006/relationships/hyperlink" Target="https://chromewebstore.google.com/detail/khmempcacbgfbhkeocpahgcmognoaoeh" TargetMode="External"/><Relationship Id="rId9503" Type="http://schemas.openxmlformats.org/officeDocument/2006/relationships/hyperlink" Target="https://chromewebstore.google.com/detail/meolldikblbfbekojppimgfjdgjfljkl" TargetMode="External"/><Relationship Id="rId9504" Type="http://schemas.openxmlformats.org/officeDocument/2006/relationships/hyperlink" Target="https://chromewebstore.google.com/detail/mnjbjjllbclkpnebaddhkoonjelmiekm" TargetMode="External"/><Relationship Id="rId9505" Type="http://schemas.openxmlformats.org/officeDocument/2006/relationships/hyperlink" Target="https://chromewebstore.google.com/detail/pdcfmkjjibapckmmkjmomboedjgkahap" TargetMode="External"/><Relationship Id="rId9506" Type="http://schemas.openxmlformats.org/officeDocument/2006/relationships/hyperlink" Target="https://chromewebstore.google.com/detail/clmgeingkjdcimephgcomgggppnncdfa" TargetMode="External"/><Relationship Id="rId9500" Type="http://schemas.openxmlformats.org/officeDocument/2006/relationships/hyperlink" Target="https://chromewebstore.google.com/detail/icfppdnbakiampejgikedpidpnpcniga" TargetMode="External"/><Relationship Id="rId9501" Type="http://schemas.openxmlformats.org/officeDocument/2006/relationships/hyperlink" Target="https://chromewebstore.google.com/detail/kkppfcnjkdgeocghmebigakljcpiamge" TargetMode="External"/><Relationship Id="rId9502" Type="http://schemas.openxmlformats.org/officeDocument/2006/relationships/hyperlink" Target="https://chromewebstore.google.com/detail/kocnlcjmilagfcojemhbijcjphhlbini" TargetMode="External"/><Relationship Id="rId3391" Type="http://schemas.openxmlformats.org/officeDocument/2006/relationships/hyperlink" Target="https://chromewebstore.google.com/detail/dkmolnjgcflefpeajenclaejfddpcaml" TargetMode="External"/><Relationship Id="rId2060" Type="http://schemas.openxmlformats.org/officeDocument/2006/relationships/hyperlink" Target="https://chromewebstore.google.com/detail/aaeffcfdmalohgjacccngamlobknlcbj" TargetMode="External"/><Relationship Id="rId3390" Type="http://schemas.openxmlformats.org/officeDocument/2006/relationships/hyperlink" Target="https://chromewebstore.google.com/detail/dkglikblegnhaglmhanneopiaednbehc" TargetMode="External"/><Relationship Id="rId2061" Type="http://schemas.openxmlformats.org/officeDocument/2006/relationships/hyperlink" Target="https://chromewebstore.google.com/detail/adebmdeflhjephjfamdbbpbofjgbgmel" TargetMode="External"/><Relationship Id="rId3393" Type="http://schemas.openxmlformats.org/officeDocument/2006/relationships/hyperlink" Target="https://chromewebstore.google.com/detail/dlmgniacaacmbccdegkadebbaphkonpb" TargetMode="External"/><Relationship Id="rId2062" Type="http://schemas.openxmlformats.org/officeDocument/2006/relationships/hyperlink" Target="https://chromewebstore.google.com/detail/ageiikgnhpnpcnaifeaikpphhgealfia" TargetMode="External"/><Relationship Id="rId3392" Type="http://schemas.openxmlformats.org/officeDocument/2006/relationships/hyperlink" Target="https://chromewebstore.google.com/detail/dlcjllapchpeedkecmhfnpfenpbglioo" TargetMode="External"/><Relationship Id="rId2063" Type="http://schemas.openxmlformats.org/officeDocument/2006/relationships/hyperlink" Target="https://chromewebstore.google.com/detail/aiepheblmpibmhkpldfcpcmfhjoemhmm" TargetMode="External"/><Relationship Id="rId3395" Type="http://schemas.openxmlformats.org/officeDocument/2006/relationships/hyperlink" Target="https://chromewebstore.google.com/detail/dnemofhfmngncanaemmdnohjicnhjagb" TargetMode="External"/><Relationship Id="rId2064" Type="http://schemas.openxmlformats.org/officeDocument/2006/relationships/hyperlink" Target="https://chromewebstore.google.com/detail/aifkmdeeiedbnckmhdcokpcmkdfplimh" TargetMode="External"/><Relationship Id="rId3394" Type="http://schemas.openxmlformats.org/officeDocument/2006/relationships/hyperlink" Target="https://chromewebstore.google.com/detail/dmdidacioohghaemnkfhcmpjbmanmfok" TargetMode="External"/><Relationship Id="rId2065" Type="http://schemas.openxmlformats.org/officeDocument/2006/relationships/hyperlink" Target="https://chromewebstore.google.com/detail/ajelnjmnjnchimodkgnhalconepoiodf" TargetMode="External"/><Relationship Id="rId3397" Type="http://schemas.openxmlformats.org/officeDocument/2006/relationships/hyperlink" Target="https://chromewebstore.google.com/detail/dnfclojpjpcpkepcobligoibhnjfpllm" TargetMode="External"/><Relationship Id="rId2066" Type="http://schemas.openxmlformats.org/officeDocument/2006/relationships/hyperlink" Target="https://chromewebstore.google.com/detail/ajjnbanpedpjbfcpaopcloaaknffnjfp" TargetMode="External"/><Relationship Id="rId3396" Type="http://schemas.openxmlformats.org/officeDocument/2006/relationships/hyperlink" Target="https://chromewebstore.google.com/detail/dnfbgicfhchdpogmafjifjgbcjdaikgn" TargetMode="External"/><Relationship Id="rId2067" Type="http://schemas.openxmlformats.org/officeDocument/2006/relationships/hyperlink" Target="https://chromewebstore.google.com/detail/ajnbnekhpkkfaobjalnhdoofajkghidp" TargetMode="External"/><Relationship Id="rId3399" Type="http://schemas.openxmlformats.org/officeDocument/2006/relationships/hyperlink" Target="https://chromewebstore.google.com/detail/dokkeckpdbodhnkncfjbbgbejdjcflhm" TargetMode="External"/><Relationship Id="rId2068" Type="http://schemas.openxmlformats.org/officeDocument/2006/relationships/hyperlink" Target="https://chromewebstore.google.com/detail/akjikdkembhkhceaegjokdpggfcefigk" TargetMode="External"/><Relationship Id="rId3398" Type="http://schemas.openxmlformats.org/officeDocument/2006/relationships/hyperlink" Target="https://chromewebstore.google.com/detail/dodghoacmcolcigjioiapehcmpdadgmi" TargetMode="External"/><Relationship Id="rId2069" Type="http://schemas.openxmlformats.org/officeDocument/2006/relationships/hyperlink" Target="https://chromewebstore.google.com/detail/amgpghckccldgepbpghdmpjpppflkede" TargetMode="External"/><Relationship Id="rId3380" Type="http://schemas.openxmlformats.org/officeDocument/2006/relationships/hyperlink" Target="https://chromewebstore.google.com/detail/dhhoacdlegcbdglbfnhgnlchpkdlofkb" TargetMode="External"/><Relationship Id="rId2050" Type="http://schemas.openxmlformats.org/officeDocument/2006/relationships/hyperlink" Target="https://chromewebstore.google.com/detail/pgmffgofnnjppcongjleophechoafipl" TargetMode="External"/><Relationship Id="rId3382" Type="http://schemas.openxmlformats.org/officeDocument/2006/relationships/hyperlink" Target="https://chromewebstore.google.com/detail/dibhjjgigjbgfdfgbjamcjminlflfgca" TargetMode="External"/><Relationship Id="rId2051" Type="http://schemas.openxmlformats.org/officeDocument/2006/relationships/hyperlink" Target="https://chromewebstore.google.com/detail/phhpajlkjeoakfmckfnogpnfeidgbhil" TargetMode="External"/><Relationship Id="rId3381" Type="http://schemas.openxmlformats.org/officeDocument/2006/relationships/hyperlink" Target="https://chromewebstore.google.com/detail/dholphmppikkchmalilfkmfanembgbil" TargetMode="External"/><Relationship Id="rId2052" Type="http://schemas.openxmlformats.org/officeDocument/2006/relationships/hyperlink" Target="https://chromewebstore.google.com/detail/pimdepbkfokgeadmhmhfpapfdbodadlg" TargetMode="External"/><Relationship Id="rId3384" Type="http://schemas.openxmlformats.org/officeDocument/2006/relationships/hyperlink" Target="https://chromewebstore.google.com/detail/difkgogalighjoffonmipncaobobgnoj" TargetMode="External"/><Relationship Id="rId2053" Type="http://schemas.openxmlformats.org/officeDocument/2006/relationships/hyperlink" Target="https://chromewebstore.google.com/detail/pkeibkoopkkbbkgdegbbkjlgmomklbpf" TargetMode="External"/><Relationship Id="rId3383" Type="http://schemas.openxmlformats.org/officeDocument/2006/relationships/hyperlink" Target="https://chromewebstore.google.com/detail/dibjkbohhllnokliflkbicfdeommfgpg" TargetMode="External"/><Relationship Id="rId2054" Type="http://schemas.openxmlformats.org/officeDocument/2006/relationships/hyperlink" Target="https://chromewebstore.google.com/detail/pmcmeagblkinmogikoikkdjiligflglb" TargetMode="External"/><Relationship Id="rId3386" Type="http://schemas.openxmlformats.org/officeDocument/2006/relationships/hyperlink" Target="https://chromewebstore.google.com/detail/djamlokjblgcpopojpandilmhmlednie" TargetMode="External"/><Relationship Id="rId2055" Type="http://schemas.openxmlformats.org/officeDocument/2006/relationships/hyperlink" Target="https://chromewebstore.google.com/detail/pnndplcbkakcplkjnolgbkdgjikjednm" TargetMode="External"/><Relationship Id="rId3385" Type="http://schemas.openxmlformats.org/officeDocument/2006/relationships/hyperlink" Target="https://chromewebstore.google.com/detail/dilnicbdbobeikfinkokehkdhoiomnoa" TargetMode="External"/><Relationship Id="rId2056" Type="http://schemas.openxmlformats.org/officeDocument/2006/relationships/hyperlink" Target="https://chromewebstore.google.com/detail/pojodomdlpobompicdllljgiomnfpmho" TargetMode="External"/><Relationship Id="rId3388" Type="http://schemas.openxmlformats.org/officeDocument/2006/relationships/hyperlink" Target="https://chromewebstore.google.com/detail/djpehmepgepfpoiaendmglmnjmmfalio" TargetMode="External"/><Relationship Id="rId2057" Type="http://schemas.openxmlformats.org/officeDocument/2006/relationships/hyperlink" Target="https://chromewebstore.google.com/detail/pomlcckbphmgddbhchkpehnfkegaenke" TargetMode="External"/><Relationship Id="rId3387" Type="http://schemas.openxmlformats.org/officeDocument/2006/relationships/hyperlink" Target="https://chromewebstore.google.com/detail/djbemlbahoaipekaihggmelmhnalopih" TargetMode="External"/><Relationship Id="rId2058" Type="http://schemas.openxmlformats.org/officeDocument/2006/relationships/hyperlink" Target="https://chromewebstore.google.com/detail/haddeapjmjfedabajnkgleefejhglkdk" TargetMode="External"/><Relationship Id="rId2059" Type="http://schemas.openxmlformats.org/officeDocument/2006/relationships/hyperlink" Target="https://chromewebstore.google.com/detail/mmcdcdolfnjmabjmkkgegfldahfignip" TargetMode="External"/><Relationship Id="rId3389" Type="http://schemas.openxmlformats.org/officeDocument/2006/relationships/hyperlink" Target="https://chromewebstore.google.com/detail/dkabogmdcebincpnhjkblipnceehimch" TargetMode="External"/><Relationship Id="rId2080" Type="http://schemas.openxmlformats.org/officeDocument/2006/relationships/hyperlink" Target="https://chromewebstore.google.com/detail/bjmmjfdegplhkefakjkccocjanekbapn" TargetMode="External"/><Relationship Id="rId2081" Type="http://schemas.openxmlformats.org/officeDocument/2006/relationships/hyperlink" Target="https://chromewebstore.google.com/detail/blholmpddeffdmfmnajiophjfibiland" TargetMode="External"/><Relationship Id="rId2082" Type="http://schemas.openxmlformats.org/officeDocument/2006/relationships/hyperlink" Target="https://chromewebstore.google.com/detail/blifojkemdbgeeookigglkieimfiiiga" TargetMode="External"/><Relationship Id="rId2083" Type="http://schemas.openxmlformats.org/officeDocument/2006/relationships/hyperlink" Target="https://chromewebstore.google.com/detail/bopcbmipnjdcdfflfgjdgdjejmgpoaab" TargetMode="External"/><Relationship Id="rId2084" Type="http://schemas.openxmlformats.org/officeDocument/2006/relationships/hyperlink" Target="https://chromewebstore.google.com/detail/cahpidddaimdojnddnahjpnefajpheep" TargetMode="External"/><Relationship Id="rId2085" Type="http://schemas.openxmlformats.org/officeDocument/2006/relationships/hyperlink" Target="https://chromewebstore.google.com/detail/camllofofikjlekagbjhiiakkljlindg" TargetMode="External"/><Relationship Id="rId2086" Type="http://schemas.openxmlformats.org/officeDocument/2006/relationships/hyperlink" Target="https://chromewebstore.google.com/detail/cbgncbhpofjkcpihgcpiekmfafpokabb" TargetMode="External"/><Relationship Id="rId2087" Type="http://schemas.openxmlformats.org/officeDocument/2006/relationships/hyperlink" Target="https://chromewebstore.google.com/detail/cbheenbihjdgbmbogbefcgnpfoflhnhl" TargetMode="External"/><Relationship Id="rId2088" Type="http://schemas.openxmlformats.org/officeDocument/2006/relationships/hyperlink" Target="https://chromewebstore.google.com/detail/ccbelknaieflinofjneinjenjdpnjimk" TargetMode="External"/><Relationship Id="rId2089" Type="http://schemas.openxmlformats.org/officeDocument/2006/relationships/hyperlink" Target="https://chromewebstore.google.com/detail/ccgfaocoioaalmkpfffljakccbfnbkpa" TargetMode="External"/><Relationship Id="rId2070" Type="http://schemas.openxmlformats.org/officeDocument/2006/relationships/hyperlink" Target="https://chromewebstore.google.com/detail/amndppkiecbdmiaihgbicalhabkkhhpk" TargetMode="External"/><Relationship Id="rId2071" Type="http://schemas.openxmlformats.org/officeDocument/2006/relationships/hyperlink" Target="https://chromewebstore.google.com/detail/angkglpgfocbmbfamggoogejpkbleeni" TargetMode="External"/><Relationship Id="rId2072" Type="http://schemas.openxmlformats.org/officeDocument/2006/relationships/hyperlink" Target="https://chromewebstore.google.com/detail/aogkniilndigdbhikgjhialgiileaiih" TargetMode="External"/><Relationship Id="rId2073" Type="http://schemas.openxmlformats.org/officeDocument/2006/relationships/hyperlink" Target="https://chromewebstore.google.com/detail/aoicmjiknpcgkhgeobpfaljpidnnloll" TargetMode="External"/><Relationship Id="rId2074" Type="http://schemas.openxmlformats.org/officeDocument/2006/relationships/hyperlink" Target="https://chromewebstore.google.com/detail/apfgmikchfgiiembdeoeadbfaclghdmi" TargetMode="External"/><Relationship Id="rId2075" Type="http://schemas.openxmlformats.org/officeDocument/2006/relationships/hyperlink" Target="https://chromewebstore.google.com/detail/bbjabfjlgajemfdkmmgjmjmhfaaicfph" TargetMode="External"/><Relationship Id="rId2076" Type="http://schemas.openxmlformats.org/officeDocument/2006/relationships/hyperlink" Target="https://chromewebstore.google.com/detail/bepdnmdfijnlajlgmaaeabkmhigcgcfj" TargetMode="External"/><Relationship Id="rId2077" Type="http://schemas.openxmlformats.org/officeDocument/2006/relationships/hyperlink" Target="https://chromewebstore.google.com/detail/bepilablapiogeghmjiopiaoikgdcgjo" TargetMode="External"/><Relationship Id="rId2078" Type="http://schemas.openxmlformats.org/officeDocument/2006/relationships/hyperlink" Target="https://chromewebstore.google.com/detail/bhfakmaiadhflpjloimlagikhodjiefj" TargetMode="External"/><Relationship Id="rId2079" Type="http://schemas.openxmlformats.org/officeDocument/2006/relationships/hyperlink" Target="https://chromewebstore.google.com/detail/bhkgjcmhgbpmedkghbphnfkjibekjdgp" TargetMode="External"/><Relationship Id="rId8240" Type="http://schemas.openxmlformats.org/officeDocument/2006/relationships/hyperlink" Target="https://chromewebstore.google.com/detail/fcjjacbofbieoieobmddaheodhjoopcf" TargetMode="External"/><Relationship Id="rId9572" Type="http://schemas.openxmlformats.org/officeDocument/2006/relationships/hyperlink" Target="https://chromewebstore.google.com/detail/clcbfjpbnfmaaaabpoidaoenhfplkbgc" TargetMode="External"/><Relationship Id="rId9573" Type="http://schemas.openxmlformats.org/officeDocument/2006/relationships/hyperlink" Target="https://chromewebstore.google.com/detail/edlkdhabpmdhijfjakahmbllnjpbpmfo" TargetMode="External"/><Relationship Id="rId9574" Type="http://schemas.openxmlformats.org/officeDocument/2006/relationships/hyperlink" Target="https://chromewebstore.google.com/detail/gpdfaeffbkkjkdkinpaghmcflimlhplb" TargetMode="External"/><Relationship Id="rId9575" Type="http://schemas.openxmlformats.org/officeDocument/2006/relationships/hyperlink" Target="https://chromewebstore.google.com/detail/ikmhgmgphhlodomclpfdeafoboanjklo" TargetMode="External"/><Relationship Id="rId8244" Type="http://schemas.openxmlformats.org/officeDocument/2006/relationships/hyperlink" Target="https://chromewebstore.google.com/detail/acpadffhaelioakobdjgobbfpbmlenag" TargetMode="External"/><Relationship Id="rId8243" Type="http://schemas.openxmlformats.org/officeDocument/2006/relationships/hyperlink" Target="https://chromewebstore.google.com/detail/ncjaameocjfjjnjcijikhkhifncjijhn" TargetMode="External"/><Relationship Id="rId8242" Type="http://schemas.openxmlformats.org/officeDocument/2006/relationships/hyperlink" Target="https://chromewebstore.google.com/detail/mmlhfcfeedemkppodgcilbhfhjcijijg" TargetMode="External"/><Relationship Id="rId9570" Type="http://schemas.openxmlformats.org/officeDocument/2006/relationships/hyperlink" Target="https://chromewebstore.google.com/detail/alimhdbkpohnkhckgemlhpkpholbjhmg" TargetMode="External"/><Relationship Id="rId8241" Type="http://schemas.openxmlformats.org/officeDocument/2006/relationships/hyperlink" Target="https://chromewebstore.google.com/detail/gbcjheigkcdigiimkgieconajpngcako" TargetMode="External"/><Relationship Id="rId9571" Type="http://schemas.openxmlformats.org/officeDocument/2006/relationships/hyperlink" Target="https://chromewebstore.google.com/detail/bjmjhkbifanmbbiikccdapomhpicglkf" TargetMode="External"/><Relationship Id="rId8248" Type="http://schemas.openxmlformats.org/officeDocument/2006/relationships/hyperlink" Target="https://chromewebstore.google.com/detail/oifhpkdmngmgaemkbjalbbgnminihhai" TargetMode="External"/><Relationship Id="rId8247" Type="http://schemas.openxmlformats.org/officeDocument/2006/relationships/hyperlink" Target="https://chromewebstore.google.com/detail/hicbofonjfochofgicgpmmdlbaddmacb" TargetMode="External"/><Relationship Id="rId8246" Type="http://schemas.openxmlformats.org/officeDocument/2006/relationships/hyperlink" Target="https://chromewebstore.google.com/detail/fkcfecmfcfmealjioddcpgghpmdgbeag" TargetMode="External"/><Relationship Id="rId8245" Type="http://schemas.openxmlformats.org/officeDocument/2006/relationships/hyperlink" Target="https://chromewebstore.google.com/detail/eldafhhjhnfgkhpnicalopgocdbehkgj" TargetMode="External"/><Relationship Id="rId9576" Type="http://schemas.openxmlformats.org/officeDocument/2006/relationships/hyperlink" Target="https://chromewebstore.google.com/detail/jpfjdjkohmopcgecijakgemceodpjpdp" TargetMode="External"/><Relationship Id="rId9577" Type="http://schemas.openxmlformats.org/officeDocument/2006/relationships/hyperlink" Target="https://chromewebstore.google.com/detail/mdcdhfidonnljhghenlekoinplgcmmmn" TargetMode="External"/><Relationship Id="rId9578" Type="http://schemas.openxmlformats.org/officeDocument/2006/relationships/hyperlink" Target="https://chromewebstore.google.com/detail/nehcaigoagncnciofipnemkiclelijal" TargetMode="External"/><Relationship Id="rId8249" Type="http://schemas.openxmlformats.org/officeDocument/2006/relationships/hyperlink" Target="https://chromewebstore.google.com/detail/pjkjdnlpbfcociacjalpklkpebephmha" TargetMode="External"/><Relationship Id="rId9579" Type="http://schemas.openxmlformats.org/officeDocument/2006/relationships/hyperlink" Target="http://super-traf.ru" TargetMode="External"/><Relationship Id="rId9561" Type="http://schemas.openxmlformats.org/officeDocument/2006/relationships/hyperlink" Target="https://chromewebstore.google.com/detail/bcnfaiaknkbbcmpeedkjjjcdmjlgbafo" TargetMode="External"/><Relationship Id="rId9562" Type="http://schemas.openxmlformats.org/officeDocument/2006/relationships/hyperlink" Target="https://chromewebstore.google.com/detail/bgbaahbnakeoohgbijglamgadoanojbf" TargetMode="External"/><Relationship Id="rId9563" Type="http://schemas.openxmlformats.org/officeDocument/2006/relationships/hyperlink" Target="https://chromewebstore.google.com/detail/cghmhcoebaiodpdicjacfllplandkfpa" TargetMode="External"/><Relationship Id="rId9564" Type="http://schemas.openxmlformats.org/officeDocument/2006/relationships/hyperlink" Target="https://chromewebstore.google.com/detail/fddgnnipkoknfbagbjlhnmljhffjeiml" TargetMode="External"/><Relationship Id="rId8233" Type="http://schemas.openxmlformats.org/officeDocument/2006/relationships/hyperlink" Target="https://chromewebstore.google.com/detail/lkcicaigapaemfihekdebhinojkommab" TargetMode="External"/><Relationship Id="rId8232" Type="http://schemas.openxmlformats.org/officeDocument/2006/relationships/hyperlink" Target="https://chromewebstore.google.com/detail/jlidieenmdoobegfmnmeogammjjgcdal" TargetMode="External"/><Relationship Id="rId8231" Type="http://schemas.openxmlformats.org/officeDocument/2006/relationships/hyperlink" Target="https://chromewebstore.google.com/detail/ffhffkeoooocikeclopcedglnjhoddfj" TargetMode="External"/><Relationship Id="rId8230" Type="http://schemas.openxmlformats.org/officeDocument/2006/relationships/hyperlink" Target="https://chromewebstore.google.com/detail/diekjndigniigjbokhfjbocibncchbpi" TargetMode="External"/><Relationship Id="rId9560" Type="http://schemas.openxmlformats.org/officeDocument/2006/relationships/hyperlink" Target="https://chromewebstore.google.com/detail/pkgbcmdpjlnmngdfjicnkppkkmnaejnm" TargetMode="External"/><Relationship Id="rId8237" Type="http://schemas.openxmlformats.org/officeDocument/2006/relationships/hyperlink" Target="https://chromewebstore.google.com/detail/hlcbdlnnolgaenfoddgdlmgjflcapbba" TargetMode="External"/><Relationship Id="rId9569" Type="http://schemas.openxmlformats.org/officeDocument/2006/relationships/hyperlink" Target="https://chromewebstore.google.com/detail/pbfbmcmonmhbkgejceoenhhcnehocejg" TargetMode="External"/><Relationship Id="rId8236" Type="http://schemas.openxmlformats.org/officeDocument/2006/relationships/hyperlink" Target="https://chromewebstore.google.com/detail/geneoacljdknpjlgnlcnhipjgigolpih" TargetMode="External"/><Relationship Id="rId8235" Type="http://schemas.openxmlformats.org/officeDocument/2006/relationships/hyperlink" Target="https://chromewebstore.google.com/detail/oodpgglcmckddcmghkdfdfoepibmgigp" TargetMode="External"/><Relationship Id="rId8234" Type="http://schemas.openxmlformats.org/officeDocument/2006/relationships/hyperlink" Target="https://chromewebstore.google.com/detail/nmpmaifgfbegmbnmmekiegcfkhpdibcc" TargetMode="External"/><Relationship Id="rId9565" Type="http://schemas.openxmlformats.org/officeDocument/2006/relationships/hyperlink" Target="https://chromewebstore.google.com/detail/hhclmcdcogggmcglbakeckakdikccfjn" TargetMode="External"/><Relationship Id="rId9566" Type="http://schemas.openxmlformats.org/officeDocument/2006/relationships/hyperlink" Target="https://chromewebstore.google.com/detail/jhgcdckilemomflfheldfmgaellengja" TargetMode="External"/><Relationship Id="rId8239" Type="http://schemas.openxmlformats.org/officeDocument/2006/relationships/hyperlink" Target="https://chromewebstore.google.com/detail/ibidcmokfddpkgdoobeihkfnajmodlkp" TargetMode="External"/><Relationship Id="rId9567" Type="http://schemas.openxmlformats.org/officeDocument/2006/relationships/hyperlink" Target="https://chromewebstore.google.com/detail/jpogcpmioehlanphknchgbpeihakgggh" TargetMode="External"/><Relationship Id="rId8238" Type="http://schemas.openxmlformats.org/officeDocument/2006/relationships/hyperlink" Target="https://chromewebstore.google.com/detail/hplkfmjhkdpbiekddokeabgcbpoffoee" TargetMode="External"/><Relationship Id="rId9568" Type="http://schemas.openxmlformats.org/officeDocument/2006/relationships/hyperlink" Target="https://chromewebstore.google.com/detail/ldbggnggfbpbdfigkemaflalpjmkdcgj" TargetMode="External"/><Relationship Id="rId8262" Type="http://schemas.openxmlformats.org/officeDocument/2006/relationships/hyperlink" Target="https://chromewebstore.google.com/detail/ahibdmbefdankgpmmkdnkmlfbmkjgphi" TargetMode="External"/><Relationship Id="rId9594" Type="http://schemas.openxmlformats.org/officeDocument/2006/relationships/hyperlink" Target="https://chromewebstore.google.com/detail/jgelgbfglncabfobkgdpdimbmenbfgdj" TargetMode="External"/><Relationship Id="rId8261" Type="http://schemas.openxmlformats.org/officeDocument/2006/relationships/hyperlink" Target="https://chromewebstore.google.com/detail/acmbhgeienaechckfgjhngddbklhnknh" TargetMode="External"/><Relationship Id="rId9595" Type="http://schemas.openxmlformats.org/officeDocument/2006/relationships/hyperlink" Target="https://chromewebstore.google.com/detail/pdlkjdlbjjfmlfhijdbdpkilpdoncgdk" TargetMode="External"/><Relationship Id="rId8260" Type="http://schemas.openxmlformats.org/officeDocument/2006/relationships/hyperlink" Target="https://chromewebstore.google.com/detail/aaiicdnkfldglpocbdlihoepjfkjplda" TargetMode="External"/><Relationship Id="rId9596" Type="http://schemas.openxmlformats.org/officeDocument/2006/relationships/hyperlink" Target="https://chromewebstore.google.com/detail/cadeafhhbkoobepmjjniknbfnccbacfk" TargetMode="External"/><Relationship Id="rId9597" Type="http://schemas.openxmlformats.org/officeDocument/2006/relationships/hyperlink" Target="https://chromewebstore.google.com/detail/fakmngnnndgdelejnopaleecadafplkf" TargetMode="External"/><Relationship Id="rId8266" Type="http://schemas.openxmlformats.org/officeDocument/2006/relationships/hyperlink" Target="https://chromewebstore.google.com/detail/npedoklkaclmikfmkpdlangkhljgmhni" TargetMode="External"/><Relationship Id="rId9590" Type="http://schemas.openxmlformats.org/officeDocument/2006/relationships/hyperlink" Target="https://chromewebstore.google.com/detail/bkijbakibakefmcoobcnfdkfhhbmgiek" TargetMode="External"/><Relationship Id="rId8265" Type="http://schemas.openxmlformats.org/officeDocument/2006/relationships/hyperlink" Target="https://chromewebstore.google.com/detail/japafjdhbmaapfhklkppbigmkioikboe" TargetMode="External"/><Relationship Id="rId9591" Type="http://schemas.openxmlformats.org/officeDocument/2006/relationships/hyperlink" Target="https://chromewebstore.google.com/detail/dleghnfkndpddppflgfcajfbaejnnoem" TargetMode="External"/><Relationship Id="rId8264" Type="http://schemas.openxmlformats.org/officeDocument/2006/relationships/hyperlink" Target="https://chromewebstore.google.com/detail/clmgdfgfndcfofkeefailmkhhimbaknk" TargetMode="External"/><Relationship Id="rId9592" Type="http://schemas.openxmlformats.org/officeDocument/2006/relationships/hyperlink" Target="https://chromewebstore.google.com/detail/gjhoghnlnfbcacnbfagcbfdmjejebaje" TargetMode="External"/><Relationship Id="rId8263" Type="http://schemas.openxmlformats.org/officeDocument/2006/relationships/hyperlink" Target="http://gulper.io" TargetMode="External"/><Relationship Id="rId9593" Type="http://schemas.openxmlformats.org/officeDocument/2006/relationships/hyperlink" Target="https://chromewebstore.google.com/detail/hmakijajeinknkeaepeicdejkhdigigh" TargetMode="External"/><Relationship Id="rId8269" Type="http://schemas.openxmlformats.org/officeDocument/2006/relationships/hyperlink" Target="https://chromewebstore.google.com/detail/hpoambpogelfpboinoffjcdceokjmdjo" TargetMode="External"/><Relationship Id="rId8268" Type="http://schemas.openxmlformats.org/officeDocument/2006/relationships/hyperlink" Target="https://chromewebstore.google.com/detail/hlpbijgcoogekkgnaplmgcgekbkehiij" TargetMode="External"/><Relationship Id="rId8267" Type="http://schemas.openxmlformats.org/officeDocument/2006/relationships/hyperlink" Target="https://chromewebstore.google.com/detail/aipkghikndfblkikafmbahbekkhmppia" TargetMode="External"/><Relationship Id="rId9598" Type="http://schemas.openxmlformats.org/officeDocument/2006/relationships/hyperlink" Target="https://chromewebstore.google.com/detail/fjiopcojjjafjnfgipombdbpjimignpl" TargetMode="External"/><Relationship Id="rId9599" Type="http://schemas.openxmlformats.org/officeDocument/2006/relationships/hyperlink" Target="https://chromewebstore.google.com/detail/lbopmiffpfobnlaoejnipicckickphka" TargetMode="External"/><Relationship Id="rId8251" Type="http://schemas.openxmlformats.org/officeDocument/2006/relationships/hyperlink" Target="https://chromewebstore.google.com/detail/bjkankegappneledmkoephpodobfmlhh" TargetMode="External"/><Relationship Id="rId9583" Type="http://schemas.openxmlformats.org/officeDocument/2006/relationships/hyperlink" Target="https://chromewebstore.google.com/detail/jhnifiocgcnpjjamkieebmjicmhlpiee" TargetMode="External"/><Relationship Id="rId8250" Type="http://schemas.openxmlformats.org/officeDocument/2006/relationships/hyperlink" Target="https://chromewebstore.google.com/detail/amchhjaeingdimeejiicfkmingnanlbk" TargetMode="External"/><Relationship Id="rId9584" Type="http://schemas.openxmlformats.org/officeDocument/2006/relationships/hyperlink" Target="https://chromewebstore.google.com/detail/ngieeanjalhiihkfajdcfilknhpceopf" TargetMode="External"/><Relationship Id="rId9585" Type="http://schemas.openxmlformats.org/officeDocument/2006/relationships/hyperlink" Target="https://chromewebstore.google.com/detail/oahefobeogppebdmhlijlagpainfokfh" TargetMode="External"/><Relationship Id="rId9586" Type="http://schemas.openxmlformats.org/officeDocument/2006/relationships/hyperlink" Target="https://chromewebstore.google.com/detail/ojblhihinoemamombhdedkaimgapelka" TargetMode="External"/><Relationship Id="rId8255" Type="http://schemas.openxmlformats.org/officeDocument/2006/relationships/hyperlink" Target="https://chromewebstore.google.com/detail/fjnhgpnnokcbcfbopenblmpncpaljfbk" TargetMode="External"/><Relationship Id="rId8254" Type="http://schemas.openxmlformats.org/officeDocument/2006/relationships/hyperlink" Target="https://chromewebstore.google.com/detail/fajfnhakabcehaonmijifmlnlogbpaoa" TargetMode="External"/><Relationship Id="rId9580" Type="http://schemas.openxmlformats.org/officeDocument/2006/relationships/hyperlink" Target="https://chromewebstore.google.com/detail/addfifnpmofcnlcgmdimfdnncjeccbpf" TargetMode="External"/><Relationship Id="rId8253" Type="http://schemas.openxmlformats.org/officeDocument/2006/relationships/hyperlink" Target="https://chromewebstore.google.com/detail/eoojmaeimppffbibicnechhihkcjcmnl" TargetMode="External"/><Relationship Id="rId9581" Type="http://schemas.openxmlformats.org/officeDocument/2006/relationships/hyperlink" Target="https://chromewebstore.google.com/detail/akikgmngikhdhecndjkjcacfefdbnnin" TargetMode="External"/><Relationship Id="rId8252" Type="http://schemas.openxmlformats.org/officeDocument/2006/relationships/hyperlink" Target="https://chromewebstore.google.com/detail/efojmcondicmmlepieoficobmdnpnfmd" TargetMode="External"/><Relationship Id="rId9582" Type="http://schemas.openxmlformats.org/officeDocument/2006/relationships/hyperlink" Target="https://chromewebstore.google.com/detail/bgbhfmeabcmpjblimfddkeikogidjhao" TargetMode="External"/><Relationship Id="rId8259" Type="http://schemas.openxmlformats.org/officeDocument/2006/relationships/hyperlink" Target="https://chromewebstore.google.com/detail/mcmandlkgdpmhpaebifnnepgokcjncej" TargetMode="External"/><Relationship Id="rId8258" Type="http://schemas.openxmlformats.org/officeDocument/2006/relationships/hyperlink" Target="https://chromewebstore.google.com/detail/lpoljgbmkbhhdpihhcfpkekfncjibobh" TargetMode="External"/><Relationship Id="rId8257" Type="http://schemas.openxmlformats.org/officeDocument/2006/relationships/hyperlink" Target="https://chromewebstore.google.com/detail/jjpifadanikcmofdfjlifpaehhhpgjap" TargetMode="External"/><Relationship Id="rId8256" Type="http://schemas.openxmlformats.org/officeDocument/2006/relationships/hyperlink" Target="https://chromewebstore.google.com/detail/jcaebomgnpplnkgdbgeiifjafbclkiam" TargetMode="External"/><Relationship Id="rId9587" Type="http://schemas.openxmlformats.org/officeDocument/2006/relationships/hyperlink" Target="https://chromewebstore.google.com/detail/oohpedaigajmdamiaboobdjijopldlkd" TargetMode="External"/><Relationship Id="rId9588" Type="http://schemas.openxmlformats.org/officeDocument/2006/relationships/hyperlink" Target="https://chromewebstore.google.com/detail/pannmknoidkglggccampoendoeghmhap" TargetMode="External"/><Relationship Id="rId9589" Type="http://schemas.openxmlformats.org/officeDocument/2006/relationships/hyperlink" Target="https://chromewebstore.google.com/detail/agapebpfpbadohmadpdmopjodhcdlnjm" TargetMode="External"/><Relationship Id="rId8209" Type="http://schemas.openxmlformats.org/officeDocument/2006/relationships/hyperlink" Target="https://chromewebstore.google.com/detail/mjfipghbahcmkabjkeflpcickedokppl" TargetMode="External"/><Relationship Id="rId9530" Type="http://schemas.openxmlformats.org/officeDocument/2006/relationships/hyperlink" Target="https://chromewebstore.google.com/detail/kajgdbpkkikejkaefnmnihalgngmlpkk" TargetMode="External"/><Relationship Id="rId9531" Type="http://schemas.openxmlformats.org/officeDocument/2006/relationships/hyperlink" Target="https://chromewebstore.google.com/detail/koopobokkknepbckcpkkgjecnbcjggoi" TargetMode="External"/><Relationship Id="rId8200" Type="http://schemas.openxmlformats.org/officeDocument/2006/relationships/hyperlink" Target="https://chromewebstore.google.com/detail/jagjjmnidiacegfkbbbocegjecfheogj" TargetMode="External"/><Relationship Id="rId8204" Type="http://schemas.openxmlformats.org/officeDocument/2006/relationships/hyperlink" Target="https://chromewebstore.google.com/detail/ldfoemphhkpifbmoapiokpfbkgaklemj" TargetMode="External"/><Relationship Id="rId9536" Type="http://schemas.openxmlformats.org/officeDocument/2006/relationships/hyperlink" Target="https://chromewebstore.google.com/detail/epmgjgnlfnhlnaimcpfdnncenapjhnnn" TargetMode="External"/><Relationship Id="rId8203" Type="http://schemas.openxmlformats.org/officeDocument/2006/relationships/hyperlink" Target="https://chromewebstore.google.com/detail/kpdjoooficdkhfkpmnblbiecdnecefae" TargetMode="External"/><Relationship Id="rId9537" Type="http://schemas.openxmlformats.org/officeDocument/2006/relationships/hyperlink" Target="https://chromewebstore.google.com/detail/fkbhbocjkoimpgppjcekleljimakaadg" TargetMode="External"/><Relationship Id="rId8202" Type="http://schemas.openxmlformats.org/officeDocument/2006/relationships/hyperlink" Target="https://chromewebstore.google.com/detail/kgjilocmjkhfhcoelokiomommpihnpep" TargetMode="External"/><Relationship Id="rId9538" Type="http://schemas.openxmlformats.org/officeDocument/2006/relationships/hyperlink" Target="https://chromewebstore.google.com/detail/hkipofckibjiaojbbnhicbeckppnhfnc" TargetMode="External"/><Relationship Id="rId8201" Type="http://schemas.openxmlformats.org/officeDocument/2006/relationships/hyperlink" Target="https://chromewebstore.google.com/detail/jdfohafahkdilhehnefganaoechoejng" TargetMode="External"/><Relationship Id="rId9539" Type="http://schemas.openxmlformats.org/officeDocument/2006/relationships/hyperlink" Target="https://chromewebstore.google.com/detail/ejjegilfmocklljiilenfhcnfdiccmmh" TargetMode="External"/><Relationship Id="rId8208" Type="http://schemas.openxmlformats.org/officeDocument/2006/relationships/hyperlink" Target="https://chromewebstore.google.com/detail/kcpphmaadlipclmhmdgjibnemplidjgh" TargetMode="External"/><Relationship Id="rId9532" Type="http://schemas.openxmlformats.org/officeDocument/2006/relationships/hyperlink" Target="https://chromewebstore.google.com/detail/phomkpbjipcgmfpffhkaphddmclefofh" TargetMode="External"/><Relationship Id="rId8207" Type="http://schemas.openxmlformats.org/officeDocument/2006/relationships/hyperlink" Target="https://chromewebstore.google.com/detail/emicaigjkpfbgljmoalhmmbheakjokhi" TargetMode="External"/><Relationship Id="rId9533" Type="http://schemas.openxmlformats.org/officeDocument/2006/relationships/hyperlink" Target="https://chromewebstore.google.com/detail/cjnjhecplenkojacccgogepfcefljjne" TargetMode="External"/><Relationship Id="rId8206" Type="http://schemas.openxmlformats.org/officeDocument/2006/relationships/hyperlink" Target="https://chromewebstore.google.com/detail/eglbilcojjagfhgfibibgabkehpbocoa" TargetMode="External"/><Relationship Id="rId9534" Type="http://schemas.openxmlformats.org/officeDocument/2006/relationships/hyperlink" Target="https://chromewebstore.google.com/detail/dffjlgnecfafjfmkknpipapcbgajflge" TargetMode="External"/><Relationship Id="rId8205" Type="http://schemas.openxmlformats.org/officeDocument/2006/relationships/hyperlink" Target="https://chromewebstore.google.com/detail/lgfllfljkpaekhehknpnalicagjllhmn" TargetMode="External"/><Relationship Id="rId9535" Type="http://schemas.openxmlformats.org/officeDocument/2006/relationships/hyperlink" Target="https://chromewebstore.google.com/detail/egpmkeedlhphenpnjhlnlaohcmbmmccj" TargetMode="External"/><Relationship Id="rId9529" Type="http://schemas.openxmlformats.org/officeDocument/2006/relationships/hyperlink" Target="https://chromewebstore.google.com/detail/hnddfemljlompbmggkablcffmonknpdh" TargetMode="External"/><Relationship Id="rId9520" Type="http://schemas.openxmlformats.org/officeDocument/2006/relationships/hyperlink" Target="https://chromewebstore.google.com/detail/meigofcidjeckljcajpedlihfenjldbi" TargetMode="External"/><Relationship Id="rId9525" Type="http://schemas.openxmlformats.org/officeDocument/2006/relationships/hyperlink" Target="https://chromewebstore.google.com/detail/ooojmllannhkicjegpkfojlloihaklem" TargetMode="External"/><Relationship Id="rId9526" Type="http://schemas.openxmlformats.org/officeDocument/2006/relationships/hyperlink" Target="https://chromewebstore.google.com/detail/pogibncdlnomiioielcgkhhgcmhokcma" TargetMode="External"/><Relationship Id="rId9527" Type="http://schemas.openxmlformats.org/officeDocument/2006/relationships/hyperlink" Target="https://chromewebstore.google.com/detail/elhbemppjhmjcpncnehjckaeldpbibih" TargetMode="External"/><Relationship Id="rId9528" Type="http://schemas.openxmlformats.org/officeDocument/2006/relationships/hyperlink" Target="https://chromewebstore.google.com/detail/hbgbcmcmpiiciafmolmoapfgegbhbmcc" TargetMode="External"/><Relationship Id="rId9521" Type="http://schemas.openxmlformats.org/officeDocument/2006/relationships/hyperlink" Target="https://chromewebstore.google.com/detail/ndagckgpgoaokcfcjaicpfhhfllnphcc" TargetMode="External"/><Relationship Id="rId9522" Type="http://schemas.openxmlformats.org/officeDocument/2006/relationships/hyperlink" Target="https://chromewebstore.google.com/detail/oiklmlodhebcmaijgmheoafagfhbeohm" TargetMode="External"/><Relationship Id="rId9523" Type="http://schemas.openxmlformats.org/officeDocument/2006/relationships/hyperlink" Target="https://chromewebstore.google.com/detail/kjkmpppbjhcllohbcjeclghdfhbcnkfa" TargetMode="External"/><Relationship Id="rId9524" Type="http://schemas.openxmlformats.org/officeDocument/2006/relationships/hyperlink" Target="https://chromewebstore.google.com/detail/mpjplegmigckokmkmnbbfgjpepocpngj" TargetMode="External"/><Relationship Id="rId9550" Type="http://schemas.openxmlformats.org/officeDocument/2006/relationships/hyperlink" Target="https://chromewebstore.google.com/detail/bffaahbohobgjhehdedfijebjkoepakb" TargetMode="External"/><Relationship Id="rId9551" Type="http://schemas.openxmlformats.org/officeDocument/2006/relationships/hyperlink" Target="https://chromewebstore.google.com/detail/elmklbcniaipadeeelmdfbebbkjohpgg" TargetMode="External"/><Relationship Id="rId9552" Type="http://schemas.openxmlformats.org/officeDocument/2006/relationships/hyperlink" Target="https://chromewebstore.google.com/detail/ibmaldnilecgfffgaieglcpocgdfbllb" TargetMode="External"/><Relationship Id="rId9553" Type="http://schemas.openxmlformats.org/officeDocument/2006/relationships/hyperlink" Target="https://chromewebstore.google.com/detail/jlkeodkodfgihhdmhccagbikbppkpafm" TargetMode="External"/><Relationship Id="rId8222" Type="http://schemas.openxmlformats.org/officeDocument/2006/relationships/hyperlink" Target="https://chromewebstore.google.com/detail/mbglppdnipeddfbnlohekfgedkdoicnn" TargetMode="External"/><Relationship Id="rId8221" Type="http://schemas.openxmlformats.org/officeDocument/2006/relationships/hyperlink" Target="https://chromewebstore.google.com/detail/jjfjapjnjdoehnmecalfglbaefkmchfk" TargetMode="External"/><Relationship Id="rId8220" Type="http://schemas.openxmlformats.org/officeDocument/2006/relationships/hyperlink" Target="https://chromewebstore.google.com/detail/hejmglcpnnbdnlcnmpjpmlnaeahgffej" TargetMode="External"/><Relationship Id="rId8226" Type="http://schemas.openxmlformats.org/officeDocument/2006/relationships/hyperlink" Target="https://chromewebstore.google.com/detail/jlkcnjddcnmkalophafebfmjkkaakfpc" TargetMode="External"/><Relationship Id="rId9558" Type="http://schemas.openxmlformats.org/officeDocument/2006/relationships/hyperlink" Target="https://chromewebstore.google.com/detail/oljmncocnnpghpdnmdffphhcanpgmkok" TargetMode="External"/><Relationship Id="rId8225" Type="http://schemas.openxmlformats.org/officeDocument/2006/relationships/hyperlink" Target="https://chromewebstore.google.com/detail/dbjhmpmaehamokkakfmacgjepggojhmo" TargetMode="External"/><Relationship Id="rId9559" Type="http://schemas.openxmlformats.org/officeDocument/2006/relationships/hyperlink" Target="https://chromewebstore.google.com/detail/pdfmicofbncclmklndnedcgedogelgoa" TargetMode="External"/><Relationship Id="rId8224" Type="http://schemas.openxmlformats.org/officeDocument/2006/relationships/hyperlink" Target="https://chromewebstore.google.com/detail/cfeomlnnfncblkheeneahgmngbnbiaoi" TargetMode="External"/><Relationship Id="rId8223" Type="http://schemas.openxmlformats.org/officeDocument/2006/relationships/hyperlink" Target="https://chromewebstore.google.com/detail/pdelfnlllmbfhpleodmhdnghokfkield" TargetMode="External"/><Relationship Id="rId9554" Type="http://schemas.openxmlformats.org/officeDocument/2006/relationships/hyperlink" Target="https://chromewebstore.google.com/detail/klblibhmffkgkmbejciehlbkbllpeojg" TargetMode="External"/><Relationship Id="rId8229" Type="http://schemas.openxmlformats.org/officeDocument/2006/relationships/hyperlink" Target="https://chromewebstore.google.com/detail/dfhebacjiehcfaniioabpmgfbifobgia" TargetMode="External"/><Relationship Id="rId9555" Type="http://schemas.openxmlformats.org/officeDocument/2006/relationships/hyperlink" Target="https://chromewebstore.google.com/detail/mhelhppllnfkpaboohnijkfjeclehgab" TargetMode="External"/><Relationship Id="rId8228" Type="http://schemas.openxmlformats.org/officeDocument/2006/relationships/hyperlink" Target="https://chromewebstore.google.com/detail/offdcbgibomkmdeeklddjajjpfngbffh" TargetMode="External"/><Relationship Id="rId9556" Type="http://schemas.openxmlformats.org/officeDocument/2006/relationships/hyperlink" Target="https://chromewebstore.google.com/detail/modfjcgeknfglkdgckkomdcgokkjaadd" TargetMode="External"/><Relationship Id="rId8227" Type="http://schemas.openxmlformats.org/officeDocument/2006/relationships/hyperlink" Target="https://chromewebstore.google.com/detail/njlnbpgjgdaaadeefkahpaobdnbanckh" TargetMode="External"/><Relationship Id="rId9557" Type="http://schemas.openxmlformats.org/officeDocument/2006/relationships/hyperlink" Target="https://chromewebstore.google.com/detail/ojkndfjbadaccafpajlalaablgjhncie" TargetMode="External"/><Relationship Id="rId9540" Type="http://schemas.openxmlformats.org/officeDocument/2006/relationships/hyperlink" Target="https://chromewebstore.google.com/detail/ggnblkcmkokilofcdfjpkeoebmlpggac" TargetMode="External"/><Relationship Id="rId9541" Type="http://schemas.openxmlformats.org/officeDocument/2006/relationships/hyperlink" Target="https://chromewebstore.google.com/detail/hlieiibhcfnbhpnckgkfnigfbekfdlng" TargetMode="External"/><Relationship Id="rId9542" Type="http://schemas.openxmlformats.org/officeDocument/2006/relationships/hyperlink" Target="https://chromewebstore.google.com/detail/imjgfhhpjekpohdcmkmopebbhlllkoid" TargetMode="External"/><Relationship Id="rId8211" Type="http://schemas.openxmlformats.org/officeDocument/2006/relationships/hyperlink" Target="https://chromewebstore.google.com/detail/pipjnidgeelohoapkmdcbkddjjklnofj" TargetMode="External"/><Relationship Id="rId8210" Type="http://schemas.openxmlformats.org/officeDocument/2006/relationships/hyperlink" Target="https://chromewebstore.google.com/detail/nhnkanophkdcadlfdbmaoeihlbknejkg" TargetMode="External"/><Relationship Id="rId8215" Type="http://schemas.openxmlformats.org/officeDocument/2006/relationships/hyperlink" Target="https://chromewebstore.google.com/detail/iekjpaipocoglamgpjoehfdemffdmami" TargetMode="External"/><Relationship Id="rId9547" Type="http://schemas.openxmlformats.org/officeDocument/2006/relationships/hyperlink" Target="https://chromewebstore.google.com/detail/oldjnhaegfgpfjlpmedeehapghiodglc" TargetMode="External"/><Relationship Id="rId8214" Type="http://schemas.openxmlformats.org/officeDocument/2006/relationships/hyperlink" Target="https://chromewebstore.google.com/detail/hojkciooaohipljgobfikbkjcehockld" TargetMode="External"/><Relationship Id="rId9548" Type="http://schemas.openxmlformats.org/officeDocument/2006/relationships/hyperlink" Target="https://chromewebstore.google.com/detail/phckpicnefnbafbamoidbemcdlolfoel" TargetMode="External"/><Relationship Id="rId8213" Type="http://schemas.openxmlformats.org/officeDocument/2006/relationships/hyperlink" Target="https://chromewebstore.google.com/detail/ghmjkdfkjmclgnhiipapphippmgdbhhf" TargetMode="External"/><Relationship Id="rId9549" Type="http://schemas.openxmlformats.org/officeDocument/2006/relationships/hyperlink" Target="https://chromewebstore.google.com/detail/agadfdkijldlopjlbegiklkfdbmhpecj" TargetMode="External"/><Relationship Id="rId8212" Type="http://schemas.openxmlformats.org/officeDocument/2006/relationships/hyperlink" Target="https://chromewebstore.google.com/detail/geofimghgjbkgchoennmfmbbmmlljmgn" TargetMode="External"/><Relationship Id="rId8219" Type="http://schemas.openxmlformats.org/officeDocument/2006/relationships/hyperlink" Target="https://chromewebstore.google.com/detail/hcblijjkmabjdppajebmbmmkjnkflpbl" TargetMode="External"/><Relationship Id="rId9543" Type="http://schemas.openxmlformats.org/officeDocument/2006/relationships/hyperlink" Target="https://chromewebstore.google.com/detail/kpoilnkelonbaapoapibddjaojohnpjf" TargetMode="External"/><Relationship Id="rId8218" Type="http://schemas.openxmlformats.org/officeDocument/2006/relationships/hyperlink" Target="https://chromewebstore.google.com/detail/cdciibllmibdlannjhadoapbdpgeemga" TargetMode="External"/><Relationship Id="rId9544" Type="http://schemas.openxmlformats.org/officeDocument/2006/relationships/hyperlink" Target="https://chromewebstore.google.com/detail/pciedbdeahgjkohjeikjjljdbhbkjeoc" TargetMode="External"/><Relationship Id="rId8217" Type="http://schemas.openxmlformats.org/officeDocument/2006/relationships/hyperlink" Target="https://chromewebstore.google.com/detail/pjgjkdkogecobfmmefdiajgggppmcllo" TargetMode="External"/><Relationship Id="rId9545" Type="http://schemas.openxmlformats.org/officeDocument/2006/relationships/hyperlink" Target="https://chromewebstore.google.com/detail/dgafpbcbieanmcihbjgaicikfchngpff" TargetMode="External"/><Relationship Id="rId8216" Type="http://schemas.openxmlformats.org/officeDocument/2006/relationships/hyperlink" Target="https://chromewebstore.google.com/detail/jieapbldippnhiccagafbdbhipaaanei" TargetMode="External"/><Relationship Id="rId9546" Type="http://schemas.openxmlformats.org/officeDocument/2006/relationships/hyperlink" Target="https://chromewebstore.google.com/detail/hfbehgdommpfnhmpplnhjimedgpjeoek" TargetMode="External"/><Relationship Id="rId4723" Type="http://schemas.openxmlformats.org/officeDocument/2006/relationships/hyperlink" Target="https://chromewebstore.google.com/detail/ngigalmiikbffkcabedaikboeodibhga" TargetMode="External"/><Relationship Id="rId4722" Type="http://schemas.openxmlformats.org/officeDocument/2006/relationships/hyperlink" Target="https://chromewebstore.google.com/detail/ngeilhcbcilomppnpbalfdnmofpmdohj" TargetMode="External"/><Relationship Id="rId4725" Type="http://schemas.openxmlformats.org/officeDocument/2006/relationships/hyperlink" Target="https://chromewebstore.google.com/detail/nglkdkpdncleifbbjhhlfpakclhahhkn" TargetMode="External"/><Relationship Id="rId4724" Type="http://schemas.openxmlformats.org/officeDocument/2006/relationships/hyperlink" Target="https://chromewebstore.google.com/detail/ngiiaodmkjellommopgjfedfleidaagp" TargetMode="External"/><Relationship Id="rId4727" Type="http://schemas.openxmlformats.org/officeDocument/2006/relationships/hyperlink" Target="https://chromewebstore.google.com/detail/niapgcaeadldbabakiifalfcidacihap" TargetMode="External"/><Relationship Id="rId4726" Type="http://schemas.openxmlformats.org/officeDocument/2006/relationships/hyperlink" Target="https://chromewebstore.google.com/detail/nhfmebcjlggkbdmiefgnffgmpaaonndb" TargetMode="External"/><Relationship Id="rId4729" Type="http://schemas.openxmlformats.org/officeDocument/2006/relationships/hyperlink" Target="https://chromewebstore.google.com/detail/ninnnbfbjmbckdmnbbnpjfbbdmjegopb" TargetMode="External"/><Relationship Id="rId4728" Type="http://schemas.openxmlformats.org/officeDocument/2006/relationships/hyperlink" Target="https://chromewebstore.google.com/detail/nigokkecfbeblnmjhklmkcinncngkabb" TargetMode="External"/><Relationship Id="rId4721" Type="http://schemas.openxmlformats.org/officeDocument/2006/relationships/hyperlink" Target="https://chromewebstore.google.com/detail/nfnladagngmiggfaojdbpjdpehdfgiac" TargetMode="External"/><Relationship Id="rId4720" Type="http://schemas.openxmlformats.org/officeDocument/2006/relationships/hyperlink" Target="https://chromewebstore.google.com/detail/nflgkajcbjiooanofomjjaagkaednbel" TargetMode="External"/><Relationship Id="rId4712" Type="http://schemas.openxmlformats.org/officeDocument/2006/relationships/hyperlink" Target="https://chromewebstore.google.com/detail/ndinbeikllkfjbmlfghokbkmcciflpek" TargetMode="External"/><Relationship Id="rId4711" Type="http://schemas.openxmlformats.org/officeDocument/2006/relationships/hyperlink" Target="https://chromewebstore.google.com/detail/ndhmfmpajneebbbodogjhdampikelfch" TargetMode="External"/><Relationship Id="rId4714" Type="http://schemas.openxmlformats.org/officeDocument/2006/relationships/hyperlink" Target="https://chromewebstore.google.com/detail/ndmbeogingkjkmmkoomnigifmpajmbkc" TargetMode="External"/><Relationship Id="rId4713" Type="http://schemas.openxmlformats.org/officeDocument/2006/relationships/hyperlink" Target="https://chromewebstore.google.com/detail/ndindkkcbpmfoinihohmhdhphgpiofbb" TargetMode="External"/><Relationship Id="rId4716" Type="http://schemas.openxmlformats.org/officeDocument/2006/relationships/hyperlink" Target="https://chromewebstore.google.com/detail/negciknliikcmfcgegchjoemdmllgack" TargetMode="External"/><Relationship Id="rId4715" Type="http://schemas.openxmlformats.org/officeDocument/2006/relationships/hyperlink" Target="https://chromewebstore.google.com/detail/ndpmdcidjakfglhdplgnkncjhcfdoglm" TargetMode="External"/><Relationship Id="rId4718" Type="http://schemas.openxmlformats.org/officeDocument/2006/relationships/hyperlink" Target="https://chromewebstore.google.com/detail/nenmcifhoegealiiblnpihbnjenleong" TargetMode="External"/><Relationship Id="rId4717" Type="http://schemas.openxmlformats.org/officeDocument/2006/relationships/hyperlink" Target="https://chromewebstore.google.com/detail/nehgalagbofmdpncplefbhhmoifapgjn" TargetMode="External"/><Relationship Id="rId4719" Type="http://schemas.openxmlformats.org/officeDocument/2006/relationships/hyperlink" Target="https://chromewebstore.google.com/detail/neokhcngmjnlbnphpfmiidlljbpffecd" TargetMode="External"/><Relationship Id="rId4710" Type="http://schemas.openxmlformats.org/officeDocument/2006/relationships/hyperlink" Target="https://chromewebstore.google.com/detail/nddaaiojgkoldnhnmkoldmkeocbooken" TargetMode="External"/><Relationship Id="rId3414" Type="http://schemas.openxmlformats.org/officeDocument/2006/relationships/hyperlink" Target="https://chromewebstore.google.com/detail/eencngjcaepgaaokekpnnabkecpfnchb" TargetMode="External"/><Relationship Id="rId4745" Type="http://schemas.openxmlformats.org/officeDocument/2006/relationships/hyperlink" Target="https://chromewebstore.google.com/detail/nllngonbmjjafbaalbkmopdbbeonoojo" TargetMode="External"/><Relationship Id="rId3413" Type="http://schemas.openxmlformats.org/officeDocument/2006/relationships/hyperlink" Target="https://chromewebstore.google.com/detail/eelhfeamoijglbkgkkfddgkngokfabde" TargetMode="External"/><Relationship Id="rId4744" Type="http://schemas.openxmlformats.org/officeDocument/2006/relationships/hyperlink" Target="https://chromewebstore.google.com/detail/nllifdhfbpcdinlojnghcojempoacpac" TargetMode="External"/><Relationship Id="rId3416" Type="http://schemas.openxmlformats.org/officeDocument/2006/relationships/hyperlink" Target="https://chromewebstore.google.com/detail/efkiamgopipogmbiedakafjdogfcipap" TargetMode="External"/><Relationship Id="rId4747" Type="http://schemas.openxmlformats.org/officeDocument/2006/relationships/hyperlink" Target="https://chromewebstore.google.com/detail/nmemjibioknipghbmhpdgbblddmncanb" TargetMode="External"/><Relationship Id="rId3415" Type="http://schemas.openxmlformats.org/officeDocument/2006/relationships/hyperlink" Target="https://chromewebstore.google.com/detail/efeikkcpimdfpdlmlbjdecnmkknjcfcp" TargetMode="External"/><Relationship Id="rId4746" Type="http://schemas.openxmlformats.org/officeDocument/2006/relationships/hyperlink" Target="https://chromewebstore.google.com/detail/nmbemomkalkilpcbddckndgpndajljal" TargetMode="External"/><Relationship Id="rId3418" Type="http://schemas.openxmlformats.org/officeDocument/2006/relationships/hyperlink" Target="https://chromewebstore.google.com/detail/egnpebbaedhmkhdoachibnpiplmkjoke" TargetMode="External"/><Relationship Id="rId4749" Type="http://schemas.openxmlformats.org/officeDocument/2006/relationships/hyperlink" Target="https://chromewebstore.google.com/detail/nnfgpokjdjekoafapiikeklhjhbckjah" TargetMode="External"/><Relationship Id="rId3417" Type="http://schemas.openxmlformats.org/officeDocument/2006/relationships/hyperlink" Target="https://chromewebstore.google.com/detail/efphljpdajpciigcmmfbhemjaanmoami" TargetMode="External"/><Relationship Id="rId4748" Type="http://schemas.openxmlformats.org/officeDocument/2006/relationships/hyperlink" Target="https://chromewebstore.google.com/detail/nneaojlgmfmngeckfemdbfpgedgfpgdg" TargetMode="External"/><Relationship Id="rId3419" Type="http://schemas.openxmlformats.org/officeDocument/2006/relationships/hyperlink" Target="https://chromewebstore.google.com/detail/ehlmnfeohfahemdjnakciaheggkojchf" TargetMode="External"/><Relationship Id="rId3410" Type="http://schemas.openxmlformats.org/officeDocument/2006/relationships/hyperlink" Target="https://chromewebstore.google.com/detail/edmkmnjkagnlalaamoaoihblemaeedib" TargetMode="External"/><Relationship Id="rId4741" Type="http://schemas.openxmlformats.org/officeDocument/2006/relationships/hyperlink" Target="https://chromewebstore.google.com/detail/nlgbhdfgdhgbiamfdfmbikcdghidoadd" TargetMode="External"/><Relationship Id="rId4740" Type="http://schemas.openxmlformats.org/officeDocument/2006/relationships/hyperlink" Target="https://chromewebstore.google.com/detail/nkpnfhfaabjfnfabmecmfdedkeoldogp" TargetMode="External"/><Relationship Id="rId3412" Type="http://schemas.openxmlformats.org/officeDocument/2006/relationships/hyperlink" Target="https://chromewebstore.google.com/detail/eeffaijobgkgngjemggokhbjfmhklcmi" TargetMode="External"/><Relationship Id="rId4743" Type="http://schemas.openxmlformats.org/officeDocument/2006/relationships/hyperlink" Target="https://chromewebstore.google.com/detail/nlkpbfbbjlghoalcakopdnlohjhchfjf" TargetMode="External"/><Relationship Id="rId3411" Type="http://schemas.openxmlformats.org/officeDocument/2006/relationships/hyperlink" Target="https://chromewebstore.google.com/detail/eedjnccgojngdjcofkpkjcbopgcfkkjk" TargetMode="External"/><Relationship Id="rId4742" Type="http://schemas.openxmlformats.org/officeDocument/2006/relationships/hyperlink" Target="https://chromewebstore.google.com/detail/nlikikggcdekbfenbebhnhdbefkenona" TargetMode="External"/><Relationship Id="rId3403" Type="http://schemas.openxmlformats.org/officeDocument/2006/relationships/hyperlink" Target="https://chromewebstore.google.com/detail/dpmmngoajnhfhalbmdkglnekmkkijjap" TargetMode="External"/><Relationship Id="rId4734" Type="http://schemas.openxmlformats.org/officeDocument/2006/relationships/hyperlink" Target="https://chromewebstore.google.com/detail/njliioohopcgdkoajdijiiplofhbdnca" TargetMode="External"/><Relationship Id="rId3402" Type="http://schemas.openxmlformats.org/officeDocument/2006/relationships/hyperlink" Target="https://chromewebstore.google.com/detail/dpiecafonfminhngabegejbligdagjfc" TargetMode="External"/><Relationship Id="rId4733" Type="http://schemas.openxmlformats.org/officeDocument/2006/relationships/hyperlink" Target="https://chromewebstore.google.com/detail/njkbjdmigienhoeccpigopgjmlgmdine" TargetMode="External"/><Relationship Id="rId3405" Type="http://schemas.openxmlformats.org/officeDocument/2006/relationships/hyperlink" Target="https://chromewebstore.google.com/detail/eagjeakmfmpdfkbbecfkogodmllbgknh" TargetMode="External"/><Relationship Id="rId4736" Type="http://schemas.openxmlformats.org/officeDocument/2006/relationships/hyperlink" Target="https://chromewebstore.google.com/detail/nkfaodonjodminhlimbcefcpbmolhndc" TargetMode="External"/><Relationship Id="rId3404" Type="http://schemas.openxmlformats.org/officeDocument/2006/relationships/hyperlink" Target="https://chromewebstore.google.com/detail/eageapgbnjicdjjihgclpclilenjbobi" TargetMode="External"/><Relationship Id="rId4735" Type="http://schemas.openxmlformats.org/officeDocument/2006/relationships/hyperlink" Target="https://chromewebstore.google.com/detail/nkbpagohbgnpdpldlcmabekfidlkfcad" TargetMode="External"/><Relationship Id="rId3407" Type="http://schemas.openxmlformats.org/officeDocument/2006/relationships/hyperlink" Target="https://chromewebstore.google.com/detail/eclakicbdanpgmpkecgmoeceghgjdeag" TargetMode="External"/><Relationship Id="rId4738" Type="http://schemas.openxmlformats.org/officeDocument/2006/relationships/hyperlink" Target="https://chromewebstore.google.com/detail/nkmaeogddfijadboccpafnmhkjhidgeb" TargetMode="External"/><Relationship Id="rId3406" Type="http://schemas.openxmlformats.org/officeDocument/2006/relationships/hyperlink" Target="https://chromewebstore.google.com/detail/ebpcimigfdcgmpaiboiipfkmceejkekp" TargetMode="External"/><Relationship Id="rId4737" Type="http://schemas.openxmlformats.org/officeDocument/2006/relationships/hyperlink" Target="https://chromewebstore.google.com/detail/nkghaekndgmonifcpfgjmpfjlhnmflhp" TargetMode="External"/><Relationship Id="rId3409" Type="http://schemas.openxmlformats.org/officeDocument/2006/relationships/hyperlink" Target="https://chromewebstore.google.com/detail/edlnbadicpbdobbgcngggefpdbnbnkch" TargetMode="External"/><Relationship Id="rId3408" Type="http://schemas.openxmlformats.org/officeDocument/2006/relationships/hyperlink" Target="https://chromewebstore.google.com/detail/edknjdjielmpdlnllkdmaghlbpnmjmgb" TargetMode="External"/><Relationship Id="rId4739" Type="http://schemas.openxmlformats.org/officeDocument/2006/relationships/hyperlink" Target="https://chromewebstore.google.com/detail/nkolhjkcfiifppjjkihkmebjkemcgllc" TargetMode="External"/><Relationship Id="rId4730" Type="http://schemas.openxmlformats.org/officeDocument/2006/relationships/hyperlink" Target="https://chromewebstore.google.com/detail/nioemkhjlmohkgmkandecganpglmbhil" TargetMode="External"/><Relationship Id="rId3401" Type="http://schemas.openxmlformats.org/officeDocument/2006/relationships/hyperlink" Target="https://chromewebstore.google.com/detail/dpbgkpijomoeagjakjllifnenpiodlkc" TargetMode="External"/><Relationship Id="rId4732" Type="http://schemas.openxmlformats.org/officeDocument/2006/relationships/hyperlink" Target="https://chromewebstore.google.com/detail/njfipgfibcmkmgpgljmgjkcplnkjhaop" TargetMode="External"/><Relationship Id="rId3400" Type="http://schemas.openxmlformats.org/officeDocument/2006/relationships/hyperlink" Target="https://chromewebstore.google.com/detail/dopegccpneodjcmjigocogleccdmkkhl" TargetMode="External"/><Relationship Id="rId4731" Type="http://schemas.openxmlformats.org/officeDocument/2006/relationships/hyperlink" Target="https://chromewebstore.google.com/detail/njbfimohacanhjdokmpagpaaadkkmhkh" TargetMode="External"/><Relationship Id="rId8291" Type="http://schemas.openxmlformats.org/officeDocument/2006/relationships/hyperlink" Target="https://chromewebstore.google.com/detail/loifmfjjhcdpgpkmphgemeooklpjlihp" TargetMode="External"/><Relationship Id="rId8290" Type="http://schemas.openxmlformats.org/officeDocument/2006/relationships/hyperlink" Target="https://chromewebstore.google.com/detail/jafkfcddjbcfdjnogbhogflaagohdohf" TargetMode="External"/><Relationship Id="rId8284" Type="http://schemas.openxmlformats.org/officeDocument/2006/relationships/hyperlink" Target="https://chromewebstore.google.com/detail/jgjaffakgllihecdbmikjkkpkkoincne" TargetMode="External"/><Relationship Id="rId8283" Type="http://schemas.openxmlformats.org/officeDocument/2006/relationships/hyperlink" Target="https://chromewebstore.google.com/detail/iajclipdhicfdjbfffmgepcbipoacmfh" TargetMode="External"/><Relationship Id="rId8282" Type="http://schemas.openxmlformats.org/officeDocument/2006/relationships/hyperlink" Target="https://chromewebstore.google.com/detail/gnejflagnhkhfalcogkkcpejgkiflibf" TargetMode="External"/><Relationship Id="rId8281" Type="http://schemas.openxmlformats.org/officeDocument/2006/relationships/hyperlink" Target="https://chromewebstore.google.com/detail/eekommagmgepaafaaegimeldlnnnolgn" TargetMode="External"/><Relationship Id="rId8288" Type="http://schemas.openxmlformats.org/officeDocument/2006/relationships/hyperlink" Target="https://chromewebstore.google.com/detail/pbffhgellplheapoloifdakppmnbmdkd" TargetMode="External"/><Relationship Id="rId8287" Type="http://schemas.openxmlformats.org/officeDocument/2006/relationships/hyperlink" Target="https://chromewebstore.google.com/detail/npodoagpdconlihebmobeapjflaafcmf" TargetMode="External"/><Relationship Id="rId8286" Type="http://schemas.openxmlformats.org/officeDocument/2006/relationships/hyperlink" Target="https://chromewebstore.google.com/detail/nfbnikpgcldgbpmpckhcajakdhfjjghk" TargetMode="External"/><Relationship Id="rId8285" Type="http://schemas.openxmlformats.org/officeDocument/2006/relationships/hyperlink" Target="https://chromewebstore.google.com/detail/nchdoajnpindhpopdjhlapbdanbbfneo" TargetMode="External"/><Relationship Id="rId8289" Type="http://schemas.openxmlformats.org/officeDocument/2006/relationships/hyperlink" Target="https://chromewebstore.google.com/detail/hgkdkfekclpieaclmlpfgmefdmhfccan" TargetMode="External"/><Relationship Id="rId8280" Type="http://schemas.openxmlformats.org/officeDocument/2006/relationships/hyperlink" Target="https://chromewebstore.google.com/detail/bcddlnpbfpldhhgpjkoedhcnjchldcff" TargetMode="External"/><Relationship Id="rId8273" Type="http://schemas.openxmlformats.org/officeDocument/2006/relationships/hyperlink" Target="https://chromewebstore.google.com/detail/hecncknibnmjplflipbjpikmajllbeci" TargetMode="External"/><Relationship Id="rId8272" Type="http://schemas.openxmlformats.org/officeDocument/2006/relationships/hyperlink" Target="https://chromewebstore.google.com/detail/gpodigoepmcbgcmimpabobkhifnjpile" TargetMode="External"/><Relationship Id="rId8271" Type="http://schemas.openxmlformats.org/officeDocument/2006/relationships/hyperlink" Target="https://chromewebstore.google.com/detail/bdjjepigjagkbbkeajennkhnpaejbgdi" TargetMode="External"/><Relationship Id="rId8270" Type="http://schemas.openxmlformats.org/officeDocument/2006/relationships/hyperlink" Target="https://chromewebstore.google.com/detail/ihfhbddglfpbodgoalhmljdneofejjnd" TargetMode="External"/><Relationship Id="rId8277" Type="http://schemas.openxmlformats.org/officeDocument/2006/relationships/hyperlink" Target="https://chromewebstore.google.com/detail/jlgpobagnemgpoddgcnckpgmcccnkfkd" TargetMode="External"/><Relationship Id="rId8276" Type="http://schemas.openxmlformats.org/officeDocument/2006/relationships/hyperlink" Target="https://chromewebstore.google.com/detail/mlkbifdobkhikfmhopopgdfikiilbhio" TargetMode="External"/><Relationship Id="rId8275" Type="http://schemas.openxmlformats.org/officeDocument/2006/relationships/hyperlink" Target="https://chromewebstore.google.com/detail/mgfjbmhhphmndapijdlgaifinndnhcbe" TargetMode="External"/><Relationship Id="rId8274" Type="http://schemas.openxmlformats.org/officeDocument/2006/relationships/hyperlink" Target="https://chromewebstore.google.com/detail/laakljikklodjldfnanikoefcpbjhodj" TargetMode="External"/><Relationship Id="rId8279" Type="http://schemas.openxmlformats.org/officeDocument/2006/relationships/hyperlink" Target="https://chromewebstore.google.com/detail/nepfndlkgainkkigfhdiopmhbbccpcao" TargetMode="External"/><Relationship Id="rId8278" Type="http://schemas.openxmlformats.org/officeDocument/2006/relationships/hyperlink" Target="https://chromewebstore.google.com/detail/jmhdcnmfkglikfjafdmdikoonedgijpa" TargetMode="External"/><Relationship Id="rId4701" Type="http://schemas.openxmlformats.org/officeDocument/2006/relationships/hyperlink" Target="https://chromewebstore.google.com/detail/nbbdaammplbmfejknfanpgeeldmijppa" TargetMode="External"/><Relationship Id="rId4700" Type="http://schemas.openxmlformats.org/officeDocument/2006/relationships/hyperlink" Target="https://chromewebstore.google.com/detail/naolnccddjabbhmjogiejjgocjnglmge" TargetMode="External"/><Relationship Id="rId4703" Type="http://schemas.openxmlformats.org/officeDocument/2006/relationships/hyperlink" Target="https://chromewebstore.google.com/detail/nbdhmbajecdannlcdfiomapadcaelnba" TargetMode="External"/><Relationship Id="rId4702" Type="http://schemas.openxmlformats.org/officeDocument/2006/relationships/hyperlink" Target="https://chromewebstore.google.com/detail/nbclmofnhpkggnndkdeleaefmbkibmjg" TargetMode="External"/><Relationship Id="rId4705" Type="http://schemas.openxmlformats.org/officeDocument/2006/relationships/hyperlink" Target="https://chromewebstore.google.com/detail/nbhdikhnaigcdlamenbgkmllgmfnngoi" TargetMode="External"/><Relationship Id="rId4704" Type="http://schemas.openxmlformats.org/officeDocument/2006/relationships/hyperlink" Target="https://chromewebstore.google.com/detail/nbegakpahlkccppnfdidkghekjdhbidg" TargetMode="External"/><Relationship Id="rId4707" Type="http://schemas.openxmlformats.org/officeDocument/2006/relationships/hyperlink" Target="https://chromewebstore.google.com/detail/ncmfghlpmmpchbldmmkjialnhobbjdfb" TargetMode="External"/><Relationship Id="rId4706" Type="http://schemas.openxmlformats.org/officeDocument/2006/relationships/hyperlink" Target="https://chromewebstore.google.com/detail/nccohhimobidpghgpnejnbkpoichbbml" TargetMode="External"/><Relationship Id="rId4709" Type="http://schemas.openxmlformats.org/officeDocument/2006/relationships/hyperlink" Target="https://chromewebstore.google.com/detail/ndbojakfkagkdhnfjdkannpehpfdnaan" TargetMode="External"/><Relationship Id="rId4708" Type="http://schemas.openxmlformats.org/officeDocument/2006/relationships/hyperlink" Target="https://chromewebstore.google.com/detail/ncmkhdipigpgfnponnnghhelehbfdggb" TargetMode="External"/><Relationship Id="rId8295" Type="http://schemas.openxmlformats.org/officeDocument/2006/relationships/hyperlink" Target="https://chromewebstore.google.com/detail/mofanilgbgccagapkigfiagbhjffinbg" TargetMode="External"/><Relationship Id="rId8294" Type="http://schemas.openxmlformats.org/officeDocument/2006/relationships/hyperlink" Target="https://chromewebstore.google.com/detail/jjapmdbeieeoeaebndobpmjfckbimhon" TargetMode="External"/><Relationship Id="rId8293" Type="http://schemas.openxmlformats.org/officeDocument/2006/relationships/hyperlink" Target="https://chromewebstore.google.com/detail/ekpnkffalcdjkfapohiibeimminjionc" TargetMode="External"/><Relationship Id="rId8292" Type="http://schemas.openxmlformats.org/officeDocument/2006/relationships/hyperlink" Target="https://chromewebstore.google.com/detail/dakpbdiplbbpkiejkbdebphiajboajic" TargetMode="External"/><Relationship Id="rId8299" Type="http://schemas.openxmlformats.org/officeDocument/2006/relationships/hyperlink" Target="https://chromewebstore.google.com/detail/egfcldmlhgaeoeihpfbjeogedcmckbkd" TargetMode="External"/><Relationship Id="rId8298" Type="http://schemas.openxmlformats.org/officeDocument/2006/relationships/hyperlink" Target="https://chromewebstore.google.com/detail/befddnocokafidcmfpgjdbohbhiaaahj" TargetMode="External"/><Relationship Id="rId8297" Type="http://schemas.openxmlformats.org/officeDocument/2006/relationships/hyperlink" Target="https://chromewebstore.google.com/detail/acicgfcckneopchflaeebkmdieegkpik" TargetMode="External"/><Relationship Id="rId8296" Type="http://schemas.openxmlformats.org/officeDocument/2006/relationships/hyperlink" Target="https://chromewebstore.google.com/detail/nmmdmcgnpdhlhcaaklfkhiemkkiecpca" TargetMode="External"/><Relationship Id="rId2148" Type="http://schemas.openxmlformats.org/officeDocument/2006/relationships/hyperlink" Target="https://chromewebstore.google.com/detail/iejedhnbogbenkmhfjoolmlibldbkhhj" TargetMode="External"/><Relationship Id="rId2149" Type="http://schemas.openxmlformats.org/officeDocument/2006/relationships/hyperlink" Target="https://chromewebstore.google.com/detail/iejlefphljdlldbogebiknjdbgdmlodd" TargetMode="External"/><Relationship Id="rId3479" Type="http://schemas.openxmlformats.org/officeDocument/2006/relationships/hyperlink" Target="https://chromewebstore.google.com/detail/fneahceogligokfcllminogbilaamgbd" TargetMode="External"/><Relationship Id="rId3470" Type="http://schemas.openxmlformats.org/officeDocument/2006/relationships/hyperlink" Target="https://chromewebstore.google.com/detail/fjffcfmgjapbeojnbalgnhlmglnpdlfl" TargetMode="External"/><Relationship Id="rId2140" Type="http://schemas.openxmlformats.org/officeDocument/2006/relationships/hyperlink" Target="https://chromewebstore.google.com/detail/hangmahandhlldanmofnfflimjojpijg" TargetMode="External"/><Relationship Id="rId3472" Type="http://schemas.openxmlformats.org/officeDocument/2006/relationships/hyperlink" Target="https://chromewebstore.google.com/detail/fkiohmjdmmcaenljmloepbdpcdfjdcpf" TargetMode="External"/><Relationship Id="rId2141" Type="http://schemas.openxmlformats.org/officeDocument/2006/relationships/hyperlink" Target="https://chromewebstore.google.com/detail/hddjiolhkfkmefgibgbnknojngnpgmec" TargetMode="External"/><Relationship Id="rId3471" Type="http://schemas.openxmlformats.org/officeDocument/2006/relationships/hyperlink" Target="https://chromewebstore.google.com/detail/fkchdogohkjpnhfkganifkbbjcjofbjf" TargetMode="External"/><Relationship Id="rId2142" Type="http://schemas.openxmlformats.org/officeDocument/2006/relationships/hyperlink" Target="https://chromewebstore.google.com/detail/hfckgfbhdacemicpjljhfbjmkiggeche" TargetMode="External"/><Relationship Id="rId3474" Type="http://schemas.openxmlformats.org/officeDocument/2006/relationships/hyperlink" Target="https://chromewebstore.google.com/detail/fkmkefpehlolmdiloilglfcojbomaoii" TargetMode="External"/><Relationship Id="rId2143" Type="http://schemas.openxmlformats.org/officeDocument/2006/relationships/hyperlink" Target="https://chromewebstore.google.com/detail/hgfbigeomjlaahldcoilagphholnmhlc" TargetMode="External"/><Relationship Id="rId3473" Type="http://schemas.openxmlformats.org/officeDocument/2006/relationships/hyperlink" Target="https://chromewebstore.google.com/detail/fklckakpjjghgcpdjaboalkfgmbkaanl" TargetMode="External"/><Relationship Id="rId2144" Type="http://schemas.openxmlformats.org/officeDocument/2006/relationships/hyperlink" Target="https://chromewebstore.google.com/detail/hkdnokkapkcmjhmbobdggmdhbocokafc" TargetMode="External"/><Relationship Id="rId3476" Type="http://schemas.openxmlformats.org/officeDocument/2006/relationships/hyperlink" Target="https://chromewebstore.google.com/detail/flhbeabcinhdnpbmapigmippphgfinga" TargetMode="External"/><Relationship Id="rId2145" Type="http://schemas.openxmlformats.org/officeDocument/2006/relationships/hyperlink" Target="https://chromewebstore.google.com/detail/ibeahcfhgmcggdgahfmnhmnjdinbakoo" TargetMode="External"/><Relationship Id="rId3475" Type="http://schemas.openxmlformats.org/officeDocument/2006/relationships/hyperlink" Target="https://chromewebstore.google.com/detail/fleolcdonmhbeppkijpfbhfhpceehiic" TargetMode="External"/><Relationship Id="rId2146" Type="http://schemas.openxmlformats.org/officeDocument/2006/relationships/hyperlink" Target="https://chromewebstore.google.com/detail/ibfbhbegfkamboeglpnianlggahglbfi" TargetMode="External"/><Relationship Id="rId3478" Type="http://schemas.openxmlformats.org/officeDocument/2006/relationships/hyperlink" Target="https://chromewebstore.google.com/detail/fmgakapefkckdimkoglpoooaamfpfhld" TargetMode="External"/><Relationship Id="rId2147" Type="http://schemas.openxmlformats.org/officeDocument/2006/relationships/hyperlink" Target="https://chromewebstore.google.com/detail/ibmjlihekifiigloelpcnffjbkcdhebf" TargetMode="External"/><Relationship Id="rId3477" Type="http://schemas.openxmlformats.org/officeDocument/2006/relationships/hyperlink" Target="https://chromewebstore.google.com/detail/flnadglecinohkbmdpeooblldjpaimpo" TargetMode="External"/><Relationship Id="rId2137" Type="http://schemas.openxmlformats.org/officeDocument/2006/relationships/hyperlink" Target="https://chromewebstore.google.com/detail/gndlcpbcmhbcaadppjjekgbhfhceeikm" TargetMode="External"/><Relationship Id="rId3469" Type="http://schemas.openxmlformats.org/officeDocument/2006/relationships/hyperlink" Target="https://chromewebstore.google.com/detail/fjdchobeoikpjadflakgacfgibmnkcfo" TargetMode="External"/><Relationship Id="rId2138" Type="http://schemas.openxmlformats.org/officeDocument/2006/relationships/hyperlink" Target="https://chromewebstore.google.com/detail/gnnlgfolofpjdgjhfejmlcabaedmdfcn" TargetMode="External"/><Relationship Id="rId3468" Type="http://schemas.openxmlformats.org/officeDocument/2006/relationships/hyperlink" Target="https://chromewebstore.google.com/detail/fjbngeppiginhckphonoffahjcoagofd" TargetMode="External"/><Relationship Id="rId4799" Type="http://schemas.openxmlformats.org/officeDocument/2006/relationships/hyperlink" Target="https://chromewebstore.google.com/detail/oigghlanfjgnkcndchmnlnmaojahnjoc" TargetMode="External"/><Relationship Id="rId2139" Type="http://schemas.openxmlformats.org/officeDocument/2006/relationships/hyperlink" Target="https://chromewebstore.google.com/detail/gpmkacpkcakamljkjdjfgmncbpfjacjl" TargetMode="External"/><Relationship Id="rId4790" Type="http://schemas.openxmlformats.org/officeDocument/2006/relationships/hyperlink" Target="https://chromewebstore.google.com/detail/ogeflpmllfpecnnlkoifcolpcdpdojbd" TargetMode="External"/><Relationship Id="rId3461" Type="http://schemas.openxmlformats.org/officeDocument/2006/relationships/hyperlink" Target="https://chromewebstore.google.com/detail/fgieggnhkbknnkemibeokkmpimipkgki" TargetMode="External"/><Relationship Id="rId4792" Type="http://schemas.openxmlformats.org/officeDocument/2006/relationships/hyperlink" Target="https://chromewebstore.google.com/detail/ogkidppcbldhebgplkdmepodkbfanndi" TargetMode="External"/><Relationship Id="rId2130" Type="http://schemas.openxmlformats.org/officeDocument/2006/relationships/hyperlink" Target="https://chromewebstore.google.com/detail/gajnifmlijakbfmnhnnjplphnehlkfdh" TargetMode="External"/><Relationship Id="rId3460" Type="http://schemas.openxmlformats.org/officeDocument/2006/relationships/hyperlink" Target="https://chromewebstore.google.com/detail/fggnjkmmkmlaikmfkcnkmimmmmmcfiab" TargetMode="External"/><Relationship Id="rId4791" Type="http://schemas.openxmlformats.org/officeDocument/2006/relationships/hyperlink" Target="https://chromewebstore.google.com/detail/oghimonmponpchmplmnohfnlkfkhegmk" TargetMode="External"/><Relationship Id="rId2131" Type="http://schemas.openxmlformats.org/officeDocument/2006/relationships/hyperlink" Target="https://chromewebstore.google.com/detail/gakchdgcpjbchncgbflfkajcfpnbhohi" TargetMode="External"/><Relationship Id="rId3463" Type="http://schemas.openxmlformats.org/officeDocument/2006/relationships/hyperlink" Target="https://chromewebstore.google.com/detail/fiddcobkgebcjfghaeagpppboifhidci" TargetMode="External"/><Relationship Id="rId4794" Type="http://schemas.openxmlformats.org/officeDocument/2006/relationships/hyperlink" Target="https://chromewebstore.google.com/detail/ohbillkckjklenebjdgdpnihdhlpjmgn" TargetMode="External"/><Relationship Id="rId2132" Type="http://schemas.openxmlformats.org/officeDocument/2006/relationships/hyperlink" Target="https://chromewebstore.google.com/detail/gbghgcnclindfhamjcecblpjkanendei" TargetMode="External"/><Relationship Id="rId3462" Type="http://schemas.openxmlformats.org/officeDocument/2006/relationships/hyperlink" Target="https://chromewebstore.google.com/detail/fidbmokgkfolkdemodnghigjflilchhm" TargetMode="External"/><Relationship Id="rId4793" Type="http://schemas.openxmlformats.org/officeDocument/2006/relationships/hyperlink" Target="https://chromewebstore.google.com/detail/ohbhdoglpgeaibbfgifbcknnhcmdnidg" TargetMode="External"/><Relationship Id="rId2133" Type="http://schemas.openxmlformats.org/officeDocument/2006/relationships/hyperlink" Target="https://chromewebstore.google.com/detail/gkdofhllgfohlddimiiildbgoggdpoea" TargetMode="External"/><Relationship Id="rId3465" Type="http://schemas.openxmlformats.org/officeDocument/2006/relationships/hyperlink" Target="https://chromewebstore.google.com/detail/fihbdpohplcdnhllhliaeapefmmpcdjo" TargetMode="External"/><Relationship Id="rId4796" Type="http://schemas.openxmlformats.org/officeDocument/2006/relationships/hyperlink" Target="https://chromewebstore.google.com/detail/ohkgbfcpbbljmmmidihgdfknhnpfkobd" TargetMode="External"/><Relationship Id="rId2134" Type="http://schemas.openxmlformats.org/officeDocument/2006/relationships/hyperlink" Target="https://chromewebstore.google.com/detail/gkggfgbfhbjdgaeejgiamboldhblempk" TargetMode="External"/><Relationship Id="rId3464" Type="http://schemas.openxmlformats.org/officeDocument/2006/relationships/hyperlink" Target="https://chromewebstore.google.com/detail/figcebmonllniaklhhjimjlgndjlgchd" TargetMode="External"/><Relationship Id="rId4795" Type="http://schemas.openxmlformats.org/officeDocument/2006/relationships/hyperlink" Target="https://chromewebstore.google.com/detail/ohhpliipfhicocldcakcgpbbcmkjkian" TargetMode="External"/><Relationship Id="rId2135" Type="http://schemas.openxmlformats.org/officeDocument/2006/relationships/hyperlink" Target="https://chromewebstore.google.com/detail/glilfjhglngcfhiogplalcgepclphbhd" TargetMode="External"/><Relationship Id="rId3467" Type="http://schemas.openxmlformats.org/officeDocument/2006/relationships/hyperlink" Target="https://chromewebstore.google.com/detail/fjbflgfccjfafjmcaiejjhgfngmhemma" TargetMode="External"/><Relationship Id="rId4798" Type="http://schemas.openxmlformats.org/officeDocument/2006/relationships/hyperlink" Target="https://chromewebstore.google.com/detail/ohoccbfpfjdaaajmonbhinmmnjggbmeb" TargetMode="External"/><Relationship Id="rId2136" Type="http://schemas.openxmlformats.org/officeDocument/2006/relationships/hyperlink" Target="https://chromewebstore.google.com/detail/gmkohmponbmhggcpigfkcadabcjnckii" TargetMode="External"/><Relationship Id="rId3466" Type="http://schemas.openxmlformats.org/officeDocument/2006/relationships/hyperlink" Target="https://chromewebstore.google.com/detail/fiidcfoaaciclafodoficaofidfencgd" TargetMode="External"/><Relationship Id="rId4797" Type="http://schemas.openxmlformats.org/officeDocument/2006/relationships/hyperlink" Target="https://chromewebstore.google.com/detail/ohkkponpfoijonbbedcehkhfejlobmkb" TargetMode="External"/><Relationship Id="rId3490" Type="http://schemas.openxmlformats.org/officeDocument/2006/relationships/hyperlink" Target="https://chromewebstore.google.com/detail/gcfpbekgphipjndnkglfjfgicbihmdni" TargetMode="External"/><Relationship Id="rId2160" Type="http://schemas.openxmlformats.org/officeDocument/2006/relationships/hyperlink" Target="https://chromewebstore.google.com/detail/jekdfmbpignlnhlafcifmojemcjcgieo" TargetMode="External"/><Relationship Id="rId3492" Type="http://schemas.openxmlformats.org/officeDocument/2006/relationships/hyperlink" Target="https://chromewebstore.google.com/detail/gdjbelbckgeagibabjiklppbogphfgaa" TargetMode="External"/><Relationship Id="rId2161" Type="http://schemas.openxmlformats.org/officeDocument/2006/relationships/hyperlink" Target="https://chromewebstore.google.com/detail/jfomngnpkgnofbnhbimmebjhpohapkcl" TargetMode="External"/><Relationship Id="rId3491" Type="http://schemas.openxmlformats.org/officeDocument/2006/relationships/hyperlink" Target="https://chromewebstore.google.com/detail/gcjmehmhcfchpgfkkgbncjccgbfcajbd" TargetMode="External"/><Relationship Id="rId2162" Type="http://schemas.openxmlformats.org/officeDocument/2006/relationships/hyperlink" Target="https://chromewebstore.google.com/detail/jhhafkobmfjlcfppjenldjalejnfhcfk" TargetMode="External"/><Relationship Id="rId3494" Type="http://schemas.openxmlformats.org/officeDocument/2006/relationships/hyperlink" Target="https://chromewebstore.google.com/detail/geclbbfhndfjcgghimioopopfhilncda" TargetMode="External"/><Relationship Id="rId2163" Type="http://schemas.openxmlformats.org/officeDocument/2006/relationships/hyperlink" Target="https://chromewebstore.google.com/detail/jhkibealmjkbkafogihpeidfcgnigmlf" TargetMode="External"/><Relationship Id="rId3493" Type="http://schemas.openxmlformats.org/officeDocument/2006/relationships/hyperlink" Target="https://chromewebstore.google.com/detail/geboigdomoihijcamklnhlcgnnpdgkmg" TargetMode="External"/><Relationship Id="rId2164" Type="http://schemas.openxmlformats.org/officeDocument/2006/relationships/hyperlink" Target="https://chromewebstore.google.com/detail/jikhbokinakhjbhoifafpbaemffhomjl" TargetMode="External"/><Relationship Id="rId3496" Type="http://schemas.openxmlformats.org/officeDocument/2006/relationships/hyperlink" Target="https://chromewebstore.google.com/detail/geibmccfoabdhmkafjdkdmdmjkebgago" TargetMode="External"/><Relationship Id="rId2165" Type="http://schemas.openxmlformats.org/officeDocument/2006/relationships/hyperlink" Target="https://chromewebstore.google.com/detail/jkojliciihhmhfnioceoaahmmhhmhjdi" TargetMode="External"/><Relationship Id="rId3495" Type="http://schemas.openxmlformats.org/officeDocument/2006/relationships/hyperlink" Target="https://chromewebstore.google.com/detail/gehadojofkekobiohnefkabgimeniglh" TargetMode="External"/><Relationship Id="rId2166" Type="http://schemas.openxmlformats.org/officeDocument/2006/relationships/hyperlink" Target="https://chromewebstore.google.com/detail/jmldaomlnfihbdoghdbikbbignjlkbml" TargetMode="External"/><Relationship Id="rId3498" Type="http://schemas.openxmlformats.org/officeDocument/2006/relationships/hyperlink" Target="https://chromewebstore.google.com/detail/geopbiaefoieahodpfbclhoabkikbnkn" TargetMode="External"/><Relationship Id="rId2167" Type="http://schemas.openxmlformats.org/officeDocument/2006/relationships/hyperlink" Target="https://chromewebstore.google.com/detail/joibipdfkleencgfgbbncoheaekffdfn" TargetMode="External"/><Relationship Id="rId3497" Type="http://schemas.openxmlformats.org/officeDocument/2006/relationships/hyperlink" Target="https://chromewebstore.google.com/detail/gejhlimpekolibglangfmpnnidcgdhkj" TargetMode="External"/><Relationship Id="rId2168" Type="http://schemas.openxmlformats.org/officeDocument/2006/relationships/hyperlink" Target="https://chromewebstore.google.com/detail/kahoebmmfnjmjcbclecdkhiapmefpaed" TargetMode="External"/><Relationship Id="rId2169" Type="http://schemas.openxmlformats.org/officeDocument/2006/relationships/hyperlink" Target="https://chromewebstore.google.com/detail/keeiendlnmbddkjjhnbegaaheohkfhoj" TargetMode="External"/><Relationship Id="rId3499" Type="http://schemas.openxmlformats.org/officeDocument/2006/relationships/hyperlink" Target="https://chromewebstore.google.com/detail/ggjocnbfiiifcaghdkkpgcpdednmnocb" TargetMode="External"/><Relationship Id="rId2159" Type="http://schemas.openxmlformats.org/officeDocument/2006/relationships/hyperlink" Target="https://chromewebstore.google.com/detail/jchobbjgibcahbheicfocecmhocglkco" TargetMode="External"/><Relationship Id="rId3481" Type="http://schemas.openxmlformats.org/officeDocument/2006/relationships/hyperlink" Target="https://chromewebstore.google.com/detail/fnhcbgbefhibeocpfiblfkgjfoiackbi" TargetMode="External"/><Relationship Id="rId2150" Type="http://schemas.openxmlformats.org/officeDocument/2006/relationships/hyperlink" Target="https://chromewebstore.google.com/detail/ifhndomfnbmggdgodaicfebeggdphlcn" TargetMode="External"/><Relationship Id="rId3480" Type="http://schemas.openxmlformats.org/officeDocument/2006/relationships/hyperlink" Target="https://chromewebstore.google.com/detail/fngccdjlaoaoeimedabdbioefiicjiei" TargetMode="External"/><Relationship Id="rId2151" Type="http://schemas.openxmlformats.org/officeDocument/2006/relationships/hyperlink" Target="https://chromewebstore.google.com/detail/ijehohpnpekbejmlkiofnlggakgeheke" TargetMode="External"/><Relationship Id="rId3483" Type="http://schemas.openxmlformats.org/officeDocument/2006/relationships/hyperlink" Target="https://chromewebstore.google.com/detail/foblnmhpgiilabdcbnfgoheplajhompg" TargetMode="External"/><Relationship Id="rId2152" Type="http://schemas.openxmlformats.org/officeDocument/2006/relationships/hyperlink" Target="https://chromewebstore.google.com/detail/ijkcfokgcohhndhfkjpdaefhndnimdla" TargetMode="External"/><Relationship Id="rId3482" Type="http://schemas.openxmlformats.org/officeDocument/2006/relationships/hyperlink" Target="https://chromewebstore.google.com/detail/fnifoimglgjcmljjcepbgkcajiggfekp" TargetMode="External"/><Relationship Id="rId2153" Type="http://schemas.openxmlformats.org/officeDocument/2006/relationships/hyperlink" Target="https://chromewebstore.google.com/detail/inifbdfjipiapkbboiijoahomdgahaim" TargetMode="External"/><Relationship Id="rId3485" Type="http://schemas.openxmlformats.org/officeDocument/2006/relationships/hyperlink" Target="https://chromewebstore.google.com/detail/fpjlnlnbacohacebkadbbjebbipcknbg" TargetMode="External"/><Relationship Id="rId2154" Type="http://schemas.openxmlformats.org/officeDocument/2006/relationships/hyperlink" Target="https://chromewebstore.google.com/detail/ioneiaafmcopdbalkdcngmhklemlhfka" TargetMode="External"/><Relationship Id="rId3484" Type="http://schemas.openxmlformats.org/officeDocument/2006/relationships/hyperlink" Target="https://chromewebstore.google.com/detail/focgpgmpinbadijfcdimbdkgnpndjnkl" TargetMode="External"/><Relationship Id="rId2155" Type="http://schemas.openxmlformats.org/officeDocument/2006/relationships/hyperlink" Target="https://chromewebstore.google.com/detail/ipbjjbpopodbnjbjnneakhcppdocpelg" TargetMode="External"/><Relationship Id="rId3487" Type="http://schemas.openxmlformats.org/officeDocument/2006/relationships/hyperlink" Target="https://chromewebstore.google.com/detail/gacfggacdlboibfpfajebpbncipchhma" TargetMode="External"/><Relationship Id="rId2156" Type="http://schemas.openxmlformats.org/officeDocument/2006/relationships/hyperlink" Target="https://chromewebstore.google.com/detail/jalbnaaehacechfcjkfangdgacckodjg" TargetMode="External"/><Relationship Id="rId3486" Type="http://schemas.openxmlformats.org/officeDocument/2006/relationships/hyperlink" Target="https://chromewebstore.google.com/detail/gabmlabpkcpincifnadmjplohbbljdba" TargetMode="External"/><Relationship Id="rId2157" Type="http://schemas.openxmlformats.org/officeDocument/2006/relationships/hyperlink" Target="https://chromewebstore.google.com/detail/jbiffggjjomeebhgmdeacgjohkoknadl" TargetMode="External"/><Relationship Id="rId3489" Type="http://schemas.openxmlformats.org/officeDocument/2006/relationships/hyperlink" Target="https://chromewebstore.google.com/detail/gbjocelfmcapnmcocncmheabfhdhmadl" TargetMode="External"/><Relationship Id="rId2158" Type="http://schemas.openxmlformats.org/officeDocument/2006/relationships/hyperlink" Target="https://chromewebstore.google.com/detail/jcaobjhdnlpmopmjhijplpjhlplfkhba" TargetMode="External"/><Relationship Id="rId3488" Type="http://schemas.openxmlformats.org/officeDocument/2006/relationships/hyperlink" Target="https://chromewebstore.google.com/detail/gbahpfmknhllfegibbfdialakjagbdkl" TargetMode="External"/><Relationship Id="rId2104" Type="http://schemas.openxmlformats.org/officeDocument/2006/relationships/hyperlink" Target="https://chromewebstore.google.com/detail/dlabodjigcmnanaldmfkpflpopgmdhii" TargetMode="External"/><Relationship Id="rId3436" Type="http://schemas.openxmlformats.org/officeDocument/2006/relationships/hyperlink" Target="https://chromewebstore.google.com/detail/eojgfgeapephofifpjgapdlaopfdhceh" TargetMode="External"/><Relationship Id="rId4767" Type="http://schemas.openxmlformats.org/officeDocument/2006/relationships/hyperlink" Target="https://chromewebstore.google.com/detail/obgbcamdmcdcenchjmhggocjabmnnaab" TargetMode="External"/><Relationship Id="rId2105" Type="http://schemas.openxmlformats.org/officeDocument/2006/relationships/hyperlink" Target="https://chromewebstore.google.com/detail/dnefmfcaboiimmkibdjbnciggbfpeeco" TargetMode="External"/><Relationship Id="rId3435" Type="http://schemas.openxmlformats.org/officeDocument/2006/relationships/hyperlink" Target="https://chromewebstore.google.com/detail/enmbidembfifmcpbkknknhcpmmhnmgni" TargetMode="External"/><Relationship Id="rId4766" Type="http://schemas.openxmlformats.org/officeDocument/2006/relationships/hyperlink" Target="https://chromewebstore.google.com/detail/oapindodkkndonmflelpddkehnocnenh" TargetMode="External"/><Relationship Id="rId2106" Type="http://schemas.openxmlformats.org/officeDocument/2006/relationships/hyperlink" Target="https://chromewebstore.google.com/detail/effbheagilkfnfmfomneghllopenjaap" TargetMode="External"/><Relationship Id="rId3438" Type="http://schemas.openxmlformats.org/officeDocument/2006/relationships/hyperlink" Target="https://chromewebstore.google.com/detail/epclbcgdcfaiholkapkbaecldbffhhee" TargetMode="External"/><Relationship Id="rId4769" Type="http://schemas.openxmlformats.org/officeDocument/2006/relationships/hyperlink" Target="https://chromewebstore.google.com/detail/obngbhmmpnkomhgjjnddgoniplchmfkl" TargetMode="External"/><Relationship Id="rId2107" Type="http://schemas.openxmlformats.org/officeDocument/2006/relationships/hyperlink" Target="https://chromewebstore.google.com/detail/efkkjffdefaaioagghcaflicdajfhceo" TargetMode="External"/><Relationship Id="rId3437" Type="http://schemas.openxmlformats.org/officeDocument/2006/relationships/hyperlink" Target="https://chromewebstore.google.com/detail/epamhdpboimbcdgokgldffcdkfmbmajg" TargetMode="External"/><Relationship Id="rId4768" Type="http://schemas.openxmlformats.org/officeDocument/2006/relationships/hyperlink" Target="https://chromewebstore.google.com/detail/obnalpnjpcdcdnoaalkjgmnpcjjmbcoh" TargetMode="External"/><Relationship Id="rId2108" Type="http://schemas.openxmlformats.org/officeDocument/2006/relationships/hyperlink" Target="https://chromewebstore.google.com/detail/egfhcfdfnajldliefpdoaojgahefjhhi" TargetMode="External"/><Relationship Id="rId2109" Type="http://schemas.openxmlformats.org/officeDocument/2006/relationships/hyperlink" Target="https://chromewebstore.google.com/detail/ehdikikkfbfjjemfadgggcohkjoggoof" TargetMode="External"/><Relationship Id="rId3439" Type="http://schemas.openxmlformats.org/officeDocument/2006/relationships/hyperlink" Target="https://chromewebstore.google.com/detail/epcolmlaegimilnokaddncgmdafacohf" TargetMode="External"/><Relationship Id="rId3430" Type="http://schemas.openxmlformats.org/officeDocument/2006/relationships/hyperlink" Target="https://chromewebstore.google.com/detail/elihjfnjglabmkeonphlglkpjppchoco" TargetMode="External"/><Relationship Id="rId4761" Type="http://schemas.openxmlformats.org/officeDocument/2006/relationships/hyperlink" Target="https://chromewebstore.google.com/detail/npmhdofgibpjgaieimbglhgblglaijnf" TargetMode="External"/><Relationship Id="rId4760" Type="http://schemas.openxmlformats.org/officeDocument/2006/relationships/hyperlink" Target="https://chromewebstore.google.com/detail/npmapkgiaadjbidljilohekhlgakilim" TargetMode="External"/><Relationship Id="rId2100" Type="http://schemas.openxmlformats.org/officeDocument/2006/relationships/hyperlink" Target="https://chromewebstore.google.com/detail/dbnfdljglikamcdljmffmhfionigapkf" TargetMode="External"/><Relationship Id="rId3432" Type="http://schemas.openxmlformats.org/officeDocument/2006/relationships/hyperlink" Target="https://chromewebstore.google.com/detail/emaadbacogbhahpfbbcncccdmnjaanbd" TargetMode="External"/><Relationship Id="rId4763" Type="http://schemas.openxmlformats.org/officeDocument/2006/relationships/hyperlink" Target="https://chromewebstore.google.com/detail/oadnllmpodddplkpoobefkknhhecjjbb" TargetMode="External"/><Relationship Id="rId2101" Type="http://schemas.openxmlformats.org/officeDocument/2006/relationships/hyperlink" Target="https://chromewebstore.google.com/detail/dfoeddmkpdeheffinggbeggiebnhhmno" TargetMode="External"/><Relationship Id="rId3431" Type="http://schemas.openxmlformats.org/officeDocument/2006/relationships/hyperlink" Target="https://chromewebstore.google.com/detail/ellabkgcnhflepncdcnelhgclfkgmanh" TargetMode="External"/><Relationship Id="rId4762" Type="http://schemas.openxmlformats.org/officeDocument/2006/relationships/hyperlink" Target="https://chromewebstore.google.com/detail/oaafdjbfibmpcgefpapknfjcnfdkkkkp" TargetMode="External"/><Relationship Id="rId2102" Type="http://schemas.openxmlformats.org/officeDocument/2006/relationships/hyperlink" Target="https://chromewebstore.google.com/detail/dghaelfeofkkdebndhkfoneojddiebhd" TargetMode="External"/><Relationship Id="rId3434" Type="http://schemas.openxmlformats.org/officeDocument/2006/relationships/hyperlink" Target="https://chromewebstore.google.com/detail/eneceapeknmndclhpphgniekmnnlajjb" TargetMode="External"/><Relationship Id="rId4765" Type="http://schemas.openxmlformats.org/officeDocument/2006/relationships/hyperlink" Target="https://chromewebstore.google.com/detail/oaknkllfdceggjpbonhiegoaifjdkfjd" TargetMode="External"/><Relationship Id="rId2103" Type="http://schemas.openxmlformats.org/officeDocument/2006/relationships/hyperlink" Target="https://chromewebstore.google.com/detail/dheemnnkahegifficiphgacgjfmigjec" TargetMode="External"/><Relationship Id="rId3433" Type="http://schemas.openxmlformats.org/officeDocument/2006/relationships/hyperlink" Target="https://chromewebstore.google.com/detail/enchjidoodnbfkmidpfjlbdbjjlomfkp" TargetMode="External"/><Relationship Id="rId4764" Type="http://schemas.openxmlformats.org/officeDocument/2006/relationships/hyperlink" Target="https://chromewebstore.google.com/detail/oaihjcmhhokpahibakljjfkgbhghiffd" TargetMode="External"/><Relationship Id="rId3425" Type="http://schemas.openxmlformats.org/officeDocument/2006/relationships/hyperlink" Target="https://chromewebstore.google.com/detail/ejignddmhjbhbflngofijehfekikpaba" TargetMode="External"/><Relationship Id="rId4756" Type="http://schemas.openxmlformats.org/officeDocument/2006/relationships/hyperlink" Target="https://chromewebstore.google.com/detail/nokkofkhgbnkfpoanjpkjpkgfpnpdpig" TargetMode="External"/><Relationship Id="rId3424" Type="http://schemas.openxmlformats.org/officeDocument/2006/relationships/hyperlink" Target="https://chromewebstore.google.com/detail/ejdcnikffjleeffpigekhccpepplaode" TargetMode="External"/><Relationship Id="rId4755" Type="http://schemas.openxmlformats.org/officeDocument/2006/relationships/hyperlink" Target="https://chromewebstore.google.com/detail/nogfmpkgdfgfealjjenelnmfdminfokd" TargetMode="External"/><Relationship Id="rId3427" Type="http://schemas.openxmlformats.org/officeDocument/2006/relationships/hyperlink" Target="https://chromewebstore.google.com/detail/ekcmgkhakdlcondlgmadpiogjnlggpne" TargetMode="External"/><Relationship Id="rId4758" Type="http://schemas.openxmlformats.org/officeDocument/2006/relationships/hyperlink" Target="https://chromewebstore.google.com/detail/npahnkjblgdfffkgogokpmeplpdoccib" TargetMode="External"/><Relationship Id="rId3426" Type="http://schemas.openxmlformats.org/officeDocument/2006/relationships/hyperlink" Target="https://chromewebstore.google.com/detail/ejmpoclnkkdepgggmppdbjpblncajlno" TargetMode="External"/><Relationship Id="rId4757" Type="http://schemas.openxmlformats.org/officeDocument/2006/relationships/hyperlink" Target="https://chromewebstore.google.com/detail/nomafcbgmkfdbodhjjiomjkkkmmnhbij" TargetMode="External"/><Relationship Id="rId3429" Type="http://schemas.openxmlformats.org/officeDocument/2006/relationships/hyperlink" Target="https://chromewebstore.google.com/detail/elbnoifhdccmcgjbbagofcmnoibejgkc" TargetMode="External"/><Relationship Id="rId3428" Type="http://schemas.openxmlformats.org/officeDocument/2006/relationships/hyperlink" Target="https://chromewebstore.google.com/detail/elajgiibdjhcnabbdeimegnpbbpdkgai" TargetMode="External"/><Relationship Id="rId4759" Type="http://schemas.openxmlformats.org/officeDocument/2006/relationships/hyperlink" Target="https://chromewebstore.google.com/detail/nphgibclfaabpdkkpcboafpaccplikfg" TargetMode="External"/><Relationship Id="rId4750" Type="http://schemas.openxmlformats.org/officeDocument/2006/relationships/hyperlink" Target="https://chromewebstore.google.com/detail/nngeaaogaldpfiedmmpicdnoddglbkmi" TargetMode="External"/><Relationship Id="rId3421" Type="http://schemas.openxmlformats.org/officeDocument/2006/relationships/hyperlink" Target="https://chromewebstore.google.com/detail/eimpgjcahblfpdgiknmbmglcafegimil" TargetMode="External"/><Relationship Id="rId4752" Type="http://schemas.openxmlformats.org/officeDocument/2006/relationships/hyperlink" Target="https://chromewebstore.google.com/detail/nnpfigodphdaapfmkbgmkljndjckkegk" TargetMode="External"/><Relationship Id="rId3420" Type="http://schemas.openxmlformats.org/officeDocument/2006/relationships/hyperlink" Target="https://chromewebstore.google.com/detail/eilnaglmefieihnoliabhdbfldhimbog" TargetMode="External"/><Relationship Id="rId4751" Type="http://schemas.openxmlformats.org/officeDocument/2006/relationships/hyperlink" Target="https://chromewebstore.google.com/detail/nnoilpdinmjmdfpkdkbbkajejflbkoma" TargetMode="External"/><Relationship Id="rId3423" Type="http://schemas.openxmlformats.org/officeDocument/2006/relationships/hyperlink" Target="https://chromewebstore.google.com/detail/eiphjjopllhmdfikjnhgcgigmobbehnm" TargetMode="External"/><Relationship Id="rId4754" Type="http://schemas.openxmlformats.org/officeDocument/2006/relationships/hyperlink" Target="https://chromewebstore.google.com/detail/nocfbnnmjnndkbipkabodnheejiegccf" TargetMode="External"/><Relationship Id="rId3422" Type="http://schemas.openxmlformats.org/officeDocument/2006/relationships/hyperlink" Target="https://chromewebstore.google.com/detail/eipaedejipdbpekheidjdpiogbnbafjm" TargetMode="External"/><Relationship Id="rId4753" Type="http://schemas.openxmlformats.org/officeDocument/2006/relationships/hyperlink" Target="https://chromewebstore.google.com/detail/nnplcphaiknebllemeffbdpoaalnnncf" TargetMode="External"/><Relationship Id="rId2126" Type="http://schemas.openxmlformats.org/officeDocument/2006/relationships/hyperlink" Target="https://chromewebstore.google.com/detail/fmpgoobcionmfneadjapdabmjfkmfekb" TargetMode="External"/><Relationship Id="rId3458" Type="http://schemas.openxmlformats.org/officeDocument/2006/relationships/hyperlink" Target="https://chromewebstore.google.com/detail/ffnpdhifpelckhfkhnamdpimbleanpom" TargetMode="External"/><Relationship Id="rId4789" Type="http://schemas.openxmlformats.org/officeDocument/2006/relationships/hyperlink" Target="https://chromewebstore.google.com/detail/ogcmjchbmdichlfelhmceldndgmgpcem" TargetMode="External"/><Relationship Id="rId2127" Type="http://schemas.openxmlformats.org/officeDocument/2006/relationships/hyperlink" Target="https://chromewebstore.google.com/detail/focdbmjgdonlpdknobfghplhmafpgfbp" TargetMode="External"/><Relationship Id="rId3457" Type="http://schemas.openxmlformats.org/officeDocument/2006/relationships/hyperlink" Target="https://chromewebstore.google.com/detail/ffjbejplhhgfbhckieoklhaoibhckbed" TargetMode="External"/><Relationship Id="rId4788" Type="http://schemas.openxmlformats.org/officeDocument/2006/relationships/hyperlink" Target="https://chromewebstore.google.com/detail/ogbphfdkfdflhippnafcikpcdmfcbhhb" TargetMode="External"/><Relationship Id="rId2128" Type="http://schemas.openxmlformats.org/officeDocument/2006/relationships/hyperlink" Target="https://chromewebstore.google.com/detail/foikfmnjgoljejophccdlhenbkogiemo" TargetMode="External"/><Relationship Id="rId2129" Type="http://schemas.openxmlformats.org/officeDocument/2006/relationships/hyperlink" Target="https://chromewebstore.google.com/detail/gadcolbcakmopcchoikmeefapigpoaih" TargetMode="External"/><Relationship Id="rId3459" Type="http://schemas.openxmlformats.org/officeDocument/2006/relationships/hyperlink" Target="https://chromewebstore.google.com/detail/fgbahkaekodceioljkpefkclechnccpl" TargetMode="External"/><Relationship Id="rId3450" Type="http://schemas.openxmlformats.org/officeDocument/2006/relationships/hyperlink" Target="https://chromewebstore.google.com/detail/fdnhneinocoonabhfbmelgkcmilaokcg" TargetMode="External"/><Relationship Id="rId4781" Type="http://schemas.openxmlformats.org/officeDocument/2006/relationships/hyperlink" Target="https://chromewebstore.google.com/detail/oedepfdhcakemgfedefnaccnifpnljmb" TargetMode="External"/><Relationship Id="rId4780" Type="http://schemas.openxmlformats.org/officeDocument/2006/relationships/hyperlink" Target="https://chromewebstore.google.com/detail/oedekhelnfkcjohedbbcfckcjbghmmml" TargetMode="External"/><Relationship Id="rId2120" Type="http://schemas.openxmlformats.org/officeDocument/2006/relationships/hyperlink" Target="https://chromewebstore.google.com/detail/fbhiolckidkciamgcobkokpelckgnnol" TargetMode="External"/><Relationship Id="rId3452" Type="http://schemas.openxmlformats.org/officeDocument/2006/relationships/hyperlink" Target="https://chromewebstore.google.com/detail/fedkpjelkjajanbfnnhabdcoeobgiiho" TargetMode="External"/><Relationship Id="rId4783" Type="http://schemas.openxmlformats.org/officeDocument/2006/relationships/hyperlink" Target="https://chromewebstore.google.com/detail/oekcehcnbnfmeimggmkfliochkojkaej" TargetMode="External"/><Relationship Id="rId2121" Type="http://schemas.openxmlformats.org/officeDocument/2006/relationships/hyperlink" Target="https://chromewebstore.google.com/detail/fhckbdfnalikpmcmcpcpkkdlhabngbod" TargetMode="External"/><Relationship Id="rId3451" Type="http://schemas.openxmlformats.org/officeDocument/2006/relationships/hyperlink" Target="https://chromewebstore.google.com/detail/fdohejjlbpikihghncmaejajdbpoiebj" TargetMode="External"/><Relationship Id="rId4782" Type="http://schemas.openxmlformats.org/officeDocument/2006/relationships/hyperlink" Target="https://chromewebstore.google.com/detail/oegcdpedgdcmfgmnncfeadklapgfpmgn" TargetMode="External"/><Relationship Id="rId2122" Type="http://schemas.openxmlformats.org/officeDocument/2006/relationships/hyperlink" Target="https://chromewebstore.google.com/detail/fiekffjkdplmnioinfgkdoacpnefibeb" TargetMode="External"/><Relationship Id="rId3454" Type="http://schemas.openxmlformats.org/officeDocument/2006/relationships/hyperlink" Target="https://chromewebstore.google.com/detail/fefgpnlimkkhbjomhakgficgkgkeiaml" TargetMode="External"/><Relationship Id="rId4785" Type="http://schemas.openxmlformats.org/officeDocument/2006/relationships/hyperlink" Target="https://chromewebstore.google.com/detail/ofaolcedokpcmeacofhfnlhgebgjolkc" TargetMode="External"/><Relationship Id="rId2123" Type="http://schemas.openxmlformats.org/officeDocument/2006/relationships/hyperlink" Target="https://chromewebstore.google.com/detail/fienhnlhhgmpnedllhaofmbekocecghf" TargetMode="External"/><Relationship Id="rId3453" Type="http://schemas.openxmlformats.org/officeDocument/2006/relationships/hyperlink" Target="https://chromewebstore.google.com/detail/fedpmdfkilhcadoklbcdjokkjhpnhgma" TargetMode="External"/><Relationship Id="rId4784" Type="http://schemas.openxmlformats.org/officeDocument/2006/relationships/hyperlink" Target="https://chromewebstore.google.com/detail/oepcbomikanldmhhldjcbknfdohmgeng" TargetMode="External"/><Relationship Id="rId2124" Type="http://schemas.openxmlformats.org/officeDocument/2006/relationships/hyperlink" Target="https://chromewebstore.google.com/detail/fjclfnmheeaecfgmgbafnpkalhnijjbj" TargetMode="External"/><Relationship Id="rId3456" Type="http://schemas.openxmlformats.org/officeDocument/2006/relationships/hyperlink" Target="https://chromewebstore.google.com/detail/fencnigkojiegaifcngopoenckcgbcoo" TargetMode="External"/><Relationship Id="rId4787" Type="http://schemas.openxmlformats.org/officeDocument/2006/relationships/hyperlink" Target="https://chromewebstore.google.com/detail/ofommngjmpaaaaogmaejhliofhogaacj" TargetMode="External"/><Relationship Id="rId2125" Type="http://schemas.openxmlformats.org/officeDocument/2006/relationships/hyperlink" Target="https://chromewebstore.google.com/detail/fkolbdohecbecliihaobiiamdmhhnaei" TargetMode="External"/><Relationship Id="rId3455" Type="http://schemas.openxmlformats.org/officeDocument/2006/relationships/hyperlink" Target="https://chromewebstore.google.com/detail/fekkecoifalagdiibmfnmjfmgmpblogb" TargetMode="External"/><Relationship Id="rId4786" Type="http://schemas.openxmlformats.org/officeDocument/2006/relationships/hyperlink" Target="https://chromewebstore.google.com/detail/ofihldbgiamocahfajcndceojpeiomph" TargetMode="External"/><Relationship Id="rId2115" Type="http://schemas.openxmlformats.org/officeDocument/2006/relationships/hyperlink" Target="https://chromewebstore.google.com/detail/enljfpkeopdppbphgadibdpodgjhmabm" TargetMode="External"/><Relationship Id="rId3447" Type="http://schemas.openxmlformats.org/officeDocument/2006/relationships/hyperlink" Target="https://chromewebstore.google.com/detail/fdjemjfcplhejdekgjbdjjobbkipoddd" TargetMode="External"/><Relationship Id="rId4778" Type="http://schemas.openxmlformats.org/officeDocument/2006/relationships/hyperlink" Target="https://chromewebstore.google.com/detail/odolflphhameojgliipcnahnipmogigo" TargetMode="External"/><Relationship Id="rId2116" Type="http://schemas.openxmlformats.org/officeDocument/2006/relationships/hyperlink" Target="https://chromewebstore.google.com/detail/eoagmdboiealblmpaahjlhajggndaahi" TargetMode="External"/><Relationship Id="rId3446" Type="http://schemas.openxmlformats.org/officeDocument/2006/relationships/hyperlink" Target="https://chromewebstore.google.com/detail/fcgealmjicldkjfnjkgnfoofjkpomplo" TargetMode="External"/><Relationship Id="rId4777" Type="http://schemas.openxmlformats.org/officeDocument/2006/relationships/hyperlink" Target="https://chromewebstore.google.com/detail/odoailephbfiobdjfmdndooklmnenjop" TargetMode="External"/><Relationship Id="rId2117" Type="http://schemas.openxmlformats.org/officeDocument/2006/relationships/hyperlink" Target="https://chromewebstore.google.com/detail/epbnmkionkpliaiogpemfkclmcnbdfle" TargetMode="External"/><Relationship Id="rId3449" Type="http://schemas.openxmlformats.org/officeDocument/2006/relationships/hyperlink" Target="https://chromewebstore.google.com/detail/fdncmbefehplabbjadkkhfahhkdihmcj" TargetMode="External"/><Relationship Id="rId2118" Type="http://schemas.openxmlformats.org/officeDocument/2006/relationships/hyperlink" Target="https://chromewebstore.google.com/detail/epgnobcgnmchnhgkgpedebbmhbblfcob" TargetMode="External"/><Relationship Id="rId3448" Type="http://schemas.openxmlformats.org/officeDocument/2006/relationships/hyperlink" Target="https://chromewebstore.google.com/detail/fdjpgecmadhkbghjgbpncjdjbioakffl" TargetMode="External"/><Relationship Id="rId4779" Type="http://schemas.openxmlformats.org/officeDocument/2006/relationships/hyperlink" Target="https://chromewebstore.google.com/detail/oebggekgendmoeedkkdkdcdbmfbfeldc" TargetMode="External"/><Relationship Id="rId2119" Type="http://schemas.openxmlformats.org/officeDocument/2006/relationships/hyperlink" Target="https://chromewebstore.google.com/detail/fbbjhoaakfhbggkegckmjafkffaofnkd" TargetMode="External"/><Relationship Id="rId4770" Type="http://schemas.openxmlformats.org/officeDocument/2006/relationships/hyperlink" Target="https://chromewebstore.google.com/detail/ocpgloabohpofjmkpjbjdojknkaooend" TargetMode="External"/><Relationship Id="rId3441" Type="http://schemas.openxmlformats.org/officeDocument/2006/relationships/hyperlink" Target="https://chromewebstore.google.com/detail/fajnlldimiiipghabjgnbdidcnkghkgn" TargetMode="External"/><Relationship Id="rId4772" Type="http://schemas.openxmlformats.org/officeDocument/2006/relationships/hyperlink" Target="https://chromewebstore.google.com/detail/odfhejmgfacekaepogjidhhlcmjfeekj" TargetMode="External"/><Relationship Id="rId2110" Type="http://schemas.openxmlformats.org/officeDocument/2006/relationships/hyperlink" Target="https://chromewebstore.google.com/detail/ehppjfimmbekmmponndiiiofmmdmgjlp" TargetMode="External"/><Relationship Id="rId3440" Type="http://schemas.openxmlformats.org/officeDocument/2006/relationships/hyperlink" Target="https://chromewebstore.google.com/detail/fadhljkllimaogegfkkjflfedliilkok" TargetMode="External"/><Relationship Id="rId4771" Type="http://schemas.openxmlformats.org/officeDocument/2006/relationships/hyperlink" Target="https://chromewebstore.google.com/detail/odchblbgkkchnldldakeikkjfbkllaah" TargetMode="External"/><Relationship Id="rId2111" Type="http://schemas.openxmlformats.org/officeDocument/2006/relationships/hyperlink" Target="https://chromewebstore.google.com/detail/eidhkmnbiahhgbgpjpiimdogfidfikgf" TargetMode="External"/><Relationship Id="rId3443" Type="http://schemas.openxmlformats.org/officeDocument/2006/relationships/hyperlink" Target="https://chromewebstore.google.com/detail/fbgbekpggeldiacgjkacbkkcbjhmakea" TargetMode="External"/><Relationship Id="rId4774" Type="http://schemas.openxmlformats.org/officeDocument/2006/relationships/hyperlink" Target="https://chromewebstore.google.com/detail/odheabhapgcokfmbelploedoeooilfgd" TargetMode="External"/><Relationship Id="rId2112" Type="http://schemas.openxmlformats.org/officeDocument/2006/relationships/hyperlink" Target="https://chromewebstore.google.com/detail/elfoibhncineionfonglaickdliaikmj" TargetMode="External"/><Relationship Id="rId3442" Type="http://schemas.openxmlformats.org/officeDocument/2006/relationships/hyperlink" Target="https://chromewebstore.google.com/detail/fbdlmbhemipjmnkikilolfjbdkpfogba" TargetMode="External"/><Relationship Id="rId4773" Type="http://schemas.openxmlformats.org/officeDocument/2006/relationships/hyperlink" Target="https://chromewebstore.google.com/detail/odgiehjnopebofbjkgdjenflakfaahnm" TargetMode="External"/><Relationship Id="rId2113" Type="http://schemas.openxmlformats.org/officeDocument/2006/relationships/hyperlink" Target="https://chromewebstore.google.com/detail/emojfmbaibpbjkmledgflmenlkekalld" TargetMode="External"/><Relationship Id="rId3445" Type="http://schemas.openxmlformats.org/officeDocument/2006/relationships/hyperlink" Target="https://chromewebstore.google.com/detail/fbnkflkahhlmhdgkddaafgnnokifobik" TargetMode="External"/><Relationship Id="rId4776" Type="http://schemas.openxmlformats.org/officeDocument/2006/relationships/hyperlink" Target="https://chromewebstore.google.com/detail/odlmamilbohnpnoomjclomghphbajikp" TargetMode="External"/><Relationship Id="rId2114" Type="http://schemas.openxmlformats.org/officeDocument/2006/relationships/hyperlink" Target="https://chromewebstore.google.com/detail/enhajhmncplakageabmopgpodkdgcodd" TargetMode="External"/><Relationship Id="rId3444" Type="http://schemas.openxmlformats.org/officeDocument/2006/relationships/hyperlink" Target="https://chromewebstore.google.com/detail/fbkobdcckhcgleanepepnfaficicaogg" TargetMode="External"/><Relationship Id="rId4775" Type="http://schemas.openxmlformats.org/officeDocument/2006/relationships/hyperlink" Target="https://chromewebstore.google.com/detail/odialddippdmebbfbflcneemfdglimod" TargetMode="External"/><Relationship Id="rId5251" Type="http://schemas.openxmlformats.org/officeDocument/2006/relationships/hyperlink" Target="https://chromewebstore.google.com/detail/cjiamemkhpcpfoanakhladgbflecilkf" TargetMode="External"/><Relationship Id="rId6582" Type="http://schemas.openxmlformats.org/officeDocument/2006/relationships/hyperlink" Target="https://chromewebstore.google.com/detail/mpahgjigomjgbajfljiaaiemdcikhhfm" TargetMode="External"/><Relationship Id="rId5252" Type="http://schemas.openxmlformats.org/officeDocument/2006/relationships/hyperlink" Target="https://chromewebstore.google.com/detail/cjkdpabnfjehhfaeoplfodlcidhelpgk" TargetMode="External"/><Relationship Id="rId6583" Type="http://schemas.openxmlformats.org/officeDocument/2006/relationships/hyperlink" Target="https://chromewebstore.google.com/detail/mpaohidlipnfnkbogpmanchjfjpdgcml" TargetMode="External"/><Relationship Id="rId6580" Type="http://schemas.openxmlformats.org/officeDocument/2006/relationships/hyperlink" Target="https://chromewebstore.google.com/detail/momjcmgfmcmfchcihnhkonijglcdlpib" TargetMode="External"/><Relationship Id="rId5250" Type="http://schemas.openxmlformats.org/officeDocument/2006/relationships/hyperlink" Target="https://chromewebstore.google.com/detail/cjhbheckcgogpgibfjfhkofioikhpgio" TargetMode="External"/><Relationship Id="rId6581" Type="http://schemas.openxmlformats.org/officeDocument/2006/relationships/hyperlink" Target="https://chromewebstore.google.com/detail/monppnaecmnpofilbadbbmgcdpabcgbo" TargetMode="External"/><Relationship Id="rId5255" Type="http://schemas.openxmlformats.org/officeDocument/2006/relationships/hyperlink" Target="https://chromewebstore.google.com/detail/cjpfdcohegieleppnkadalkijenkhifl" TargetMode="External"/><Relationship Id="rId6586" Type="http://schemas.openxmlformats.org/officeDocument/2006/relationships/hyperlink" Target="https://chromewebstore.google.com/detail/mpeehkpppbkclkglilbjgmjppobdbcdo" TargetMode="External"/><Relationship Id="rId5256" Type="http://schemas.openxmlformats.org/officeDocument/2006/relationships/hyperlink" Target="https://chromewebstore.google.com/detail/ckbknocdbdiplncjmmbfkoemjppabpap" TargetMode="External"/><Relationship Id="rId6587" Type="http://schemas.openxmlformats.org/officeDocument/2006/relationships/hyperlink" Target="https://chromewebstore.google.com/detail/mpiocogpenlopnoeibcegpepnoggijck" TargetMode="External"/><Relationship Id="rId5253" Type="http://schemas.openxmlformats.org/officeDocument/2006/relationships/hyperlink" Target="https://chromewebstore.google.com/detail/cjkeaibliifpgaeleggmflplddpmcepp" TargetMode="External"/><Relationship Id="rId6584" Type="http://schemas.openxmlformats.org/officeDocument/2006/relationships/hyperlink" Target="https://chromewebstore.google.com/detail/mpcnoobdnjnpajojombadpfjjcajbgcn" TargetMode="External"/><Relationship Id="rId5254" Type="http://schemas.openxmlformats.org/officeDocument/2006/relationships/hyperlink" Target="https://chromewebstore.google.com/detail/cjmikoagjnmekdhcciamhppnkhhedpep" TargetMode="External"/><Relationship Id="rId6585" Type="http://schemas.openxmlformats.org/officeDocument/2006/relationships/hyperlink" Target="https://chromewebstore.google.com/detail/mpdkicmbmbljbgncgphonhgjebnapfop" TargetMode="External"/><Relationship Id="rId5259" Type="http://schemas.openxmlformats.org/officeDocument/2006/relationships/hyperlink" Target="https://chromewebstore.google.com/detail/ckcjokafpkoiijnflcpogblchhoieafj" TargetMode="External"/><Relationship Id="rId5257" Type="http://schemas.openxmlformats.org/officeDocument/2006/relationships/hyperlink" Target="https://chromewebstore.google.com/detail/ckcalpgemnoejggbleepgmemacmgoofn" TargetMode="External"/><Relationship Id="rId6588" Type="http://schemas.openxmlformats.org/officeDocument/2006/relationships/hyperlink" Target="https://chromewebstore.google.com/detail/mpkdmnddeijnncnnbmoilipjadjhnidd" TargetMode="External"/><Relationship Id="rId5258" Type="http://schemas.openxmlformats.org/officeDocument/2006/relationships/hyperlink" Target="https://chromewebstore.google.com/detail/ckcjggdilfimmjnjmldgbbekigobcijn" TargetMode="External"/><Relationship Id="rId6589" Type="http://schemas.openxmlformats.org/officeDocument/2006/relationships/hyperlink" Target="https://chromewebstore.google.com/detail/mpokflehdipnmpolojghihncoafbadbk" TargetMode="External"/><Relationship Id="rId5240" Type="http://schemas.openxmlformats.org/officeDocument/2006/relationships/hyperlink" Target="https://chromewebstore.google.com/detail/cifhcgiaeoomiciokidmpnlmoomdbego" TargetMode="External"/><Relationship Id="rId6571" Type="http://schemas.openxmlformats.org/officeDocument/2006/relationships/hyperlink" Target="https://chromewebstore.google.com/detail/mnjnpamhicgfdemmnppjgiphagochaki" TargetMode="External"/><Relationship Id="rId5241" Type="http://schemas.openxmlformats.org/officeDocument/2006/relationships/hyperlink" Target="https://chromewebstore.google.com/detail/cifpncnhgpcfcoknhkcflpbinkfkhapp" TargetMode="External"/><Relationship Id="rId6572" Type="http://schemas.openxmlformats.org/officeDocument/2006/relationships/hyperlink" Target="http://otkritkiok.ru" TargetMode="External"/><Relationship Id="rId6570" Type="http://schemas.openxmlformats.org/officeDocument/2006/relationships/hyperlink" Target="https://chromewebstore.google.com/detail/mnhhapcdfkbdcgondmfoegkmblnlpham" TargetMode="External"/><Relationship Id="rId5244" Type="http://schemas.openxmlformats.org/officeDocument/2006/relationships/hyperlink" Target="https://chromewebstore.google.com/detail/cimdjdaglanfkpfpoemjkfkmjgkmahpg" TargetMode="External"/><Relationship Id="rId6575" Type="http://schemas.openxmlformats.org/officeDocument/2006/relationships/hyperlink" Target="https://chromewebstore.google.com/detail/mobibinbefmieblpnhabghboblgamkbj" TargetMode="External"/><Relationship Id="rId5245" Type="http://schemas.openxmlformats.org/officeDocument/2006/relationships/hyperlink" Target="https://chromewebstore.google.com/detail/cioaocgapbjhdiodcabjlnihjfbopafb" TargetMode="External"/><Relationship Id="rId6576" Type="http://schemas.openxmlformats.org/officeDocument/2006/relationships/hyperlink" Target="https://chromewebstore.google.com/detail/modhnfpkgooaagmmfncaondnlajjjmlf" TargetMode="External"/><Relationship Id="rId5242" Type="http://schemas.openxmlformats.org/officeDocument/2006/relationships/hyperlink" Target="https://chromewebstore.google.com/detail/cihmoadaighcejopammfbmddcmdekcje" TargetMode="External"/><Relationship Id="rId6573" Type="http://schemas.openxmlformats.org/officeDocument/2006/relationships/hyperlink" Target="https://chromewebstore.google.com/detail/mnlklkicnffnilllmamogcaimdhaooom" TargetMode="External"/><Relationship Id="rId5243" Type="http://schemas.openxmlformats.org/officeDocument/2006/relationships/hyperlink" Target="https://chromewebstore.google.com/detail/ciladpeminmmpbedkmchpkalflkpmfap" TargetMode="External"/><Relationship Id="rId6574" Type="http://schemas.openxmlformats.org/officeDocument/2006/relationships/hyperlink" Target="https://chromewebstore.google.com/detail/moaokcjghnjifeeahifofckbmhofjdbi" TargetMode="External"/><Relationship Id="rId5248" Type="http://schemas.openxmlformats.org/officeDocument/2006/relationships/hyperlink" Target="https://chromewebstore.google.com/detail/cjcbfnbbhjipgbbncobdgdpphnlalife" TargetMode="External"/><Relationship Id="rId6579" Type="http://schemas.openxmlformats.org/officeDocument/2006/relationships/hyperlink" Target="https://chromewebstore.google.com/detail/momgcmdnlbopbcmglainncpclaopfkje" TargetMode="External"/><Relationship Id="rId5249" Type="http://schemas.openxmlformats.org/officeDocument/2006/relationships/hyperlink" Target="https://chromewebstore.google.com/detail/cjfmeecodnibclajaofkinnebeklbkjm" TargetMode="External"/><Relationship Id="rId5246" Type="http://schemas.openxmlformats.org/officeDocument/2006/relationships/hyperlink" Target="https://chromewebstore.google.com/detail/ciocgdpejlhegbegfjlfhjgjgbfcjkgb" TargetMode="External"/><Relationship Id="rId6577" Type="http://schemas.openxmlformats.org/officeDocument/2006/relationships/hyperlink" Target="https://chromewebstore.google.com/detail/mofejmdiddbfhcianbflmfeggoimkimi" TargetMode="External"/><Relationship Id="rId5247" Type="http://schemas.openxmlformats.org/officeDocument/2006/relationships/hyperlink" Target="https://chromewebstore.google.com/detail/cjafgfpjmkofakmllcbggmphkpcdippo" TargetMode="External"/><Relationship Id="rId6578" Type="http://schemas.openxmlformats.org/officeDocument/2006/relationships/hyperlink" Target="https://chromewebstore.google.com/detail/mohfakfjfcmgflmfgijikdpbllnjjdfn" TargetMode="External"/><Relationship Id="rId5270" Type="http://schemas.openxmlformats.org/officeDocument/2006/relationships/hyperlink" Target="https://chromewebstore.google.com/detail/clfpeebohelnalneibgcfhmpcbcgolin" TargetMode="External"/><Relationship Id="rId5273" Type="http://schemas.openxmlformats.org/officeDocument/2006/relationships/hyperlink" Target="https://chromewebstore.google.com/detail/cljpbcimcfgheiodmefngjjmdjjkbjbk" TargetMode="External"/><Relationship Id="rId5274" Type="http://schemas.openxmlformats.org/officeDocument/2006/relationships/hyperlink" Target="https://chromewebstore.google.com/detail/clkkcpmigfopjeplmhkcknffcmfdpnep" TargetMode="External"/><Relationship Id="rId5271" Type="http://schemas.openxmlformats.org/officeDocument/2006/relationships/hyperlink" Target="https://chromewebstore.google.com/detail/clhhhibcbbeenmjbkcibdifphmmalpko" TargetMode="External"/><Relationship Id="rId5272" Type="http://schemas.openxmlformats.org/officeDocument/2006/relationships/hyperlink" Target="https://chromewebstore.google.com/detail/cljcjhfckminhmagbnkjpcbdjdpkgbei" TargetMode="External"/><Relationship Id="rId5277" Type="http://schemas.openxmlformats.org/officeDocument/2006/relationships/hyperlink" Target="https://chromewebstore.google.com/detail/cmbakfeanhaniakabiiabhdjkhgbbdmp" TargetMode="External"/><Relationship Id="rId5278" Type="http://schemas.openxmlformats.org/officeDocument/2006/relationships/hyperlink" Target="https://chromewebstore.google.com/detail/cmbconaimdngicdnbpjnjocbpkdpmfkg" TargetMode="External"/><Relationship Id="rId5275" Type="http://schemas.openxmlformats.org/officeDocument/2006/relationships/hyperlink" Target="https://chromewebstore.google.com/detail/clkkhfkadebfabfjjdfofjjlkbndpggn" TargetMode="External"/><Relationship Id="rId5276" Type="http://schemas.openxmlformats.org/officeDocument/2006/relationships/hyperlink" Target="https://chromewebstore.google.com/detail/cloklogdjmmcmimeccogjmnebmjeolhn" TargetMode="External"/><Relationship Id="rId5279" Type="http://schemas.openxmlformats.org/officeDocument/2006/relationships/hyperlink" Target="https://chromewebstore.google.com/detail/cmfimhenkhlmlihjomccicfbmcgdgiao" TargetMode="External"/><Relationship Id="rId6590" Type="http://schemas.openxmlformats.org/officeDocument/2006/relationships/hyperlink" Target="https://chromewebstore.google.com/detail/nacjdocenajmlomcagpkmhpikhcdligg" TargetMode="External"/><Relationship Id="rId5262" Type="http://schemas.openxmlformats.org/officeDocument/2006/relationships/hyperlink" Target="https://chromewebstore.google.com/detail/ckgoimpkejadjkjfpemacjpeimdgmdpk" TargetMode="External"/><Relationship Id="rId6593" Type="http://schemas.openxmlformats.org/officeDocument/2006/relationships/hyperlink" Target="https://chromewebstore.google.com/detail/naggokfijmbenljcdlajbaccepmihagc" TargetMode="External"/><Relationship Id="rId5263" Type="http://schemas.openxmlformats.org/officeDocument/2006/relationships/hyperlink" Target="https://chromewebstore.google.com/detail/ckicbofgekmggdeifjkbekkjbbdjhnib" TargetMode="External"/><Relationship Id="rId6594" Type="http://schemas.openxmlformats.org/officeDocument/2006/relationships/hyperlink" Target="https://chromewebstore.google.com/detail/nagkhplkbmnpanjfjpoepjmikmegcihp" TargetMode="External"/><Relationship Id="rId5260" Type="http://schemas.openxmlformats.org/officeDocument/2006/relationships/hyperlink" Target="https://chromewebstore.google.com/detail/ckfgionbnoegdmpphlnpaeklopolmgmi" TargetMode="External"/><Relationship Id="rId6591" Type="http://schemas.openxmlformats.org/officeDocument/2006/relationships/hyperlink" Target="https://chromewebstore.google.com/detail/nafdnbcpapcfogchnakjflabidjkpenp" TargetMode="External"/><Relationship Id="rId5261" Type="http://schemas.openxmlformats.org/officeDocument/2006/relationships/hyperlink" Target="https://chromewebstore.google.com/detail/ckfimoadoifefijdfpapgkmkjcgnjoma" TargetMode="External"/><Relationship Id="rId6592" Type="http://schemas.openxmlformats.org/officeDocument/2006/relationships/hyperlink" Target="https://chromewebstore.google.com/detail/nagdmbckkknilkfndjaadheldefdkfdb" TargetMode="External"/><Relationship Id="rId5266" Type="http://schemas.openxmlformats.org/officeDocument/2006/relationships/hyperlink" Target="https://chromewebstore.google.com/detail/cklopogiapaonibagnhmannenniecpfo" TargetMode="External"/><Relationship Id="rId6597" Type="http://schemas.openxmlformats.org/officeDocument/2006/relationships/hyperlink" Target="https://chromewebstore.google.com/detail/nbdfpcokndmapcollfpjdpjlabnibjdi" TargetMode="External"/><Relationship Id="rId5267" Type="http://schemas.openxmlformats.org/officeDocument/2006/relationships/hyperlink" Target="https://chromewebstore.google.com/detail/cknenmongfhplkobpjjchanpiaioklpl" TargetMode="External"/><Relationship Id="rId6598" Type="http://schemas.openxmlformats.org/officeDocument/2006/relationships/hyperlink" Target="https://chromewebstore.google.com/detail/nbhdcdolapnpbccipdpagdlgbhgpkjpd" TargetMode="External"/><Relationship Id="rId5264" Type="http://schemas.openxmlformats.org/officeDocument/2006/relationships/hyperlink" Target="https://chromewebstore.google.com/detail/ckinindecjfimcblkaoekkgegeejniac" TargetMode="External"/><Relationship Id="rId6595" Type="http://schemas.openxmlformats.org/officeDocument/2006/relationships/hyperlink" Target="https://chromewebstore.google.com/detail/naldpfikfgfkciolocmfdjbcdjdhfghi" TargetMode="External"/><Relationship Id="rId5265" Type="http://schemas.openxmlformats.org/officeDocument/2006/relationships/hyperlink" Target="https://chromewebstore.google.com/detail/cklaahipljbhommdkomdkmdnceohigek" TargetMode="External"/><Relationship Id="rId6596" Type="http://schemas.openxmlformats.org/officeDocument/2006/relationships/hyperlink" Target="https://chromewebstore.google.com/detail/naogknojdhkjjkbcjndmpkoleijgabdj" TargetMode="External"/><Relationship Id="rId5268" Type="http://schemas.openxmlformats.org/officeDocument/2006/relationships/hyperlink" Target="https://chromewebstore.google.com/detail/ckogelgphhciinnbhkebdclmcoidbekg" TargetMode="External"/><Relationship Id="rId6599" Type="http://schemas.openxmlformats.org/officeDocument/2006/relationships/hyperlink" Target="https://chromewebstore.google.com/detail/nbojhgkmkpakgfljijgnfofliafnbbfk" TargetMode="External"/><Relationship Id="rId5269" Type="http://schemas.openxmlformats.org/officeDocument/2006/relationships/hyperlink" Target="https://chromewebstore.google.com/detail/cladogmhjppclibenkdbnjcogiaifnbd" TargetMode="External"/><Relationship Id="rId5219" Type="http://schemas.openxmlformats.org/officeDocument/2006/relationships/hyperlink" Target="https://chromewebstore.google.com/detail/cffhcidaacfnglcaaegjfbbcccgappfb" TargetMode="External"/><Relationship Id="rId5217" Type="http://schemas.openxmlformats.org/officeDocument/2006/relationships/hyperlink" Target="https://chromewebstore.google.com/detail/cfcpfikgmfoghjfpfepmklballeagadf" TargetMode="External"/><Relationship Id="rId6548" Type="http://schemas.openxmlformats.org/officeDocument/2006/relationships/hyperlink" Target="https://chromewebstore.google.com/detail/mlnmjnpboajjjlmmaojnghbanpmceebh" TargetMode="External"/><Relationship Id="rId5218" Type="http://schemas.openxmlformats.org/officeDocument/2006/relationships/hyperlink" Target="https://chromewebstore.google.com/detail/cfdgehfjclodekbbcehjichmgbfehjeb" TargetMode="External"/><Relationship Id="rId6549" Type="http://schemas.openxmlformats.org/officeDocument/2006/relationships/hyperlink" Target="https://chromewebstore.google.com/detail/mlodcjhgnkhibanidjdgcjekbmifgjle" TargetMode="External"/><Relationship Id="rId7879" Type="http://schemas.openxmlformats.org/officeDocument/2006/relationships/hyperlink" Target="https://chromewebstore.google.com/detail/fmhmlfpagkjohbpcnpkdofohamkpoenc" TargetMode="External"/><Relationship Id="rId392" Type="http://schemas.openxmlformats.org/officeDocument/2006/relationships/hyperlink" Target="https://chromewebstore.google.com/detail/flnheeellpciglgpaodhkhmapeljopja" TargetMode="External"/><Relationship Id="rId391" Type="http://schemas.openxmlformats.org/officeDocument/2006/relationships/hyperlink" Target="https://chromewebstore.google.com/detail/fjifglfkcaipnmhngbigdebkoikioend" TargetMode="External"/><Relationship Id="rId390" Type="http://schemas.openxmlformats.org/officeDocument/2006/relationships/hyperlink" Target="https://chromewebstore.google.com/detail/fjccjnfkdkdmjohojoggodkigkjkkjhl" TargetMode="External"/><Relationship Id="rId7870" Type="http://schemas.openxmlformats.org/officeDocument/2006/relationships/hyperlink" Target="https://chromewebstore.google.com/detail/homgapmnacbmbflidhpenianmeidfcjp" TargetMode="External"/><Relationship Id="rId385" Type="http://schemas.openxmlformats.org/officeDocument/2006/relationships/hyperlink" Target="https://chromewebstore.google.com/detail/dpfapjogmljlpglmpmkkmopacibdajgm" TargetMode="External"/><Relationship Id="rId5211" Type="http://schemas.openxmlformats.org/officeDocument/2006/relationships/hyperlink" Target="https://chromewebstore.google.com/detail/cejmehdlheodojdpdidolibjkfeinabk" TargetMode="External"/><Relationship Id="rId6542" Type="http://schemas.openxmlformats.org/officeDocument/2006/relationships/hyperlink" Target="https://chromewebstore.google.com/detail/mlgeajkpagegaanjcffndokbmifddcdn" TargetMode="External"/><Relationship Id="rId7874" Type="http://schemas.openxmlformats.org/officeDocument/2006/relationships/hyperlink" Target="https://chromewebstore.google.com/detail/mmbkacbempildiaidjlgkfjooejeinib" TargetMode="External"/><Relationship Id="rId384" Type="http://schemas.openxmlformats.org/officeDocument/2006/relationships/hyperlink" Target="https://chromewebstore.google.com/detail/dkidoflkcabkfmcpnndogifoldoegnmk" TargetMode="External"/><Relationship Id="rId5212" Type="http://schemas.openxmlformats.org/officeDocument/2006/relationships/hyperlink" Target="https://chromewebstore.google.com/detail/cekhhgcjpkahghpgeafhmkkjhidodplk" TargetMode="External"/><Relationship Id="rId6543" Type="http://schemas.openxmlformats.org/officeDocument/2006/relationships/hyperlink" Target="https://chromewebstore.google.com/detail/mlinmlldlfpiioajgllnnnkhhhiakdmi" TargetMode="External"/><Relationship Id="rId7873" Type="http://schemas.openxmlformats.org/officeDocument/2006/relationships/hyperlink" Target="https://chromewebstore.google.com/detail/fpolgnklaplaakjhefmibfpikoacfacj" TargetMode="External"/><Relationship Id="rId383" Type="http://schemas.openxmlformats.org/officeDocument/2006/relationships/hyperlink" Target="https://chromewebstore.google.com/detail/djbdelcnligmaaddjeenddjodmiaoffo" TargetMode="External"/><Relationship Id="rId6540" Type="http://schemas.openxmlformats.org/officeDocument/2006/relationships/hyperlink" Target="https://chromewebstore.google.com/detail/mkpfodpjhekjdhkchalfflggeoamfajh" TargetMode="External"/><Relationship Id="rId7872" Type="http://schemas.openxmlformats.org/officeDocument/2006/relationships/hyperlink" Target="https://chromewebstore.google.com/detail/cfkddjlocfecchnemnnmmpdjcohgmkij" TargetMode="External"/><Relationship Id="rId382" Type="http://schemas.openxmlformats.org/officeDocument/2006/relationships/hyperlink" Target="https://chromewebstore.google.com/detail/ddakejacccpjkpbjblhaiajdadpkejeb" TargetMode="External"/><Relationship Id="rId5210" Type="http://schemas.openxmlformats.org/officeDocument/2006/relationships/hyperlink" Target="https://chromewebstore.google.com/detail/cdpcjlkngbjmobjppajnbknpegdbnpbc" TargetMode="External"/><Relationship Id="rId6541" Type="http://schemas.openxmlformats.org/officeDocument/2006/relationships/hyperlink" Target="https://chromewebstore.google.com/detail/mldkoedmkpceicjeobmilbdeebdeljgc" TargetMode="External"/><Relationship Id="rId7871" Type="http://schemas.openxmlformats.org/officeDocument/2006/relationships/hyperlink" Target="https://chromewebstore.google.com/detail/mfikcokdfehaofebfhoehbajfgbofdpk" TargetMode="External"/><Relationship Id="rId389" Type="http://schemas.openxmlformats.org/officeDocument/2006/relationships/hyperlink" Target="https://chromewebstore.google.com/detail/fgnamjpfdanadgjchlokpiclkdgnnkdj" TargetMode="External"/><Relationship Id="rId5215" Type="http://schemas.openxmlformats.org/officeDocument/2006/relationships/hyperlink" Target="https://chromewebstore.google.com/detail/cepfpldhbcfaklnnldhoaahgliijehap" TargetMode="External"/><Relationship Id="rId6546" Type="http://schemas.openxmlformats.org/officeDocument/2006/relationships/hyperlink" Target="https://chromewebstore.google.com/detail/mlmlhipeonlflbcclinpbmcjdnpnmkpf" TargetMode="External"/><Relationship Id="rId7878" Type="http://schemas.openxmlformats.org/officeDocument/2006/relationships/hyperlink" Target="https://chromewebstore.google.com/detail/fihdnfkfpjmipmlggdknalpfjjnjbboj" TargetMode="External"/><Relationship Id="rId388" Type="http://schemas.openxmlformats.org/officeDocument/2006/relationships/hyperlink" Target="https://chromewebstore.google.com/detail/fadgflmigmogfionelcpalhohefbnehm" TargetMode="External"/><Relationship Id="rId5216" Type="http://schemas.openxmlformats.org/officeDocument/2006/relationships/hyperlink" Target="https://chromewebstore.google.com/detail/cfbjnjeaoamknmdojhgcblkebcphmcei" TargetMode="External"/><Relationship Id="rId6547" Type="http://schemas.openxmlformats.org/officeDocument/2006/relationships/hyperlink" Target="https://chromewebstore.google.com/detail/mlmmahhmlolgeigpchjnolpdjhcihmod" TargetMode="External"/><Relationship Id="rId7877" Type="http://schemas.openxmlformats.org/officeDocument/2006/relationships/hyperlink" Target="https://chromewebstore.google.com/detail/dpaoeoomjbnkcognlcnlflilidjdlmoi" TargetMode="External"/><Relationship Id="rId387" Type="http://schemas.openxmlformats.org/officeDocument/2006/relationships/hyperlink" Target="https://chromewebstore.google.com/detail/ehildbclipkplmjfidlkkplaieiglaml" TargetMode="External"/><Relationship Id="rId5213" Type="http://schemas.openxmlformats.org/officeDocument/2006/relationships/hyperlink" Target="https://chromewebstore.google.com/detail/ceoiohgolheciaefomofjboicekphfmp" TargetMode="External"/><Relationship Id="rId6544" Type="http://schemas.openxmlformats.org/officeDocument/2006/relationships/hyperlink" Target="https://chromewebstore.google.com/detail/mlipaappcpbepmoeighdkkcfmjeijhdl" TargetMode="External"/><Relationship Id="rId7876" Type="http://schemas.openxmlformats.org/officeDocument/2006/relationships/hyperlink" Target="https://chromewebstore.google.com/detail/apgmgifljeljdmgkgklphgmckihimami" TargetMode="External"/><Relationship Id="rId386" Type="http://schemas.openxmlformats.org/officeDocument/2006/relationships/hyperlink" Target="https://chromewebstore.google.com/detail/ehafadccdcdedbhcbddihehiodgcddpl" TargetMode="External"/><Relationship Id="rId5214" Type="http://schemas.openxmlformats.org/officeDocument/2006/relationships/hyperlink" Target="https://chromewebstore.google.com/detail/ceokjgeibfjfcboemhdpkdalankbmnej" TargetMode="External"/><Relationship Id="rId6545" Type="http://schemas.openxmlformats.org/officeDocument/2006/relationships/hyperlink" Target="https://chromewebstore.google.com/detail/mlmlfmdmhdplgecgmiihhfjodokajeel" TargetMode="External"/><Relationship Id="rId7875" Type="http://schemas.openxmlformats.org/officeDocument/2006/relationships/hyperlink" Target="https://chromewebstore.google.com/detail/afeijlgmanpjidpdpbdjjhphchafgccg" TargetMode="External"/><Relationship Id="rId5208" Type="http://schemas.openxmlformats.org/officeDocument/2006/relationships/hyperlink" Target="https://chromewebstore.google.com/detail/cdogmjcmhomjlbmbdjhebeolefbocicb" TargetMode="External"/><Relationship Id="rId6539" Type="http://schemas.openxmlformats.org/officeDocument/2006/relationships/hyperlink" Target="https://chromewebstore.google.com/detail/mkobobmncbbieloopnpflkicoaoihcle" TargetMode="External"/><Relationship Id="rId5209" Type="http://schemas.openxmlformats.org/officeDocument/2006/relationships/hyperlink" Target="https://chromewebstore.google.com/detail/cdooaodgjnfoieflegemcnbgdibopbmi" TargetMode="External"/><Relationship Id="rId5206" Type="http://schemas.openxmlformats.org/officeDocument/2006/relationships/hyperlink" Target="https://chromewebstore.google.com/detail/cdnefgebicfnnnjmbnlldhfjmcblfhob" TargetMode="External"/><Relationship Id="rId6537" Type="http://schemas.openxmlformats.org/officeDocument/2006/relationships/hyperlink" Target="https://chromewebstore.google.com/detail/mkhmjimpmgfjejbemjbimepeifijlagc" TargetMode="External"/><Relationship Id="rId7869" Type="http://schemas.openxmlformats.org/officeDocument/2006/relationships/hyperlink" Target="https://chromewebstore.google.com/detail/hbgeikbbpfjgcicclnjcokjapbgkkfkd" TargetMode="External"/><Relationship Id="rId5207" Type="http://schemas.openxmlformats.org/officeDocument/2006/relationships/hyperlink" Target="https://chromewebstore.google.com/detail/cdnndnflhhocodafnnngdioocbknhjif" TargetMode="External"/><Relationship Id="rId6538" Type="http://schemas.openxmlformats.org/officeDocument/2006/relationships/hyperlink" Target="https://chromewebstore.google.com/detail/mklkemobgbjfgpnhfbdbainmenjanpbe" TargetMode="External"/><Relationship Id="rId7868" Type="http://schemas.openxmlformats.org/officeDocument/2006/relationships/hyperlink" Target="https://chromewebstore.google.com/detail/gghbgdecnkcekoinhhffonnmoejbaddj" TargetMode="External"/><Relationship Id="rId381" Type="http://schemas.openxmlformats.org/officeDocument/2006/relationships/hyperlink" Target="https://chromewebstore.google.com/detail/cngjoacjdpnadhhjpdppcdjboiclnclc" TargetMode="External"/><Relationship Id="rId380" Type="http://schemas.openxmlformats.org/officeDocument/2006/relationships/hyperlink" Target="https://chromewebstore.google.com/detail/cjbclahodcgffgpcdokophcaeahpjddj" TargetMode="External"/><Relationship Id="rId379" Type="http://schemas.openxmlformats.org/officeDocument/2006/relationships/hyperlink" Target="https://chromewebstore.google.com/detail/cfaiemjbjcbagnibmlflmmfccfdmnbek" TargetMode="External"/><Relationship Id="rId374" Type="http://schemas.openxmlformats.org/officeDocument/2006/relationships/hyperlink" Target="https://chromewebstore.google.com/detail/bhbekkddpbpbibiknkcjamlkhoghieie" TargetMode="External"/><Relationship Id="rId5200" Type="http://schemas.openxmlformats.org/officeDocument/2006/relationships/hyperlink" Target="https://chromewebstore.google.com/detail/ccmccoifgmogllppkahijhkingoeapph" TargetMode="External"/><Relationship Id="rId6531" Type="http://schemas.openxmlformats.org/officeDocument/2006/relationships/hyperlink" Target="https://chromewebstore.google.com/detail/mjpenmgnpoppgkpdoomfkanahfljlhjc" TargetMode="External"/><Relationship Id="rId7863" Type="http://schemas.openxmlformats.org/officeDocument/2006/relationships/hyperlink" Target="https://chromewebstore.google.com/detail/ldfacjglncaooacfoiikhphjmbobimij" TargetMode="External"/><Relationship Id="rId373" Type="http://schemas.openxmlformats.org/officeDocument/2006/relationships/hyperlink" Target="https://chromewebstore.google.com/detail/bcbibglkpaimhgmoomembjhclhipoack" TargetMode="External"/><Relationship Id="rId5201" Type="http://schemas.openxmlformats.org/officeDocument/2006/relationships/hyperlink" Target="https://chromewebstore.google.com/detail/cdbaojfiddljjlncegompgmbioggpolc" TargetMode="External"/><Relationship Id="rId6532" Type="http://schemas.openxmlformats.org/officeDocument/2006/relationships/hyperlink" Target="https://chromewebstore.google.com/detail/mjppjlnifgocniaodibloehjeggcmkid" TargetMode="External"/><Relationship Id="rId7862" Type="http://schemas.openxmlformats.org/officeDocument/2006/relationships/hyperlink" Target="https://chromewebstore.google.com/detail/ikdalniioengaefjkpkhfcgjemdfhpfg" TargetMode="External"/><Relationship Id="rId372" Type="http://schemas.openxmlformats.org/officeDocument/2006/relationships/hyperlink" Target="https://chromewebstore.google.com/detail/adjifobelhoemalljgnjdlockheiacmc" TargetMode="External"/><Relationship Id="rId7861" Type="http://schemas.openxmlformats.org/officeDocument/2006/relationships/hyperlink" Target="https://chromewebstore.google.com/detail/hfdidojhnkdibahcndapblampeicghfd" TargetMode="External"/><Relationship Id="rId371" Type="http://schemas.openxmlformats.org/officeDocument/2006/relationships/hyperlink" Target="https://chromewebstore.google.com/detail/ppaojnbmmaigjmlpjaldnkgnklhicppk" TargetMode="External"/><Relationship Id="rId6530" Type="http://schemas.openxmlformats.org/officeDocument/2006/relationships/hyperlink" Target="https://chromewebstore.google.com/detail/mjopklofkenogbkhgmfgklaekaljdhhb" TargetMode="External"/><Relationship Id="rId7860" Type="http://schemas.openxmlformats.org/officeDocument/2006/relationships/hyperlink" Target="https://chromewebstore.google.com/detail/fimecghnlpkdjcjhpaemckklaimbafae" TargetMode="External"/><Relationship Id="rId378" Type="http://schemas.openxmlformats.org/officeDocument/2006/relationships/hyperlink" Target="https://chromewebstore.google.com/detail/cbagleaaaocejmdeichhdkmjebpljckh" TargetMode="External"/><Relationship Id="rId5204" Type="http://schemas.openxmlformats.org/officeDocument/2006/relationships/hyperlink" Target="https://chromewebstore.google.com/detail/cdlhhcmmdobckneongkkmgigcimeibpf" TargetMode="External"/><Relationship Id="rId6535" Type="http://schemas.openxmlformats.org/officeDocument/2006/relationships/hyperlink" Target="https://chromewebstore.google.com/detail/mkfaibcieogbhcneiohnhggglkdmncmo" TargetMode="External"/><Relationship Id="rId7867" Type="http://schemas.openxmlformats.org/officeDocument/2006/relationships/hyperlink" Target="https://chromewebstore.google.com/detail/cemmbegipoglnffhabpjekghghlefenn" TargetMode="External"/><Relationship Id="rId377" Type="http://schemas.openxmlformats.org/officeDocument/2006/relationships/hyperlink" Target="https://chromewebstore.google.com/detail/cammakhaipbljopbkbbffhachjekcfki" TargetMode="External"/><Relationship Id="rId5205" Type="http://schemas.openxmlformats.org/officeDocument/2006/relationships/hyperlink" Target="https://chromewebstore.google.com/detail/cdmhoehokaoghadonjfdbhieajggfbmd" TargetMode="External"/><Relationship Id="rId6536" Type="http://schemas.openxmlformats.org/officeDocument/2006/relationships/hyperlink" Target="https://chromewebstore.google.com/detail/mkhgdehlebdhbdmjgclbkcamaicfgjne" TargetMode="External"/><Relationship Id="rId7866" Type="http://schemas.openxmlformats.org/officeDocument/2006/relationships/hyperlink" Target="https://chromewebstore.google.com/detail/bblomhfgjpijldhajjihjaiioaadbhck" TargetMode="External"/><Relationship Id="rId376" Type="http://schemas.openxmlformats.org/officeDocument/2006/relationships/hyperlink" Target="https://chromewebstore.google.com/detail/bkijmpolkanhdehnlnabfooghjdokakc" TargetMode="External"/><Relationship Id="rId5202" Type="http://schemas.openxmlformats.org/officeDocument/2006/relationships/hyperlink" Target="https://chromewebstore.google.com/detail/cdggbakccncnbjlfobchjmkjgbonmoie" TargetMode="External"/><Relationship Id="rId6533" Type="http://schemas.openxmlformats.org/officeDocument/2006/relationships/hyperlink" Target="https://chromewebstore.google.com/detail/mkeclhaiiffmeeokkomoameekkpiiecf" TargetMode="External"/><Relationship Id="rId7865" Type="http://schemas.openxmlformats.org/officeDocument/2006/relationships/hyperlink" Target="https://chromewebstore.google.com/detail/pnbnpemckkkiilpamimpoadnfjkchfjo" TargetMode="External"/><Relationship Id="rId375" Type="http://schemas.openxmlformats.org/officeDocument/2006/relationships/hyperlink" Target="https://chromewebstore.google.com/detail/bikeebdigkompjnpcljicocidefgbhgl" TargetMode="External"/><Relationship Id="rId5203" Type="http://schemas.openxmlformats.org/officeDocument/2006/relationships/hyperlink" Target="https://chromewebstore.google.com/detail/cdgmkacahjfleahcaioegeblcoedjbka" TargetMode="External"/><Relationship Id="rId6534" Type="http://schemas.openxmlformats.org/officeDocument/2006/relationships/hyperlink" Target="https://chromewebstore.google.com/detail/mkehgjplmdhnbochbdmdlghjpdhlamnd" TargetMode="External"/><Relationship Id="rId7864" Type="http://schemas.openxmlformats.org/officeDocument/2006/relationships/hyperlink" Target="https://chromewebstore.google.com/detail/oacpifbefgeacllmohgglfjmgchadkjh" TargetMode="External"/><Relationship Id="rId5239" Type="http://schemas.openxmlformats.org/officeDocument/2006/relationships/hyperlink" Target="https://chromewebstore.google.com/detail/cidlfjpliekkfghlodnkfeikmalghfaj" TargetMode="External"/><Relationship Id="rId6560" Type="http://schemas.openxmlformats.org/officeDocument/2006/relationships/hyperlink" Target="https://chromewebstore.google.com/detail/mmpbdjdnmhgkpligeniippcgfmkgkpnf" TargetMode="External"/><Relationship Id="rId7892" Type="http://schemas.openxmlformats.org/officeDocument/2006/relationships/hyperlink" Target="https://chromewebstore.google.com/detail/foopodbofoiekihkibckjlaokmcikcjm" TargetMode="External"/><Relationship Id="rId5230" Type="http://schemas.openxmlformats.org/officeDocument/2006/relationships/hyperlink" Target="https://chromewebstore.google.com/detail/chbajlemiidocmkiacnflbckhelnblen" TargetMode="External"/><Relationship Id="rId6561" Type="http://schemas.openxmlformats.org/officeDocument/2006/relationships/hyperlink" Target="https://chromewebstore.google.com/detail/mmpgmlkppbckeoeeehdbhjnnmocdmkpp" TargetMode="External"/><Relationship Id="rId7891" Type="http://schemas.openxmlformats.org/officeDocument/2006/relationships/hyperlink" Target="https://chromewebstore.google.com/detail/dbhabmcjpihjecdnfabogbojhbllhpjj" TargetMode="External"/><Relationship Id="rId7890" Type="http://schemas.openxmlformats.org/officeDocument/2006/relationships/hyperlink" Target="https://chromewebstore.google.com/detail/nlafhefelnfmdpkkhhcckfhnphjcgepm" TargetMode="External"/><Relationship Id="rId5233" Type="http://schemas.openxmlformats.org/officeDocument/2006/relationships/hyperlink" Target="https://chromewebstore.google.com/detail/chidgbjejnkfcgjikakacojiigjliodi" TargetMode="External"/><Relationship Id="rId6564" Type="http://schemas.openxmlformats.org/officeDocument/2006/relationships/hyperlink" Target="https://chromewebstore.google.com/detail/mncmonbagpafmiodljjellhckpgdebjc" TargetMode="External"/><Relationship Id="rId7896" Type="http://schemas.openxmlformats.org/officeDocument/2006/relationships/hyperlink" Target="https://chromewebstore.google.com/detail/mlenfedpcojbeegkmpnhjlndjelijpij" TargetMode="External"/><Relationship Id="rId5234" Type="http://schemas.openxmlformats.org/officeDocument/2006/relationships/hyperlink" Target="https://chromewebstore.google.com/detail/chkcpeigckjajkfbjhdochlkffjdgeee" TargetMode="External"/><Relationship Id="rId6565" Type="http://schemas.openxmlformats.org/officeDocument/2006/relationships/hyperlink" Target="https://chromewebstore.google.com/detail/mncocmgajjjpnfkobgdelegiogknodfn" TargetMode="External"/><Relationship Id="rId7895" Type="http://schemas.openxmlformats.org/officeDocument/2006/relationships/hyperlink" Target="https://chromewebstore.google.com/detail/jpgnbiffpoelgpegopldffmpbmfdojga" TargetMode="External"/><Relationship Id="rId5231" Type="http://schemas.openxmlformats.org/officeDocument/2006/relationships/hyperlink" Target="https://chromewebstore.google.com/detail/chhjopjdbnjjofggpippedakmgclpfad" TargetMode="External"/><Relationship Id="rId6562" Type="http://schemas.openxmlformats.org/officeDocument/2006/relationships/hyperlink" Target="https://chromewebstore.google.com/detail/mncdedgmeogkaeicgbgpbnnejjebphof" TargetMode="External"/><Relationship Id="rId7894" Type="http://schemas.openxmlformats.org/officeDocument/2006/relationships/hyperlink" Target="https://chromewebstore.google.com/detail/hnjmbbjbamghemdgkpmcmgkifadfgadb" TargetMode="External"/><Relationship Id="rId5232" Type="http://schemas.openxmlformats.org/officeDocument/2006/relationships/hyperlink" Target="https://chromewebstore.google.com/detail/chiakepmphnoipoamanblmjmnigmgbkh" TargetMode="External"/><Relationship Id="rId6563" Type="http://schemas.openxmlformats.org/officeDocument/2006/relationships/hyperlink" Target="https://chromewebstore.google.com/detail/mncmlbggmdcmddddanjcgabpajadljhm" TargetMode="External"/><Relationship Id="rId7893" Type="http://schemas.openxmlformats.org/officeDocument/2006/relationships/hyperlink" Target="https://chromewebstore.google.com/detail/gaeipjkcdkpbfdfmakonllgiboaonopp" TargetMode="External"/><Relationship Id="rId5237" Type="http://schemas.openxmlformats.org/officeDocument/2006/relationships/hyperlink" Target="https://chromewebstore.google.com/detail/chojffponkoboggmjpnkflkbcelacijk" TargetMode="External"/><Relationship Id="rId6568" Type="http://schemas.openxmlformats.org/officeDocument/2006/relationships/hyperlink" Target="https://chromewebstore.google.com/detail/mnfpcejjhjokaijgbjpfmhcbjmkbeaab" TargetMode="External"/><Relationship Id="rId5238" Type="http://schemas.openxmlformats.org/officeDocument/2006/relationships/hyperlink" Target="https://chromewebstore.google.com/detail/cideffjalolgmnlclfnonbiakkefccji" TargetMode="External"/><Relationship Id="rId6569" Type="http://schemas.openxmlformats.org/officeDocument/2006/relationships/hyperlink" Target="https://chromewebstore.google.com/detail/mnhapiceipfpmbbibcijkfecpehjjodm" TargetMode="External"/><Relationship Id="rId7899" Type="http://schemas.openxmlformats.org/officeDocument/2006/relationships/hyperlink" Target="https://chromewebstore.google.com/detail/gjahfhmgpcmhanglnegapfchicccjfmp" TargetMode="External"/><Relationship Id="rId5235" Type="http://schemas.openxmlformats.org/officeDocument/2006/relationships/hyperlink" Target="https://chromewebstore.google.com/detail/chmkgbchecaliljnmpkdencihbopeodo" TargetMode="External"/><Relationship Id="rId6566" Type="http://schemas.openxmlformats.org/officeDocument/2006/relationships/hyperlink" Target="https://chromewebstore.google.com/detail/mnebjincbemnakfbiefcipmbjijgaimp" TargetMode="External"/><Relationship Id="rId7898" Type="http://schemas.openxmlformats.org/officeDocument/2006/relationships/hyperlink" Target="https://chromewebstore.google.com/detail/pmlcphbonjlghdmgmlbdbfpgbcfadgje" TargetMode="External"/><Relationship Id="rId5236" Type="http://schemas.openxmlformats.org/officeDocument/2006/relationships/hyperlink" Target="https://chromewebstore.google.com/detail/chohglfmmlfhnkloampcdmnnhnhegbfg" TargetMode="External"/><Relationship Id="rId6567" Type="http://schemas.openxmlformats.org/officeDocument/2006/relationships/hyperlink" Target="https://chromewebstore.google.com/detail/mnehfgekclfdgfbmcmnpoebllplcgede" TargetMode="External"/><Relationship Id="rId7897" Type="http://schemas.openxmlformats.org/officeDocument/2006/relationships/hyperlink" Target="https://chromewebstore.google.com/detail/nidmklgpplnfghikfnkbdgldlkdgddcn" TargetMode="External"/><Relationship Id="rId5228" Type="http://schemas.openxmlformats.org/officeDocument/2006/relationships/hyperlink" Target="https://chromewebstore.google.com/detail/cgpcmjlbbminbhmmhodnhihbabgnbaji" TargetMode="External"/><Relationship Id="rId6559" Type="http://schemas.openxmlformats.org/officeDocument/2006/relationships/hyperlink" Target="https://chromewebstore.google.com/detail/mmoofdchnhgamecafaceoidojbdoikof" TargetMode="External"/><Relationship Id="rId5229" Type="http://schemas.openxmlformats.org/officeDocument/2006/relationships/hyperlink" Target="https://chromewebstore.google.com/detail/chanllebmhpihdidogiopcgfnhcmlhek" TargetMode="External"/><Relationship Id="rId7881" Type="http://schemas.openxmlformats.org/officeDocument/2006/relationships/hyperlink" Target="https://chromewebstore.google.com/detail/iiobjlckmlifihapcmkjfhjhldhijphf" TargetMode="External"/><Relationship Id="rId6550" Type="http://schemas.openxmlformats.org/officeDocument/2006/relationships/hyperlink" Target="https://chromewebstore.google.com/detail/mlpdnndckcidofffnhlhnemchamjbkbi" TargetMode="External"/><Relationship Id="rId7880" Type="http://schemas.openxmlformats.org/officeDocument/2006/relationships/hyperlink" Target="https://chromewebstore.google.com/detail/hplajapbnicfielfbpefhfnkcokkidmh" TargetMode="External"/><Relationship Id="rId396" Type="http://schemas.openxmlformats.org/officeDocument/2006/relationships/hyperlink" Target="https://chromewebstore.google.com/detail/hdadmgabliibighlbejhlglfjgplfmhb" TargetMode="External"/><Relationship Id="rId5222" Type="http://schemas.openxmlformats.org/officeDocument/2006/relationships/hyperlink" Target="https://chromewebstore.google.com/detail/cgadklekpacccapkencnkjkiofmeipab" TargetMode="External"/><Relationship Id="rId6553" Type="http://schemas.openxmlformats.org/officeDocument/2006/relationships/hyperlink" Target="https://chromewebstore.google.com/detail/mmhippoadkhcflebgghophicgldbahdb" TargetMode="External"/><Relationship Id="rId7885" Type="http://schemas.openxmlformats.org/officeDocument/2006/relationships/hyperlink" Target="https://chromewebstore.google.com/detail/cbjbkhibmlbpphlahafcocjoabmfofkd" TargetMode="External"/><Relationship Id="rId395" Type="http://schemas.openxmlformats.org/officeDocument/2006/relationships/hyperlink" Target="https://chromewebstore.google.com/detail/haeblkpifdemlfnkogkipmghfcbonief" TargetMode="External"/><Relationship Id="rId5223" Type="http://schemas.openxmlformats.org/officeDocument/2006/relationships/hyperlink" Target="https://chromewebstore.google.com/detail/cgcojlemehdnomhjpjagopenjklgjagp" TargetMode="External"/><Relationship Id="rId6554" Type="http://schemas.openxmlformats.org/officeDocument/2006/relationships/hyperlink" Target="https://chromewebstore.google.com/detail/mmjginkjeljiaiafplppfkfdindcjkfi" TargetMode="External"/><Relationship Id="rId7884" Type="http://schemas.openxmlformats.org/officeDocument/2006/relationships/hyperlink" Target="https://chromewebstore.google.com/detail/nklpckeghehienbnedfnkhjalkkebjcm" TargetMode="External"/><Relationship Id="rId394" Type="http://schemas.openxmlformats.org/officeDocument/2006/relationships/hyperlink" Target="https://chromewebstore.google.com/detail/gikbpaigdncgooaokibbmbmginfbgjaa" TargetMode="External"/><Relationship Id="rId5220" Type="http://schemas.openxmlformats.org/officeDocument/2006/relationships/hyperlink" Target="https://chromewebstore.google.com/detail/cfgnolbmpghipdmhgoghhjblhmkefaga" TargetMode="External"/><Relationship Id="rId6551" Type="http://schemas.openxmlformats.org/officeDocument/2006/relationships/hyperlink" Target="https://chromewebstore.google.com/detail/mmdmdndlbdblbjdphkpfbcpfmfjlcfjk" TargetMode="External"/><Relationship Id="rId7883" Type="http://schemas.openxmlformats.org/officeDocument/2006/relationships/hyperlink" Target="https://chromewebstore.google.com/detail/mkeknbhnbobknhphlbmhoeibadjpflma" TargetMode="External"/><Relationship Id="rId393" Type="http://schemas.openxmlformats.org/officeDocument/2006/relationships/hyperlink" Target="https://chromewebstore.google.com/detail/gbgfbmopppnjeabmjdinikeidmgblchn" TargetMode="External"/><Relationship Id="rId5221" Type="http://schemas.openxmlformats.org/officeDocument/2006/relationships/hyperlink" Target="https://chromewebstore.google.com/detail/cfhcklieekfbknjiejkihfglegfnngbo" TargetMode="External"/><Relationship Id="rId6552" Type="http://schemas.openxmlformats.org/officeDocument/2006/relationships/hyperlink" Target="https://chromewebstore.google.com/detail/mmfllkanpneonkgdnpbgeojbolpjchjb" TargetMode="External"/><Relationship Id="rId7882" Type="http://schemas.openxmlformats.org/officeDocument/2006/relationships/hyperlink" Target="https://chromewebstore.google.com/detail/jjbnhkmkgmkgmioeilekhfjdkkdchcni" TargetMode="External"/><Relationship Id="rId5226" Type="http://schemas.openxmlformats.org/officeDocument/2006/relationships/hyperlink" Target="https://chromewebstore.google.com/detail/cglpcedifkgalfdklahhcchnjepcckfn" TargetMode="External"/><Relationship Id="rId6557" Type="http://schemas.openxmlformats.org/officeDocument/2006/relationships/hyperlink" Target="https://chromewebstore.google.com/detail/mmlkhkccadgochofbhcjnpgcfokbickl" TargetMode="External"/><Relationship Id="rId7889" Type="http://schemas.openxmlformats.org/officeDocument/2006/relationships/hyperlink" Target="http://cadlab.io" TargetMode="External"/><Relationship Id="rId399" Type="http://schemas.openxmlformats.org/officeDocument/2006/relationships/hyperlink" Target="https://chromewebstore.google.com/detail/hemojaaeigabkbcookmlgmdigohjobjm" TargetMode="External"/><Relationship Id="rId5227" Type="http://schemas.openxmlformats.org/officeDocument/2006/relationships/hyperlink" Target="https://chromewebstore.google.com/detail/cgmcmehbapbaejkcjejdjddnbdfigegj" TargetMode="External"/><Relationship Id="rId6558" Type="http://schemas.openxmlformats.org/officeDocument/2006/relationships/hyperlink" Target="https://chromewebstore.google.com/detail/mmllilpdpplbmjdjhlkagmimpgdflphb" TargetMode="External"/><Relationship Id="rId7888" Type="http://schemas.openxmlformats.org/officeDocument/2006/relationships/hyperlink" Target="https://chromewebstore.google.com/detail/lppcdmiilphgdakoehkoofiedkehidmo" TargetMode="External"/><Relationship Id="rId398" Type="http://schemas.openxmlformats.org/officeDocument/2006/relationships/hyperlink" Target="https://chromewebstore.google.com/detail/hehdcdgdfhanbcbdkakahgpfinojokob" TargetMode="External"/><Relationship Id="rId5224" Type="http://schemas.openxmlformats.org/officeDocument/2006/relationships/hyperlink" Target="https://chromewebstore.google.com/detail/cgdbpnmhhkgaaahpmgmmibiifdegidbl" TargetMode="External"/><Relationship Id="rId6555" Type="http://schemas.openxmlformats.org/officeDocument/2006/relationships/hyperlink" Target="https://chromewebstore.google.com/detail/mmjiklhkmelmcndgghbkfknilhidphdb" TargetMode="External"/><Relationship Id="rId7887" Type="http://schemas.openxmlformats.org/officeDocument/2006/relationships/hyperlink" Target="https://chromewebstore.google.com/detail/gmeifladpehcngpnildmklfaofdmmnie" TargetMode="External"/><Relationship Id="rId397" Type="http://schemas.openxmlformats.org/officeDocument/2006/relationships/hyperlink" Target="https://chromewebstore.google.com/detail/hdlndkkjgnpjjhcmfpehjinjbmfmglpp" TargetMode="External"/><Relationship Id="rId5225" Type="http://schemas.openxmlformats.org/officeDocument/2006/relationships/hyperlink" Target="https://chromewebstore.google.com/detail/cgljpgplnkpahengbpekcffelefngjgm" TargetMode="External"/><Relationship Id="rId6556" Type="http://schemas.openxmlformats.org/officeDocument/2006/relationships/hyperlink" Target="https://chromewebstore.google.com/detail/mmlhdonlemejhcakmibfddphfigagfnn" TargetMode="External"/><Relationship Id="rId7886" Type="http://schemas.openxmlformats.org/officeDocument/2006/relationships/hyperlink" Target="https://chromewebstore.google.com/detail/dmnhgbenglfffoaodbgpfoihfnbdbfcb" TargetMode="External"/><Relationship Id="rId1730" Type="http://schemas.openxmlformats.org/officeDocument/2006/relationships/hyperlink" Target="https://chromewebstore.google.com/detail/pehaalcefcjfccdpbckoablngfkfgfgj" TargetMode="External"/><Relationship Id="rId1731" Type="http://schemas.openxmlformats.org/officeDocument/2006/relationships/hyperlink" Target="https://chromewebstore.google.com/detail/pekljbkpgnpphbkgjbfgiiclemodfpen" TargetMode="External"/><Relationship Id="rId1732" Type="http://schemas.openxmlformats.org/officeDocument/2006/relationships/hyperlink" Target="https://chromewebstore.google.com/detail/peldkgicldgmbampajgepnigbpkhomoh" TargetMode="External"/><Relationship Id="rId1733" Type="http://schemas.openxmlformats.org/officeDocument/2006/relationships/hyperlink" Target="https://chromewebstore.google.com/detail/pepfkgggdijnfhjcipialphagjhflbni" TargetMode="External"/><Relationship Id="rId1734" Type="http://schemas.openxmlformats.org/officeDocument/2006/relationships/hyperlink" Target="https://chromewebstore.google.com/detail/pfbdkpjnibjpkebckajcinnjlkdeilej" TargetMode="External"/><Relationship Id="rId1735" Type="http://schemas.openxmlformats.org/officeDocument/2006/relationships/hyperlink" Target="https://chromewebstore.google.com/detail/pfcombngcgnehkbdoafkhdcfdmklboai" TargetMode="External"/><Relationship Id="rId1736" Type="http://schemas.openxmlformats.org/officeDocument/2006/relationships/hyperlink" Target="https://chromewebstore.google.com/detail/pfkkfbfdhomeagojoahjmkojeeepcolc" TargetMode="External"/><Relationship Id="rId1737" Type="http://schemas.openxmlformats.org/officeDocument/2006/relationships/hyperlink" Target="https://chromewebstore.google.com/detail/pfkmomjanfdkaffoiamhcdgfbogpggok" TargetMode="External"/><Relationship Id="rId1738" Type="http://schemas.openxmlformats.org/officeDocument/2006/relationships/hyperlink" Target="https://chromewebstore.google.com/detail/pfmjnmeipppmcebplngmhfkleiinphhp" TargetMode="External"/><Relationship Id="rId1739" Type="http://schemas.openxmlformats.org/officeDocument/2006/relationships/hyperlink" Target="https://chromewebstore.google.com/detail/pgbfbligipdmjpgnpacnojdmndgnihih" TargetMode="External"/><Relationship Id="rId1720" Type="http://schemas.openxmlformats.org/officeDocument/2006/relationships/hyperlink" Target="https://chromewebstore.google.com/detail/omnlepdmccckgbfjimmgniphhfjdgepl" TargetMode="External"/><Relationship Id="rId1721" Type="http://schemas.openxmlformats.org/officeDocument/2006/relationships/hyperlink" Target="https://chromewebstore.google.com/detail/oohpklfcenaffjconedjebkaclkachmi" TargetMode="External"/><Relationship Id="rId1722" Type="http://schemas.openxmlformats.org/officeDocument/2006/relationships/hyperlink" Target="https://chromewebstore.google.com/detail/opadloaiiilnjibkfkopaokgfkhggjgb" TargetMode="External"/><Relationship Id="rId1723" Type="http://schemas.openxmlformats.org/officeDocument/2006/relationships/hyperlink" Target="https://chromewebstore.google.com/detail/opcciggnjillmifigagdpfpjdebfpgbh" TargetMode="External"/><Relationship Id="rId1724" Type="http://schemas.openxmlformats.org/officeDocument/2006/relationships/hyperlink" Target="https://chromewebstore.google.com/detail/opjfknmcemmpibekaeofpaiamibpbafj" TargetMode="External"/><Relationship Id="rId1725" Type="http://schemas.openxmlformats.org/officeDocument/2006/relationships/hyperlink" Target="https://chromewebstore.google.com/detail/palndlbcjfipldkacepinepefaoimefb" TargetMode="External"/><Relationship Id="rId1726" Type="http://schemas.openxmlformats.org/officeDocument/2006/relationships/hyperlink" Target="https://chromewebstore.google.com/detail/panhbjhhhpldcicghpekhonnmfnpgibd" TargetMode="External"/><Relationship Id="rId1727" Type="http://schemas.openxmlformats.org/officeDocument/2006/relationships/hyperlink" Target="https://chromewebstore.google.com/detail/paphcfdffjnbcgkokihcdjliihicmbpd" TargetMode="External"/><Relationship Id="rId1728" Type="http://schemas.openxmlformats.org/officeDocument/2006/relationships/hyperlink" Target="https://chromewebstore.google.com/detail/pbnfoocjojdfnhnalpocedblfgcfgmij" TargetMode="External"/><Relationship Id="rId1729" Type="http://schemas.openxmlformats.org/officeDocument/2006/relationships/hyperlink" Target="https://chromewebstore.google.com/detail/pdnaboncdpkapafcfbajadgknpfjegod" TargetMode="External"/><Relationship Id="rId1752" Type="http://schemas.openxmlformats.org/officeDocument/2006/relationships/hyperlink" Target="https://chromewebstore.google.com/detail/pmaionhboofajejhmkheilkoifkmigfe" TargetMode="External"/><Relationship Id="rId1753" Type="http://schemas.openxmlformats.org/officeDocument/2006/relationships/hyperlink" Target="https://chromewebstore.google.com/detail/pnhdmfiakolonplgblabffnpfhfplmbh" TargetMode="External"/><Relationship Id="rId1754" Type="http://schemas.openxmlformats.org/officeDocument/2006/relationships/hyperlink" Target="https://chromewebstore.google.com/detail/pnhnfjbdadnnicpliempeidfminbflon" TargetMode="External"/><Relationship Id="rId1755" Type="http://schemas.openxmlformats.org/officeDocument/2006/relationships/hyperlink" Target="https://chromewebstore.google.com/detail/pnifeididimfpaomnnellcfjnjmgoepk" TargetMode="External"/><Relationship Id="rId1756" Type="http://schemas.openxmlformats.org/officeDocument/2006/relationships/hyperlink" Target="https://chromewebstore.google.com/detail/pnnbnklagfdokfbdfphhojhifjppjmmc" TargetMode="External"/><Relationship Id="rId1757" Type="http://schemas.openxmlformats.org/officeDocument/2006/relationships/hyperlink" Target="https://chromewebstore.google.com/detail/poaolllddjlbbomnohpahbpdlcklkffi" TargetMode="External"/><Relationship Id="rId1758" Type="http://schemas.openxmlformats.org/officeDocument/2006/relationships/hyperlink" Target="https://chromewebstore.google.com/detail/ppajhpdaingbnajnkoidgmkoblgpfiok" TargetMode="External"/><Relationship Id="rId1759" Type="http://schemas.openxmlformats.org/officeDocument/2006/relationships/hyperlink" Target="https://chromewebstore.google.com/detail/ppbdklaincgliegpfolkjjfncpgobneb" TargetMode="External"/><Relationship Id="rId1750" Type="http://schemas.openxmlformats.org/officeDocument/2006/relationships/hyperlink" Target="https://chromewebstore.google.com/detail/pkkcbddohfehjhknimeckglogkcdonff" TargetMode="External"/><Relationship Id="rId1751" Type="http://schemas.openxmlformats.org/officeDocument/2006/relationships/hyperlink" Target="https://chromewebstore.google.com/detail/pldlfgnilfdheajekfphjkjeooignhkc" TargetMode="External"/><Relationship Id="rId1741" Type="http://schemas.openxmlformats.org/officeDocument/2006/relationships/hyperlink" Target="https://chromewebstore.google.com/detail/pgmaidhfoodebfiocgananbdfnankehm" TargetMode="External"/><Relationship Id="rId1742" Type="http://schemas.openxmlformats.org/officeDocument/2006/relationships/hyperlink" Target="https://chromewebstore.google.com/detail/pgmgkfgcnigcopcjhilfabbdgmjmkogj" TargetMode="External"/><Relationship Id="rId1743" Type="http://schemas.openxmlformats.org/officeDocument/2006/relationships/hyperlink" Target="https://chromewebstore.google.com/detail/phacniajokfchdcamjhonkbhlcipplno" TargetMode="External"/><Relationship Id="rId1744" Type="http://schemas.openxmlformats.org/officeDocument/2006/relationships/hyperlink" Target="https://chromewebstore.google.com/detail/phiedfcbjfjagnjikfbobmldbpmdcpfk" TargetMode="External"/><Relationship Id="rId1745" Type="http://schemas.openxmlformats.org/officeDocument/2006/relationships/hyperlink" Target="https://chromewebstore.google.com/detail/phkenomnahhgjnmpignadbeandfanbil" TargetMode="External"/><Relationship Id="rId1746" Type="http://schemas.openxmlformats.org/officeDocument/2006/relationships/hyperlink" Target="https://chromewebstore.google.com/detail/phmlcmkdgeapcedlahdlfgodngoenbmh" TargetMode="External"/><Relationship Id="rId1747" Type="http://schemas.openxmlformats.org/officeDocument/2006/relationships/hyperlink" Target="https://chromewebstore.google.com/detail/pieacoaichghpileamnhephkedchnlba" TargetMode="External"/><Relationship Id="rId1748" Type="http://schemas.openxmlformats.org/officeDocument/2006/relationships/hyperlink" Target="https://chromewebstore.google.com/detail/pjemnpgdmnlkkcpaddlnlegmdfpohnep" TargetMode="External"/><Relationship Id="rId1749" Type="http://schemas.openxmlformats.org/officeDocument/2006/relationships/hyperlink" Target="https://chromewebstore.google.com/detail/pjpbfdjmmlnelgbkffopkgpggeeaildc" TargetMode="External"/><Relationship Id="rId1740" Type="http://schemas.openxmlformats.org/officeDocument/2006/relationships/hyperlink" Target="https://chromewebstore.google.com/detail/pgeenmhdlnjmaaeneackfkkiggpefmeg" TargetMode="External"/><Relationship Id="rId5291" Type="http://schemas.openxmlformats.org/officeDocument/2006/relationships/hyperlink" Target="https://chromewebstore.google.com/detail/coeipiaghigmcomimioddandpdlkmodf" TargetMode="External"/><Relationship Id="rId5292" Type="http://schemas.openxmlformats.org/officeDocument/2006/relationships/hyperlink" Target="https://chromewebstore.google.com/detail/cofjbfnpecflopfknbpnhhpnegbflfph" TargetMode="External"/><Relationship Id="rId5290" Type="http://schemas.openxmlformats.org/officeDocument/2006/relationships/hyperlink" Target="https://chromewebstore.google.com/detail/codhkppmaiogifohnenadkhgfknebede" TargetMode="External"/><Relationship Id="rId5295" Type="http://schemas.openxmlformats.org/officeDocument/2006/relationships/hyperlink" Target="https://chromewebstore.google.com/detail/cokhnhncmlppfllhhkkofddbjbekhfdg" TargetMode="External"/><Relationship Id="rId5296" Type="http://schemas.openxmlformats.org/officeDocument/2006/relationships/hyperlink" Target="https://chromewebstore.google.com/detail/copfkimibpnfpdggfjencnehgfgmpphf" TargetMode="External"/><Relationship Id="rId5293" Type="http://schemas.openxmlformats.org/officeDocument/2006/relationships/hyperlink" Target="https://chromewebstore.google.com/detail/coinegbkpholhpicoglgamehmcogoagj" TargetMode="External"/><Relationship Id="rId5294" Type="http://schemas.openxmlformats.org/officeDocument/2006/relationships/hyperlink" Target="https://chromewebstore.google.com/detail/cokfegjeoaflhjkloplfpjgnmlhbfkhp" TargetMode="External"/><Relationship Id="rId5299" Type="http://schemas.openxmlformats.org/officeDocument/2006/relationships/hyperlink" Target="https://chromewebstore.google.com/detail/cpclgpmoofkhnkknhcpoajpeoliceijp" TargetMode="External"/><Relationship Id="rId5297" Type="http://schemas.openxmlformats.org/officeDocument/2006/relationships/hyperlink" Target="https://chromewebstore.google.com/detail/copocnlfmefhjhcpnciembhppkkaoagi" TargetMode="External"/><Relationship Id="rId5298" Type="http://schemas.openxmlformats.org/officeDocument/2006/relationships/hyperlink" Target="https://chromewebstore.google.com/detail/cpcjkmdojedpmkphagkgiclgnhinlgib" TargetMode="External"/><Relationship Id="rId5280" Type="http://schemas.openxmlformats.org/officeDocument/2006/relationships/hyperlink" Target="https://chromewebstore.google.com/detail/cmjeonfdjdekpggjkoknhhkcifnaichh" TargetMode="External"/><Relationship Id="rId5281" Type="http://schemas.openxmlformats.org/officeDocument/2006/relationships/hyperlink" Target="https://chromewebstore.google.com/detail/cmmohgmlmfpcffoegjimbdmhoimmgbbp" TargetMode="External"/><Relationship Id="rId5284" Type="http://schemas.openxmlformats.org/officeDocument/2006/relationships/hyperlink" Target="https://chromewebstore.google.com/detail/cnajakljidldedbomhbacclcmjkldmeb" TargetMode="External"/><Relationship Id="rId5285" Type="http://schemas.openxmlformats.org/officeDocument/2006/relationships/hyperlink" Target="https://chromewebstore.google.com/detail/cnenegfehjcmoginiijjgmchcfllmmbp" TargetMode="External"/><Relationship Id="rId5282" Type="http://schemas.openxmlformats.org/officeDocument/2006/relationships/hyperlink" Target="https://chromewebstore.google.com/detail/cmoccnblfpgoffpdefdhiikpohfcnocf" TargetMode="External"/><Relationship Id="rId5283" Type="http://schemas.openxmlformats.org/officeDocument/2006/relationships/hyperlink" Target="https://chromewebstore.google.com/detail/cmpooojaejnffgdhnmikkphomdlokdfn" TargetMode="External"/><Relationship Id="rId5288" Type="http://schemas.openxmlformats.org/officeDocument/2006/relationships/hyperlink" Target="https://chromewebstore.google.com/detail/cniopfhdifdmfkdjdjhkdkdcikomdjhb" TargetMode="External"/><Relationship Id="rId5289" Type="http://schemas.openxmlformats.org/officeDocument/2006/relationships/hyperlink" Target="https://chromewebstore.google.com/detail/codfjigcljdnlklcaopdciclmmdandig" TargetMode="External"/><Relationship Id="rId5286" Type="http://schemas.openxmlformats.org/officeDocument/2006/relationships/hyperlink" Target="https://chromewebstore.google.com/detail/cngbpbdpdeldglofjjppipdleagpefog" TargetMode="External"/><Relationship Id="rId5287" Type="http://schemas.openxmlformats.org/officeDocument/2006/relationships/hyperlink" Target="https://chromewebstore.google.com/detail/cnghdgaldccbpbfbmbcocmfohpchghmp" TargetMode="External"/><Relationship Id="rId1710" Type="http://schemas.openxmlformats.org/officeDocument/2006/relationships/hyperlink" Target="https://chromewebstore.google.com/detail/oiapacjhgpaojehgcndepionkjphanoe" TargetMode="External"/><Relationship Id="rId1711" Type="http://schemas.openxmlformats.org/officeDocument/2006/relationships/hyperlink" Target="https://chromewebstore.google.com/detail/oiembdaoobijmdmeobkalaehgifealpl" TargetMode="External"/><Relationship Id="rId1712" Type="http://schemas.openxmlformats.org/officeDocument/2006/relationships/hyperlink" Target="https://chromewebstore.google.com/detail/ojiioomnfggllljmdbcnmnieffmonohl" TargetMode="External"/><Relationship Id="rId1713" Type="http://schemas.openxmlformats.org/officeDocument/2006/relationships/hyperlink" Target="https://chromewebstore.google.com/detail/ojoecolejmnhkgafjnieigpjhgmpllnn" TargetMode="External"/><Relationship Id="rId1714" Type="http://schemas.openxmlformats.org/officeDocument/2006/relationships/hyperlink" Target="https://chromewebstore.google.com/detail/okdhadoplaoehmeldlpakhpekjcpljmb" TargetMode="External"/><Relationship Id="rId1715" Type="http://schemas.openxmlformats.org/officeDocument/2006/relationships/hyperlink" Target="https://chromewebstore.google.com/detail/okmghoejoecikkidlpdmkkamoheeckan" TargetMode="External"/><Relationship Id="rId1716" Type="http://schemas.openxmlformats.org/officeDocument/2006/relationships/hyperlink" Target="https://chromewebstore.google.com/detail/olcpkmmoifipcklgnphbhdhbpfniijmb" TargetMode="External"/><Relationship Id="rId1717" Type="http://schemas.openxmlformats.org/officeDocument/2006/relationships/hyperlink" Target="https://chromewebstore.google.com/detail/olhclbnmebbgkgodadbepmoifpfmbncm" TargetMode="External"/><Relationship Id="rId1718" Type="http://schemas.openxmlformats.org/officeDocument/2006/relationships/hyperlink" Target="https://chromewebstore.google.com/detail/oljgjlecbglpcabgaihhnfonkfibinmp" TargetMode="External"/><Relationship Id="rId1719" Type="http://schemas.openxmlformats.org/officeDocument/2006/relationships/hyperlink" Target="https://chromewebstore.google.com/detail/olobjnglnkpmiljkdlghinhnjcdoeicl" TargetMode="External"/><Relationship Id="rId1700" Type="http://schemas.openxmlformats.org/officeDocument/2006/relationships/hyperlink" Target="https://chromewebstore.google.com/detail/oedcflfijnmdnkllbeoacabinnlgplmb" TargetMode="External"/><Relationship Id="rId1701" Type="http://schemas.openxmlformats.org/officeDocument/2006/relationships/hyperlink" Target="https://chromewebstore.google.com/detail/oedodeocfdeegliepeeoieemhdgoijod" TargetMode="External"/><Relationship Id="rId1702" Type="http://schemas.openxmlformats.org/officeDocument/2006/relationships/hyperlink" Target="https://chromewebstore.google.com/detail/oenijhondngbjobcpjdjjehcifkmhnib" TargetMode="External"/><Relationship Id="rId1703" Type="http://schemas.openxmlformats.org/officeDocument/2006/relationships/hyperlink" Target="https://chromewebstore.google.com/detail/ofhimkkaomaoilmnmfhmdoekoaeclkoa" TargetMode="External"/><Relationship Id="rId1704" Type="http://schemas.openxmlformats.org/officeDocument/2006/relationships/hyperlink" Target="https://chromewebstore.google.com/detail/ofjjanaennfbgpccfpbghnmblpdblbef" TargetMode="External"/><Relationship Id="rId1705" Type="http://schemas.openxmlformats.org/officeDocument/2006/relationships/hyperlink" Target="https://chromewebstore.google.com/detail/ofpglhlcdbjdhlacgbljnildhajfmlei" TargetMode="External"/><Relationship Id="rId1706" Type="http://schemas.openxmlformats.org/officeDocument/2006/relationships/hyperlink" Target="https://chromewebstore.google.com/detail/ogdhdnpiclkaeicicamopfohidjokoom" TargetMode="External"/><Relationship Id="rId1707" Type="http://schemas.openxmlformats.org/officeDocument/2006/relationships/hyperlink" Target="https://chromewebstore.google.com/detail/ogkjfglelpailehmjlkaodhoiageienh" TargetMode="External"/><Relationship Id="rId1708" Type="http://schemas.openxmlformats.org/officeDocument/2006/relationships/hyperlink" Target="https://chromewebstore.google.com/detail/ohndojpkopphmijlemjgnpbbpefpaang" TargetMode="External"/><Relationship Id="rId1709" Type="http://schemas.openxmlformats.org/officeDocument/2006/relationships/hyperlink" Target="https://chromewebstore.google.com/detail/oiajbaepngjfcgimlkaedfkdjkklkfhh" TargetMode="External"/><Relationship Id="rId40" Type="http://schemas.openxmlformats.org/officeDocument/2006/relationships/hyperlink" Target="https://chromewebstore.google.com/detail/chlffgpmiacpedhhbkiomidkjlcfhogd" TargetMode="External"/><Relationship Id="rId42" Type="http://schemas.openxmlformats.org/officeDocument/2006/relationships/hyperlink" Target="https://chromewebstore.google.com/detail/nfdfiepdkbnoanddpianalelglmfooik" TargetMode="External"/><Relationship Id="rId41" Type="http://schemas.openxmlformats.org/officeDocument/2006/relationships/hyperlink" Target="https://chromewebstore.google.com/detail/fklgmciohehgadlafhljjhgdojfjihhk" TargetMode="External"/><Relationship Id="rId44" Type="http://schemas.openxmlformats.org/officeDocument/2006/relationships/hyperlink" Target="https://chromewebstore.google.com/detail/bldgenmjegcnjebiongilahhcjldgmlm" TargetMode="External"/><Relationship Id="rId43" Type="http://schemas.openxmlformats.org/officeDocument/2006/relationships/hyperlink" Target="https://chromewebstore.google.com/detail/kfhgpagdjjoieckminnmigmpeclkdmjm" TargetMode="External"/><Relationship Id="rId46" Type="http://schemas.openxmlformats.org/officeDocument/2006/relationships/hyperlink" Target="https://chromewebstore.google.com/detail/jkchgejbjikoopancfjpbofabaoceohd" TargetMode="External"/><Relationship Id="rId45" Type="http://schemas.openxmlformats.org/officeDocument/2006/relationships/hyperlink" Target="https://chromewebstore.google.com/detail/ceibjdigmfbbgcpkkdpmjokkokklodmc" TargetMode="External"/><Relationship Id="rId48" Type="http://schemas.openxmlformats.org/officeDocument/2006/relationships/hyperlink" Target="https://chromewebstore.google.com/detail/fnbdnhhicmebfgdgglcdacdapkcihcoh" TargetMode="External"/><Relationship Id="rId47" Type="http://schemas.openxmlformats.org/officeDocument/2006/relationships/hyperlink" Target="https://chromewebstore.google.com/detail/amjidnnemammipglldbeihmhokepmkoc" TargetMode="External"/><Relationship Id="rId49" Type="http://schemas.openxmlformats.org/officeDocument/2006/relationships/hyperlink" Target="https://chromewebstore.google.com/detail/kekahkplibinaibelipdcikofmedafmb" TargetMode="External"/><Relationship Id="rId31" Type="http://schemas.openxmlformats.org/officeDocument/2006/relationships/hyperlink" Target="https://chromewebstore.google.com/detail/mjbepbhonbojpoaenhckjocchgfiaofo" TargetMode="External"/><Relationship Id="rId30" Type="http://schemas.openxmlformats.org/officeDocument/2006/relationships/hyperlink" Target="https://chromewebstore.google.com/detail/gjknjjomckknofjidppipffbpoekiipm" TargetMode="External"/><Relationship Id="rId33" Type="http://schemas.openxmlformats.org/officeDocument/2006/relationships/hyperlink" Target="https://chromewebstore.google.com/detail/ppckapbnfhikdajgehibjapcohbaomhd" TargetMode="External"/><Relationship Id="rId32" Type="http://schemas.openxmlformats.org/officeDocument/2006/relationships/hyperlink" Target="https://chromewebstore.google.com/detail/knkapnclbofjjgicpkfoagdjohlfjhpd" TargetMode="External"/><Relationship Id="rId35" Type="http://schemas.openxmlformats.org/officeDocument/2006/relationships/hyperlink" Target="https://chromewebstore.google.com/detail/dpplndkoilcedkdjicmbeoahnckdcnle" TargetMode="External"/><Relationship Id="rId34" Type="http://schemas.openxmlformats.org/officeDocument/2006/relationships/hyperlink" Target="https://chromewebstore.google.com/detail/cmcmennehclgdccnlmnjladhlkmclbkb" TargetMode="External"/><Relationship Id="rId37" Type="http://schemas.openxmlformats.org/officeDocument/2006/relationships/hyperlink" Target="https://chromewebstore.google.com/detail/mooikfkahbdckldjjndioackbalphokd" TargetMode="External"/><Relationship Id="rId36" Type="http://schemas.openxmlformats.org/officeDocument/2006/relationships/hyperlink" Target="https://chromewebstore.google.com/detail/jdocbkpgdakpekjlhemmfcncgdjeiika" TargetMode="External"/><Relationship Id="rId39" Type="http://schemas.openxmlformats.org/officeDocument/2006/relationships/hyperlink" Target="https://chromewebstore.google.com/detail/pdmhilamamchgnnipghbjakjpbenbcdj" TargetMode="External"/><Relationship Id="rId38" Type="http://schemas.openxmlformats.org/officeDocument/2006/relationships/hyperlink" Target="https://chromewebstore.google.com/detail/ifbdadgbpalmagalacllfaflfakmfkac" TargetMode="External"/><Relationship Id="rId20" Type="http://schemas.openxmlformats.org/officeDocument/2006/relationships/hyperlink" Target="https://chromewebstore.google.com/detail/npgcnondjocldhldegnakemclmfkngch" TargetMode="External"/><Relationship Id="rId22" Type="http://schemas.openxmlformats.org/officeDocument/2006/relationships/hyperlink" Target="https://chromewebstore.google.com/detail/eebnbmbhdfnfhfhigoklhaklkodghbla" TargetMode="External"/><Relationship Id="rId21" Type="http://schemas.openxmlformats.org/officeDocument/2006/relationships/hyperlink" Target="https://chromewebstore.google.com/detail/ciniambnphakdoflgeamacamhfllbkmo" TargetMode="External"/><Relationship Id="rId24" Type="http://schemas.openxmlformats.org/officeDocument/2006/relationships/hyperlink" Target="https://chromewebstore.google.com/detail/oejigobjchedidhlafnpdpccihgbmbka" TargetMode="External"/><Relationship Id="rId23" Type="http://schemas.openxmlformats.org/officeDocument/2006/relationships/hyperlink" Target="https://chromewebstore.google.com/detail/gadbpecoinogdkljjbjffmiijpebooce" TargetMode="External"/><Relationship Id="rId26" Type="http://schemas.openxmlformats.org/officeDocument/2006/relationships/hyperlink" Target="https://chromewebstore.google.com/detail/dhikfimimcjpoaliefjlffaebdeomeni" TargetMode="External"/><Relationship Id="rId25" Type="http://schemas.openxmlformats.org/officeDocument/2006/relationships/hyperlink" Target="https://chromewebstore.google.com/detail/jkfpchpiljkaemlpmpebnglgkomamfeo" TargetMode="External"/><Relationship Id="rId28" Type="http://schemas.openxmlformats.org/officeDocument/2006/relationships/hyperlink" Target="https://chromewebstore.google.com/detail/kmpjlilnemjciohjckjadmgmicoldglf" TargetMode="External"/><Relationship Id="rId27" Type="http://schemas.openxmlformats.org/officeDocument/2006/relationships/hyperlink" Target="https://chromewebstore.google.com/detail/gidgenkbbabolejbgbpnhbimgjbffefm" TargetMode="External"/><Relationship Id="rId29" Type="http://schemas.openxmlformats.org/officeDocument/2006/relationships/hyperlink" Target="https://chromewebstore.google.com/detail/fbcohnmimjicjdomonkcbcpbpnhggkip" TargetMode="External"/><Relationship Id="rId11" Type="http://schemas.openxmlformats.org/officeDocument/2006/relationships/hyperlink" Target="https://chromewebstore.google.com/detail/ioekoebejdcmnlefjiknokhhafglcjdl" TargetMode="External"/><Relationship Id="rId10" Type="http://schemas.openxmlformats.org/officeDocument/2006/relationships/hyperlink" Target="https://chromewebstore.google.com/detail/gjgfobnenmnljakmhboildkafdkicala" TargetMode="External"/><Relationship Id="rId13" Type="http://schemas.openxmlformats.org/officeDocument/2006/relationships/hyperlink" Target="https://chromewebstore.google.com/detail/jinjaccalgkegednnccohejagnlnfdag" TargetMode="External"/><Relationship Id="rId12" Type="http://schemas.openxmlformats.org/officeDocument/2006/relationships/hyperlink" Target="https://chromewebstore.google.com/detail/jdogphakondfdmcanpapfahkdomaicfa" TargetMode="External"/><Relationship Id="rId15" Type="http://schemas.openxmlformats.org/officeDocument/2006/relationships/hyperlink" Target="https://chromewebstore.google.com/detail/kmffehbidlalibfeklaefnckpidbodff" TargetMode="External"/><Relationship Id="rId14" Type="http://schemas.openxmlformats.org/officeDocument/2006/relationships/hyperlink" Target="https://chromewebstore.google.com/detail/jmfikkaogpplgnfjmbjdpalkhclendgd" TargetMode="External"/><Relationship Id="rId17" Type="http://schemas.openxmlformats.org/officeDocument/2006/relationships/hyperlink" Target="https://chromewebstore.google.com/detail/llcdellnofncikmhimjdbkdjgpmcjbik" TargetMode="External"/><Relationship Id="rId16" Type="http://schemas.openxmlformats.org/officeDocument/2006/relationships/hyperlink" Target="https://chromewebstore.google.com/detail/lbfehkoinhhcknnbdgnnmjhiladcgbol" TargetMode="External"/><Relationship Id="rId19" Type="http://schemas.openxmlformats.org/officeDocument/2006/relationships/hyperlink" Target="https://chromewebstore.google.com/detail/oakfpjifgmfpainopanfgfckhkcfgacb" TargetMode="External"/><Relationship Id="rId18" Type="http://schemas.openxmlformats.org/officeDocument/2006/relationships/hyperlink" Target="https://chromewebstore.google.com/detail/nlbejmccbhkncgokjcmghpfloaajcffj" TargetMode="External"/><Relationship Id="rId84" Type="http://schemas.openxmlformats.org/officeDocument/2006/relationships/hyperlink" Target="https://chromewebstore.google.com/detail/pjhnilfooknlkdonmjnleaomamfehkli" TargetMode="External"/><Relationship Id="rId1774" Type="http://schemas.openxmlformats.org/officeDocument/2006/relationships/hyperlink" Target="https://chromewebstore.google.com/detail/aolcffalbhpnojekmimmelebjchjmmgn" TargetMode="External"/><Relationship Id="rId83" Type="http://schemas.openxmlformats.org/officeDocument/2006/relationships/hyperlink" Target="https://chromewebstore.google.com/detail/pgjchkcfmigkkhedgjedmffdepgmpfil" TargetMode="External"/><Relationship Id="rId1775" Type="http://schemas.openxmlformats.org/officeDocument/2006/relationships/hyperlink" Target="https://chromewebstore.google.com/detail/babgchcegnkbiojmdpnoilficladccfm" TargetMode="External"/><Relationship Id="rId86" Type="http://schemas.openxmlformats.org/officeDocument/2006/relationships/hyperlink" Target="https://chromewebstore.google.com/detail/kjomkjjpbjeennhagfmlahfnlgleecmn" TargetMode="External"/><Relationship Id="rId1776" Type="http://schemas.openxmlformats.org/officeDocument/2006/relationships/hyperlink" Target="https://chromewebstore.google.com/detail/bbihhbmcpmmbidebeomhomjelncfghcl" TargetMode="External"/><Relationship Id="rId85" Type="http://schemas.openxmlformats.org/officeDocument/2006/relationships/hyperlink" Target="https://chromewebstore.google.com/detail/pnhechapfaindjhompbnflcldabbghjo" TargetMode="External"/><Relationship Id="rId1777" Type="http://schemas.openxmlformats.org/officeDocument/2006/relationships/hyperlink" Target="https://chromewebstore.google.com/detail/bfjiilkifhalkihddbplganidlpiggcp" TargetMode="External"/><Relationship Id="rId88" Type="http://schemas.openxmlformats.org/officeDocument/2006/relationships/hyperlink" Target="https://chromewebstore.google.com/detail/bakpbgckdnepkmkeaiomhmfcnejndkbi" TargetMode="External"/><Relationship Id="rId1778" Type="http://schemas.openxmlformats.org/officeDocument/2006/relationships/hyperlink" Target="https://chromewebstore.google.com/detail/bgddejjmhilkdllbakkgddjodommlimc" TargetMode="External"/><Relationship Id="rId87" Type="http://schemas.openxmlformats.org/officeDocument/2006/relationships/hyperlink" Target="https://chromewebstore.google.com/detail/abjopieldicnknjgiplcjgepeijbealm" TargetMode="External"/><Relationship Id="rId1779" Type="http://schemas.openxmlformats.org/officeDocument/2006/relationships/hyperlink" Target="https://chromewebstore.google.com/detail/bimclhojllkneajakbnefcmiefgeiljo" TargetMode="External"/><Relationship Id="rId89" Type="http://schemas.openxmlformats.org/officeDocument/2006/relationships/hyperlink" Target="https://chromewebstore.google.com/detail/bgopeekkgpfombjklfdiakchdnhjafij" TargetMode="External"/><Relationship Id="rId80" Type="http://schemas.openxmlformats.org/officeDocument/2006/relationships/hyperlink" Target="https://chromewebstore.google.com/detail/ofhbbkphhbklhfoeikjpcbhemlocgigb" TargetMode="External"/><Relationship Id="rId82" Type="http://schemas.openxmlformats.org/officeDocument/2006/relationships/hyperlink" Target="https://chromewebstore.google.com/detail/pggchepbleikpkhffahfabfeodghbafd" TargetMode="External"/><Relationship Id="rId81" Type="http://schemas.openxmlformats.org/officeDocument/2006/relationships/hyperlink" Target="https://chromewebstore.google.com/detail/pccckmaobkjjboncdfnnofkonhgpceea" TargetMode="External"/><Relationship Id="rId1770" Type="http://schemas.openxmlformats.org/officeDocument/2006/relationships/hyperlink" Target="https://chromewebstore.google.com/detail/ahedbaplpdhdlekpbgcghkoknfiffgaa" TargetMode="External"/><Relationship Id="rId1771" Type="http://schemas.openxmlformats.org/officeDocument/2006/relationships/hyperlink" Target="https://chromewebstore.google.com/detail/ahfioiamcnpgmfecmmnecajookbmgcdp" TargetMode="External"/><Relationship Id="rId1772" Type="http://schemas.openxmlformats.org/officeDocument/2006/relationships/hyperlink" Target="https://chromewebstore.google.com/detail/amhhdbdhoghppijbjfdkiaconkmfbbpa" TargetMode="External"/><Relationship Id="rId1773" Type="http://schemas.openxmlformats.org/officeDocument/2006/relationships/hyperlink" Target="https://chromewebstore.google.com/detail/ancooclifmcdfafbgjmgpmcembfaknka" TargetMode="External"/><Relationship Id="rId73" Type="http://schemas.openxmlformats.org/officeDocument/2006/relationships/hyperlink" Target="https://chromewebstore.google.com/detail/fljalecfjciodhpcledpamjachpmelml" TargetMode="External"/><Relationship Id="rId1763" Type="http://schemas.openxmlformats.org/officeDocument/2006/relationships/hyperlink" Target="https://chromewebstore.google.com/detail/fcchghcgfeadhdmkmpkedplecikkajnp" TargetMode="External"/><Relationship Id="rId72" Type="http://schemas.openxmlformats.org/officeDocument/2006/relationships/hyperlink" Target="https://chromewebstore.google.com/detail/jnhblfnklpfpbbadlfbikhhifadinfho" TargetMode="External"/><Relationship Id="rId1764" Type="http://schemas.openxmlformats.org/officeDocument/2006/relationships/hyperlink" Target="https://chromewebstore.google.com/detail/acmfklpkefjlldbkdgmjoiknfgidadoh" TargetMode="External"/><Relationship Id="rId75" Type="http://schemas.openxmlformats.org/officeDocument/2006/relationships/hyperlink" Target="https://chromewebstore.google.com/detail/jfbadlndcminbkfojhlimnkgaackjmdo" TargetMode="External"/><Relationship Id="rId1765" Type="http://schemas.openxmlformats.org/officeDocument/2006/relationships/hyperlink" Target="https://chromewebstore.google.com/detail/acpchjgielgmkgkplljakcibfbjjppbk" TargetMode="External"/><Relationship Id="rId74" Type="http://schemas.openxmlformats.org/officeDocument/2006/relationships/hyperlink" Target="https://chromewebstore.google.com/detail/gefpceefdmmojbgmfmnkeanmpclobjgj" TargetMode="External"/><Relationship Id="rId1766" Type="http://schemas.openxmlformats.org/officeDocument/2006/relationships/hyperlink" Target="https://chromewebstore.google.com/detail/ademeajfjdhnjabjbamofoppjoefikbl" TargetMode="External"/><Relationship Id="rId77" Type="http://schemas.openxmlformats.org/officeDocument/2006/relationships/hyperlink" Target="https://chromewebstore.google.com/detail/nlhjgcligpbnjphflfdbmabbmjidnmek" TargetMode="External"/><Relationship Id="rId1767" Type="http://schemas.openxmlformats.org/officeDocument/2006/relationships/hyperlink" Target="https://chromewebstore.google.com/detail/adeniimnihmbpgpbljmnohjpoolmgabj" TargetMode="External"/><Relationship Id="rId76" Type="http://schemas.openxmlformats.org/officeDocument/2006/relationships/hyperlink" Target="https://chromewebstore.google.com/detail/kbpnbonnhilfdihhodnflcplajklibbc" TargetMode="External"/><Relationship Id="rId1768" Type="http://schemas.openxmlformats.org/officeDocument/2006/relationships/hyperlink" Target="https://chromewebstore.google.com/detail/aeajloomjeoncelkceelhhpkgbcgafek" TargetMode="External"/><Relationship Id="rId79" Type="http://schemas.openxmlformats.org/officeDocument/2006/relationships/hyperlink" Target="https://chromewebstore.google.com/detail/odlpjhnipdekfkdkadoecooboghijleh" TargetMode="External"/><Relationship Id="rId1769" Type="http://schemas.openxmlformats.org/officeDocument/2006/relationships/hyperlink" Target="https://chromewebstore.google.com/detail/afokdhhgekbckelmkfegdggbeohdbnge" TargetMode="External"/><Relationship Id="rId78" Type="http://schemas.openxmlformats.org/officeDocument/2006/relationships/hyperlink" Target="https://chromewebstore.google.com/detail/nljkibfhlpcnanjgbnlnbjecgicbjkge" TargetMode="External"/><Relationship Id="rId71" Type="http://schemas.openxmlformats.org/officeDocument/2006/relationships/hyperlink" Target="https://chromewebstore.google.com/detail/jgllchbkhjeiaombmpkapalbmpolmelp" TargetMode="External"/><Relationship Id="rId70" Type="http://schemas.openxmlformats.org/officeDocument/2006/relationships/hyperlink" Target="https://chromewebstore.google.com/detail/immpkjjlgappgfkkfieppnmlhakdmaab" TargetMode="External"/><Relationship Id="rId1760" Type="http://schemas.openxmlformats.org/officeDocument/2006/relationships/hyperlink" Target="https://chromewebstore.google.com/detail/ppgndohgacfggdpbcdlgibdkdknimfmn" TargetMode="External"/><Relationship Id="rId1761" Type="http://schemas.openxmlformats.org/officeDocument/2006/relationships/hyperlink" Target="https://chromewebstore.google.com/detail/pphhglinlapdiefcikbkhcpkhbkfoahl" TargetMode="External"/><Relationship Id="rId1762" Type="http://schemas.openxmlformats.org/officeDocument/2006/relationships/hyperlink" Target="https://chromewebstore.google.com/detail/cjhmhnomplgoidnkjdacpmpccmaplnmk" TargetMode="External"/><Relationship Id="rId62" Type="http://schemas.openxmlformats.org/officeDocument/2006/relationships/hyperlink" Target="https://chromewebstore.google.com/detail/idfiabaafjemgcecklpgnebaebonghka" TargetMode="External"/><Relationship Id="rId1796" Type="http://schemas.openxmlformats.org/officeDocument/2006/relationships/hyperlink" Target="https://chromewebstore.google.com/detail/dbmemgfhdlfokgdgimeejfkbcdaiable" TargetMode="External"/><Relationship Id="rId61" Type="http://schemas.openxmlformats.org/officeDocument/2006/relationships/hyperlink" Target="https://chromewebstore.google.com/detail/nijejdnikeoaldbcboagjlibadkabiae" TargetMode="External"/><Relationship Id="rId1797" Type="http://schemas.openxmlformats.org/officeDocument/2006/relationships/hyperlink" Target="https://chromewebstore.google.com/detail/dcnjhgnfnmijfkmcddcmffeamphmmeed" TargetMode="External"/><Relationship Id="rId64" Type="http://schemas.openxmlformats.org/officeDocument/2006/relationships/hyperlink" Target="https://chromewebstore.google.com/detail/cfidkbgamfhdgmedldkagjopnbobdmdn" TargetMode="External"/><Relationship Id="rId1798" Type="http://schemas.openxmlformats.org/officeDocument/2006/relationships/hyperlink" Target="https://chromewebstore.google.com/detail/dgafcidlgmbcehokgdeghmfnbpbfhihh" TargetMode="External"/><Relationship Id="rId63" Type="http://schemas.openxmlformats.org/officeDocument/2006/relationships/hyperlink" Target="https://chromewebstore.google.com/detail/cdonnmffkdaoajfknoeeecmchibpmkmg" TargetMode="External"/><Relationship Id="rId1799" Type="http://schemas.openxmlformats.org/officeDocument/2006/relationships/hyperlink" Target="https://chromewebstore.google.com/detail/dnhodapkogdjinogphlafimejpmahoam" TargetMode="External"/><Relationship Id="rId66" Type="http://schemas.openxmlformats.org/officeDocument/2006/relationships/hyperlink" Target="https://chromewebstore.google.com/detail/ealjoeebhfijfimofmecjcjcigmadcai" TargetMode="External"/><Relationship Id="rId65" Type="http://schemas.openxmlformats.org/officeDocument/2006/relationships/hyperlink" Target="https://chromewebstore.google.com/detail/dpplabbmogkhghncfbfdeeokoefdjegm" TargetMode="External"/><Relationship Id="rId68" Type="http://schemas.openxmlformats.org/officeDocument/2006/relationships/hyperlink" Target="https://chromewebstore.google.com/detail/gdkddcndonbadjjminbeeokgcknciebo" TargetMode="External"/><Relationship Id="rId67" Type="http://schemas.openxmlformats.org/officeDocument/2006/relationships/hyperlink" Target="https://chromewebstore.google.com/detail/emngkmlligggbbiioginlkphcmffbncb" TargetMode="External"/><Relationship Id="rId60" Type="http://schemas.openxmlformats.org/officeDocument/2006/relationships/hyperlink" Target="https://chromewebstore.google.com/detail/mfedioikeigljhjfpghdejnogniddhna" TargetMode="External"/><Relationship Id="rId69" Type="http://schemas.openxmlformats.org/officeDocument/2006/relationships/hyperlink" Target="https://chromewebstore.google.com/detail/gecgipfabdickgidpmbicneamekgbaej" TargetMode="External"/><Relationship Id="rId1790" Type="http://schemas.openxmlformats.org/officeDocument/2006/relationships/hyperlink" Target="https://chromewebstore.google.com/detail/cjhhoaiagdpfhnmdcdefeffiaejndild" TargetMode="External"/><Relationship Id="rId1791" Type="http://schemas.openxmlformats.org/officeDocument/2006/relationships/hyperlink" Target="https://chromewebstore.google.com/detail/cklhieaaomjcmlaeopmeidpfdjjogjaf" TargetMode="External"/><Relationship Id="rId1792" Type="http://schemas.openxmlformats.org/officeDocument/2006/relationships/hyperlink" Target="https://chromewebstore.google.com/detail/cnmdgbpgnlocnjnoiiphaoepebfijidi" TargetMode="External"/><Relationship Id="rId1793" Type="http://schemas.openxmlformats.org/officeDocument/2006/relationships/hyperlink" Target="https://chromewebstore.google.com/detail/cnppaiifcooegmendcabeagbgnhhjoea" TargetMode="External"/><Relationship Id="rId1794" Type="http://schemas.openxmlformats.org/officeDocument/2006/relationships/hyperlink" Target="https://chromewebstore.google.com/detail/cogjmeckpkinhnidokapabgaoelhkbcl" TargetMode="External"/><Relationship Id="rId1795" Type="http://schemas.openxmlformats.org/officeDocument/2006/relationships/hyperlink" Target="https://chromewebstore.google.com/detail/cpkeapbdnodhgecbnilbbigldpmgobln" TargetMode="External"/><Relationship Id="rId51" Type="http://schemas.openxmlformats.org/officeDocument/2006/relationships/hyperlink" Target="https://chromewebstore.google.com/detail/hehmkjmjappgeijgebepcnnckihfjbol" TargetMode="External"/><Relationship Id="rId1785" Type="http://schemas.openxmlformats.org/officeDocument/2006/relationships/hyperlink" Target="https://chromewebstore.google.com/detail/cbjkifnpmcklidaeagdmomenomblnjkg" TargetMode="External"/><Relationship Id="rId50" Type="http://schemas.openxmlformats.org/officeDocument/2006/relationships/hyperlink" Target="https://chromewebstore.google.com/detail/aodjmnfhjibkcdimpodiifdjnnncaafh" TargetMode="External"/><Relationship Id="rId1786" Type="http://schemas.openxmlformats.org/officeDocument/2006/relationships/hyperlink" Target="https://chromewebstore.google.com/detail/cdnnpklbhipmnknojapkdiocjgmplpcc" TargetMode="External"/><Relationship Id="rId53" Type="http://schemas.openxmlformats.org/officeDocument/2006/relationships/hyperlink" Target="https://chromewebstore.google.com/detail/noondiphcddnnabmjcihcjfbhfklnnep" TargetMode="External"/><Relationship Id="rId1787" Type="http://schemas.openxmlformats.org/officeDocument/2006/relationships/hyperlink" Target="https://chromewebstore.google.com/detail/cefkgjbbpagcilodnhboolbppdjlplip" TargetMode="External"/><Relationship Id="rId52" Type="http://schemas.openxmlformats.org/officeDocument/2006/relationships/hyperlink" Target="https://chromewebstore.google.com/detail/lcipembjfkmeggpihdpdgnjildgniffl" TargetMode="External"/><Relationship Id="rId1788" Type="http://schemas.openxmlformats.org/officeDocument/2006/relationships/hyperlink" Target="https://chromewebstore.google.com/detail/chaoejepfhlcelgpicelfccoiojpiofn" TargetMode="External"/><Relationship Id="rId55" Type="http://schemas.openxmlformats.org/officeDocument/2006/relationships/hyperlink" Target="https://chromewebstore.google.com/detail/ceimgagkkofjoalgojpkdcmhmbljbbaa" TargetMode="External"/><Relationship Id="rId1789" Type="http://schemas.openxmlformats.org/officeDocument/2006/relationships/hyperlink" Target="https://chromewebstore.google.com/detail/chcdkemhhpmgoadkkpaacmidejeaegji" TargetMode="External"/><Relationship Id="rId54" Type="http://schemas.openxmlformats.org/officeDocument/2006/relationships/hyperlink" Target="https://chromewebstore.google.com/detail/pgfbdgicjmhenccemcijooffohcdanic" TargetMode="External"/><Relationship Id="rId57" Type="http://schemas.openxmlformats.org/officeDocument/2006/relationships/hyperlink" Target="https://chromewebstore.google.com/detail/dhheiegalgcabbcobinipgmhepkkeidk" TargetMode="External"/><Relationship Id="rId56" Type="http://schemas.openxmlformats.org/officeDocument/2006/relationships/hyperlink" Target="https://chromewebstore.google.com/detail/dcdfjddkdjkaohjceimnbgniajaholfl" TargetMode="External"/><Relationship Id="rId59" Type="http://schemas.openxmlformats.org/officeDocument/2006/relationships/hyperlink" Target="https://chromewebstore.google.com/detail/lfidjngibpklhhijphdmbmedchiiolgk" TargetMode="External"/><Relationship Id="rId58" Type="http://schemas.openxmlformats.org/officeDocument/2006/relationships/hyperlink" Target="https://chromewebstore.google.com/detail/gnddkmpjjjcimefninepfmmddpgaaado" TargetMode="External"/><Relationship Id="rId1780" Type="http://schemas.openxmlformats.org/officeDocument/2006/relationships/hyperlink" Target="https://chromewebstore.google.com/detail/bimhgdngikcnelkhjindmdghndfmdcde" TargetMode="External"/><Relationship Id="rId1781" Type="http://schemas.openxmlformats.org/officeDocument/2006/relationships/hyperlink" Target="https://chromewebstore.google.com/detail/bjclahdopnlbobebbaomknljkkcljfmp" TargetMode="External"/><Relationship Id="rId1782" Type="http://schemas.openxmlformats.org/officeDocument/2006/relationships/hyperlink" Target="https://chromewebstore.google.com/detail/bkobppjlgldgglhfbofllmmmnjnelohf" TargetMode="External"/><Relationship Id="rId1783" Type="http://schemas.openxmlformats.org/officeDocument/2006/relationships/hyperlink" Target="https://chromewebstore.google.com/detail/caginmipmmelcmijagfppgdljepiioak" TargetMode="External"/><Relationship Id="rId1784" Type="http://schemas.openxmlformats.org/officeDocument/2006/relationships/hyperlink" Target="https://chromewebstore.google.com/detail/cailnmbnfboealffnempgplnfcjoibgb" TargetMode="External"/><Relationship Id="rId6627" Type="http://schemas.openxmlformats.org/officeDocument/2006/relationships/hyperlink" Target="https://chromewebstore.google.com/detail/nfhpoheacedogfbhmkpnljlkodfgmale" TargetMode="External"/><Relationship Id="rId7959" Type="http://schemas.openxmlformats.org/officeDocument/2006/relationships/hyperlink" Target="https://chromewebstore.google.com/detail/gjkkmhdgiombhhgkklidllgenonicehh" TargetMode="External"/><Relationship Id="rId6628" Type="http://schemas.openxmlformats.org/officeDocument/2006/relationships/hyperlink" Target="https://chromewebstore.google.com/detail/nfibbjnhkbjlgjaojglmmibdjicidini" TargetMode="External"/><Relationship Id="rId7958" Type="http://schemas.openxmlformats.org/officeDocument/2006/relationships/hyperlink" Target="https://chromewebstore.google.com/detail/npfkncfachgpmimogndpnmgfipfomjki" TargetMode="External"/><Relationship Id="rId6625" Type="http://schemas.openxmlformats.org/officeDocument/2006/relationships/hyperlink" Target="https://chromewebstore.google.com/detail/nfempnnehcbjgepmchnbciegaefgbdfb" TargetMode="External"/><Relationship Id="rId7957" Type="http://schemas.openxmlformats.org/officeDocument/2006/relationships/hyperlink" Target="https://chromewebstore.google.com/detail/nekcnoeamnleegdapjhnmnlplolelnab" TargetMode="External"/><Relationship Id="rId6626" Type="http://schemas.openxmlformats.org/officeDocument/2006/relationships/hyperlink" Target="https://chromewebstore.google.com/detail/nffopkpgkajdjjdbgkeailemblmflpko" TargetMode="External"/><Relationship Id="rId7956" Type="http://schemas.openxmlformats.org/officeDocument/2006/relationships/hyperlink" Target="https://chromewebstore.google.com/detail/lekfgahkjfpgjmpbbppdllkamcjdjgfm" TargetMode="External"/><Relationship Id="rId6629" Type="http://schemas.openxmlformats.org/officeDocument/2006/relationships/hyperlink" Target="https://chromewebstore.google.com/detail/nfidmhafkijgbeohmgglakglgokeciil" TargetMode="External"/><Relationship Id="rId349" Type="http://schemas.openxmlformats.org/officeDocument/2006/relationships/hyperlink" Target="https://chromewebstore.google.com/detail/jajcoljhdglkjpfefjkgiohbhnkkmipm" TargetMode="External"/><Relationship Id="rId348" Type="http://schemas.openxmlformats.org/officeDocument/2006/relationships/hyperlink" Target="https://chromewebstore.google.com/detail/innfmlnnhfcebjcnfopadflecemoddnp" TargetMode="External"/><Relationship Id="rId347" Type="http://schemas.openxmlformats.org/officeDocument/2006/relationships/hyperlink" Target="https://chromewebstore.google.com/detail/inligpkjkhbpifecbdjhmdpcfhnlelja" TargetMode="External"/><Relationship Id="rId346" Type="http://schemas.openxmlformats.org/officeDocument/2006/relationships/hyperlink" Target="https://chromewebstore.google.com/detail/inblpolgchbcgmocpnalobjmmaldkjap" TargetMode="External"/><Relationship Id="rId341" Type="http://schemas.openxmlformats.org/officeDocument/2006/relationships/hyperlink" Target="https://chromewebstore.google.com/detail/gbipjohhadjcagjjjhcooalfnkdlnfim" TargetMode="External"/><Relationship Id="rId7951" Type="http://schemas.openxmlformats.org/officeDocument/2006/relationships/hyperlink" Target="https://chromewebstore.google.com/detail/cakkhjlegolkdggdepipdjnahkpelbpi" TargetMode="External"/><Relationship Id="rId340" Type="http://schemas.openxmlformats.org/officeDocument/2006/relationships/hyperlink" Target="https://chromewebstore.google.com/detail/fjphfpnhpdppbninfececlllgdedghpp" TargetMode="External"/><Relationship Id="rId6620" Type="http://schemas.openxmlformats.org/officeDocument/2006/relationships/hyperlink" Target="https://chromewebstore.google.com/detail/nelckmdlallhkgniidbfafekeldjnakb" TargetMode="External"/><Relationship Id="rId7950" Type="http://schemas.openxmlformats.org/officeDocument/2006/relationships/hyperlink" Target="https://chromewebstore.google.com/detail/ndphngghkckfnhpgjghgmecfkhkkpklj" TargetMode="External"/><Relationship Id="rId345" Type="http://schemas.openxmlformats.org/officeDocument/2006/relationships/hyperlink" Target="https://chromewebstore.google.com/detail/idikgljglpfilbhaboonnpnnincjhjkd" TargetMode="External"/><Relationship Id="rId6623" Type="http://schemas.openxmlformats.org/officeDocument/2006/relationships/hyperlink" Target="https://chromewebstore.google.com/detail/neoliedjbjgleonmlpddjkgoedbdhdbe" TargetMode="External"/><Relationship Id="rId7955" Type="http://schemas.openxmlformats.org/officeDocument/2006/relationships/hyperlink" Target="https://chromewebstore.google.com/detail/kdpfkmkiaknkheelgdkhdbkjdenghcjo" TargetMode="External"/><Relationship Id="rId344" Type="http://schemas.openxmlformats.org/officeDocument/2006/relationships/hyperlink" Target="https://chromewebstore.google.com/detail/gpnebajhkedajplkepiafghcfoljbgmk" TargetMode="External"/><Relationship Id="rId6624" Type="http://schemas.openxmlformats.org/officeDocument/2006/relationships/hyperlink" Target="https://chromewebstore.google.com/detail/neplhlhcpnlgjfhncjbekljcpcpmmnld" TargetMode="External"/><Relationship Id="rId7954" Type="http://schemas.openxmlformats.org/officeDocument/2006/relationships/hyperlink" Target="https://chromewebstore.google.com/detail/goiifbijipfnhegpnppmkdhoehkaiggn" TargetMode="External"/><Relationship Id="rId343" Type="http://schemas.openxmlformats.org/officeDocument/2006/relationships/hyperlink" Target="https://chromewebstore.google.com/detail/ghagedffjalchgcgdgfindabkpnmalel" TargetMode="External"/><Relationship Id="rId6621" Type="http://schemas.openxmlformats.org/officeDocument/2006/relationships/hyperlink" Target="https://chromewebstore.google.com/detail/nemmogdonmhbihhbljpeodejdnnbcjji" TargetMode="External"/><Relationship Id="rId7953" Type="http://schemas.openxmlformats.org/officeDocument/2006/relationships/hyperlink" Target="https://chromewebstore.google.com/detail/fjekfkbibnnjlkfjaeifgecjfmpmdaad" TargetMode="External"/><Relationship Id="rId342" Type="http://schemas.openxmlformats.org/officeDocument/2006/relationships/hyperlink" Target="https://chromewebstore.google.com/detail/gfggjaccafhcbfogfkogggoepomehbjl" TargetMode="External"/><Relationship Id="rId6622" Type="http://schemas.openxmlformats.org/officeDocument/2006/relationships/hyperlink" Target="https://chromewebstore.google.com/detail/nenchifcjkmfahicbjgpinmklenpfiih" TargetMode="External"/><Relationship Id="rId7952" Type="http://schemas.openxmlformats.org/officeDocument/2006/relationships/hyperlink" Target="https://chromewebstore.google.com/detail/fhfmfaokjdlpcbbofolnncfegfhgoafk" TargetMode="External"/><Relationship Id="rId6616" Type="http://schemas.openxmlformats.org/officeDocument/2006/relationships/hyperlink" Target="https://chromewebstore.google.com/detail/necmgnhmkphmjpddncmklalagjebbbea" TargetMode="External"/><Relationship Id="rId7948" Type="http://schemas.openxmlformats.org/officeDocument/2006/relationships/hyperlink" Target="https://chromewebstore.google.com/detail/ghkcdlbpfmckamjkkmcniedgbcijpepd" TargetMode="External"/><Relationship Id="rId6617" Type="http://schemas.openxmlformats.org/officeDocument/2006/relationships/hyperlink" Target="https://chromewebstore.google.com/detail/necnfapmnepbnlclfpdmjfjlglolfiab" TargetMode="External"/><Relationship Id="rId7947" Type="http://schemas.openxmlformats.org/officeDocument/2006/relationships/hyperlink" Target="https://chromewebstore.google.com/detail/dmebaaellaamjeejfmjnmemlfghlhpik" TargetMode="External"/><Relationship Id="rId6614" Type="http://schemas.openxmlformats.org/officeDocument/2006/relationships/hyperlink" Target="https://chromewebstore.google.com/detail/ndmmdeeodnhgibnmgnnddpokcciejlnj" TargetMode="External"/><Relationship Id="rId7946" Type="http://schemas.openxmlformats.org/officeDocument/2006/relationships/hyperlink" Target="https://chromewebstore.google.com/detail/nfbpakgdmfeimjgaolnijnccdighjiho" TargetMode="External"/><Relationship Id="rId6615" Type="http://schemas.openxmlformats.org/officeDocument/2006/relationships/hyperlink" Target="https://chromewebstore.google.com/detail/neaollicfdeidikoaehophbicpkohjof" TargetMode="External"/><Relationship Id="rId7945" Type="http://schemas.openxmlformats.org/officeDocument/2006/relationships/hyperlink" Target="https://chromewebstore.google.com/detail/kbomhfjppdgllelhnikpdcocckadacia" TargetMode="External"/><Relationship Id="rId6618" Type="http://schemas.openxmlformats.org/officeDocument/2006/relationships/hyperlink" Target="https://chromewebstore.google.com/detail/neflkikppleikkghgjheajjpdjaihlch" TargetMode="External"/><Relationship Id="rId6619" Type="http://schemas.openxmlformats.org/officeDocument/2006/relationships/hyperlink" Target="https://chromewebstore.google.com/detail/nejkphnelblbbhjcohphnabhdpehlogl" TargetMode="External"/><Relationship Id="rId7949" Type="http://schemas.openxmlformats.org/officeDocument/2006/relationships/hyperlink" Target="https://chromewebstore.google.com/detail/hcggkglhggiegnomijleedobpnmgklim" TargetMode="External"/><Relationship Id="rId338" Type="http://schemas.openxmlformats.org/officeDocument/2006/relationships/hyperlink" Target="https://chromewebstore.google.com/detail/enakmcmeealkdoeindgoeogldodhdeda" TargetMode="External"/><Relationship Id="rId337" Type="http://schemas.openxmlformats.org/officeDocument/2006/relationships/hyperlink" Target="https://chromewebstore.google.com/detail/emehklffcaphknhhfhadkjhpfapcbpco" TargetMode="External"/><Relationship Id="rId336" Type="http://schemas.openxmlformats.org/officeDocument/2006/relationships/hyperlink" Target="https://chromewebstore.google.com/detail/edeepcccaejnnodlpmcoackkdgaijakg" TargetMode="External"/><Relationship Id="rId335" Type="http://schemas.openxmlformats.org/officeDocument/2006/relationships/hyperlink" Target="https://chromewebstore.google.com/detail/dpinfolakhcnlgkdbodgabnliglebhbg" TargetMode="External"/><Relationship Id="rId339" Type="http://schemas.openxmlformats.org/officeDocument/2006/relationships/hyperlink" Target="https://chromewebstore.google.com/detail/enkjnfoecgdifjldcgfaefkmmiijafcj" TargetMode="External"/><Relationship Id="rId330" Type="http://schemas.openxmlformats.org/officeDocument/2006/relationships/hyperlink" Target="https://chromewebstore.google.com/detail/cffgjgigjfgjkfdopbobbdadaelbhepo" TargetMode="External"/><Relationship Id="rId7940" Type="http://schemas.openxmlformats.org/officeDocument/2006/relationships/hyperlink" Target="https://chromewebstore.google.com/detail/ogalcpfdhfjhheepeojicjfnhdlkgkdb" TargetMode="External"/><Relationship Id="rId334" Type="http://schemas.openxmlformats.org/officeDocument/2006/relationships/hyperlink" Target="https://chromewebstore.google.com/detail/dpbjglmkcdbkbclmdonbkcgeiebaibkf" TargetMode="External"/><Relationship Id="rId6612" Type="http://schemas.openxmlformats.org/officeDocument/2006/relationships/hyperlink" Target="https://chromewebstore.google.com/detail/ndlmhflffabhofkhngpnhgbfaodijmpb" TargetMode="External"/><Relationship Id="rId7944" Type="http://schemas.openxmlformats.org/officeDocument/2006/relationships/hyperlink" Target="https://chromewebstore.google.com/detail/egmfmidppapjfoehpdmaknheodbikjhj" TargetMode="External"/><Relationship Id="rId333" Type="http://schemas.openxmlformats.org/officeDocument/2006/relationships/hyperlink" Target="https://chromewebstore.google.com/detail/dagdlcijhfbmgkjokkjicnnfimlebcll" TargetMode="External"/><Relationship Id="rId6613" Type="http://schemas.openxmlformats.org/officeDocument/2006/relationships/hyperlink" Target="https://chromewebstore.google.com/detail/ndlnnojbbcbdpkccfmcgbopalpbmhbhm" TargetMode="External"/><Relationship Id="rId7943" Type="http://schemas.openxmlformats.org/officeDocument/2006/relationships/hyperlink" Target="https://chromewebstore.google.com/detail/edcajbacgdcdeecojhlllbgingbjfbmk" TargetMode="External"/><Relationship Id="rId332" Type="http://schemas.openxmlformats.org/officeDocument/2006/relationships/hyperlink" Target="https://chromewebstore.google.com/detail/cmeicimcdhgohgjmpmcdpakjjdohhocg" TargetMode="External"/><Relationship Id="rId6610" Type="http://schemas.openxmlformats.org/officeDocument/2006/relationships/hyperlink" Target="https://chromewebstore.google.com/detail/ndbpgappknhobbikhmjenceoklpaalam" TargetMode="External"/><Relationship Id="rId7942" Type="http://schemas.openxmlformats.org/officeDocument/2006/relationships/hyperlink" Target="https://chromewebstore.google.com/detail/bfmmmagdadlahlofkabfaohncnpfcjbn" TargetMode="External"/><Relationship Id="rId331" Type="http://schemas.openxmlformats.org/officeDocument/2006/relationships/hyperlink" Target="https://chromewebstore.google.com/detail/cgmnfnmlficgeijcalkgnnkigkefkbhd" TargetMode="External"/><Relationship Id="rId6611" Type="http://schemas.openxmlformats.org/officeDocument/2006/relationships/hyperlink" Target="https://chromewebstore.google.com/detail/ndgbicpfghmemekeffmkomimpppafagk" TargetMode="External"/><Relationship Id="rId7941" Type="http://schemas.openxmlformats.org/officeDocument/2006/relationships/hyperlink" Target="https://chromewebstore.google.com/detail/pgaaplkccmgbkncfaeiekjlbchmmciak" TargetMode="External"/><Relationship Id="rId5318" Type="http://schemas.openxmlformats.org/officeDocument/2006/relationships/hyperlink" Target="https://chromewebstore.google.com/detail/dbdlfjheiknjgnnhknninniobeeeknko" TargetMode="External"/><Relationship Id="rId6649" Type="http://schemas.openxmlformats.org/officeDocument/2006/relationships/hyperlink" Target="https://chromewebstore.google.com/detail/niacojggmhhjndikhcdmmijjoepkgjeb" TargetMode="External"/><Relationship Id="rId5319" Type="http://schemas.openxmlformats.org/officeDocument/2006/relationships/hyperlink" Target="https://chromewebstore.google.com/detail/dbeimogjdfidnefggcfckkdfbdfkjdgi" TargetMode="External"/><Relationship Id="rId5316" Type="http://schemas.openxmlformats.org/officeDocument/2006/relationships/hyperlink" Target="https://chromewebstore.google.com/detail/danngdojdnkpienljijhcpjpdmaonmhj" TargetMode="External"/><Relationship Id="rId6647" Type="http://schemas.openxmlformats.org/officeDocument/2006/relationships/hyperlink" Target="https://chromewebstore.google.com/detail/nhmeoaahigiljjdkoagafdccikgojjoi" TargetMode="External"/><Relationship Id="rId7979" Type="http://schemas.openxmlformats.org/officeDocument/2006/relationships/hyperlink" Target="https://chromewebstore.google.com/detail/nmiejanhomgcihofiaipfpgenalpjnmp" TargetMode="External"/><Relationship Id="rId5317" Type="http://schemas.openxmlformats.org/officeDocument/2006/relationships/hyperlink" Target="https://chromewebstore.google.com/detail/daogheeomfnjjbabmnmgpbhmamegpbaj" TargetMode="External"/><Relationship Id="rId6648" Type="http://schemas.openxmlformats.org/officeDocument/2006/relationships/hyperlink" Target="https://chromewebstore.google.com/detail/nhppnhnadikeniijclnghjfblnojgige" TargetMode="External"/><Relationship Id="rId7978" Type="http://schemas.openxmlformats.org/officeDocument/2006/relationships/hyperlink" Target="https://chromewebstore.google.com/detail/hddplepddicnloeicfmihmldbpllgmaf" TargetMode="External"/><Relationship Id="rId370" Type="http://schemas.openxmlformats.org/officeDocument/2006/relationships/hyperlink" Target="https://chromewebstore.google.com/detail/pcmpcfapbekmbjjkdalcgopdkipoggdi" TargetMode="External"/><Relationship Id="rId369" Type="http://schemas.openxmlformats.org/officeDocument/2006/relationships/hyperlink" Target="https://chromewebstore.google.com/detail/pappcjmimkmjekiaiedkhfogpclanicb" TargetMode="External"/><Relationship Id="rId368" Type="http://schemas.openxmlformats.org/officeDocument/2006/relationships/hyperlink" Target="https://chromewebstore.google.com/detail/oneboplbahpaldoloieajnbibaeocdlj" TargetMode="External"/><Relationship Id="rId363" Type="http://schemas.openxmlformats.org/officeDocument/2006/relationships/hyperlink" Target="https://chromewebstore.google.com/detail/mpabchoaimgbdbbjjieoaeiibojelbhm" TargetMode="External"/><Relationship Id="rId5310" Type="http://schemas.openxmlformats.org/officeDocument/2006/relationships/hyperlink" Target="https://chromewebstore.google.com/detail/dagmcoabdpmhjgeblonjckiiclckagml" TargetMode="External"/><Relationship Id="rId6641" Type="http://schemas.openxmlformats.org/officeDocument/2006/relationships/hyperlink" Target="https://chromewebstore.google.com/detail/nhaniflhedjjeomiajkheofdaeeabfgg" TargetMode="External"/><Relationship Id="rId7973" Type="http://schemas.openxmlformats.org/officeDocument/2006/relationships/hyperlink" Target="https://chromewebstore.google.com/detail/amlkddagjlidoklgogkcokgcdkoplbfm" TargetMode="External"/><Relationship Id="rId362" Type="http://schemas.openxmlformats.org/officeDocument/2006/relationships/hyperlink" Target="https://chromewebstore.google.com/detail/mjmabgdoainclinjecbkdancpamdiaih" TargetMode="External"/><Relationship Id="rId5311" Type="http://schemas.openxmlformats.org/officeDocument/2006/relationships/hyperlink" Target="https://chromewebstore.google.com/detail/dajjbehmbnbppjkcnpdkaniapgdppdnc" TargetMode="External"/><Relationship Id="rId6642" Type="http://schemas.openxmlformats.org/officeDocument/2006/relationships/hyperlink" Target="https://chromewebstore.google.com/detail/nhbanailidablloenahajmfjidocdefn" TargetMode="External"/><Relationship Id="rId7972" Type="http://schemas.openxmlformats.org/officeDocument/2006/relationships/hyperlink" Target="https://chromewebstore.google.com/detail/jidbibpgnkfcgbkmkdigiecmnakkheae" TargetMode="External"/><Relationship Id="rId361" Type="http://schemas.openxmlformats.org/officeDocument/2006/relationships/hyperlink" Target="https://chromewebstore.google.com/detail/mfhjonocnlnodflomblbjnjdpllkeljo" TargetMode="External"/><Relationship Id="rId7971" Type="http://schemas.openxmlformats.org/officeDocument/2006/relationships/hyperlink" Target="https://chromewebstore.google.com/detail/gegdkoobknknikkhmnbkpnejehkchcom" TargetMode="External"/><Relationship Id="rId360" Type="http://schemas.openxmlformats.org/officeDocument/2006/relationships/hyperlink" Target="https://chromewebstore.google.com/detail/mejfjggmbnocnfibbibmoogocnjbcjnk" TargetMode="External"/><Relationship Id="rId6640" Type="http://schemas.openxmlformats.org/officeDocument/2006/relationships/hyperlink" Target="https://chromewebstore.google.com/detail/ngncegjbgnfpifehgmcjgniphmcjjipc" TargetMode="External"/><Relationship Id="rId7970" Type="http://schemas.openxmlformats.org/officeDocument/2006/relationships/hyperlink" Target="https://chromewebstore.google.com/detail/pifoihkipgckedfddhjmmpddibjenieb" TargetMode="External"/><Relationship Id="rId367" Type="http://schemas.openxmlformats.org/officeDocument/2006/relationships/hyperlink" Target="https://chromewebstore.google.com/detail/olcfgpmjldkkjdclidhcbonieibfhhdh" TargetMode="External"/><Relationship Id="rId5314" Type="http://schemas.openxmlformats.org/officeDocument/2006/relationships/hyperlink" Target="https://chromewebstore.google.com/detail/damadkdlkdhpeeehnobhpeifjnmfkkjg" TargetMode="External"/><Relationship Id="rId6645" Type="http://schemas.openxmlformats.org/officeDocument/2006/relationships/hyperlink" Target="https://chromewebstore.google.com/detail/nhfdmlgglfmcdheoabgklabmgjklgofk" TargetMode="External"/><Relationship Id="rId7977" Type="http://schemas.openxmlformats.org/officeDocument/2006/relationships/hyperlink" Target="https://chromewebstore.google.com/detail/haogjblnnpemjmomfbkicmgklaegmmhc" TargetMode="External"/><Relationship Id="rId366" Type="http://schemas.openxmlformats.org/officeDocument/2006/relationships/hyperlink" Target="https://chromewebstore.google.com/detail/ofknlbikfofijlcjkfcihomkedmchfbn" TargetMode="External"/><Relationship Id="rId5315" Type="http://schemas.openxmlformats.org/officeDocument/2006/relationships/hyperlink" Target="https://chromewebstore.google.com/detail/damdbfbghmpboiodfhgpbbllaogobebk" TargetMode="External"/><Relationship Id="rId6646" Type="http://schemas.openxmlformats.org/officeDocument/2006/relationships/hyperlink" Target="https://chromewebstore.google.com/detail/nhjpidcaofjfenienakefihbddijonoh" TargetMode="External"/><Relationship Id="rId7976" Type="http://schemas.openxmlformats.org/officeDocument/2006/relationships/hyperlink" Target="https://chromewebstore.google.com/detail/ebolamfalknccebghdocaokplkfpkhbf" TargetMode="External"/><Relationship Id="rId365" Type="http://schemas.openxmlformats.org/officeDocument/2006/relationships/hyperlink" Target="https://chromewebstore.google.com/detail/ofgjggbjanlhbgaemjbkiegeebmccifi" TargetMode="External"/><Relationship Id="rId5312" Type="http://schemas.openxmlformats.org/officeDocument/2006/relationships/hyperlink" Target="https://chromewebstore.google.com/detail/dajmfhbgodeengcbfmcacmhmcimpmhpe" TargetMode="External"/><Relationship Id="rId6643" Type="http://schemas.openxmlformats.org/officeDocument/2006/relationships/hyperlink" Target="https://chromewebstore.google.com/detail/nhcgejenbogeimhladggplmkbimcfemb" TargetMode="External"/><Relationship Id="rId7975" Type="http://schemas.openxmlformats.org/officeDocument/2006/relationships/hyperlink" Target="https://chromewebstore.google.com/detail/bcbebckcfnbhmhcghnnhhldcombkloaf" TargetMode="External"/><Relationship Id="rId364" Type="http://schemas.openxmlformats.org/officeDocument/2006/relationships/hyperlink" Target="https://chromewebstore.google.com/detail/npblmhpjbopmmaadpmheopjelggjnogh" TargetMode="External"/><Relationship Id="rId5313" Type="http://schemas.openxmlformats.org/officeDocument/2006/relationships/hyperlink" Target="https://chromewebstore.google.com/detail/dalehmcdidakgnpdpkaghldkpfdanmkg" TargetMode="External"/><Relationship Id="rId6644" Type="http://schemas.openxmlformats.org/officeDocument/2006/relationships/hyperlink" Target="https://chromewebstore.google.com/detail/nhdlcoplfdhmdbeleincmcnmgdajohig" TargetMode="External"/><Relationship Id="rId7974" Type="http://schemas.openxmlformats.org/officeDocument/2006/relationships/hyperlink" Target="https://chromewebstore.google.com/detail/onofabbbjgjempkcbidiacgldbdbojil" TargetMode="External"/><Relationship Id="rId95" Type="http://schemas.openxmlformats.org/officeDocument/2006/relationships/hyperlink" Target="https://chromewebstore.google.com/detail/fdffijlhedcdiblbingmagmdnokokgbi" TargetMode="External"/><Relationship Id="rId5307" Type="http://schemas.openxmlformats.org/officeDocument/2006/relationships/hyperlink" Target="https://chromewebstore.google.com/detail/dadeefbkfcpaeacnafgceahcpjlfmmjj" TargetMode="External"/><Relationship Id="rId6638" Type="http://schemas.openxmlformats.org/officeDocument/2006/relationships/hyperlink" Target="https://chromewebstore.google.com/detail/ngkfilameneoanpmgjjjmlgaokpimipp" TargetMode="External"/><Relationship Id="rId94" Type="http://schemas.openxmlformats.org/officeDocument/2006/relationships/hyperlink" Target="https://chromewebstore.google.com/detail/djdmadneanknadilpjiknlnanaolmbfk" TargetMode="External"/><Relationship Id="rId5308" Type="http://schemas.openxmlformats.org/officeDocument/2006/relationships/hyperlink" Target="https://chromewebstore.google.com/detail/daeplkffffccbejlgacmhpebchpjbfjg" TargetMode="External"/><Relationship Id="rId6639" Type="http://schemas.openxmlformats.org/officeDocument/2006/relationships/hyperlink" Target="https://chromewebstore.google.com/detail/ngmeehoammklkokkbgakeadianldjbaj" TargetMode="External"/><Relationship Id="rId7969" Type="http://schemas.openxmlformats.org/officeDocument/2006/relationships/hyperlink" Target="https://chromewebstore.google.com/detail/ofmcimekgccbifblgaiobcbcglihncem" TargetMode="External"/><Relationship Id="rId97" Type="http://schemas.openxmlformats.org/officeDocument/2006/relationships/hyperlink" Target="https://chromewebstore.google.com/detail/gfjopfpjmkcfgjpogepmdjmcnihfpokn" TargetMode="External"/><Relationship Id="rId5305" Type="http://schemas.openxmlformats.org/officeDocument/2006/relationships/hyperlink" Target="https://chromewebstore.google.com/detail/cpmaennmoijiboghaekpledlgbojhdml" TargetMode="External"/><Relationship Id="rId6636" Type="http://schemas.openxmlformats.org/officeDocument/2006/relationships/hyperlink" Target="https://chromewebstore.google.com/detail/ngednhgpggnkpgeajmaijmmlghmbfiep" TargetMode="External"/><Relationship Id="rId7968" Type="http://schemas.openxmlformats.org/officeDocument/2006/relationships/hyperlink" Target="https://chromewebstore.google.com/detail/nidkgaaedkeepdalkdcmhhnpfgekjbpm" TargetMode="External"/><Relationship Id="rId96" Type="http://schemas.openxmlformats.org/officeDocument/2006/relationships/hyperlink" Target="https://chromewebstore.google.com/detail/ffmglcfbbhidemlkdgbpdcadbmdffgbc" TargetMode="External"/><Relationship Id="rId5306" Type="http://schemas.openxmlformats.org/officeDocument/2006/relationships/hyperlink" Target="https://chromewebstore.google.com/detail/cpmeolfjcjhjgkimkdcgcddndmjndomh" TargetMode="External"/><Relationship Id="rId6637" Type="http://schemas.openxmlformats.org/officeDocument/2006/relationships/hyperlink" Target="https://chromewebstore.google.com/detail/ngkckoececbjandmkgdcedfkgdbaomfl" TargetMode="External"/><Relationship Id="rId7967" Type="http://schemas.openxmlformats.org/officeDocument/2006/relationships/hyperlink" Target="https://chromewebstore.google.com/detail/megdibgjimdgcjgdjocdldjchhfmhacb" TargetMode="External"/><Relationship Id="rId99" Type="http://schemas.openxmlformats.org/officeDocument/2006/relationships/hyperlink" Target="https://chromewebstore.google.com/detail/hnmdigodnlhofkojgehfeefbnmfnaodk" TargetMode="External"/><Relationship Id="rId98" Type="http://schemas.openxmlformats.org/officeDocument/2006/relationships/hyperlink" Target="https://chromewebstore.google.com/detail/hgimnogjllphhhkhlmebbmlgjoejdpjl" TargetMode="External"/><Relationship Id="rId5309" Type="http://schemas.openxmlformats.org/officeDocument/2006/relationships/hyperlink" Target="https://chromewebstore.google.com/detail/dagidpehkckgpfofognpoofhkggmgdfk" TargetMode="External"/><Relationship Id="rId91" Type="http://schemas.openxmlformats.org/officeDocument/2006/relationships/hyperlink" Target="https://chromewebstore.google.com/detail/cgjnhhjpfcdhbhlcmmjppicjmgfkppok" TargetMode="External"/><Relationship Id="rId90" Type="http://schemas.openxmlformats.org/officeDocument/2006/relationships/hyperlink" Target="https://chromewebstore.google.com/detail/cfohepagpmnodfdmjliccbbigdkfcgia" TargetMode="External"/><Relationship Id="rId93" Type="http://schemas.openxmlformats.org/officeDocument/2006/relationships/hyperlink" Target="https://chromewebstore.google.com/detail/djcfdncoelnlbldjfhinnjlhdjlikmph" TargetMode="External"/><Relationship Id="rId92" Type="http://schemas.openxmlformats.org/officeDocument/2006/relationships/hyperlink" Target="https://chromewebstore.google.com/detail/dgpgholdldjjbcmpeckiephjigdpikan" TargetMode="External"/><Relationship Id="rId359" Type="http://schemas.openxmlformats.org/officeDocument/2006/relationships/hyperlink" Target="https://chromewebstore.google.com/detail/lnmengjdnfjbochkdkcjbbpildacancp" TargetMode="External"/><Relationship Id="rId358" Type="http://schemas.openxmlformats.org/officeDocument/2006/relationships/hyperlink" Target="https://chromewebstore.google.com/detail/lmmpgfjnchldhcieiiegcpdmaidkaanb" TargetMode="External"/><Relationship Id="rId357" Type="http://schemas.openxmlformats.org/officeDocument/2006/relationships/hyperlink" Target="https://chromewebstore.google.com/detail/lkmofgnohbedopheiphabfhfjgkhfcgf" TargetMode="External"/><Relationship Id="rId352" Type="http://schemas.openxmlformats.org/officeDocument/2006/relationships/hyperlink" Target="https://chromewebstore.google.com/detail/knbnfbamcpabcpkimmfoefmjdcgdmelh" TargetMode="External"/><Relationship Id="rId6630" Type="http://schemas.openxmlformats.org/officeDocument/2006/relationships/hyperlink" Target="https://chromewebstore.google.com/detail/nfijbakmigddoodbhooklbcanfkmgcfk" TargetMode="External"/><Relationship Id="rId7962" Type="http://schemas.openxmlformats.org/officeDocument/2006/relationships/hyperlink" Target="https://chromewebstore.google.com/detail/phjpbdjgpgaabhgnlapcenieplnlkphd" TargetMode="External"/><Relationship Id="rId351" Type="http://schemas.openxmlformats.org/officeDocument/2006/relationships/hyperlink" Target="https://chromewebstore.google.com/detail/kmdfbacgombndnllogoijhnggalgmkon" TargetMode="External"/><Relationship Id="rId5300" Type="http://schemas.openxmlformats.org/officeDocument/2006/relationships/hyperlink" Target="https://chromewebstore.google.com/detail/cpelgckpifnonijeenjbaglajimalpcl" TargetMode="External"/><Relationship Id="rId6631" Type="http://schemas.openxmlformats.org/officeDocument/2006/relationships/hyperlink" Target="https://chromewebstore.google.com/detail/nfjaddknccljfohoaekkibpcceeenkah" TargetMode="External"/><Relationship Id="rId7961" Type="http://schemas.openxmlformats.org/officeDocument/2006/relationships/hyperlink" Target="https://chromewebstore.google.com/detail/ngfibjjjgckccbpbppikkgipcpknbglf" TargetMode="External"/><Relationship Id="rId350" Type="http://schemas.openxmlformats.org/officeDocument/2006/relationships/hyperlink" Target="https://chromewebstore.google.com/detail/jcnfkjjanbdfabigknbedgkfjkljhbdn" TargetMode="External"/><Relationship Id="rId7960" Type="http://schemas.openxmlformats.org/officeDocument/2006/relationships/hyperlink" Target="https://chromewebstore.google.com/detail/kmfdcifchfmhgpmglolfgablnmeajcbd" TargetMode="External"/><Relationship Id="rId356" Type="http://schemas.openxmlformats.org/officeDocument/2006/relationships/hyperlink" Target="https://chromewebstore.google.com/detail/ljbmkjikheoaglnnifnghjbknejbmhap" TargetMode="External"/><Relationship Id="rId5303" Type="http://schemas.openxmlformats.org/officeDocument/2006/relationships/hyperlink" Target="https://chromewebstore.google.com/detail/cpiokkjcjgiabafjancfgfdogefnihpk" TargetMode="External"/><Relationship Id="rId6634" Type="http://schemas.openxmlformats.org/officeDocument/2006/relationships/hyperlink" Target="https://chromewebstore.google.com/detail/nfobgnbegdmblmlicigodlmaicopjmjb" TargetMode="External"/><Relationship Id="rId7966" Type="http://schemas.openxmlformats.org/officeDocument/2006/relationships/hyperlink" Target="https://chromewebstore.google.com/detail/ifhilckbhneppbcbpkimbgeahhijhdpj" TargetMode="External"/><Relationship Id="rId355" Type="http://schemas.openxmlformats.org/officeDocument/2006/relationships/hyperlink" Target="https://chromewebstore.google.com/detail/ldgiafaliifpknmgofiifianlnbgflgj" TargetMode="External"/><Relationship Id="rId5304" Type="http://schemas.openxmlformats.org/officeDocument/2006/relationships/hyperlink" Target="https://chromewebstore.google.com/detail/cpjhngnhhedcghjdkaedfolldmpgnmeo" TargetMode="External"/><Relationship Id="rId6635" Type="http://schemas.openxmlformats.org/officeDocument/2006/relationships/hyperlink" Target="https://chromewebstore.google.com/detail/ngdfnokoifnihnknoibnbhfhnkmlfocb" TargetMode="External"/><Relationship Id="rId7965" Type="http://schemas.openxmlformats.org/officeDocument/2006/relationships/hyperlink" Target="https://chromewebstore.google.com/detail/hfggcpfepgbdjcpbbgckllhjmnpnhbcc" TargetMode="External"/><Relationship Id="rId354" Type="http://schemas.openxmlformats.org/officeDocument/2006/relationships/hyperlink" Target="https://chromewebstore.google.com/detail/lcgmndephhjcabhhjfcmncnhbmgbkpij" TargetMode="External"/><Relationship Id="rId5301" Type="http://schemas.openxmlformats.org/officeDocument/2006/relationships/hyperlink" Target="https://chromewebstore.google.com/detail/cphhoddmaaeajckodfdgnemocnhakjgm" TargetMode="External"/><Relationship Id="rId6632" Type="http://schemas.openxmlformats.org/officeDocument/2006/relationships/hyperlink" Target="https://chromewebstore.google.com/detail/nfnpeneopnjggmcfdkhpjefammeonpjk" TargetMode="External"/><Relationship Id="rId7964" Type="http://schemas.openxmlformats.org/officeDocument/2006/relationships/hyperlink" Target="https://chromewebstore.google.com/detail/fecgbkpogfcghjebjhpggnkmchofiolh" TargetMode="External"/><Relationship Id="rId353" Type="http://schemas.openxmlformats.org/officeDocument/2006/relationships/hyperlink" Target="https://chromewebstore.google.com/detail/kpmpdolpcgcihifeihogalecdkpjhiko" TargetMode="External"/><Relationship Id="rId5302" Type="http://schemas.openxmlformats.org/officeDocument/2006/relationships/hyperlink" Target="https://chromewebstore.google.com/detail/cpigdkangjnkklibdlchieadcpjoejkj" TargetMode="External"/><Relationship Id="rId6633" Type="http://schemas.openxmlformats.org/officeDocument/2006/relationships/hyperlink" Target="https://chromewebstore.google.com/detail/nfobeapoafofgmfaggcajmnfdjemfpno" TargetMode="External"/><Relationship Id="rId7963" Type="http://schemas.openxmlformats.org/officeDocument/2006/relationships/hyperlink" Target="https://chromewebstore.google.com/detail/dffbbheconicccgghdddjeklbneimlmf" TargetMode="External"/><Relationship Id="rId7915" Type="http://schemas.openxmlformats.org/officeDocument/2006/relationships/hyperlink" Target="https://chromewebstore.google.com/detail/giaepkpgacklikcdgcoiniapegeakgad" TargetMode="External"/><Relationship Id="rId7914" Type="http://schemas.openxmlformats.org/officeDocument/2006/relationships/hyperlink" Target="https://chromewebstore.google.com/detail/okaafikclepnpjlcdbafakiiffbccmkb" TargetMode="External"/><Relationship Id="rId7913" Type="http://schemas.openxmlformats.org/officeDocument/2006/relationships/hyperlink" Target="https://chromewebstore.google.com/detail/epkbohiekmlncnpcbjdjdjdppdonndph" TargetMode="External"/><Relationship Id="rId7912" Type="http://schemas.openxmlformats.org/officeDocument/2006/relationships/hyperlink" Target="https://chromewebstore.google.com/detail/lmdhgpbbmafnmlkpeaafegpohagkoikd" TargetMode="External"/><Relationship Id="rId7919" Type="http://schemas.openxmlformats.org/officeDocument/2006/relationships/hyperlink" Target="https://chromewebstore.google.com/detail/eiingmhoibigiplopcmepmahoihedjnk" TargetMode="External"/><Relationship Id="rId7918" Type="http://schemas.openxmlformats.org/officeDocument/2006/relationships/hyperlink" Target="https://chromewebstore.google.com/detail/bhjhkhppcacjglakljgngpinoeljejjd" TargetMode="External"/><Relationship Id="rId7917" Type="http://schemas.openxmlformats.org/officeDocument/2006/relationships/hyperlink" Target="https://chromewebstore.google.com/detail/mbfippfpgoaonnkdckaademcmflcnpda" TargetMode="External"/><Relationship Id="rId7916" Type="http://schemas.openxmlformats.org/officeDocument/2006/relationships/hyperlink" Target="https://chromewebstore.google.com/detail/kncpohgclhdhcjcfbpfclpnohckakaie" TargetMode="External"/><Relationship Id="rId305" Type="http://schemas.openxmlformats.org/officeDocument/2006/relationships/hyperlink" Target="https://chromewebstore.google.com/detail/ijhlikjoigjegofbedmfmlcfkmhabldh" TargetMode="External"/><Relationship Id="rId304" Type="http://schemas.openxmlformats.org/officeDocument/2006/relationships/hyperlink" Target="https://chromewebstore.google.com/detail/idbpfpeogbhifooiagnbbdbffplkfcke" TargetMode="External"/><Relationship Id="rId303" Type="http://schemas.openxmlformats.org/officeDocument/2006/relationships/hyperlink" Target="https://chromewebstore.google.com/detail/eofhamhgcjpjmipbpegbjeododphaoep" TargetMode="External"/><Relationship Id="rId302" Type="http://schemas.openxmlformats.org/officeDocument/2006/relationships/hyperlink" Target="https://chromewebstore.google.com/detail/elnocalmhgohlhjlpabeanaplckehhpl" TargetMode="External"/><Relationship Id="rId309" Type="http://schemas.openxmlformats.org/officeDocument/2006/relationships/hyperlink" Target="https://chromewebstore.google.com/detail/jpegpdbkhceiipenjmaglmphmfjjpbmp" TargetMode="External"/><Relationship Id="rId308" Type="http://schemas.openxmlformats.org/officeDocument/2006/relationships/hyperlink" Target="https://chromewebstore.google.com/detail/jmpmfcjnflbcoidlgapblgpgbilinlem" TargetMode="External"/><Relationship Id="rId307" Type="http://schemas.openxmlformats.org/officeDocument/2006/relationships/hyperlink" Target="https://chromewebstore.google.com/detail/iomllmalelddmfnfpnhoginkolncgnbb" TargetMode="External"/><Relationship Id="rId306" Type="http://schemas.openxmlformats.org/officeDocument/2006/relationships/hyperlink" Target="https://chromewebstore.google.com/detail/imilbobhamcfahccagbncamhpnbkaenm" TargetMode="External"/><Relationship Id="rId301" Type="http://schemas.openxmlformats.org/officeDocument/2006/relationships/hyperlink" Target="https://chromewebstore.google.com/detail/eiadekoaikejlgdbkbdfeijglgfdalml" TargetMode="External"/><Relationship Id="rId7911" Type="http://schemas.openxmlformats.org/officeDocument/2006/relationships/hyperlink" Target="https://chromewebstore.google.com/detail/jbnhcgfdngapcelfhekkfmnnlpobhkkb" TargetMode="External"/><Relationship Id="rId300" Type="http://schemas.openxmlformats.org/officeDocument/2006/relationships/hyperlink" Target="https://chromewebstore.google.com/detail/clpapnmmlmecieknddelobgikompchkk" TargetMode="External"/><Relationship Id="rId7910" Type="http://schemas.openxmlformats.org/officeDocument/2006/relationships/hyperlink" Target="https://chromewebstore.google.com/detail/cgolaobglebjonjiblcjagnpmdmlgmda" TargetMode="External"/><Relationship Id="rId7904" Type="http://schemas.openxmlformats.org/officeDocument/2006/relationships/hyperlink" Target="https://chromewebstore.google.com/detail/hiaddgihenoiohaoelnclcbjgjjflfhc" TargetMode="External"/><Relationship Id="rId7903" Type="http://schemas.openxmlformats.org/officeDocument/2006/relationships/hyperlink" Target="https://chromewebstore.google.com/detail/fpfopfkmppdokphaignimakbaglmbegn" TargetMode="External"/><Relationship Id="rId7902" Type="http://schemas.openxmlformats.org/officeDocument/2006/relationships/hyperlink" Target="https://chromewebstore.google.com/detail/efladpoendbckpfaecbojpbeobmkjcna" TargetMode="External"/><Relationship Id="rId7901" Type="http://schemas.openxmlformats.org/officeDocument/2006/relationships/hyperlink" Target="https://chromewebstore.google.com/detail/keobkeaihgkidbpfjojklhjjlfjgaejp" TargetMode="External"/><Relationship Id="rId7908" Type="http://schemas.openxmlformats.org/officeDocument/2006/relationships/hyperlink" Target="https://chromewebstore.google.com/detail/aepfgjfmiifeijhnhmlmieninjpjgnlg" TargetMode="External"/><Relationship Id="rId7907" Type="http://schemas.openxmlformats.org/officeDocument/2006/relationships/hyperlink" Target="https://chromewebstore.google.com/detail/aeecoplkhlfpclbiabnfkjlfkbhpbcjd" TargetMode="External"/><Relationship Id="rId7906" Type="http://schemas.openxmlformats.org/officeDocument/2006/relationships/hyperlink" Target="https://chromewebstore.google.com/detail/ldoeffoadpangcpkdbegpjnldhcbogpd" TargetMode="External"/><Relationship Id="rId7905" Type="http://schemas.openxmlformats.org/officeDocument/2006/relationships/hyperlink" Target="https://chromewebstore.google.com/detail/hieblbgldolbjjogogbdeogdegncnkep" TargetMode="External"/><Relationship Id="rId7909" Type="http://schemas.openxmlformats.org/officeDocument/2006/relationships/hyperlink" Target="https://chromewebstore.google.com/detail/amecdgjendemfplkokhllpbmmlpddoaf" TargetMode="External"/><Relationship Id="rId7900" Type="http://schemas.openxmlformats.org/officeDocument/2006/relationships/hyperlink" Target="https://chromewebstore.google.com/detail/hipnehepikeibdofmddlciccfkijjphf" TargetMode="External"/><Relationship Id="rId6605" Type="http://schemas.openxmlformats.org/officeDocument/2006/relationships/hyperlink" Target="https://chromewebstore.google.com/detail/nclocjlblghhcfkfgkjamjcghamkmomc" TargetMode="External"/><Relationship Id="rId7937" Type="http://schemas.openxmlformats.org/officeDocument/2006/relationships/hyperlink" Target="https://chromewebstore.google.com/detail/lknhpplgahpbindnnocglcjonpahfikn" TargetMode="External"/><Relationship Id="rId6606" Type="http://schemas.openxmlformats.org/officeDocument/2006/relationships/hyperlink" Target="https://chromewebstore.google.com/detail/ncoghbpbhlmmoajjnhienleaanmaagaj" TargetMode="External"/><Relationship Id="rId7936" Type="http://schemas.openxmlformats.org/officeDocument/2006/relationships/hyperlink" Target="https://chromewebstore.google.com/detail/kpdaolkakefdigaoijmjllkfnmmekfad" TargetMode="External"/><Relationship Id="rId6603" Type="http://schemas.openxmlformats.org/officeDocument/2006/relationships/hyperlink" Target="https://chromewebstore.google.com/detail/ncgkmddibppebiomiicdfehogjkdegdk" TargetMode="External"/><Relationship Id="rId7935" Type="http://schemas.openxmlformats.org/officeDocument/2006/relationships/hyperlink" Target="https://chromewebstore.google.com/detail/inlgpfbideakmipghjmkfmhmapaholok" TargetMode="External"/><Relationship Id="rId6604" Type="http://schemas.openxmlformats.org/officeDocument/2006/relationships/hyperlink" Target="https://chromewebstore.google.com/detail/nckbbjfepomllinhkmnnmhklpfiomahc" TargetMode="External"/><Relationship Id="rId7934" Type="http://schemas.openxmlformats.org/officeDocument/2006/relationships/hyperlink" Target="https://chromewebstore.google.com/detail/dlmmgckeognpojabkkcablldnlfnfgpo" TargetMode="External"/><Relationship Id="rId6609" Type="http://schemas.openxmlformats.org/officeDocument/2006/relationships/hyperlink" Target="https://chromewebstore.google.com/detail/ndbjoeefbingjamocfemomacijgakilg" TargetMode="External"/><Relationship Id="rId6607" Type="http://schemas.openxmlformats.org/officeDocument/2006/relationships/hyperlink" Target="https://chromewebstore.google.com/detail/ncopefcmfgoggbajoelmainelilpcamf" TargetMode="External"/><Relationship Id="rId7939" Type="http://schemas.openxmlformats.org/officeDocument/2006/relationships/hyperlink" Target="https://chromewebstore.google.com/detail/ndnffckeceebpmkkfeadfdoldeeidlbm" TargetMode="External"/><Relationship Id="rId6608" Type="http://schemas.openxmlformats.org/officeDocument/2006/relationships/hyperlink" Target="https://chromewebstore.google.com/detail/ndamkiaclbnglafnkemaomabalakdmmm" TargetMode="External"/><Relationship Id="rId7938" Type="http://schemas.openxmlformats.org/officeDocument/2006/relationships/hyperlink" Target="https://chromewebstore.google.com/detail/mnmmifodhaffbmhplackgideaammgjjb" TargetMode="External"/><Relationship Id="rId327" Type="http://schemas.openxmlformats.org/officeDocument/2006/relationships/hyperlink" Target="https://chromewebstore.google.com/detail/cbplklgcjnhehkoigoankacpmehafhfk" TargetMode="External"/><Relationship Id="rId326" Type="http://schemas.openxmlformats.org/officeDocument/2006/relationships/hyperlink" Target="https://chromewebstore.google.com/detail/bdlhpbalhdjobabgbacbgclpjjelainj" TargetMode="External"/><Relationship Id="rId325" Type="http://schemas.openxmlformats.org/officeDocument/2006/relationships/hyperlink" Target="https://chromewebstore.google.com/detail/aplgdhgdhfeipojcjbhchmolaolealnd" TargetMode="External"/><Relationship Id="rId324" Type="http://schemas.openxmlformats.org/officeDocument/2006/relationships/hyperlink" Target="https://chromewebstore.google.com/detail/aljmkoflmjkklddjideacgmofobfkhkd" TargetMode="External"/><Relationship Id="rId329" Type="http://schemas.openxmlformats.org/officeDocument/2006/relationships/hyperlink" Target="https://chromewebstore.google.com/detail/ceipnlhmjohemhfpbjdgeigkababhmjc" TargetMode="External"/><Relationship Id="rId328" Type="http://schemas.openxmlformats.org/officeDocument/2006/relationships/hyperlink" Target="https://chromewebstore.google.com/detail/cdceffomlakcmodkiilmcbpkcpmbgoem" TargetMode="External"/><Relationship Id="rId323" Type="http://schemas.openxmlformats.org/officeDocument/2006/relationships/hyperlink" Target="https://chromewebstore.google.com/detail/alfgclaljdbleenfjjnkefddlgbknllp" TargetMode="External"/><Relationship Id="rId6601" Type="http://schemas.openxmlformats.org/officeDocument/2006/relationships/hyperlink" Target="https://chromewebstore.google.com/detail/ncehhheihcpdimfjbdlaogjebmlpgdan" TargetMode="External"/><Relationship Id="rId7933" Type="http://schemas.openxmlformats.org/officeDocument/2006/relationships/hyperlink" Target="https://chromewebstore.google.com/detail/mbflckojhjfboffiknejjmmnoipndeab" TargetMode="External"/><Relationship Id="rId322" Type="http://schemas.openxmlformats.org/officeDocument/2006/relationships/hyperlink" Target="https://chromewebstore.google.com/detail/ahkbmjhfoplmfkpncgoedjgkajkehcgo" TargetMode="External"/><Relationship Id="rId6602" Type="http://schemas.openxmlformats.org/officeDocument/2006/relationships/hyperlink" Target="https://chromewebstore.google.com/detail/ncfklglegjceemdfaiblepihhlkoafge" TargetMode="External"/><Relationship Id="rId7932" Type="http://schemas.openxmlformats.org/officeDocument/2006/relationships/hyperlink" Target="https://chromewebstore.google.com/detail/jgbdhmicbegjppohlonbfohpphkcnflb" TargetMode="External"/><Relationship Id="rId321" Type="http://schemas.openxmlformats.org/officeDocument/2006/relationships/hyperlink" Target="https://chromewebstore.google.com/detail/adicaaffkmhgnfheifkjhopmambgfihl" TargetMode="External"/><Relationship Id="rId7931" Type="http://schemas.openxmlformats.org/officeDocument/2006/relationships/hyperlink" Target="https://chromewebstore.google.com/detail/ikmkicnmahfdilneilgibeppbnolgkaf" TargetMode="External"/><Relationship Id="rId320" Type="http://schemas.openxmlformats.org/officeDocument/2006/relationships/hyperlink" Target="https://chromewebstore.google.com/detail/cpbghpalffgmgocmnigfhalghmaemffo" TargetMode="External"/><Relationship Id="rId6600" Type="http://schemas.openxmlformats.org/officeDocument/2006/relationships/hyperlink" Target="https://chromewebstore.google.com/detail/nbokdicbgbjogapngakgpbfgalomlnik" TargetMode="External"/><Relationship Id="rId7930" Type="http://schemas.openxmlformats.org/officeDocument/2006/relationships/hyperlink" Target="https://chromewebstore.google.com/detail/jfeiechecdangjmpojnjplngpociajeh" TargetMode="External"/><Relationship Id="rId7926" Type="http://schemas.openxmlformats.org/officeDocument/2006/relationships/hyperlink" Target="https://chromewebstore.google.com/detail/pbipgkaadgdbakhonngkopmnofndhdem" TargetMode="External"/><Relationship Id="rId7925" Type="http://schemas.openxmlformats.org/officeDocument/2006/relationships/hyperlink" Target="https://chromewebstore.google.com/detail/onajnlcpcfhahbmnppgkajefblapkhln" TargetMode="External"/><Relationship Id="rId7924" Type="http://schemas.openxmlformats.org/officeDocument/2006/relationships/hyperlink" Target="https://chromewebstore.google.com/detail/lncidbbcmjegllbdlpbmgdelncdpgpkc" TargetMode="External"/><Relationship Id="rId7923" Type="http://schemas.openxmlformats.org/officeDocument/2006/relationships/hyperlink" Target="https://chromewebstore.google.com/detail/kafbpkaodnkapgalobfodcpbioffcngc" TargetMode="External"/><Relationship Id="rId7929" Type="http://schemas.openxmlformats.org/officeDocument/2006/relationships/hyperlink" Target="https://chromewebstore.google.com/detail/fbhgegkipgjamncghhbfojfecmkfbglm" TargetMode="External"/><Relationship Id="rId7928" Type="http://schemas.openxmlformats.org/officeDocument/2006/relationships/hyperlink" Target="https://chromewebstore.google.com/detail/ibjednfgajknahjpfoafmeiehmeaofnc" TargetMode="External"/><Relationship Id="rId7927" Type="http://schemas.openxmlformats.org/officeDocument/2006/relationships/hyperlink" Target="https://chromewebstore.google.com/detail/fglfhelnlhemjigjdokjojihfeapoipl" TargetMode="External"/><Relationship Id="rId316" Type="http://schemas.openxmlformats.org/officeDocument/2006/relationships/hyperlink" Target="https://chromewebstore.google.com/detail/neonnmencpneifkhlmhmfhfiklgjmloi" TargetMode="External"/><Relationship Id="rId315" Type="http://schemas.openxmlformats.org/officeDocument/2006/relationships/hyperlink" Target="https://chromewebstore.google.com/detail/ncjdkbfljbfclahddicjlandcamhkpii" TargetMode="External"/><Relationship Id="rId314" Type="http://schemas.openxmlformats.org/officeDocument/2006/relationships/hyperlink" Target="https://chromewebstore.google.com/detail/mmjbimgpcbaegjiieojddickpjbdkeej" TargetMode="External"/><Relationship Id="rId313" Type="http://schemas.openxmlformats.org/officeDocument/2006/relationships/hyperlink" Target="https://chromewebstore.google.com/detail/mgmiemnjjchgkmgbeljfocdjjnpjnmcg" TargetMode="External"/><Relationship Id="rId319" Type="http://schemas.openxmlformats.org/officeDocument/2006/relationships/hyperlink" Target="https://chromewebstore.google.com/detail/pbkloffickinnlnmefmjmjbacohecpbd" TargetMode="External"/><Relationship Id="rId318" Type="http://schemas.openxmlformats.org/officeDocument/2006/relationships/hyperlink" Target="https://chromewebstore.google.com/detail/ohnjgmpcibpbafdlkimncjhflgedgpam" TargetMode="External"/><Relationship Id="rId317" Type="http://schemas.openxmlformats.org/officeDocument/2006/relationships/hyperlink" Target="https://chromewebstore.google.com/detail/ogfcmafjalglgifnmanfmnieipoejdcf" TargetMode="External"/><Relationship Id="rId312" Type="http://schemas.openxmlformats.org/officeDocument/2006/relationships/hyperlink" Target="https://chromewebstore.google.com/detail/mfbagbfobinbfmiehbnbfpngjmcgjgfl" TargetMode="External"/><Relationship Id="rId7922" Type="http://schemas.openxmlformats.org/officeDocument/2006/relationships/hyperlink" Target="https://chromewebstore.google.com/detail/jfoaoghgpkaklamhphfihiaifckkanlf" TargetMode="External"/><Relationship Id="rId311" Type="http://schemas.openxmlformats.org/officeDocument/2006/relationships/hyperlink" Target="https://chromewebstore.google.com/detail/lnhgdalhhjkfmmdjbkhilkinoomigdkc" TargetMode="External"/><Relationship Id="rId7921" Type="http://schemas.openxmlformats.org/officeDocument/2006/relationships/hyperlink" Target="https://chromewebstore.google.com/detail/jekcpjegemgakiacfgiplacomhabclce" TargetMode="External"/><Relationship Id="rId310" Type="http://schemas.openxmlformats.org/officeDocument/2006/relationships/hyperlink" Target="https://chromewebstore.google.com/detail/kfjfndohjinjlkfhgbmginlaomcagikg" TargetMode="External"/><Relationship Id="rId7920" Type="http://schemas.openxmlformats.org/officeDocument/2006/relationships/hyperlink" Target="https://chromewebstore.google.com/detail/ginlmldponabcjidalfoboonnmloeolj" TargetMode="External"/><Relationship Id="rId4040" Type="http://schemas.openxmlformats.org/officeDocument/2006/relationships/hyperlink" Target="https://chromewebstore.google.com/detail/cnmkiolbnmjlhdkabcgobbgdomhhdnho" TargetMode="External"/><Relationship Id="rId5372" Type="http://schemas.openxmlformats.org/officeDocument/2006/relationships/hyperlink" Target="https://chromewebstore.google.com/detail/dhpaponoajbgfahgmcbchndpjbooapog" TargetMode="External"/><Relationship Id="rId5373" Type="http://schemas.openxmlformats.org/officeDocument/2006/relationships/hyperlink" Target="https://chromewebstore.google.com/detail/dhpmaakdfkbiagigolpmjdiancfhhick" TargetMode="External"/><Relationship Id="rId4042" Type="http://schemas.openxmlformats.org/officeDocument/2006/relationships/hyperlink" Target="https://chromewebstore.google.com/detail/codnaoknigbmllnohbnplkofjalolake" TargetMode="External"/><Relationship Id="rId5370" Type="http://schemas.openxmlformats.org/officeDocument/2006/relationships/hyperlink" Target="https://chromewebstore.google.com/detail/dhgccdmhjimfkkolkndajocgdfgphaik" TargetMode="External"/><Relationship Id="rId4041" Type="http://schemas.openxmlformats.org/officeDocument/2006/relationships/hyperlink" Target="https://chromewebstore.google.com/detail/cnolacpkiokbppmgagjlfhllielebabb" TargetMode="External"/><Relationship Id="rId5371" Type="http://schemas.openxmlformats.org/officeDocument/2006/relationships/hyperlink" Target="https://chromewebstore.google.com/detail/dhijppimaboapijfjocmmephlbbfpcil" TargetMode="External"/><Relationship Id="rId4044" Type="http://schemas.openxmlformats.org/officeDocument/2006/relationships/hyperlink" Target="https://chromewebstore.google.com/detail/cpcignakeijfoeckijgbilaccoecmdic" TargetMode="External"/><Relationship Id="rId5376" Type="http://schemas.openxmlformats.org/officeDocument/2006/relationships/hyperlink" Target="https://chromewebstore.google.com/detail/dikbfpemggjmcidjecbjgbikghaaigei" TargetMode="External"/><Relationship Id="rId4043" Type="http://schemas.openxmlformats.org/officeDocument/2006/relationships/hyperlink" Target="https://chromewebstore.google.com/detail/comcoiiifldaaejpbgbincdkoohihbae" TargetMode="External"/><Relationship Id="rId5377" Type="http://schemas.openxmlformats.org/officeDocument/2006/relationships/hyperlink" Target="https://chromewebstore.google.com/detail/dilncfnkialpgbnpcjmghnepnankdibk" TargetMode="External"/><Relationship Id="rId4046" Type="http://schemas.openxmlformats.org/officeDocument/2006/relationships/hyperlink" Target="https://chromewebstore.google.com/detail/cpgbdfpoaalclikhghccccakifaoboam" TargetMode="External"/><Relationship Id="rId5374" Type="http://schemas.openxmlformats.org/officeDocument/2006/relationships/hyperlink" Target="https://chromewebstore.google.com/detail/diadblmpfmoecighhdmalpahghimodil" TargetMode="External"/><Relationship Id="rId4045" Type="http://schemas.openxmlformats.org/officeDocument/2006/relationships/hyperlink" Target="https://chromewebstore.google.com/detail/cpfpnjcjglagplmgdalpgldhpaegnimb" TargetMode="External"/><Relationship Id="rId5375" Type="http://schemas.openxmlformats.org/officeDocument/2006/relationships/hyperlink" Target="https://chromewebstore.google.com/detail/diddacjdgklfjgnlmknacnakjcgdiegn" TargetMode="External"/><Relationship Id="rId4048" Type="http://schemas.openxmlformats.org/officeDocument/2006/relationships/hyperlink" Target="https://chromewebstore.google.com/detail/cpimjbpbkpggeiicmehlcnmdoecmfane" TargetMode="External"/><Relationship Id="rId4047" Type="http://schemas.openxmlformats.org/officeDocument/2006/relationships/hyperlink" Target="https://chromewebstore.google.com/detail/cpgkjdokbgpdjgcfamoncohnfkldnglj" TargetMode="External"/><Relationship Id="rId5378" Type="http://schemas.openxmlformats.org/officeDocument/2006/relationships/hyperlink" Target="https://chromewebstore.google.com/detail/djajcdbelhandnaichcbohaoefndhnde" TargetMode="External"/><Relationship Id="rId4049" Type="http://schemas.openxmlformats.org/officeDocument/2006/relationships/hyperlink" Target="https://chromewebstore.google.com/detail/cpinnkgbfohodioinipjdhehnihbgeph" TargetMode="External"/><Relationship Id="rId5379" Type="http://schemas.openxmlformats.org/officeDocument/2006/relationships/hyperlink" Target="https://chromewebstore.google.com/detail/djcblfigljldnidihnfjmpcbfhflhfan" TargetMode="External"/><Relationship Id="rId5361" Type="http://schemas.openxmlformats.org/officeDocument/2006/relationships/hyperlink" Target="https://chromewebstore.google.com/detail/dgemigkanhiejpcmhimojfmanolcpcgp" TargetMode="External"/><Relationship Id="rId6692" Type="http://schemas.openxmlformats.org/officeDocument/2006/relationships/hyperlink" Target="https://chromewebstore.google.com/detail/nnjbfpapohkckhfpfkdfejgdhlimjffp" TargetMode="External"/><Relationship Id="rId5362" Type="http://schemas.openxmlformats.org/officeDocument/2006/relationships/hyperlink" Target="https://chromewebstore.google.com/detail/dghpifbabagfbmekemjgccimackjiljp" TargetMode="External"/><Relationship Id="rId6693" Type="http://schemas.openxmlformats.org/officeDocument/2006/relationships/hyperlink" Target="https://chromewebstore.google.com/detail/nnlnikmkkbpgioojghgojoejgcheilic" TargetMode="External"/><Relationship Id="rId4031" Type="http://schemas.openxmlformats.org/officeDocument/2006/relationships/hyperlink" Target="https://chromewebstore.google.com/detail/clacogadedfjdojijncmiblblcikgpci" TargetMode="External"/><Relationship Id="rId6690" Type="http://schemas.openxmlformats.org/officeDocument/2006/relationships/hyperlink" Target="https://chromewebstore.google.com/detail/nnbidmodmbkejgpldfcoefhpioggghba" TargetMode="External"/><Relationship Id="rId4030" Type="http://schemas.openxmlformats.org/officeDocument/2006/relationships/hyperlink" Target="https://chromewebstore.google.com/detail/ckkjfkemnmgcbbejelimfpbjklfdampf" TargetMode="External"/><Relationship Id="rId5360" Type="http://schemas.openxmlformats.org/officeDocument/2006/relationships/hyperlink" Target="https://chromewebstore.google.com/detail/dgdholpcdmhcmpceilhebneggabenide" TargetMode="External"/><Relationship Id="rId6691" Type="http://schemas.openxmlformats.org/officeDocument/2006/relationships/hyperlink" Target="https://chromewebstore.google.com/detail/nnegbcminlcngpbmooapnpacabaoggfo" TargetMode="External"/><Relationship Id="rId297" Type="http://schemas.openxmlformats.org/officeDocument/2006/relationships/hyperlink" Target="https://chromewebstore.google.com/detail/pejdnafppnpfimpnipdkiidjancinenc" TargetMode="External"/><Relationship Id="rId4033" Type="http://schemas.openxmlformats.org/officeDocument/2006/relationships/hyperlink" Target="https://chromewebstore.google.com/detail/clcdbeolcdigfefgbhlgghepjfkpdlgi" TargetMode="External"/><Relationship Id="rId5365" Type="http://schemas.openxmlformats.org/officeDocument/2006/relationships/hyperlink" Target="https://chromewebstore.google.com/detail/dgkaehmmlnblfmmpdebmhjieffcjjjph" TargetMode="External"/><Relationship Id="rId6696" Type="http://schemas.openxmlformats.org/officeDocument/2006/relationships/hyperlink" Target="https://chromewebstore.google.com/detail/nobpnmomjlcbohjkogaeobildecocmbh" TargetMode="External"/><Relationship Id="rId296" Type="http://schemas.openxmlformats.org/officeDocument/2006/relationships/hyperlink" Target="https://chromewebstore.google.com/detail/pakknklefcjdhejnffafpeelofiekebg" TargetMode="External"/><Relationship Id="rId4032" Type="http://schemas.openxmlformats.org/officeDocument/2006/relationships/hyperlink" Target="https://chromewebstore.google.com/detail/clallboofkppmmmhdbjhamfhlhpchbij" TargetMode="External"/><Relationship Id="rId5366" Type="http://schemas.openxmlformats.org/officeDocument/2006/relationships/hyperlink" Target="https://chromewebstore.google.com/detail/dglhdhjfhaikplcgklplalmejcahjheo" TargetMode="External"/><Relationship Id="rId6697" Type="http://schemas.openxmlformats.org/officeDocument/2006/relationships/hyperlink" Target="https://chromewebstore.google.com/detail/nocplalmfpldcjddjgabnkpmplmkoaln" TargetMode="External"/><Relationship Id="rId295" Type="http://schemas.openxmlformats.org/officeDocument/2006/relationships/hyperlink" Target="https://chromewebstore.google.com/detail/nbacobmbjgnmmdangdadkbjiabhamnco" TargetMode="External"/><Relationship Id="rId4035" Type="http://schemas.openxmlformats.org/officeDocument/2006/relationships/hyperlink" Target="https://chromewebstore.google.com/detail/clldjfcbckgjalddckiaeifojelabbng" TargetMode="External"/><Relationship Id="rId5363" Type="http://schemas.openxmlformats.org/officeDocument/2006/relationships/hyperlink" Target="https://chromewebstore.google.com/detail/dgieialkiekjbocjiekgghpkggjppnfe" TargetMode="External"/><Relationship Id="rId6694" Type="http://schemas.openxmlformats.org/officeDocument/2006/relationships/hyperlink" Target="https://chromewebstore.google.com/detail/nnokmbbdobieckndjabadnfkkcliakja" TargetMode="External"/><Relationship Id="rId294" Type="http://schemas.openxmlformats.org/officeDocument/2006/relationships/hyperlink" Target="https://chromewebstore.google.com/detail/lojeokmpinkpmpbakfkfpgfhpapbgdnd" TargetMode="External"/><Relationship Id="rId4034" Type="http://schemas.openxmlformats.org/officeDocument/2006/relationships/hyperlink" Target="https://chromewebstore.google.com/detail/clhjalfedcigiomjfmmjhgadnlmegobb" TargetMode="External"/><Relationship Id="rId5364" Type="http://schemas.openxmlformats.org/officeDocument/2006/relationships/hyperlink" Target="https://chromewebstore.google.com/detail/dgjbiomnpnpdickhihabccnbhpipddch" TargetMode="External"/><Relationship Id="rId6695" Type="http://schemas.openxmlformats.org/officeDocument/2006/relationships/hyperlink" Target="https://chromewebstore.google.com/detail/nobfcfkjkjjmojegpibijgpkobgiibbm" TargetMode="External"/><Relationship Id="rId4037" Type="http://schemas.openxmlformats.org/officeDocument/2006/relationships/hyperlink" Target="https://chromewebstore.google.com/detail/cmdpfacmlgednonhndniedecknojeaeb" TargetMode="External"/><Relationship Id="rId5369" Type="http://schemas.openxmlformats.org/officeDocument/2006/relationships/hyperlink" Target="https://chromewebstore.google.com/detail/dhfmgppomdaagdcbpccdfjpopgikcdge" TargetMode="External"/><Relationship Id="rId4036" Type="http://schemas.openxmlformats.org/officeDocument/2006/relationships/hyperlink" Target="https://chromewebstore.google.com/detail/clpnhenadbibdbfendahnlakkcpocmej" TargetMode="External"/><Relationship Id="rId299" Type="http://schemas.openxmlformats.org/officeDocument/2006/relationships/hyperlink" Target="https://chromewebstore.google.com/detail/ccljlmmlgpdlbpgafhnejagfjdlonnij" TargetMode="External"/><Relationship Id="rId4039" Type="http://schemas.openxmlformats.org/officeDocument/2006/relationships/hyperlink" Target="https://chromewebstore.google.com/detail/cnckgkigmhklfcknfmcmjhocdmihafaj" TargetMode="External"/><Relationship Id="rId5367" Type="http://schemas.openxmlformats.org/officeDocument/2006/relationships/hyperlink" Target="https://chromewebstore.google.com/detail/dhdiikochehiidnbdfmfnebddanneebf" TargetMode="External"/><Relationship Id="rId6698" Type="http://schemas.openxmlformats.org/officeDocument/2006/relationships/hyperlink" Target="https://chromewebstore.google.com/detail/nodbelcjcbpmaoainddnnabbljbffmec" TargetMode="External"/><Relationship Id="rId298" Type="http://schemas.openxmlformats.org/officeDocument/2006/relationships/hyperlink" Target="https://chromewebstore.google.com/detail/cbgkkbaghihhnaeabfcmmglhnfkfnpon" TargetMode="External"/><Relationship Id="rId4038" Type="http://schemas.openxmlformats.org/officeDocument/2006/relationships/hyperlink" Target="https://chromewebstore.google.com/detail/cmldlhgkbcdnjfpckeeajjmnkjdfjlik" TargetMode="External"/><Relationship Id="rId5368" Type="http://schemas.openxmlformats.org/officeDocument/2006/relationships/hyperlink" Target="https://chromewebstore.google.com/detail/dhejanhdgniddchmpmlbincglfhihipj" TargetMode="External"/><Relationship Id="rId6699" Type="http://schemas.openxmlformats.org/officeDocument/2006/relationships/hyperlink" Target="https://chromewebstore.google.com/detail/noeghnoecamljdddkjjcnijndkghpjpk" TargetMode="External"/><Relationship Id="rId5390" Type="http://schemas.openxmlformats.org/officeDocument/2006/relationships/hyperlink" Target="https://chromewebstore.google.com/detail/dkabagejkcmeakglamklmcloggfpbfgi" TargetMode="External"/><Relationship Id="rId5391" Type="http://schemas.openxmlformats.org/officeDocument/2006/relationships/hyperlink" Target="https://chromewebstore.google.com/detail/dkcjgidbeidhfhhmkfkeochcimlldonb" TargetMode="External"/><Relationship Id="rId4060" Type="http://schemas.openxmlformats.org/officeDocument/2006/relationships/hyperlink" Target="https://chromewebstore.google.com/detail/dbmfpajkdniocdhakblcepdkjbjgjllh" TargetMode="External"/><Relationship Id="rId4062" Type="http://schemas.openxmlformats.org/officeDocument/2006/relationships/hyperlink" Target="https://chromewebstore.google.com/detail/dcpagcgkpeflhhampddilklcnjdjlmlb" TargetMode="External"/><Relationship Id="rId5394" Type="http://schemas.openxmlformats.org/officeDocument/2006/relationships/hyperlink" Target="https://chromewebstore.google.com/detail/dkifegcdocfkajdmngcklhppafbcddif" TargetMode="External"/><Relationship Id="rId4061" Type="http://schemas.openxmlformats.org/officeDocument/2006/relationships/hyperlink" Target="https://chromewebstore.google.com/detail/dbmihiknkegbclhljngmibcfmdfolifk" TargetMode="External"/><Relationship Id="rId5395" Type="http://schemas.openxmlformats.org/officeDocument/2006/relationships/hyperlink" Target="https://chromewebstore.google.com/detail/dkjmlcpmijiiejngafklkleghnaiabpa" TargetMode="External"/><Relationship Id="rId4064" Type="http://schemas.openxmlformats.org/officeDocument/2006/relationships/hyperlink" Target="https://chromewebstore.google.com/detail/dddgjgcemjgkhgeekbooigaiilbklkbm" TargetMode="External"/><Relationship Id="rId5392" Type="http://schemas.openxmlformats.org/officeDocument/2006/relationships/hyperlink" Target="https://chromewebstore.google.com/detail/dkfmhaejojhbiclnpdgaadhfaocpgdko" TargetMode="External"/><Relationship Id="rId4063" Type="http://schemas.openxmlformats.org/officeDocument/2006/relationships/hyperlink" Target="https://chromewebstore.google.com/detail/ddaknggefjjgpnlhiejepbiplceedmfl" TargetMode="External"/><Relationship Id="rId5393" Type="http://schemas.openxmlformats.org/officeDocument/2006/relationships/hyperlink" Target="https://chromewebstore.google.com/detail/dkgihhapedpklhoilhcfbjcpmfggjbkc" TargetMode="External"/><Relationship Id="rId4066" Type="http://schemas.openxmlformats.org/officeDocument/2006/relationships/hyperlink" Target="https://chromewebstore.google.com/detail/ddhigekdfabonefhiildaiccafacphgg" TargetMode="External"/><Relationship Id="rId5398" Type="http://schemas.openxmlformats.org/officeDocument/2006/relationships/hyperlink" Target="https://chromewebstore.google.com/detail/dldofgjemhkpilajnlenfijjpkabilcg" TargetMode="External"/><Relationship Id="rId4065" Type="http://schemas.openxmlformats.org/officeDocument/2006/relationships/hyperlink" Target="https://chromewebstore.google.com/detail/ddejlbfddlhkoaomiocpbjmpnjkbcnkj" TargetMode="External"/><Relationship Id="rId5399" Type="http://schemas.openxmlformats.org/officeDocument/2006/relationships/hyperlink" Target="https://chromewebstore.google.com/detail/dlfcemjcmnnpogmjnnafohammmpibmbi" TargetMode="External"/><Relationship Id="rId4068" Type="http://schemas.openxmlformats.org/officeDocument/2006/relationships/hyperlink" Target="https://chromewebstore.google.com/detail/deelocceageedapbhbdepkcpdmlmoeog" TargetMode="External"/><Relationship Id="rId5396" Type="http://schemas.openxmlformats.org/officeDocument/2006/relationships/hyperlink" Target="https://chromewebstore.google.com/detail/dkmhhddfoojmodcjegnnnjamdbmpcnmb" TargetMode="External"/><Relationship Id="rId4067" Type="http://schemas.openxmlformats.org/officeDocument/2006/relationships/hyperlink" Target="https://chromewebstore.google.com/detail/ddibjepofbeacmjfabjiagcgihdmbcgp" TargetMode="External"/><Relationship Id="rId5397" Type="http://schemas.openxmlformats.org/officeDocument/2006/relationships/hyperlink" Target="https://chromewebstore.google.com/detail/dkpcolmjlollbpbimgmepckpaccecopn" TargetMode="External"/><Relationship Id="rId4069" Type="http://schemas.openxmlformats.org/officeDocument/2006/relationships/hyperlink" Target="https://chromewebstore.google.com/detail/definofoeccggpjeifncfpnpneheolob" TargetMode="External"/><Relationship Id="rId5380" Type="http://schemas.openxmlformats.org/officeDocument/2006/relationships/hyperlink" Target="https://chromewebstore.google.com/detail/djedajhgcgkaeplnmplaajnnioicbaph" TargetMode="External"/><Relationship Id="rId4051" Type="http://schemas.openxmlformats.org/officeDocument/2006/relationships/hyperlink" Target="https://chromewebstore.google.com/detail/cplpgnoppkbccmlenoljnonjnepkcied" TargetMode="External"/><Relationship Id="rId5383" Type="http://schemas.openxmlformats.org/officeDocument/2006/relationships/hyperlink" Target="https://chromewebstore.google.com/detail/djgfnbkiakemcmleeihmdngpamaknnem" TargetMode="External"/><Relationship Id="rId4050" Type="http://schemas.openxmlformats.org/officeDocument/2006/relationships/hyperlink" Target="https://chromewebstore.google.com/detail/cpjkopihdcgpngcchfhgncmaklfpnemm" TargetMode="External"/><Relationship Id="rId5384" Type="http://schemas.openxmlformats.org/officeDocument/2006/relationships/hyperlink" Target="https://chromewebstore.google.com/detail/djgggkkgpoeknlpdllmhdagbfnhaigmd" TargetMode="External"/><Relationship Id="rId4053" Type="http://schemas.openxmlformats.org/officeDocument/2006/relationships/hyperlink" Target="https://chromewebstore.google.com/detail/daeohababjfejibmakahfcffpjdhhanc" TargetMode="External"/><Relationship Id="rId5381" Type="http://schemas.openxmlformats.org/officeDocument/2006/relationships/hyperlink" Target="https://chromewebstore.google.com/detail/djeeealmnenojbdmkocimooihdfjblli" TargetMode="External"/><Relationship Id="rId4052" Type="http://schemas.openxmlformats.org/officeDocument/2006/relationships/hyperlink" Target="https://chromewebstore.google.com/detail/daalkhgbfbieaefapmogolgaflalmijb" TargetMode="External"/><Relationship Id="rId5382" Type="http://schemas.openxmlformats.org/officeDocument/2006/relationships/hyperlink" Target="https://chromewebstore.google.com/detail/djfkicajooephlfmebeckinidakdichn" TargetMode="External"/><Relationship Id="rId4055" Type="http://schemas.openxmlformats.org/officeDocument/2006/relationships/hyperlink" Target="https://chromewebstore.google.com/detail/daldfnbbgabpcbkkccaooijdpmgnjemh" TargetMode="External"/><Relationship Id="rId5387" Type="http://schemas.openxmlformats.org/officeDocument/2006/relationships/hyperlink" Target="https://chromewebstore.google.com/detail/djncfliejhhejjgbhcopflpnlaeicnco" TargetMode="External"/><Relationship Id="rId4054" Type="http://schemas.openxmlformats.org/officeDocument/2006/relationships/hyperlink" Target="https://chromewebstore.google.com/detail/daggnkohkdopbfmkjhcbcnjfkkilmbaa" TargetMode="External"/><Relationship Id="rId5388" Type="http://schemas.openxmlformats.org/officeDocument/2006/relationships/hyperlink" Target="https://chromewebstore.google.com/detail/djnkjimeimidbimfhoidjhfahoooinpb" TargetMode="External"/><Relationship Id="rId4057" Type="http://schemas.openxmlformats.org/officeDocument/2006/relationships/hyperlink" Target="https://chromewebstore.google.com/detail/dbeabmlhamomaaplbgkkpcoapajejnpn" TargetMode="External"/><Relationship Id="rId5385" Type="http://schemas.openxmlformats.org/officeDocument/2006/relationships/hyperlink" Target="https://chromewebstore.google.com/detail/djiagjcjenpnblipghgnefmcflecpbgf" TargetMode="External"/><Relationship Id="rId4056" Type="http://schemas.openxmlformats.org/officeDocument/2006/relationships/hyperlink" Target="https://chromewebstore.google.com/detail/dandckbjghfejnhmnhloigndkeabdbbo" TargetMode="External"/><Relationship Id="rId5386" Type="http://schemas.openxmlformats.org/officeDocument/2006/relationships/hyperlink" Target="https://chromewebstore.google.com/detail/djkgogfdadkjljaplcgigkcoofhikcke" TargetMode="External"/><Relationship Id="rId4059" Type="http://schemas.openxmlformats.org/officeDocument/2006/relationships/hyperlink" Target="https://chromewebstore.google.com/detail/dbkgglbefgkimiadfjmgnkjmaoahephg" TargetMode="External"/><Relationship Id="rId4058" Type="http://schemas.openxmlformats.org/officeDocument/2006/relationships/hyperlink" Target="https://chromewebstore.google.com/detail/dbiilmhbpifcgcpikjfagempfijhfpgd" TargetMode="External"/><Relationship Id="rId5389" Type="http://schemas.openxmlformats.org/officeDocument/2006/relationships/hyperlink" Target="https://chromewebstore.google.com/detail/djphbeeppdbbljolikpmhcjbodaakanh" TargetMode="External"/><Relationship Id="rId4008" Type="http://schemas.openxmlformats.org/officeDocument/2006/relationships/hyperlink" Target="https://chromewebstore.google.com/detail/cenhhgabijhpobnfnmkigobcefkmhjbj" TargetMode="External"/><Relationship Id="rId4007" Type="http://schemas.openxmlformats.org/officeDocument/2006/relationships/hyperlink" Target="https://chromewebstore.google.com/detail/cekmgllamfeimfigbknikfklahjmjcaa" TargetMode="External"/><Relationship Id="rId5338" Type="http://schemas.openxmlformats.org/officeDocument/2006/relationships/hyperlink" Target="https://chromewebstore.google.com/detail/ddfoagnhebpbidjkganhgninciiecgon" TargetMode="External"/><Relationship Id="rId6669" Type="http://schemas.openxmlformats.org/officeDocument/2006/relationships/hyperlink" Target="https://chromewebstore.google.com/detail/nlajeopfbepekemjhkjcbbnencojpaae" TargetMode="External"/><Relationship Id="rId4009" Type="http://schemas.openxmlformats.org/officeDocument/2006/relationships/hyperlink" Target="https://chromewebstore.google.com/detail/cenhmlkkgfflhedkkmgkmgmbcpdflbni" TargetMode="External"/><Relationship Id="rId5339" Type="http://schemas.openxmlformats.org/officeDocument/2006/relationships/hyperlink" Target="https://chromewebstore.google.com/detail/ddgaamifhjnehgppihfdbbddfemfnmhn" TargetMode="External"/><Relationship Id="rId271" Type="http://schemas.openxmlformats.org/officeDocument/2006/relationships/hyperlink" Target="https://chromewebstore.google.com/detail/oebpmncolmhiapingjaagmapififiakb" TargetMode="External"/><Relationship Id="rId270" Type="http://schemas.openxmlformats.org/officeDocument/2006/relationships/hyperlink" Target="https://chromewebstore.google.com/detail/ocgpenflpmgnfapjedencafcfakcekcd" TargetMode="External"/><Relationship Id="rId269" Type="http://schemas.openxmlformats.org/officeDocument/2006/relationships/hyperlink" Target="https://chromewebstore.google.com/detail/occjjkgifpmdgodlplnacmkejpdionan" TargetMode="External"/><Relationship Id="rId7991" Type="http://schemas.openxmlformats.org/officeDocument/2006/relationships/hyperlink" Target="https://chromewebstore.google.com/detail/incaoikdbplldggiaakikmhaeafapfpo" TargetMode="External"/><Relationship Id="rId6660" Type="http://schemas.openxmlformats.org/officeDocument/2006/relationships/hyperlink" Target="https://chromewebstore.google.com/detail/njpglomobjcmfhnojgielibggimlmcho" TargetMode="External"/><Relationship Id="rId7990" Type="http://schemas.openxmlformats.org/officeDocument/2006/relationships/hyperlink" Target="https://chromewebstore.google.com/detail/iafhjdlaghjpnpgddlhoiokipfpchnkc" TargetMode="External"/><Relationship Id="rId264" Type="http://schemas.openxmlformats.org/officeDocument/2006/relationships/hyperlink" Target="https://chromewebstore.google.com/detail/nccjoeeljedbmkidebclpoabijggpbdp" TargetMode="External"/><Relationship Id="rId4000" Type="http://schemas.openxmlformats.org/officeDocument/2006/relationships/hyperlink" Target="https://chromewebstore.google.com/detail/cdllihdpcibkhhkidaicoeeiammjkokm" TargetMode="External"/><Relationship Id="rId5332" Type="http://schemas.openxmlformats.org/officeDocument/2006/relationships/hyperlink" Target="https://chromewebstore.google.com/detail/dcjgejipfcngnonhafmookfalhigjlga" TargetMode="External"/><Relationship Id="rId6663" Type="http://schemas.openxmlformats.org/officeDocument/2006/relationships/hyperlink" Target="https://chromewebstore.google.com/detail/nkhfaopgdfgoedlecdnecpiindnkkpai" TargetMode="External"/><Relationship Id="rId7995" Type="http://schemas.openxmlformats.org/officeDocument/2006/relationships/hyperlink" Target="https://chromewebstore.google.com/detail/clenlcdnkhcmilhodbibgldkmldgpboi" TargetMode="External"/><Relationship Id="rId263" Type="http://schemas.openxmlformats.org/officeDocument/2006/relationships/hyperlink" Target="https://chromewebstore.google.com/detail/naijndjklgmffmpembnkfbcjbognokbf" TargetMode="External"/><Relationship Id="rId5333" Type="http://schemas.openxmlformats.org/officeDocument/2006/relationships/hyperlink" Target="https://chromewebstore.google.com/detail/dclmmkinjdaochjinbhanlipdpmkdhfb" TargetMode="External"/><Relationship Id="rId6664" Type="http://schemas.openxmlformats.org/officeDocument/2006/relationships/hyperlink" Target="https://chromewebstore.google.com/detail/nkhogfcnhgccnigkfnkmdpmcoehofabn" TargetMode="External"/><Relationship Id="rId7994" Type="http://schemas.openxmlformats.org/officeDocument/2006/relationships/hyperlink" Target="https://chromewebstore.google.com/detail/affklpjfehnkiekjdoalajogpbmjgajk" TargetMode="External"/><Relationship Id="rId262" Type="http://schemas.openxmlformats.org/officeDocument/2006/relationships/hyperlink" Target="https://chromewebstore.google.com/detail/mmjindpbjjflhaojplclpcjfoaepgnhm" TargetMode="External"/><Relationship Id="rId4002" Type="http://schemas.openxmlformats.org/officeDocument/2006/relationships/hyperlink" Target="https://chromewebstore.google.com/detail/ceaajjmckiakobniehbjpdcidfpohlin" TargetMode="External"/><Relationship Id="rId5330" Type="http://schemas.openxmlformats.org/officeDocument/2006/relationships/hyperlink" Target="https://chromewebstore.google.com/detail/dcgokppmeijgohpfplahjchiiaelhild" TargetMode="External"/><Relationship Id="rId6661" Type="http://schemas.openxmlformats.org/officeDocument/2006/relationships/hyperlink" Target="https://chromewebstore.google.com/detail/nkgnlidnlbejbjcnjjbeikmofafmhfkd" TargetMode="External"/><Relationship Id="rId7993" Type="http://schemas.openxmlformats.org/officeDocument/2006/relationships/hyperlink" Target="https://chromewebstore.google.com/detail/nmnkcdhmgffolgjmohbbdahpebdpglkp" TargetMode="External"/><Relationship Id="rId261" Type="http://schemas.openxmlformats.org/officeDocument/2006/relationships/hyperlink" Target="https://chromewebstore.google.com/detail/mljpablpddhocfbnokacjggdbmafjnon" TargetMode="External"/><Relationship Id="rId4001" Type="http://schemas.openxmlformats.org/officeDocument/2006/relationships/hyperlink" Target="https://chromewebstore.google.com/detail/cdoieoennkhjndgdmaehgdgboigjakkb" TargetMode="External"/><Relationship Id="rId5331" Type="http://schemas.openxmlformats.org/officeDocument/2006/relationships/hyperlink" Target="https://chromewebstore.google.com/detail/dcipbhpdbjjkioehjlbnkgffcfhlckig" TargetMode="External"/><Relationship Id="rId6662" Type="http://schemas.openxmlformats.org/officeDocument/2006/relationships/hyperlink" Target="https://chromewebstore.google.com/detail/nkgphogbgnehgdfkpiknbdnjaamlbgmo" TargetMode="External"/><Relationship Id="rId7992" Type="http://schemas.openxmlformats.org/officeDocument/2006/relationships/hyperlink" Target="https://chromewebstore.google.com/detail/lbgdgffkmahmodcbdgaokjiccogmfkel" TargetMode="External"/><Relationship Id="rId268" Type="http://schemas.openxmlformats.org/officeDocument/2006/relationships/hyperlink" Target="https://chromewebstore.google.com/detail/npecfdijgoblfcgagoijgmgejmcpnhof" TargetMode="External"/><Relationship Id="rId4004" Type="http://schemas.openxmlformats.org/officeDocument/2006/relationships/hyperlink" Target="https://chromewebstore.google.com/detail/cedkkpjolghccafognlkficihjmfedhc" TargetMode="External"/><Relationship Id="rId5336" Type="http://schemas.openxmlformats.org/officeDocument/2006/relationships/hyperlink" Target="https://chromewebstore.google.com/detail/ddcbpgaonefnjcnikdkbbdfgcgnpbndd" TargetMode="External"/><Relationship Id="rId6667" Type="http://schemas.openxmlformats.org/officeDocument/2006/relationships/hyperlink" Target="https://chromewebstore.google.com/detail/nlacgjiklmjjejlgoclnjhndjaiempdo" TargetMode="External"/><Relationship Id="rId7999" Type="http://schemas.openxmlformats.org/officeDocument/2006/relationships/hyperlink" Target="https://chromewebstore.google.com/detail/dmjhgmbjmadknbcgggacmdnmmbkjhcoh" TargetMode="External"/><Relationship Id="rId267" Type="http://schemas.openxmlformats.org/officeDocument/2006/relationships/hyperlink" Target="https://chromewebstore.google.com/detail/noogafoofpebimajpfpamcfhoaifemoa" TargetMode="External"/><Relationship Id="rId4003" Type="http://schemas.openxmlformats.org/officeDocument/2006/relationships/hyperlink" Target="https://chromewebstore.google.com/detail/cebdpbolebkmgidigfffifoemdcbhibf" TargetMode="External"/><Relationship Id="rId5337" Type="http://schemas.openxmlformats.org/officeDocument/2006/relationships/hyperlink" Target="https://chromewebstore.google.com/detail/dddflkfjemblhfmjdlmmilapbkdaabcj" TargetMode="External"/><Relationship Id="rId6668" Type="http://schemas.openxmlformats.org/officeDocument/2006/relationships/hyperlink" Target="https://chromewebstore.google.com/detail/nlagochcieefibigciiakkjaopfpnbcp" TargetMode="External"/><Relationship Id="rId7998" Type="http://schemas.openxmlformats.org/officeDocument/2006/relationships/hyperlink" Target="https://chromewebstore.google.com/detail/dlbgdlmfkjiffjkchlipihnmbmhnapja" TargetMode="External"/><Relationship Id="rId266" Type="http://schemas.openxmlformats.org/officeDocument/2006/relationships/hyperlink" Target="https://chromewebstore.google.com/detail/nnahcpdajidknipglinmjmcmhckpbhnk" TargetMode="External"/><Relationship Id="rId4006" Type="http://schemas.openxmlformats.org/officeDocument/2006/relationships/hyperlink" Target="https://chromewebstore.google.com/detail/cejacfgegngnjehgamebpaolkljcgcmk" TargetMode="External"/><Relationship Id="rId5334" Type="http://schemas.openxmlformats.org/officeDocument/2006/relationships/hyperlink" Target="https://chromewebstore.google.com/detail/dcoehgalcmebfjgkbhbpllfhjcclkjan" TargetMode="External"/><Relationship Id="rId6665" Type="http://schemas.openxmlformats.org/officeDocument/2006/relationships/hyperlink" Target="https://chromewebstore.google.com/detail/nkkifkipcmcammmabpkpiolikffodefe" TargetMode="External"/><Relationship Id="rId7997" Type="http://schemas.openxmlformats.org/officeDocument/2006/relationships/hyperlink" Target="https://chromewebstore.google.com/detail/ldaiicpiaelfkcmflimecpfjlejgnfoo" TargetMode="External"/><Relationship Id="rId265" Type="http://schemas.openxmlformats.org/officeDocument/2006/relationships/hyperlink" Target="https://chromewebstore.google.com/detail/nidndciakmfgmeidifobfpiffbkcemnc" TargetMode="External"/><Relationship Id="rId4005" Type="http://schemas.openxmlformats.org/officeDocument/2006/relationships/hyperlink" Target="https://chromewebstore.google.com/detail/ceebcpbapdnfnkhfogkbhbgknhgnaoee" TargetMode="External"/><Relationship Id="rId5335" Type="http://schemas.openxmlformats.org/officeDocument/2006/relationships/hyperlink" Target="https://chromewebstore.google.com/detail/dcplnjefdiofhkgfbinbafljcehmacaa" TargetMode="External"/><Relationship Id="rId6666" Type="http://schemas.openxmlformats.org/officeDocument/2006/relationships/hyperlink" Target="https://chromewebstore.google.com/detail/nkngcebpegephfoiilhkhbphokbpmmah" TargetMode="External"/><Relationship Id="rId7996" Type="http://schemas.openxmlformats.org/officeDocument/2006/relationships/hyperlink" Target="https://chromewebstore.google.com/detail/ighnlholdodepefajbkbjcedobmggmlk" TargetMode="External"/><Relationship Id="rId5329" Type="http://schemas.openxmlformats.org/officeDocument/2006/relationships/hyperlink" Target="https://chromewebstore.google.com/detail/dcfemdjbmeighenpckbkmjbiamhbmafp" TargetMode="External"/><Relationship Id="rId5327" Type="http://schemas.openxmlformats.org/officeDocument/2006/relationships/hyperlink" Target="https://chromewebstore.google.com/detail/dcbfokdljpjjopdbceockgcdaljljbjn" TargetMode="External"/><Relationship Id="rId6658" Type="http://schemas.openxmlformats.org/officeDocument/2006/relationships/hyperlink" Target="https://chromewebstore.google.com/detail/njmimamhjdjmhaanknoammfblbghkkga" TargetMode="External"/><Relationship Id="rId5328" Type="http://schemas.openxmlformats.org/officeDocument/2006/relationships/hyperlink" Target="https://chromewebstore.google.com/detail/dcdgjlpdmbmempjdkbkgdelpaabiefjk" TargetMode="External"/><Relationship Id="rId6659" Type="http://schemas.openxmlformats.org/officeDocument/2006/relationships/hyperlink" Target="https://chromewebstore.google.com/detail/njojjgfflfhiiajlkdfgofamppiincao" TargetMode="External"/><Relationship Id="rId7989" Type="http://schemas.openxmlformats.org/officeDocument/2006/relationships/hyperlink" Target="https://chromewebstore.google.com/detail/hefcmbkgejfdgalommcceebgodchffke" TargetMode="External"/><Relationship Id="rId260" Type="http://schemas.openxmlformats.org/officeDocument/2006/relationships/hyperlink" Target="https://chromewebstore.google.com/detail/mghhlojofjipigjobacbjdngmjafdeim" TargetMode="External"/><Relationship Id="rId259" Type="http://schemas.openxmlformats.org/officeDocument/2006/relationships/hyperlink" Target="https://chromewebstore.google.com/detail/mbigbapnjcgaffohmbkdlecaccepngjd" TargetMode="External"/><Relationship Id="rId258" Type="http://schemas.openxmlformats.org/officeDocument/2006/relationships/hyperlink" Target="https://chromewebstore.google.com/detail/mbcgbbpomkkndfbpiepjimakkbocjgkh" TargetMode="External"/><Relationship Id="rId7980" Type="http://schemas.openxmlformats.org/officeDocument/2006/relationships/hyperlink" Target="https://chromewebstore.google.com/detail/ocncmnlemplfdjckmhflkhjebhlkkepl" TargetMode="External"/><Relationship Id="rId253" Type="http://schemas.openxmlformats.org/officeDocument/2006/relationships/hyperlink" Target="https://chromewebstore.google.com/detail/ldlfakmjimohnhnpgnjmjkdnaiegiebg" TargetMode="External"/><Relationship Id="rId5321" Type="http://schemas.openxmlformats.org/officeDocument/2006/relationships/hyperlink" Target="https://chromewebstore.google.com/detail/dbhlmjpfacmmmplcebbhgbofbckhmpbj" TargetMode="External"/><Relationship Id="rId6652" Type="http://schemas.openxmlformats.org/officeDocument/2006/relationships/hyperlink" Target="https://chromewebstore.google.com/detail/nihmfkglncnpheihhidaanekobbdhbck" TargetMode="External"/><Relationship Id="rId7984" Type="http://schemas.openxmlformats.org/officeDocument/2006/relationships/hyperlink" Target="https://chromewebstore.google.com/detail/ioapfajjckangiinhjnhphkjdjfgkkgc" TargetMode="External"/><Relationship Id="rId252" Type="http://schemas.openxmlformats.org/officeDocument/2006/relationships/hyperlink" Target="https://chromewebstore.google.com/detail/lckanjgmijmafbedllaakclkaicjfmnk" TargetMode="External"/><Relationship Id="rId5322" Type="http://schemas.openxmlformats.org/officeDocument/2006/relationships/hyperlink" Target="https://chromewebstore.google.com/detail/dbkahggfkedkmjdijpffegkbikbigpfk" TargetMode="External"/><Relationship Id="rId6653" Type="http://schemas.openxmlformats.org/officeDocument/2006/relationships/hyperlink" Target="https://chromewebstore.google.com/detail/niibkjnjbkgbolkbedmldohdpnijjooe" TargetMode="External"/><Relationship Id="rId7983" Type="http://schemas.openxmlformats.org/officeDocument/2006/relationships/hyperlink" Target="https://chromewebstore.google.com/detail/hmeejpepihngockjpcappgappbepggip" TargetMode="External"/><Relationship Id="rId251" Type="http://schemas.openxmlformats.org/officeDocument/2006/relationships/hyperlink" Target="https://chromewebstore.google.com/detail/lamaakaemgdclpnfbofmhpkanfnojjch" TargetMode="External"/><Relationship Id="rId6650" Type="http://schemas.openxmlformats.org/officeDocument/2006/relationships/hyperlink" Target="https://chromewebstore.google.com/detail/nibfdabgnekfamcpaghohhhgbbjoflha" TargetMode="External"/><Relationship Id="rId7982" Type="http://schemas.openxmlformats.org/officeDocument/2006/relationships/hyperlink" Target="https://chromewebstore.google.com/detail/eogpejkjgbbhikkebmpbcdglbnjllfai" TargetMode="External"/><Relationship Id="rId250" Type="http://schemas.openxmlformats.org/officeDocument/2006/relationships/hyperlink" Target="https://chromewebstore.google.com/detail/kniehgiejgnnpgojkdhhjbgbllnfkfdk" TargetMode="External"/><Relationship Id="rId5320" Type="http://schemas.openxmlformats.org/officeDocument/2006/relationships/hyperlink" Target="https://chromewebstore.google.com/detail/dbgbpfefnifpdkieggikljahlmmbdial" TargetMode="External"/><Relationship Id="rId6651" Type="http://schemas.openxmlformats.org/officeDocument/2006/relationships/hyperlink" Target="https://chromewebstore.google.com/detail/niefphjedpfldilfomglllhcpmghoekp" TargetMode="External"/><Relationship Id="rId7981" Type="http://schemas.openxmlformats.org/officeDocument/2006/relationships/hyperlink" Target="https://chromewebstore.google.com/detail/ocnjckohbfdjdlhfgmnocamdfdkfclmk" TargetMode="External"/><Relationship Id="rId257" Type="http://schemas.openxmlformats.org/officeDocument/2006/relationships/hyperlink" Target="https://chromewebstore.google.com/detail/magknjdfniglanojbpadmpjlglepnlko" TargetMode="External"/><Relationship Id="rId5325" Type="http://schemas.openxmlformats.org/officeDocument/2006/relationships/hyperlink" Target="https://chromewebstore.google.com/detail/dbphjkhbhnbcbgmokephnhfegbbeamcg" TargetMode="External"/><Relationship Id="rId6656" Type="http://schemas.openxmlformats.org/officeDocument/2006/relationships/hyperlink" Target="https://chromewebstore.google.com/detail/njjefmgmfomkdfkoiimnjbhckbjldihb" TargetMode="External"/><Relationship Id="rId7988" Type="http://schemas.openxmlformats.org/officeDocument/2006/relationships/hyperlink" Target="https://chromewebstore.google.com/detail/fpkdjcbfpcjhkjgdebpilkojicboeick" TargetMode="External"/><Relationship Id="rId256" Type="http://schemas.openxmlformats.org/officeDocument/2006/relationships/hyperlink" Target="https://chromewebstore.google.com/detail/ljighgeflmhnpljodhpcifcojkpancpm" TargetMode="External"/><Relationship Id="rId5326" Type="http://schemas.openxmlformats.org/officeDocument/2006/relationships/hyperlink" Target="https://chromewebstore.google.com/detail/dbpliifabeopadfiaejlchjmdonpgdne" TargetMode="External"/><Relationship Id="rId6657" Type="http://schemas.openxmlformats.org/officeDocument/2006/relationships/hyperlink" Target="https://chromewebstore.google.com/detail/njjicmmkcgeigdgihdhkjoahiieinmci" TargetMode="External"/><Relationship Id="rId7987" Type="http://schemas.openxmlformats.org/officeDocument/2006/relationships/hyperlink" Target="https://chromewebstore.google.com/detail/phokmbaffndjgejhemchophkkpdmpeln" TargetMode="External"/><Relationship Id="rId255" Type="http://schemas.openxmlformats.org/officeDocument/2006/relationships/hyperlink" Target="https://chromewebstore.google.com/detail/lhkmoheomjbkfloacpgllgjcamhihfaj" TargetMode="External"/><Relationship Id="rId5323" Type="http://schemas.openxmlformats.org/officeDocument/2006/relationships/hyperlink" Target="https://chromewebstore.google.com/detail/dbmcgjnggajepgimockjbbaognflkchd" TargetMode="External"/><Relationship Id="rId6654" Type="http://schemas.openxmlformats.org/officeDocument/2006/relationships/hyperlink" Target="https://chromewebstore.google.com/detail/njcgdakjdifgccdgnoiphpnihcfopcmj" TargetMode="External"/><Relationship Id="rId7986" Type="http://schemas.openxmlformats.org/officeDocument/2006/relationships/hyperlink" Target="https://chromewebstore.google.com/detail/mkpcepodmbdmbpenhmmkipbijpblfjik" TargetMode="External"/><Relationship Id="rId254" Type="http://schemas.openxmlformats.org/officeDocument/2006/relationships/hyperlink" Target="https://chromewebstore.google.com/detail/lecdifefmmfjnjjinhaennhdlmcaeeeb" TargetMode="External"/><Relationship Id="rId5324" Type="http://schemas.openxmlformats.org/officeDocument/2006/relationships/hyperlink" Target="https://chromewebstore.google.com/detail/dbnjjihpapafmihpnionckfipbmalhko" TargetMode="External"/><Relationship Id="rId6655" Type="http://schemas.openxmlformats.org/officeDocument/2006/relationships/hyperlink" Target="https://chromewebstore.google.com/detail/njgpoifkefbbhjohcadcngdomfifcflj" TargetMode="External"/><Relationship Id="rId7985" Type="http://schemas.openxmlformats.org/officeDocument/2006/relationships/hyperlink" Target="https://chromewebstore.google.com/detail/kfbjgcdnobfffhgnlokmdmlnhikneoki" TargetMode="External"/><Relationship Id="rId4029" Type="http://schemas.openxmlformats.org/officeDocument/2006/relationships/hyperlink" Target="https://chromewebstore.google.com/detail/ckgbnjpcijhjpfnecakkeobeohelllod" TargetMode="External"/><Relationship Id="rId293" Type="http://schemas.openxmlformats.org/officeDocument/2006/relationships/hyperlink" Target="https://chromewebstore.google.com/detail/lkngoeaeclaebmpkgapchgjdbaekacki" TargetMode="External"/><Relationship Id="rId292" Type="http://schemas.openxmlformats.org/officeDocument/2006/relationships/hyperlink" Target="https://chromewebstore.google.com/detail/khpfeaanjngmcnplbdlpegiifgpfgdco" TargetMode="External"/><Relationship Id="rId291" Type="http://schemas.openxmlformats.org/officeDocument/2006/relationships/hyperlink" Target="https://chromewebstore.google.com/detail/kcehcblfpidimbihdfophhhdejckolgh" TargetMode="External"/><Relationship Id="rId290" Type="http://schemas.openxmlformats.org/officeDocument/2006/relationships/hyperlink" Target="https://chromewebstore.google.com/detail/joinpgckiioeklibflapokicmndlcnef" TargetMode="External"/><Relationship Id="rId5350" Type="http://schemas.openxmlformats.org/officeDocument/2006/relationships/hyperlink" Target="https://chromewebstore.google.com/detail/degdjdhdlmnkeccfcpepfobgpjaphbee" TargetMode="External"/><Relationship Id="rId6681" Type="http://schemas.openxmlformats.org/officeDocument/2006/relationships/hyperlink" Target="https://chromewebstore.google.com/detail/nmbgmlcgfijmpcpphmdndjjchiokjlfb" TargetMode="External"/><Relationship Id="rId5351" Type="http://schemas.openxmlformats.org/officeDocument/2006/relationships/hyperlink" Target="https://chromewebstore.google.com/detail/delbmlkicoecjgfkhlpojijdpfeagjcd" TargetMode="External"/><Relationship Id="rId6682" Type="http://schemas.openxmlformats.org/officeDocument/2006/relationships/hyperlink" Target="https://chromewebstore.google.com/detail/nmccamaemgaapokidgbgackjeedocejl" TargetMode="External"/><Relationship Id="rId4020" Type="http://schemas.openxmlformats.org/officeDocument/2006/relationships/hyperlink" Target="https://chromewebstore.google.com/detail/cicbejncjmbkbahiicbiflndmhbcgibk" TargetMode="External"/><Relationship Id="rId6680" Type="http://schemas.openxmlformats.org/officeDocument/2006/relationships/hyperlink" Target="https://chromewebstore.google.com/detail/nlkblacjcdilfdjmmlfemoalcbjjopgf" TargetMode="External"/><Relationship Id="rId286" Type="http://schemas.openxmlformats.org/officeDocument/2006/relationships/hyperlink" Target="https://chromewebstore.google.com/detail/geenaogahfiljnpdafiobohipggenddh" TargetMode="External"/><Relationship Id="rId4022" Type="http://schemas.openxmlformats.org/officeDocument/2006/relationships/hyperlink" Target="https://chromewebstore.google.com/detail/cjdbebokopcgdhcefeijjdgfampgeejg" TargetMode="External"/><Relationship Id="rId5354" Type="http://schemas.openxmlformats.org/officeDocument/2006/relationships/hyperlink" Target="https://chromewebstore.google.com/detail/dfafggejpfoflelimhkpdfnodlccgfja" TargetMode="External"/><Relationship Id="rId6685" Type="http://schemas.openxmlformats.org/officeDocument/2006/relationships/hyperlink" Target="https://chromewebstore.google.com/detail/nmfpagncfehjlnmlcmlbikodahcphfdd" TargetMode="External"/><Relationship Id="rId285" Type="http://schemas.openxmlformats.org/officeDocument/2006/relationships/hyperlink" Target="https://chromewebstore.google.com/detail/enacoimjcgeinfnnnpajinjgmkahmfgb" TargetMode="External"/><Relationship Id="rId4021" Type="http://schemas.openxmlformats.org/officeDocument/2006/relationships/hyperlink" Target="https://chromewebstore.google.com/detail/ciddpbgegdenbmddmmpiiebnnnafapma" TargetMode="External"/><Relationship Id="rId5355" Type="http://schemas.openxmlformats.org/officeDocument/2006/relationships/hyperlink" Target="https://chromewebstore.google.com/detail/dfdpnfjofanhigifgpfjjheeohdofnjm" TargetMode="External"/><Relationship Id="rId6686" Type="http://schemas.openxmlformats.org/officeDocument/2006/relationships/hyperlink" Target="https://chromewebstore.google.com/detail/nmhlklogcifmkofeafamhdnminbhejho" TargetMode="External"/><Relationship Id="rId284" Type="http://schemas.openxmlformats.org/officeDocument/2006/relationships/hyperlink" Target="https://chromewebstore.google.com/detail/efjcmgblfpkhbjpkpopkgeomfkokpaim" TargetMode="External"/><Relationship Id="rId4024" Type="http://schemas.openxmlformats.org/officeDocument/2006/relationships/hyperlink" Target="https://chromewebstore.google.com/detail/cjeloakegabdmhnaiiakflnhnmpdlpbp" TargetMode="External"/><Relationship Id="rId5352" Type="http://schemas.openxmlformats.org/officeDocument/2006/relationships/hyperlink" Target="https://chromewebstore.google.com/detail/denlhphadllhcolhlbbbjmhkgbknmmon" TargetMode="External"/><Relationship Id="rId6683" Type="http://schemas.openxmlformats.org/officeDocument/2006/relationships/hyperlink" Target="https://chromewebstore.google.com/detail/nmddnckmbnlpdaehblenpajpfeajaejm" TargetMode="External"/><Relationship Id="rId283" Type="http://schemas.openxmlformats.org/officeDocument/2006/relationships/hyperlink" Target="https://chromewebstore.google.com/detail/edhnemgfcihjcpfhkoiiejgedkbefnhg" TargetMode="External"/><Relationship Id="rId4023" Type="http://schemas.openxmlformats.org/officeDocument/2006/relationships/hyperlink" Target="https://chromewebstore.google.com/detail/cjdnohlmolgcpdfgkbfgjakihnoddmfl" TargetMode="External"/><Relationship Id="rId5353" Type="http://schemas.openxmlformats.org/officeDocument/2006/relationships/hyperlink" Target="https://chromewebstore.google.com/detail/depjbcindpehnakoaonigpebgphbpang" TargetMode="External"/><Relationship Id="rId6684" Type="http://schemas.openxmlformats.org/officeDocument/2006/relationships/hyperlink" Target="https://chromewebstore.google.com/detail/nmdpdgickahiikobclgoolmfgiibegke" TargetMode="External"/><Relationship Id="rId4026" Type="http://schemas.openxmlformats.org/officeDocument/2006/relationships/hyperlink" Target="https://chromewebstore.google.com/detail/cjgphmckkkgnlkbdaellanfoajipefnd" TargetMode="External"/><Relationship Id="rId5358" Type="http://schemas.openxmlformats.org/officeDocument/2006/relationships/hyperlink" Target="https://chromewebstore.google.com/detail/dfncpmlchoghcaleajocnbgnffdkpeia" TargetMode="External"/><Relationship Id="rId6689" Type="http://schemas.openxmlformats.org/officeDocument/2006/relationships/hyperlink" Target="https://chromewebstore.google.com/detail/nnahaihpnbhhaklinmkkkpdbeapjdaeg" TargetMode="External"/><Relationship Id="rId289" Type="http://schemas.openxmlformats.org/officeDocument/2006/relationships/hyperlink" Target="https://chromewebstore.google.com/detail/iffdacemhfpnchinokehhnppllonacfj" TargetMode="External"/><Relationship Id="rId4025" Type="http://schemas.openxmlformats.org/officeDocument/2006/relationships/hyperlink" Target="https://chromewebstore.google.com/detail/cjfeohjffkdehdblcolicjhhnbphcmna" TargetMode="External"/><Relationship Id="rId5359" Type="http://schemas.openxmlformats.org/officeDocument/2006/relationships/hyperlink" Target="https://chromewebstore.google.com/detail/dgcojenhfdjhieoglmiaheihjadlpcml" TargetMode="External"/><Relationship Id="rId288" Type="http://schemas.openxmlformats.org/officeDocument/2006/relationships/hyperlink" Target="https://chromewebstore.google.com/detail/hbmcflodcpmdbpelmchgmekkbdbmlmfh" TargetMode="External"/><Relationship Id="rId4028" Type="http://schemas.openxmlformats.org/officeDocument/2006/relationships/hyperlink" Target="https://chromewebstore.google.com/detail/ckfnddafphjahhiadjogilncdegmbpkm" TargetMode="External"/><Relationship Id="rId5356" Type="http://schemas.openxmlformats.org/officeDocument/2006/relationships/hyperlink" Target="https://chromewebstore.google.com/detail/dfheomfpopjjlmhdhlodbahiemdmhbma" TargetMode="External"/><Relationship Id="rId6687" Type="http://schemas.openxmlformats.org/officeDocument/2006/relationships/hyperlink" Target="https://chromewebstore.google.com/detail/nmjopndfflhddopijkeogfceejkcgdpn" TargetMode="External"/><Relationship Id="rId287" Type="http://schemas.openxmlformats.org/officeDocument/2006/relationships/hyperlink" Target="https://chromewebstore.google.com/detail/gkdkpnimfmkkhlffjbijibpoimhihjea" TargetMode="External"/><Relationship Id="rId4027" Type="http://schemas.openxmlformats.org/officeDocument/2006/relationships/hyperlink" Target="https://chromewebstore.google.com/detail/cjkpjplnmflmkmhilpllfbnpngikigbl" TargetMode="External"/><Relationship Id="rId5357" Type="http://schemas.openxmlformats.org/officeDocument/2006/relationships/hyperlink" Target="https://chromewebstore.google.com/detail/dfklamfdbffkjofhkeeclclpcpejoaaf" TargetMode="External"/><Relationship Id="rId6688" Type="http://schemas.openxmlformats.org/officeDocument/2006/relationships/hyperlink" Target="https://chromewebstore.google.com/detail/nmoicgikomkhfcfimpldahmfabckjiie" TargetMode="External"/><Relationship Id="rId4019" Type="http://schemas.openxmlformats.org/officeDocument/2006/relationships/hyperlink" Target="https://chromewebstore.google.com/detail/cibdcahjafpbiaeailljelhpcjlmnlcm" TargetMode="External"/><Relationship Id="rId4018" Type="http://schemas.openxmlformats.org/officeDocument/2006/relationships/hyperlink" Target="https://chromewebstore.google.com/detail/chgfefjpcobfbnpmiokfjjaglahmnded" TargetMode="External"/><Relationship Id="rId5349" Type="http://schemas.openxmlformats.org/officeDocument/2006/relationships/hyperlink" Target="https://chromewebstore.google.com/detail/defgpmhdcccigmoohcmoeokjplaklfne" TargetMode="External"/><Relationship Id="rId282" Type="http://schemas.openxmlformats.org/officeDocument/2006/relationships/hyperlink" Target="https://chromewebstore.google.com/detail/mcpmofnlkemfkhgngcdppgbhncoflmpe" TargetMode="External"/><Relationship Id="rId281" Type="http://schemas.openxmlformats.org/officeDocument/2006/relationships/hyperlink" Target="https://chromewebstore.google.com/detail/pkoacgokdfckfpndoffpifphamojphii" TargetMode="External"/><Relationship Id="rId280" Type="http://schemas.openxmlformats.org/officeDocument/2006/relationships/hyperlink" Target="https://chromewebstore.google.com/detail/pgniedifoejifjkndekolimjeclnokkb" TargetMode="External"/><Relationship Id="rId6670" Type="http://schemas.openxmlformats.org/officeDocument/2006/relationships/hyperlink" Target="https://chromewebstore.google.com/detail/nlbhcphfldljgepbiggpcbdpbhpkfhmi" TargetMode="External"/><Relationship Id="rId5340" Type="http://schemas.openxmlformats.org/officeDocument/2006/relationships/hyperlink" Target="https://chromewebstore.google.com/detail/ddklinnhageaolpojclheieamdiphabe" TargetMode="External"/><Relationship Id="rId6671" Type="http://schemas.openxmlformats.org/officeDocument/2006/relationships/hyperlink" Target="https://chromewebstore.google.com/detail/nlbikhljcdblhipffkjekingckoolbpm" TargetMode="External"/><Relationship Id="rId275" Type="http://schemas.openxmlformats.org/officeDocument/2006/relationships/hyperlink" Target="https://chromewebstore.google.com/detail/oiigbmnaadbkfbmpbfijlflahbdbdgdf" TargetMode="External"/><Relationship Id="rId4011" Type="http://schemas.openxmlformats.org/officeDocument/2006/relationships/hyperlink" Target="https://chromewebstore.google.com/detail/cfejbcmkcnkjjnohkmjogghgbjmojlck" TargetMode="External"/><Relationship Id="rId5343" Type="http://schemas.openxmlformats.org/officeDocument/2006/relationships/hyperlink" Target="https://chromewebstore.google.com/detail/ddmpckcmhpnpgfcgfgeklphbbigknjgf" TargetMode="External"/><Relationship Id="rId6674" Type="http://schemas.openxmlformats.org/officeDocument/2006/relationships/hyperlink" Target="https://chromewebstore.google.com/detail/nlgcgpapdnbojffhkdgekpgceeemohaf" TargetMode="External"/><Relationship Id="rId274" Type="http://schemas.openxmlformats.org/officeDocument/2006/relationships/hyperlink" Target="https://chromewebstore.google.com/detail/ogeebjpdeabhncjpfhgdibjajcajepgg" TargetMode="External"/><Relationship Id="rId4010" Type="http://schemas.openxmlformats.org/officeDocument/2006/relationships/hyperlink" Target="https://chromewebstore.google.com/detail/cfamjaolobgncfhomepbmjjihlbkchgb" TargetMode="External"/><Relationship Id="rId5344" Type="http://schemas.openxmlformats.org/officeDocument/2006/relationships/hyperlink" Target="https://chromewebstore.google.com/detail/ddnokpehgkphddjdmohgjdnnbbjdobia" TargetMode="External"/><Relationship Id="rId6675" Type="http://schemas.openxmlformats.org/officeDocument/2006/relationships/hyperlink" Target="http://scrin.io" TargetMode="External"/><Relationship Id="rId273" Type="http://schemas.openxmlformats.org/officeDocument/2006/relationships/hyperlink" Target="https://chromewebstore.google.com/detail/ofbbahodfeppoklmgjiokgfdgcndngjm" TargetMode="External"/><Relationship Id="rId4013" Type="http://schemas.openxmlformats.org/officeDocument/2006/relationships/hyperlink" Target="https://chromewebstore.google.com/detail/cfmhknohjdjilpokjpdopankilegcglf" TargetMode="External"/><Relationship Id="rId5341" Type="http://schemas.openxmlformats.org/officeDocument/2006/relationships/hyperlink" Target="https://chromewebstore.google.com/detail/ddmdooeeiphjmbcoaonbbkcadneggphh" TargetMode="External"/><Relationship Id="rId6672" Type="http://schemas.openxmlformats.org/officeDocument/2006/relationships/hyperlink" Target="https://chromewebstore.google.com/detail/nldfafdiaihciaclfkiljachinoblbko" TargetMode="External"/><Relationship Id="rId272" Type="http://schemas.openxmlformats.org/officeDocument/2006/relationships/hyperlink" Target="https://chromewebstore.google.com/detail/oenllhgkiiljibhfagbfogdbchhdchml" TargetMode="External"/><Relationship Id="rId4012" Type="http://schemas.openxmlformats.org/officeDocument/2006/relationships/hyperlink" Target="https://chromewebstore.google.com/detail/cfeppjpdaokjflnpmdmflnhecgbjicjm" TargetMode="External"/><Relationship Id="rId5342" Type="http://schemas.openxmlformats.org/officeDocument/2006/relationships/hyperlink" Target="https://chromewebstore.google.com/detail/ddmgdlhnpkmkppobaalgnjbgogaabhlh" TargetMode="External"/><Relationship Id="rId6673" Type="http://schemas.openxmlformats.org/officeDocument/2006/relationships/hyperlink" Target="https://chromewebstore.google.com/detail/nldipdepdfjilejlpeeknodkpiajhfkf" TargetMode="External"/><Relationship Id="rId279" Type="http://schemas.openxmlformats.org/officeDocument/2006/relationships/hyperlink" Target="https://chromewebstore.google.com/detail/pfdhoblngboilpfeibdedpjgfnlcodoo" TargetMode="External"/><Relationship Id="rId4015" Type="http://schemas.openxmlformats.org/officeDocument/2006/relationships/hyperlink" Target="https://chromewebstore.google.com/detail/cfpnhaccjfaaianelddfckidjlnmoeab" TargetMode="External"/><Relationship Id="rId5347" Type="http://schemas.openxmlformats.org/officeDocument/2006/relationships/hyperlink" Target="https://chromewebstore.google.com/detail/dedbgebcenangidjnfanjpohlepjpfak" TargetMode="External"/><Relationship Id="rId6678" Type="http://schemas.openxmlformats.org/officeDocument/2006/relationships/hyperlink" Target="https://chromewebstore.google.com/detail/nlimpnemedlfboocjaimpdkckkmdniga" TargetMode="External"/><Relationship Id="rId278" Type="http://schemas.openxmlformats.org/officeDocument/2006/relationships/hyperlink" Target="https://chromewebstore.google.com/detail/pfcpjkoiknombhfcjnjihpafmkhmdcjb" TargetMode="External"/><Relationship Id="rId4014" Type="http://schemas.openxmlformats.org/officeDocument/2006/relationships/hyperlink" Target="https://chromewebstore.google.com/detail/cfodljgdikllebejmhoifnmmcbfmamij" TargetMode="External"/><Relationship Id="rId5348" Type="http://schemas.openxmlformats.org/officeDocument/2006/relationships/hyperlink" Target="https://chromewebstore.google.com/detail/dedldhojjkgbejnmmfpmbnbihmmpfbpd" TargetMode="External"/><Relationship Id="rId6679" Type="http://schemas.openxmlformats.org/officeDocument/2006/relationships/hyperlink" Target="https://chromewebstore.google.com/detail/nljbmjehmemfpnlcohjlijdhdanoilog" TargetMode="External"/><Relationship Id="rId277" Type="http://schemas.openxmlformats.org/officeDocument/2006/relationships/hyperlink" Target="https://chromewebstore.google.com/detail/pbeamibpehihpjljabhnchghlbneiane" TargetMode="External"/><Relationship Id="rId4017" Type="http://schemas.openxmlformats.org/officeDocument/2006/relationships/hyperlink" Target="https://chromewebstore.google.com/detail/cgkfhhagdgcjcjdkcbpohhhidlibblkn" TargetMode="External"/><Relationship Id="rId5345" Type="http://schemas.openxmlformats.org/officeDocument/2006/relationships/hyperlink" Target="https://chromewebstore.google.com/detail/debfefmfahocmpjephpmplljfmjjadml" TargetMode="External"/><Relationship Id="rId6676" Type="http://schemas.openxmlformats.org/officeDocument/2006/relationships/hyperlink" Target="https://chromewebstore.google.com/detail/nlgohonalakgfgbecdndfjelkmliacfj" TargetMode="External"/><Relationship Id="rId276" Type="http://schemas.openxmlformats.org/officeDocument/2006/relationships/hyperlink" Target="https://chromewebstore.google.com/detail/olmgpgbhojeoalaimckcpgkadjkejacl" TargetMode="External"/><Relationship Id="rId4016" Type="http://schemas.openxmlformats.org/officeDocument/2006/relationships/hyperlink" Target="https://chromewebstore.google.com/detail/cgadmadfnbdaplnanejoebmbfpgpliee" TargetMode="External"/><Relationship Id="rId5346" Type="http://schemas.openxmlformats.org/officeDocument/2006/relationships/hyperlink" Target="https://chromewebstore.google.com/detail/decaoenopoahbdpmpmkmmgfmgcaadpee" TargetMode="External"/><Relationship Id="rId6677" Type="http://schemas.openxmlformats.org/officeDocument/2006/relationships/hyperlink" Target="https://chromewebstore.google.com/detail/nlhklaenccbcnapnpaghliheibnkhdbc" TargetMode="External"/><Relationship Id="rId1851" Type="http://schemas.openxmlformats.org/officeDocument/2006/relationships/hyperlink" Target="https://chromewebstore.google.com/detail/koffnfmgjmoopfgelgbbkjmdnppadlae" TargetMode="External"/><Relationship Id="rId1852" Type="http://schemas.openxmlformats.org/officeDocument/2006/relationships/hyperlink" Target="https://chromewebstore.google.com/detail/leallakffbiflfgpmamdgcojddnbfdgo" TargetMode="External"/><Relationship Id="rId1853" Type="http://schemas.openxmlformats.org/officeDocument/2006/relationships/hyperlink" Target="https://chromewebstore.google.com/detail/lhcmjfihagpmejhbbhkiapppaacgneoi" TargetMode="External"/><Relationship Id="rId1854" Type="http://schemas.openxmlformats.org/officeDocument/2006/relationships/hyperlink" Target="https://chromewebstore.google.com/detail/lifhekgaodigcpmnakfhaaaboididbdn" TargetMode="External"/><Relationship Id="rId1855" Type="http://schemas.openxmlformats.org/officeDocument/2006/relationships/hyperlink" Target="https://chromewebstore.google.com/detail/lljncgccioajcnjlkkigiecjekggdcco" TargetMode="External"/><Relationship Id="rId1856" Type="http://schemas.openxmlformats.org/officeDocument/2006/relationships/hyperlink" Target="https://chromewebstore.google.com/detail/lnnmjmalakahagblkkcnjkoaihlfglon" TargetMode="External"/><Relationship Id="rId1857" Type="http://schemas.openxmlformats.org/officeDocument/2006/relationships/hyperlink" Target="https://chromewebstore.google.com/detail/lpkjdakjlliooohonkdfofmeifdccbfp" TargetMode="External"/><Relationship Id="rId1858" Type="http://schemas.openxmlformats.org/officeDocument/2006/relationships/hyperlink" Target="https://chromewebstore.google.com/detail/mcoimieglmhdjdoplhpcmifgplkbfibp" TargetMode="External"/><Relationship Id="rId1859" Type="http://schemas.openxmlformats.org/officeDocument/2006/relationships/hyperlink" Target="https://chromewebstore.google.com/detail/mglbjmlapcmlbkhebomcmmnkfcnallkf" TargetMode="External"/><Relationship Id="rId1850" Type="http://schemas.openxmlformats.org/officeDocument/2006/relationships/hyperlink" Target="https://chromewebstore.google.com/detail/kjcdcbhfpjkcjinohfaaihpcmpnpmpie" TargetMode="External"/><Relationship Id="rId1840" Type="http://schemas.openxmlformats.org/officeDocument/2006/relationships/hyperlink" Target="https://chromewebstore.google.com/detail/ikhahkidgnljlniknmendeflkdlfhonj" TargetMode="External"/><Relationship Id="rId1841" Type="http://schemas.openxmlformats.org/officeDocument/2006/relationships/hyperlink" Target="https://chromewebstore.google.com/detail/ilcajpmogmhpliinlbcdebhbcanbghmd" TargetMode="External"/><Relationship Id="rId1842" Type="http://schemas.openxmlformats.org/officeDocument/2006/relationships/hyperlink" Target="https://chromewebstore.google.com/detail/jbnopeoocgbmnochaadfnhiiimfpbpmf" TargetMode="External"/><Relationship Id="rId1843" Type="http://schemas.openxmlformats.org/officeDocument/2006/relationships/hyperlink" Target="https://chromewebstore.google.com/detail/jcgacckndmapfdcccebjlhglchkbfkjk" TargetMode="External"/><Relationship Id="rId1844" Type="http://schemas.openxmlformats.org/officeDocument/2006/relationships/hyperlink" Target="https://chromewebstore.google.com/detail/jhcdplpmjpchlfjfihdpimbakifjnnda" TargetMode="External"/><Relationship Id="rId1845" Type="http://schemas.openxmlformats.org/officeDocument/2006/relationships/hyperlink" Target="https://chromewebstore.google.com/detail/jingcebjicjghaknapndgnlhbcmnlbfn" TargetMode="External"/><Relationship Id="rId1846" Type="http://schemas.openxmlformats.org/officeDocument/2006/relationships/hyperlink" Target="https://chromewebstore.google.com/detail/jlhbhbahobaobjodhbjebfkildibombl" TargetMode="External"/><Relationship Id="rId1847" Type="http://schemas.openxmlformats.org/officeDocument/2006/relationships/hyperlink" Target="https://chromewebstore.google.com/detail/kahmhmlnbgnkcdkedieeokmfgifjgaap" TargetMode="External"/><Relationship Id="rId1848" Type="http://schemas.openxmlformats.org/officeDocument/2006/relationships/hyperlink" Target="https://chromewebstore.google.com/detail/kbabipfneinkpdahbehjmdgfbjcfpgja" TargetMode="External"/><Relationship Id="rId1849" Type="http://schemas.openxmlformats.org/officeDocument/2006/relationships/hyperlink" Target="https://chromewebstore.google.com/detail/khjpgjjkndhlnokfmfpfphpigeoinnim" TargetMode="External"/><Relationship Id="rId1873" Type="http://schemas.openxmlformats.org/officeDocument/2006/relationships/hyperlink" Target="https://chromewebstore.google.com/detail/nigigpmchbpkjjgncmpiggfnikllldlh" TargetMode="External"/><Relationship Id="rId1874" Type="http://schemas.openxmlformats.org/officeDocument/2006/relationships/hyperlink" Target="https://chromewebstore.google.com/detail/ninlcpgbcnldebbfkclejmfdcaonfnng" TargetMode="External"/><Relationship Id="rId1875" Type="http://schemas.openxmlformats.org/officeDocument/2006/relationships/hyperlink" Target="https://chromewebstore.google.com/detail/nkndmgfhohbehjfgkcapcahcnglbeipo" TargetMode="External"/><Relationship Id="rId1876" Type="http://schemas.openxmlformats.org/officeDocument/2006/relationships/hyperlink" Target="https://chromewebstore.google.com/detail/nlnkcinjjeoojlhdiedbbolilahmnldj" TargetMode="External"/><Relationship Id="rId1877" Type="http://schemas.openxmlformats.org/officeDocument/2006/relationships/hyperlink" Target="https://chromewebstore.google.com/detail/nnedppabchbjaplcbjpbkcjhpmfdhpin" TargetMode="External"/><Relationship Id="rId1878" Type="http://schemas.openxmlformats.org/officeDocument/2006/relationships/hyperlink" Target="https://chromewebstore.google.com/detail/npdhjdikbnmbjamabeigljgbokepmkce" TargetMode="External"/><Relationship Id="rId1879" Type="http://schemas.openxmlformats.org/officeDocument/2006/relationships/hyperlink" Target="https://chromewebstore.google.com/detail/oepnndnpjiahgkljgbohnnccmokgcoln" TargetMode="External"/><Relationship Id="rId1870" Type="http://schemas.openxmlformats.org/officeDocument/2006/relationships/hyperlink" Target="https://chromewebstore.google.com/detail/nfhlbmjiiogoelaflfclodlkncbdiefo" TargetMode="External"/><Relationship Id="rId1871" Type="http://schemas.openxmlformats.org/officeDocument/2006/relationships/hyperlink" Target="https://chromewebstore.google.com/detail/nhpmkadfmieicpkanpcdmhbgbanflbpa" TargetMode="External"/><Relationship Id="rId1872" Type="http://schemas.openxmlformats.org/officeDocument/2006/relationships/hyperlink" Target="https://chromewebstore.google.com/detail/niemgccefhbiambnhhlpcpfcfbkmoobi" TargetMode="External"/><Relationship Id="rId1862" Type="http://schemas.openxmlformats.org/officeDocument/2006/relationships/hyperlink" Target="https://chromewebstore.google.com/detail/mohfpbpkclhhcofcekmaomibblmlhgig" TargetMode="External"/><Relationship Id="rId1863" Type="http://schemas.openxmlformats.org/officeDocument/2006/relationships/hyperlink" Target="https://chromewebstore.google.com/detail/mohhillnhaheggkkjjmblipbehejpoba" TargetMode="External"/><Relationship Id="rId1864" Type="http://schemas.openxmlformats.org/officeDocument/2006/relationships/hyperlink" Target="https://chromewebstore.google.com/detail/mpfdlhhpbhgghplbambikplcfpbjiail" TargetMode="External"/><Relationship Id="rId1865" Type="http://schemas.openxmlformats.org/officeDocument/2006/relationships/hyperlink" Target="https://chromewebstore.google.com/detail/nafmgkhgdblkabfjfegmafagpccaobfg" TargetMode="External"/><Relationship Id="rId1866" Type="http://schemas.openxmlformats.org/officeDocument/2006/relationships/hyperlink" Target="https://chromewebstore.google.com/detail/napgiiljdfdiklcipgdkhpgfgjkjamfo" TargetMode="External"/><Relationship Id="rId1867" Type="http://schemas.openxmlformats.org/officeDocument/2006/relationships/hyperlink" Target="https://chromewebstore.google.com/detail/nddhfphijlfdfjlcfaimogfpjcbbafep" TargetMode="External"/><Relationship Id="rId1868" Type="http://schemas.openxmlformats.org/officeDocument/2006/relationships/hyperlink" Target="https://chromewebstore.google.com/detail/ndmhmkfeeagmjnbgcpbaipeiojeekgcg" TargetMode="External"/><Relationship Id="rId1869" Type="http://schemas.openxmlformats.org/officeDocument/2006/relationships/hyperlink" Target="https://chromewebstore.google.com/detail/nejhljchonjbbppnbeggcndiekjhangd" TargetMode="External"/><Relationship Id="rId1860" Type="http://schemas.openxmlformats.org/officeDocument/2006/relationships/hyperlink" Target="https://chromewebstore.google.com/detail/mhgjlbolkmcookadjpolimbddngjgbol" TargetMode="External"/><Relationship Id="rId1861" Type="http://schemas.openxmlformats.org/officeDocument/2006/relationships/hyperlink" Target="https://chromewebstore.google.com/detail/mnjmegebbljjhpljjfjmkhgmokpmdbpo" TargetMode="External"/><Relationship Id="rId1810" Type="http://schemas.openxmlformats.org/officeDocument/2006/relationships/hyperlink" Target="https://chromewebstore.google.com/detail/enpgegaockimafpdjomphligajfkcaeo" TargetMode="External"/><Relationship Id="rId1811" Type="http://schemas.openxmlformats.org/officeDocument/2006/relationships/hyperlink" Target="https://chromewebstore.google.com/detail/eoofekhejnklbbihkfjflikoijminged" TargetMode="External"/><Relationship Id="rId1812" Type="http://schemas.openxmlformats.org/officeDocument/2006/relationships/hyperlink" Target="https://chromewebstore.google.com/detail/faebneelfchccdlcndkegjjfffbfmcch" TargetMode="External"/><Relationship Id="rId1813" Type="http://schemas.openxmlformats.org/officeDocument/2006/relationships/hyperlink" Target="https://chromewebstore.google.com/detail/fflgkfikdainjeckdabnmcaabkgfolpf" TargetMode="External"/><Relationship Id="rId1814" Type="http://schemas.openxmlformats.org/officeDocument/2006/relationships/hyperlink" Target="https://chromewebstore.google.com/detail/fjjopahebfkmlmkekebhacaklbhiefbn" TargetMode="External"/><Relationship Id="rId1815" Type="http://schemas.openxmlformats.org/officeDocument/2006/relationships/hyperlink" Target="https://chromewebstore.google.com/detail/fkhjifjohobgjbmmlgoieigpdaglpfci" TargetMode="External"/><Relationship Id="rId1816" Type="http://schemas.openxmlformats.org/officeDocument/2006/relationships/hyperlink" Target="https://chromewebstore.google.com/detail/fmfgcipfpihnkblbbemdagfdhjjeilli" TargetMode="External"/><Relationship Id="rId1817" Type="http://schemas.openxmlformats.org/officeDocument/2006/relationships/hyperlink" Target="https://chromewebstore.google.com/detail/foakpniabhngjaebkipgllinnnbmemee" TargetMode="External"/><Relationship Id="rId1818" Type="http://schemas.openxmlformats.org/officeDocument/2006/relationships/hyperlink" Target="https://chromewebstore.google.com/detail/foklmnihmhdobgonljkdamiiohnobkff" TargetMode="External"/><Relationship Id="rId1819" Type="http://schemas.openxmlformats.org/officeDocument/2006/relationships/hyperlink" Target="https://chromewebstore.google.com/detail/gadafnnkijfmbbmeielphlapddbmgbgo" TargetMode="External"/><Relationship Id="rId4080" Type="http://schemas.openxmlformats.org/officeDocument/2006/relationships/hyperlink" Target="https://chromewebstore.google.com/detail/dhofjndjaldhcofopckdffmeooiojeed" TargetMode="External"/><Relationship Id="rId4082" Type="http://schemas.openxmlformats.org/officeDocument/2006/relationships/hyperlink" Target="https://chromewebstore.google.com/detail/diekiockdlleigoinkcjjkpnpapbkfbo" TargetMode="External"/><Relationship Id="rId4081" Type="http://schemas.openxmlformats.org/officeDocument/2006/relationships/hyperlink" Target="https://chromewebstore.google.com/detail/dibpjejofkkejnndlfjokflmnkekjkpn" TargetMode="External"/><Relationship Id="rId4084" Type="http://schemas.openxmlformats.org/officeDocument/2006/relationships/hyperlink" Target="https://chromewebstore.google.com/detail/dihokiangeioknmccpkiifdejhhempec" TargetMode="External"/><Relationship Id="rId4083" Type="http://schemas.openxmlformats.org/officeDocument/2006/relationships/hyperlink" Target="https://chromewebstore.google.com/detail/digkkigjfonpcmeioejbnnmljllcjjje" TargetMode="External"/><Relationship Id="rId4086" Type="http://schemas.openxmlformats.org/officeDocument/2006/relationships/hyperlink" Target="https://chromewebstore.google.com/detail/djnbhcebgngagmioniajfhbldkoegcco" TargetMode="External"/><Relationship Id="rId4085" Type="http://schemas.openxmlformats.org/officeDocument/2006/relationships/hyperlink" Target="https://chromewebstore.google.com/detail/djcfppnajkeijjkplclmeiddkefeaiel" TargetMode="External"/><Relationship Id="rId4088" Type="http://schemas.openxmlformats.org/officeDocument/2006/relationships/hyperlink" Target="https://chromewebstore.google.com/detail/dkbcljcbmgdplgkijcjljmkakkpkoppa" TargetMode="External"/><Relationship Id="rId4087" Type="http://schemas.openxmlformats.org/officeDocument/2006/relationships/hyperlink" Target="https://chromewebstore.google.com/detail/dkajnomnlpcpkekglpbbhcmmgljadopo" TargetMode="External"/><Relationship Id="rId4089" Type="http://schemas.openxmlformats.org/officeDocument/2006/relationships/hyperlink" Target="https://chromewebstore.google.com/detail/dkcgooalhicnkfdiaejibmfjcgoiflfg" TargetMode="External"/><Relationship Id="rId1800" Type="http://schemas.openxmlformats.org/officeDocument/2006/relationships/hyperlink" Target="https://chromewebstore.google.com/detail/dokaikblnjlonmiahdahfpjjdcohblig" TargetMode="External"/><Relationship Id="rId1801" Type="http://schemas.openxmlformats.org/officeDocument/2006/relationships/hyperlink" Target="https://chromewebstore.google.com/detail/dpckcijgfoooohnnijhjcakkibbcmlje" TargetMode="External"/><Relationship Id="rId1802" Type="http://schemas.openxmlformats.org/officeDocument/2006/relationships/hyperlink" Target="https://chromewebstore.google.com/detail/dpdhegjlajgbiiceamhfgdgpogbfbppc" TargetMode="External"/><Relationship Id="rId1803" Type="http://schemas.openxmlformats.org/officeDocument/2006/relationships/hyperlink" Target="https://chromewebstore.google.com/detail/edjaedpifkihpjkcgknfokmibkoafhme" TargetMode="External"/><Relationship Id="rId1804" Type="http://schemas.openxmlformats.org/officeDocument/2006/relationships/hyperlink" Target="https://chromewebstore.google.com/detail/edkhpdceeinkcacjdgebjehipmnbomce" TargetMode="External"/><Relationship Id="rId1805" Type="http://schemas.openxmlformats.org/officeDocument/2006/relationships/hyperlink" Target="https://chromewebstore.google.com/detail/egaicdjagfbejjeihijpnelohejdhhjd" TargetMode="External"/><Relationship Id="rId1806" Type="http://schemas.openxmlformats.org/officeDocument/2006/relationships/hyperlink" Target="https://chromewebstore.google.com/detail/ehahhhffddaohggfoijpnnagkkeagmmb" TargetMode="External"/><Relationship Id="rId1807" Type="http://schemas.openxmlformats.org/officeDocument/2006/relationships/hyperlink" Target="https://chromewebstore.google.com/detail/elaooojnffbbffleipfpidefmgonlflo" TargetMode="External"/><Relationship Id="rId1808" Type="http://schemas.openxmlformats.org/officeDocument/2006/relationships/hyperlink" Target="https://chromewebstore.google.com/detail/elkkomimknapgodalnkjeddkjnjkfmfp" TargetMode="External"/><Relationship Id="rId1809" Type="http://schemas.openxmlformats.org/officeDocument/2006/relationships/hyperlink" Target="https://chromewebstore.google.com/detail/emkgicniaaleakbicedgkimdegnjgbkd" TargetMode="External"/><Relationship Id="rId4071" Type="http://schemas.openxmlformats.org/officeDocument/2006/relationships/hyperlink" Target="https://chromewebstore.google.com/detail/dfddfiedihbijfeacjamchlliogmjjnd" TargetMode="External"/><Relationship Id="rId4070" Type="http://schemas.openxmlformats.org/officeDocument/2006/relationships/hyperlink" Target="https://chromewebstore.google.com/detail/demppioeofcekpjcnlkmdjbabifjnokj" TargetMode="External"/><Relationship Id="rId4073" Type="http://schemas.openxmlformats.org/officeDocument/2006/relationships/hyperlink" Target="https://chromewebstore.google.com/detail/dfjcdiknbdbnfgecbkcaobgmeekinphg" TargetMode="External"/><Relationship Id="rId4072" Type="http://schemas.openxmlformats.org/officeDocument/2006/relationships/hyperlink" Target="https://chromewebstore.google.com/detail/dfgadilhanjabjcighkgbmchinneoade" TargetMode="External"/><Relationship Id="rId4075" Type="http://schemas.openxmlformats.org/officeDocument/2006/relationships/hyperlink" Target="https://chromewebstore.google.com/detail/dgoicbnaoajknfnkijgjdelfdihpicie" TargetMode="External"/><Relationship Id="rId4074" Type="http://schemas.openxmlformats.org/officeDocument/2006/relationships/hyperlink" Target="https://chromewebstore.google.com/detail/dgdmemgbopknkilaegmgcldhhjbedkgi" TargetMode="External"/><Relationship Id="rId4077" Type="http://schemas.openxmlformats.org/officeDocument/2006/relationships/hyperlink" Target="https://chromewebstore.google.com/detail/dhdpoembhlojpmehepeadblhglloobao" TargetMode="External"/><Relationship Id="rId4076" Type="http://schemas.openxmlformats.org/officeDocument/2006/relationships/hyperlink" Target="https://chromewebstore.google.com/detail/dhadehfniifbmemochpmbofcjckpdnnl" TargetMode="External"/><Relationship Id="rId4079" Type="http://schemas.openxmlformats.org/officeDocument/2006/relationships/hyperlink" Target="https://chromewebstore.google.com/detail/dhjcdlmklldodggmleehadpjephfgflc" TargetMode="External"/><Relationship Id="rId4078" Type="http://schemas.openxmlformats.org/officeDocument/2006/relationships/hyperlink" Target="https://chromewebstore.google.com/detail/dhiihpekdgggkglfppkmjjmnaigmnjao" TargetMode="External"/><Relationship Id="rId1830" Type="http://schemas.openxmlformats.org/officeDocument/2006/relationships/hyperlink" Target="https://chromewebstore.google.com/detail/hfmdbddgjlicmflejkkoafbkdgnfggbg" TargetMode="External"/><Relationship Id="rId1831" Type="http://schemas.openxmlformats.org/officeDocument/2006/relationships/hyperlink" Target="https://chromewebstore.google.com/detail/hhpjefokaphndbbidpehikcjhldaklje" TargetMode="External"/><Relationship Id="rId1832" Type="http://schemas.openxmlformats.org/officeDocument/2006/relationships/hyperlink" Target="http://payad.me" TargetMode="External"/><Relationship Id="rId1833" Type="http://schemas.openxmlformats.org/officeDocument/2006/relationships/hyperlink" Target="https://chromewebstore.google.com/detail/hknjhjdeboiedcilijpcjhaiacpflkdf" TargetMode="External"/><Relationship Id="rId1834" Type="http://schemas.openxmlformats.org/officeDocument/2006/relationships/hyperlink" Target="https://chromewebstore.google.com/detail/hknjpaididhfgeocegbacehlnkofjoni" TargetMode="External"/><Relationship Id="rId1835" Type="http://schemas.openxmlformats.org/officeDocument/2006/relationships/hyperlink" Target="https://chromewebstore.google.com/detail/homcnjdjgbccodplgdpdjfijjjdecbln" TargetMode="External"/><Relationship Id="rId1836" Type="http://schemas.openxmlformats.org/officeDocument/2006/relationships/hyperlink" Target="https://chromewebstore.google.com/detail/hphjpfmagbhbdfhdndglcccmhdjhjjce" TargetMode="External"/><Relationship Id="rId1837" Type="http://schemas.openxmlformats.org/officeDocument/2006/relationships/hyperlink" Target="https://chromewebstore.google.com/detail/hpnffeaopnnigkjacmoekfkpijmmkiec" TargetMode="External"/><Relationship Id="rId1838" Type="http://schemas.openxmlformats.org/officeDocument/2006/relationships/hyperlink" Target="https://chromewebstore.google.com/detail/ibpddbdepndjfcccdmoogflacnflpoka" TargetMode="External"/><Relationship Id="rId1839" Type="http://schemas.openxmlformats.org/officeDocument/2006/relationships/hyperlink" Target="https://chromewebstore.google.com/detail/ichmdelihgokllcnibkcpciljnggojkj" TargetMode="External"/><Relationship Id="rId1820" Type="http://schemas.openxmlformats.org/officeDocument/2006/relationships/hyperlink" Target="https://chromewebstore.google.com/detail/gdkkmimldhefhmmmlalioafomdlahcog" TargetMode="External"/><Relationship Id="rId1821" Type="http://schemas.openxmlformats.org/officeDocument/2006/relationships/hyperlink" Target="https://chromewebstore.google.com/detail/gebekalhaofndolblbmajhoppodkljfn" TargetMode="External"/><Relationship Id="rId1822" Type="http://schemas.openxmlformats.org/officeDocument/2006/relationships/hyperlink" Target="https://chromewebstore.google.com/detail/genlpoidbjlaieaginkdbndpbejibdlm" TargetMode="External"/><Relationship Id="rId1823" Type="http://schemas.openxmlformats.org/officeDocument/2006/relationships/hyperlink" Target="https://chromewebstore.google.com/detail/gkakfimgbmogkpmjokgnbbanmmemcdij" TargetMode="External"/><Relationship Id="rId1824" Type="http://schemas.openxmlformats.org/officeDocument/2006/relationships/hyperlink" Target="https://chromewebstore.google.com/detail/glbompdcoknijlagjdallgimohbcopem" TargetMode="External"/><Relationship Id="rId1825" Type="http://schemas.openxmlformats.org/officeDocument/2006/relationships/hyperlink" Target="https://chromewebstore.google.com/detail/gogbdmmlnloojdafblpkmkhgigcidnmn" TargetMode="External"/><Relationship Id="rId1826" Type="http://schemas.openxmlformats.org/officeDocument/2006/relationships/hyperlink" Target="https://chromewebstore.google.com/detail/hcghlfjkhaigchnbbkbcgadlnckobaei" TargetMode="External"/><Relationship Id="rId1827" Type="http://schemas.openxmlformats.org/officeDocument/2006/relationships/hyperlink" Target="https://chromewebstore.google.com/detail/hdeikpphnbclpacdjdjjkpmbcacopnog" TargetMode="External"/><Relationship Id="rId1828" Type="http://schemas.openxmlformats.org/officeDocument/2006/relationships/hyperlink" Target="https://chromewebstore.google.com/detail/hdokhoidbfbodcgoeacbddacldjgnkjc" TargetMode="External"/><Relationship Id="rId1829" Type="http://schemas.openxmlformats.org/officeDocument/2006/relationships/hyperlink" Target="https://chromewebstore.google.com/detail/hegmfehonmphmimjobfogcoppmgepcjj" TargetMode="External"/><Relationship Id="rId4091" Type="http://schemas.openxmlformats.org/officeDocument/2006/relationships/hyperlink" Target="http://tamindir.com" TargetMode="External"/><Relationship Id="rId4090" Type="http://schemas.openxmlformats.org/officeDocument/2006/relationships/hyperlink" Target="https://chromewebstore.google.com/detail/dkehgapnhfhohfhalnnelmefnappjoao" TargetMode="External"/><Relationship Id="rId4093" Type="http://schemas.openxmlformats.org/officeDocument/2006/relationships/hyperlink" Target="https://chromewebstore.google.com/detail/dljlfapccfckgfilfmiabmeobpigiopn" TargetMode="External"/><Relationship Id="rId4092" Type="http://schemas.openxmlformats.org/officeDocument/2006/relationships/hyperlink" Target="https://chromewebstore.google.com/detail/dknlbdfpbbcpeaammpkghhhpnffmlcfo" TargetMode="External"/><Relationship Id="rId4095" Type="http://schemas.openxmlformats.org/officeDocument/2006/relationships/hyperlink" Target="https://chromewebstore.google.com/detail/dmgcigedmaojaebigkcedlehimkmcbnm" TargetMode="External"/><Relationship Id="rId4094" Type="http://schemas.openxmlformats.org/officeDocument/2006/relationships/hyperlink" Target="https://chromewebstore.google.com/detail/dmcddloohffhmjngiieikfifpfneadcc" TargetMode="External"/><Relationship Id="rId4097" Type="http://schemas.openxmlformats.org/officeDocument/2006/relationships/hyperlink" Target="https://chromewebstore.google.com/detail/dnabjecdalfmifnokifplpegmeglhibj" TargetMode="External"/><Relationship Id="rId4096" Type="http://schemas.openxmlformats.org/officeDocument/2006/relationships/hyperlink" Target="https://chromewebstore.google.com/detail/dmjngnlocikcdplcdhcglehjajmbdhlg" TargetMode="External"/><Relationship Id="rId4099" Type="http://schemas.openxmlformats.org/officeDocument/2006/relationships/hyperlink" Target="https://chromewebstore.google.com/detail/dnhcjnckjcgahnbihokikcbojidglifm" TargetMode="External"/><Relationship Id="rId4098" Type="http://schemas.openxmlformats.org/officeDocument/2006/relationships/hyperlink" Target="https://chromewebstore.google.com/detail/dncgmdhipopkicodhelghfikoceigocc" TargetMode="External"/><Relationship Id="rId1895" Type="http://schemas.openxmlformats.org/officeDocument/2006/relationships/hyperlink" Target="https://chromewebstore.google.com/detail/aibdjehbnedbkkojmjohamkloglhlonb" TargetMode="External"/><Relationship Id="rId1896" Type="http://schemas.openxmlformats.org/officeDocument/2006/relationships/hyperlink" Target="https://chromewebstore.google.com/detail/aikbdokcmcbbeaadpdbhlcdcgghdkhja" TargetMode="External"/><Relationship Id="rId1897" Type="http://schemas.openxmlformats.org/officeDocument/2006/relationships/hyperlink" Target="https://chromewebstore.google.com/detail/alpjieidnmmkljnceakgpeajlngabnee" TargetMode="External"/><Relationship Id="rId1898" Type="http://schemas.openxmlformats.org/officeDocument/2006/relationships/hyperlink" Target="https://chromewebstore.google.com/detail/alpodanjbjmlakmolfdlioidgfbfmaep" TargetMode="External"/><Relationship Id="rId1899" Type="http://schemas.openxmlformats.org/officeDocument/2006/relationships/hyperlink" Target="https://chromewebstore.google.com/detail/alpojkkkfdmdljbffepiabcjfhnnmako" TargetMode="External"/><Relationship Id="rId1890" Type="http://schemas.openxmlformats.org/officeDocument/2006/relationships/hyperlink" Target="https://chromewebstore.google.com/detail/gekpdemielcmiiiackmeoppdgaggjgda" TargetMode="External"/><Relationship Id="rId1891" Type="http://schemas.openxmlformats.org/officeDocument/2006/relationships/hyperlink" Target="https://chromewebstore.google.com/detail/acdpiemklcfaoglpjmidpjdbhkgdoede" TargetMode="External"/><Relationship Id="rId1892" Type="http://schemas.openxmlformats.org/officeDocument/2006/relationships/hyperlink" Target="https://chromewebstore.google.com/detail/acpjkkfchioajabmoedekiboendgaccf" TargetMode="External"/><Relationship Id="rId1893" Type="http://schemas.openxmlformats.org/officeDocument/2006/relationships/hyperlink" Target="https://chromewebstore.google.com/detail/afcbjmdkfcdfbamemeadbpmabohjehcl" TargetMode="External"/><Relationship Id="rId1894" Type="http://schemas.openxmlformats.org/officeDocument/2006/relationships/hyperlink" Target="https://chromewebstore.google.com/detail/affccikominfmpcchecefmibpdenookk" TargetMode="External"/><Relationship Id="rId1884" Type="http://schemas.openxmlformats.org/officeDocument/2006/relationships/hyperlink" Target="https://chromewebstore.google.com/detail/pgnlhifdmcpfbaacmmlljgjinbfkjfpd" TargetMode="External"/><Relationship Id="rId1885" Type="http://schemas.openxmlformats.org/officeDocument/2006/relationships/hyperlink" Target="https://chromewebstore.google.com/detail/pkckbkheblnpnlnmkldeikhkfddhnkah" TargetMode="External"/><Relationship Id="rId1886" Type="http://schemas.openxmlformats.org/officeDocument/2006/relationships/hyperlink" Target="https://chromewebstore.google.com/detail/pmdllfjnhmnohbhidhdnbaanbnmopfcn" TargetMode="External"/><Relationship Id="rId1887" Type="http://schemas.openxmlformats.org/officeDocument/2006/relationships/hyperlink" Target="https://chromewebstore.google.com/detail/pocpeokkkifomeaaobopeacnnepnaldl" TargetMode="External"/><Relationship Id="rId1888" Type="http://schemas.openxmlformats.org/officeDocument/2006/relationships/hyperlink" Target="https://chromewebstore.google.com/detail/pofajmcclajdhoakabdmenapbdkgejam" TargetMode="External"/><Relationship Id="rId1889" Type="http://schemas.openxmlformats.org/officeDocument/2006/relationships/hyperlink" Target="https://chromewebstore.google.com/detail/jhiocdmmaannaccoofjfmjpbfkogmnap" TargetMode="External"/><Relationship Id="rId1880" Type="http://schemas.openxmlformats.org/officeDocument/2006/relationships/hyperlink" Target="https://chromewebstore.google.com/detail/ojnijeelknkboepginhdnepplmfjhppl" TargetMode="External"/><Relationship Id="rId1881" Type="http://schemas.openxmlformats.org/officeDocument/2006/relationships/hyperlink" Target="https://chromewebstore.google.com/detail/olhcajgllkpacioibcjiniefblpmpech" TargetMode="External"/><Relationship Id="rId1882" Type="http://schemas.openxmlformats.org/officeDocument/2006/relationships/hyperlink" Target="https://chromewebstore.google.com/detail/omoffjbdckolacanfbappkfdaacmbjnd" TargetMode="External"/><Relationship Id="rId1883" Type="http://schemas.openxmlformats.org/officeDocument/2006/relationships/hyperlink" Target="https://chromewebstore.google.com/detail/ooilajigbnoajdapojdpglknkpedmcbj" TargetMode="External"/><Relationship Id="rId5417" Type="http://schemas.openxmlformats.org/officeDocument/2006/relationships/hyperlink" Target="https://chromewebstore.google.com/detail/dngkgadjlbflkjdimhifphmefijcelem" TargetMode="External"/><Relationship Id="rId6748" Type="http://schemas.openxmlformats.org/officeDocument/2006/relationships/hyperlink" Target="https://chromewebstore.google.com/detail/oedfdgfeknhnkpnajphbbkjfmjhgjapg" TargetMode="External"/><Relationship Id="rId5418" Type="http://schemas.openxmlformats.org/officeDocument/2006/relationships/hyperlink" Target="https://chromewebstore.google.com/detail/dnhmnoiaabdhoelhlalgcfpolakhaemp" TargetMode="External"/><Relationship Id="rId6749" Type="http://schemas.openxmlformats.org/officeDocument/2006/relationships/hyperlink" Target="https://chromewebstore.google.com/detail/oegblnjiajbfeegijlnblepdodmnddbk" TargetMode="External"/><Relationship Id="rId5415" Type="http://schemas.openxmlformats.org/officeDocument/2006/relationships/hyperlink" Target="https://chromewebstore.google.com/detail/dnccjkaeaicfdeaadjeddpkicfnpgeej" TargetMode="External"/><Relationship Id="rId6746" Type="http://schemas.openxmlformats.org/officeDocument/2006/relationships/hyperlink" Target="https://chromewebstore.google.com/detail/odpadfgphijikfmdaefmhpjdebahnmde" TargetMode="External"/><Relationship Id="rId5416" Type="http://schemas.openxmlformats.org/officeDocument/2006/relationships/hyperlink" Target="https://chromewebstore.google.com/detail/dnfmcfhnhnpoehjoommondmlmhdoonca" TargetMode="External"/><Relationship Id="rId6747" Type="http://schemas.openxmlformats.org/officeDocument/2006/relationships/hyperlink" Target="https://chromewebstore.google.com/detail/oedcdjekldlejeadaanbbmneokhcnicb" TargetMode="External"/><Relationship Id="rId5419" Type="http://schemas.openxmlformats.org/officeDocument/2006/relationships/hyperlink" Target="https://chromewebstore.google.com/detail/dninnbjpndbbfdhhhcbhiojiecbcgddd" TargetMode="External"/><Relationship Id="rId228" Type="http://schemas.openxmlformats.org/officeDocument/2006/relationships/hyperlink" Target="https://chromewebstore.google.com/detail/igbgpehnbmhgdgjbhkkpedommgmfbeao" TargetMode="External"/><Relationship Id="rId227" Type="http://schemas.openxmlformats.org/officeDocument/2006/relationships/hyperlink" Target="https://chromewebstore.google.com/detail/ifmhoabcaeehkljcfclfiieohkohdgbb" TargetMode="External"/><Relationship Id="rId226" Type="http://schemas.openxmlformats.org/officeDocument/2006/relationships/hyperlink" Target="https://chromewebstore.google.com/detail/ifkgpacemihiplnocjocpgmoiefcojik" TargetMode="External"/><Relationship Id="rId225" Type="http://schemas.openxmlformats.org/officeDocument/2006/relationships/hyperlink" Target="https://chromewebstore.google.com/detail/ieaebnkibonmpbhdaanjkmedikadnoje" TargetMode="External"/><Relationship Id="rId229" Type="http://schemas.openxmlformats.org/officeDocument/2006/relationships/hyperlink" Target="https://chromewebstore.google.com/detail/ijllcpnolfcooahcekpamkbidhejabll" TargetMode="External"/><Relationship Id="rId220" Type="http://schemas.openxmlformats.org/officeDocument/2006/relationships/hyperlink" Target="https://chromewebstore.google.com/detail/hnkcfpcejkafcihlgbojoidoihckciin" TargetMode="External"/><Relationship Id="rId6740" Type="http://schemas.openxmlformats.org/officeDocument/2006/relationships/hyperlink" Target="https://chromewebstore.google.com/detail/odeoccmcnfdmnnedeghgedflgahnfmfe" TargetMode="External"/><Relationship Id="rId5410" Type="http://schemas.openxmlformats.org/officeDocument/2006/relationships/hyperlink" Target="https://chromewebstore.google.com/detail/dmjigjnpimhlighaibpchommlmnlkmlg" TargetMode="External"/><Relationship Id="rId6741" Type="http://schemas.openxmlformats.org/officeDocument/2006/relationships/hyperlink" Target="https://chromewebstore.google.com/detail/odhbnpahcahiihjfkmdnnallndmmibpk" TargetMode="External"/><Relationship Id="rId224" Type="http://schemas.openxmlformats.org/officeDocument/2006/relationships/hyperlink" Target="https://chromewebstore.google.com/detail/icegcmhgphfkgglbljbkdegiaaihifce" TargetMode="External"/><Relationship Id="rId5413" Type="http://schemas.openxmlformats.org/officeDocument/2006/relationships/hyperlink" Target="https://chromewebstore.google.com/detail/dmlghogjfjkooapjegmljhnlmiemejib" TargetMode="External"/><Relationship Id="rId6744" Type="http://schemas.openxmlformats.org/officeDocument/2006/relationships/hyperlink" Target="https://chromewebstore.google.com/detail/odkejcmkmjeiaiejcghdkdnhbbokolbl" TargetMode="External"/><Relationship Id="rId223" Type="http://schemas.openxmlformats.org/officeDocument/2006/relationships/hyperlink" Target="https://chromewebstore.google.com/detail/iakpdiefpdniabbekcbofaanjcpjkloe" TargetMode="External"/><Relationship Id="rId5414" Type="http://schemas.openxmlformats.org/officeDocument/2006/relationships/hyperlink" Target="https://chromewebstore.google.com/detail/dmpjiaifmhmnbbphkchdpjejooggcdem" TargetMode="External"/><Relationship Id="rId6745" Type="http://schemas.openxmlformats.org/officeDocument/2006/relationships/hyperlink" Target="https://chromewebstore.google.com/detail/odkfbmljaomnibofnefflonfehhbhnoo" TargetMode="External"/><Relationship Id="rId222" Type="http://schemas.openxmlformats.org/officeDocument/2006/relationships/hyperlink" Target="https://chromewebstore.google.com/detail/iacoifmgngnkjphlhpencjhenbngoheg" TargetMode="External"/><Relationship Id="rId5411" Type="http://schemas.openxmlformats.org/officeDocument/2006/relationships/hyperlink" Target="https://chromewebstore.google.com/detail/dmkgnplakajhockogacednagkhjebdjn" TargetMode="External"/><Relationship Id="rId6742" Type="http://schemas.openxmlformats.org/officeDocument/2006/relationships/hyperlink" Target="https://chromewebstore.google.com/detail/odhebbkbobbaecpggflnmmljepblbfpo" TargetMode="External"/><Relationship Id="rId221" Type="http://schemas.openxmlformats.org/officeDocument/2006/relationships/hyperlink" Target="https://chromewebstore.google.com/detail/hppkmolfkplaopacolakfekiejedjapl" TargetMode="External"/><Relationship Id="rId5412" Type="http://schemas.openxmlformats.org/officeDocument/2006/relationships/hyperlink" Target="https://chromewebstore.google.com/detail/dmkppekepjiecneipdlmlmhjbgipelaf" TargetMode="External"/><Relationship Id="rId6743" Type="http://schemas.openxmlformats.org/officeDocument/2006/relationships/hyperlink" Target="https://chromewebstore.google.com/detail/odigpomejapcceiciliddbcldmcmpmik" TargetMode="External"/><Relationship Id="rId5406" Type="http://schemas.openxmlformats.org/officeDocument/2006/relationships/hyperlink" Target="http://radio-en-direct.com" TargetMode="External"/><Relationship Id="rId6737" Type="http://schemas.openxmlformats.org/officeDocument/2006/relationships/hyperlink" Target="https://chromewebstore.google.com/detail/ocolfhpogcchjfldbmjmigpneldphngf" TargetMode="External"/><Relationship Id="rId5407" Type="http://schemas.openxmlformats.org/officeDocument/2006/relationships/hyperlink" Target="https://chromewebstore.google.com/detail/dloekpblllffjpoobikajdlphggaohhe" TargetMode="External"/><Relationship Id="rId6738" Type="http://schemas.openxmlformats.org/officeDocument/2006/relationships/hyperlink" Target="https://chromewebstore.google.com/detail/odamhgdipmfelnoclggflemkjkigdnhe" TargetMode="External"/><Relationship Id="rId5404" Type="http://schemas.openxmlformats.org/officeDocument/2006/relationships/hyperlink" Target="https://chromewebstore.google.com/detail/dllhciipngnohldkbodngekegcdagbkc" TargetMode="External"/><Relationship Id="rId6735" Type="http://schemas.openxmlformats.org/officeDocument/2006/relationships/hyperlink" Target="https://chromewebstore.google.com/detail/ococeakjienklcnckpijkjlejjjbmobk" TargetMode="External"/><Relationship Id="rId5405" Type="http://schemas.openxmlformats.org/officeDocument/2006/relationships/hyperlink" Target="https://chromewebstore.google.com/detail/dlnfnioimbgnhpceafnlaibifahminfg" TargetMode="External"/><Relationship Id="rId6736" Type="http://schemas.openxmlformats.org/officeDocument/2006/relationships/hyperlink" Target="https://chromewebstore.google.com/detail/ocojnbhkbjgnlknabhicoodhmlapfodp" TargetMode="External"/><Relationship Id="rId5408" Type="http://schemas.openxmlformats.org/officeDocument/2006/relationships/hyperlink" Target="https://chromewebstore.google.com/detail/dmdohjmncfnhndjkhdffbidhaamaidgn" TargetMode="External"/><Relationship Id="rId6739" Type="http://schemas.openxmlformats.org/officeDocument/2006/relationships/hyperlink" Target="https://chromewebstore.google.com/detail/odekbjpmanmghgfppjdkbnechlkacojc" TargetMode="External"/><Relationship Id="rId5409" Type="http://schemas.openxmlformats.org/officeDocument/2006/relationships/hyperlink" Target="https://chromewebstore.google.com/detail/dmidlfboljckpijkmbmolidjimmfelho" TargetMode="External"/><Relationship Id="rId217" Type="http://schemas.openxmlformats.org/officeDocument/2006/relationships/hyperlink" Target="https://chromewebstore.google.com/detail/hhojmcideegachlhfgfdhailpfhgknjm" TargetMode="External"/><Relationship Id="rId216" Type="http://schemas.openxmlformats.org/officeDocument/2006/relationships/hyperlink" Target="https://chromewebstore.google.com/detail/hhfkcobomkalfdlmkongnhnhahkmnaad" TargetMode="External"/><Relationship Id="rId215" Type="http://schemas.openxmlformats.org/officeDocument/2006/relationships/hyperlink" Target="https://chromewebstore.google.com/detail/hhcgnlnhaapiekdelngjichnccjfkbnc" TargetMode="External"/><Relationship Id="rId214" Type="http://schemas.openxmlformats.org/officeDocument/2006/relationships/hyperlink" Target="https://chromewebstore.google.com/detail/hepmlgghomccjinhcnkkikjpgkjibglj" TargetMode="External"/><Relationship Id="rId219" Type="http://schemas.openxmlformats.org/officeDocument/2006/relationships/hyperlink" Target="https://chromewebstore.google.com/detail/hiejidhjgjpelfgldfhmnaoahnephhfg" TargetMode="External"/><Relationship Id="rId218" Type="http://schemas.openxmlformats.org/officeDocument/2006/relationships/hyperlink" Target="https://chromewebstore.google.com/detail/hiajdlfgbgnnjakkbnpdhmhfhklkbiol" TargetMode="External"/><Relationship Id="rId6730" Type="http://schemas.openxmlformats.org/officeDocument/2006/relationships/hyperlink" Target="https://chromewebstore.google.com/detail/ocejgpkgjakmmkijnjlkdfpnijmjlacf" TargetMode="External"/><Relationship Id="rId213" Type="http://schemas.openxmlformats.org/officeDocument/2006/relationships/hyperlink" Target="https://chromewebstore.google.com/detail/hclgegipaehbigmbhdpfapmjadbaldib" TargetMode="External"/><Relationship Id="rId5402" Type="http://schemas.openxmlformats.org/officeDocument/2006/relationships/hyperlink" Target="https://chromewebstore.google.com/detail/dljbdgkjfpffemlhefcdiijoflfjaefg" TargetMode="External"/><Relationship Id="rId6733" Type="http://schemas.openxmlformats.org/officeDocument/2006/relationships/hyperlink" Target="https://chromewebstore.google.com/detail/ocmccklecaalljlflmclidjeclpcpdim" TargetMode="External"/><Relationship Id="rId212" Type="http://schemas.openxmlformats.org/officeDocument/2006/relationships/hyperlink" Target="https://chromewebstore.google.com/detail/gkjmdfbjkkodgpmkahekmcammibhimdi" TargetMode="External"/><Relationship Id="rId5403" Type="http://schemas.openxmlformats.org/officeDocument/2006/relationships/hyperlink" Target="https://chromewebstore.google.com/detail/dlkemlgapokpjaccplkmkompccipfebk" TargetMode="External"/><Relationship Id="rId6734" Type="http://schemas.openxmlformats.org/officeDocument/2006/relationships/hyperlink" Target="https://chromewebstore.google.com/detail/ocnilbhlpfhpkgehpeiehkefdjjldefa" TargetMode="External"/><Relationship Id="rId211" Type="http://schemas.openxmlformats.org/officeDocument/2006/relationships/hyperlink" Target="https://chromewebstore.google.com/detail/gjfkgdpkecnmfcgfpfibpcnkeakahllc" TargetMode="External"/><Relationship Id="rId5400" Type="http://schemas.openxmlformats.org/officeDocument/2006/relationships/hyperlink" Target="https://chromewebstore.google.com/detail/dlgdimppibbgkjbhnfbkgbfgiclmjlch" TargetMode="External"/><Relationship Id="rId6731" Type="http://schemas.openxmlformats.org/officeDocument/2006/relationships/hyperlink" Target="https://chromewebstore.google.com/detail/ocfgfhicacgipgpiapepehhpidbhijkl" TargetMode="External"/><Relationship Id="rId210" Type="http://schemas.openxmlformats.org/officeDocument/2006/relationships/hyperlink" Target="https://chromewebstore.google.com/detail/ghihpjhpgdepnohngpgfcmcijmkggpaf" TargetMode="External"/><Relationship Id="rId5401" Type="http://schemas.openxmlformats.org/officeDocument/2006/relationships/hyperlink" Target="https://chromewebstore.google.com/detail/dlicmihnogpoemhcegbnhbmncbkoidjo" TargetMode="External"/><Relationship Id="rId6732" Type="http://schemas.openxmlformats.org/officeDocument/2006/relationships/hyperlink" Target="https://chromewebstore.google.com/detail/ocgahpobhhfjgaggafmidogklgiefenj" TargetMode="External"/><Relationship Id="rId4107" Type="http://schemas.openxmlformats.org/officeDocument/2006/relationships/hyperlink" Target="https://chromewebstore.google.com/detail/dpiiekoiagfahpcdkallgdfajfccodel" TargetMode="External"/><Relationship Id="rId5439" Type="http://schemas.openxmlformats.org/officeDocument/2006/relationships/hyperlink" Target="https://chromewebstore.google.com/detail/dphplfdpilhebmikohheeiblilajfmin" TargetMode="External"/><Relationship Id="rId4106" Type="http://schemas.openxmlformats.org/officeDocument/2006/relationships/hyperlink" Target="https://chromewebstore.google.com/detail/dphedhpnbojdegjcokghhfploeobobbc" TargetMode="External"/><Relationship Id="rId4109" Type="http://schemas.openxmlformats.org/officeDocument/2006/relationships/hyperlink" Target="https://chromewebstore.google.com/detail/eahphalndmiganhjibpfedaokkcpmjhn" TargetMode="External"/><Relationship Id="rId5437" Type="http://schemas.openxmlformats.org/officeDocument/2006/relationships/hyperlink" Target="https://chromewebstore.google.com/detail/dpgoneajblildfpfabjldhhhdanlmenk" TargetMode="External"/><Relationship Id="rId6768" Type="http://schemas.openxmlformats.org/officeDocument/2006/relationships/hyperlink" Target="https://chromewebstore.google.com/detail/ogbhalchfdnpkmmgdpcfepkhnnpbomoi" TargetMode="External"/><Relationship Id="rId4108" Type="http://schemas.openxmlformats.org/officeDocument/2006/relationships/hyperlink" Target="https://chromewebstore.google.com/detail/dpmpajcoehngpinlpdomdckhjbhflodh" TargetMode="External"/><Relationship Id="rId5438" Type="http://schemas.openxmlformats.org/officeDocument/2006/relationships/hyperlink" Target="https://chromewebstore.google.com/detail/dphjjoijhepbpphpgcjpkmimbmpihlgg" TargetMode="External"/><Relationship Id="rId6769" Type="http://schemas.openxmlformats.org/officeDocument/2006/relationships/hyperlink" Target="https://chromewebstore.google.com/detail/ogbomkfadhhndgccgfknejchfhkcolko" TargetMode="External"/><Relationship Id="rId249" Type="http://schemas.openxmlformats.org/officeDocument/2006/relationships/hyperlink" Target="https://chromewebstore.google.com/detail/kmhclnjhlejdjlkgeebolkigafpaijkp" TargetMode="External"/><Relationship Id="rId248" Type="http://schemas.openxmlformats.org/officeDocument/2006/relationships/hyperlink" Target="https://chromewebstore.google.com/detail/klejemegaoblahjdpcajmpcnjjmkmkkf" TargetMode="External"/><Relationship Id="rId247" Type="http://schemas.openxmlformats.org/officeDocument/2006/relationships/hyperlink" Target="https://chromewebstore.google.com/detail/khjnjifipfkgglficmipimgjpbmlbemd" TargetMode="External"/><Relationship Id="rId242" Type="http://schemas.openxmlformats.org/officeDocument/2006/relationships/hyperlink" Target="https://chromewebstore.google.com/detail/kaicbfmipfpfpjmlbpejaoaflfdnabnc" TargetMode="External"/><Relationship Id="rId5431" Type="http://schemas.openxmlformats.org/officeDocument/2006/relationships/hyperlink" Target="https://chromewebstore.google.com/detail/dopceadfnnahlcadkebgfacbcemhallh" TargetMode="External"/><Relationship Id="rId6762" Type="http://schemas.openxmlformats.org/officeDocument/2006/relationships/hyperlink" Target="https://chromewebstore.google.com/detail/ofhklbffoehlkndkhdhjlfkiobbcoogd" TargetMode="External"/><Relationship Id="rId241" Type="http://schemas.openxmlformats.org/officeDocument/2006/relationships/hyperlink" Target="https://chromewebstore.google.com/detail/jonmpbbljdciehhpdfmdiapidmnogkcp" TargetMode="External"/><Relationship Id="rId5432" Type="http://schemas.openxmlformats.org/officeDocument/2006/relationships/hyperlink" Target="https://chromewebstore.google.com/detail/dpbbnpcoijgncncgkkfjibmhgaeflgaf" TargetMode="External"/><Relationship Id="rId6763" Type="http://schemas.openxmlformats.org/officeDocument/2006/relationships/hyperlink" Target="https://chromewebstore.google.com/detail/ofinfhfbojcjhgnocfcgoefgnledhddn" TargetMode="External"/><Relationship Id="rId240" Type="http://schemas.openxmlformats.org/officeDocument/2006/relationships/hyperlink" Target="https://chromewebstore.google.com/detail/jnihajbhpnppcggbcgedagnkighmdlei" TargetMode="External"/><Relationship Id="rId4101" Type="http://schemas.openxmlformats.org/officeDocument/2006/relationships/hyperlink" Target="https://chromewebstore.google.com/detail/dnklfkipoaighjnffggpfkkipenmkkon" TargetMode="External"/><Relationship Id="rId6760" Type="http://schemas.openxmlformats.org/officeDocument/2006/relationships/hyperlink" Target="https://chromewebstore.google.com/detail/ofglmkdhbegjalppjcpdcbnomkemkojm" TargetMode="External"/><Relationship Id="rId4100" Type="http://schemas.openxmlformats.org/officeDocument/2006/relationships/hyperlink" Target="https://chromewebstore.google.com/detail/dnkhdiodfglfckibnfcjbgddcgjgkacd" TargetMode="External"/><Relationship Id="rId5430" Type="http://schemas.openxmlformats.org/officeDocument/2006/relationships/hyperlink" Target="https://chromewebstore.google.com/detail/dojjmigcfgjcjakkdhmnkcjajbjcjnja" TargetMode="External"/><Relationship Id="rId6761" Type="http://schemas.openxmlformats.org/officeDocument/2006/relationships/hyperlink" Target="https://chromewebstore.google.com/detail/ofgmfinplabimkfhjnoibldbadjbnanb" TargetMode="External"/><Relationship Id="rId246" Type="http://schemas.openxmlformats.org/officeDocument/2006/relationships/hyperlink" Target="http://wordpress.com" TargetMode="External"/><Relationship Id="rId4103" Type="http://schemas.openxmlformats.org/officeDocument/2006/relationships/hyperlink" Target="https://chromewebstore.google.com/detail/dohpejgohngelepkpjhabhclphponoed" TargetMode="External"/><Relationship Id="rId5435" Type="http://schemas.openxmlformats.org/officeDocument/2006/relationships/hyperlink" Target="https://chromewebstore.google.com/detail/dpgkehienimlajedknigeeiigiebpifa" TargetMode="External"/><Relationship Id="rId6766" Type="http://schemas.openxmlformats.org/officeDocument/2006/relationships/hyperlink" Target="https://chromewebstore.google.com/detail/ofkabjnhbcfdpojmpfghkofmfedjhbna" TargetMode="External"/><Relationship Id="rId245" Type="http://schemas.openxmlformats.org/officeDocument/2006/relationships/hyperlink" Target="https://chromewebstore.google.com/detail/kgejglhpjiefppelpmljglcjbhoiplfn" TargetMode="External"/><Relationship Id="rId4102" Type="http://schemas.openxmlformats.org/officeDocument/2006/relationships/hyperlink" Target="https://chromewebstore.google.com/detail/dnoagfebjndkhkabjkkoeeijnjpmbimj" TargetMode="External"/><Relationship Id="rId5436" Type="http://schemas.openxmlformats.org/officeDocument/2006/relationships/hyperlink" Target="https://chromewebstore.google.com/detail/dpgkjbmiapibpdjnnoalnlkcmeepocak" TargetMode="External"/><Relationship Id="rId6767" Type="http://schemas.openxmlformats.org/officeDocument/2006/relationships/hyperlink" Target="https://chromewebstore.google.com/detail/oflokebamamodefnbnaaemefecjhekcg" TargetMode="External"/><Relationship Id="rId244" Type="http://schemas.openxmlformats.org/officeDocument/2006/relationships/hyperlink" Target="https://chromewebstore.google.com/detail/keibmolmaeiahiahfgenlaidmokmfcfm" TargetMode="External"/><Relationship Id="rId4105" Type="http://schemas.openxmlformats.org/officeDocument/2006/relationships/hyperlink" Target="https://chromewebstore.google.com/detail/dpcoeknimimkeoinpbccpmjoamdghijj" TargetMode="External"/><Relationship Id="rId5433" Type="http://schemas.openxmlformats.org/officeDocument/2006/relationships/hyperlink" Target="https://chromewebstore.google.com/detail/dpdkggcaadgahopbpebdlkcpkddjndee" TargetMode="External"/><Relationship Id="rId6764" Type="http://schemas.openxmlformats.org/officeDocument/2006/relationships/hyperlink" Target="https://chromewebstore.google.com/detail/ofjeanmickkjincopmpbfkciiookidha" TargetMode="External"/><Relationship Id="rId243" Type="http://schemas.openxmlformats.org/officeDocument/2006/relationships/hyperlink" Target="https://chromewebstore.google.com/detail/kdaghagfopacdngbohiknlhcocjccjao" TargetMode="External"/><Relationship Id="rId4104" Type="http://schemas.openxmlformats.org/officeDocument/2006/relationships/hyperlink" Target="https://chromewebstore.google.com/detail/dophfdfbpjnlcdgdjhnmghollijdkmnc" TargetMode="External"/><Relationship Id="rId5434" Type="http://schemas.openxmlformats.org/officeDocument/2006/relationships/hyperlink" Target="https://chromewebstore.google.com/detail/dpgcehldjbcfejamdkfaeoamlpjlhbig" TargetMode="External"/><Relationship Id="rId6765" Type="http://schemas.openxmlformats.org/officeDocument/2006/relationships/hyperlink" Target="http://unsub.me" TargetMode="External"/><Relationship Id="rId5428" Type="http://schemas.openxmlformats.org/officeDocument/2006/relationships/hyperlink" Target="https://chromewebstore.google.com/detail/doipekboknichhfnjfpcpdiidckbblme" TargetMode="External"/><Relationship Id="rId6759" Type="http://schemas.openxmlformats.org/officeDocument/2006/relationships/hyperlink" Target="https://chromewebstore.google.com/detail/ofdigdofloanabjcaijfidkogmejlmjc" TargetMode="External"/><Relationship Id="rId5429" Type="http://schemas.openxmlformats.org/officeDocument/2006/relationships/hyperlink" Target="https://chromewebstore.google.com/detail/dojblmhfhjilfpkfakgfenpeoajdomkj" TargetMode="External"/><Relationship Id="rId5426" Type="http://schemas.openxmlformats.org/officeDocument/2006/relationships/hyperlink" Target="https://chromewebstore.google.com/detail/doiinciigjmmlnbehjjjkeoamihggkba" TargetMode="External"/><Relationship Id="rId6757" Type="http://schemas.openxmlformats.org/officeDocument/2006/relationships/hyperlink" Target="https://chromewebstore.google.com/detail/oeommpagcgphojijlogagaejiiahfnmm" TargetMode="External"/><Relationship Id="rId5427" Type="http://schemas.openxmlformats.org/officeDocument/2006/relationships/hyperlink" Target="https://chromewebstore.google.com/detail/doiohphjkpgbokbfkbmhgdbpldndbmld" TargetMode="External"/><Relationship Id="rId6758" Type="http://schemas.openxmlformats.org/officeDocument/2006/relationships/hyperlink" Target="https://chromewebstore.google.com/detail/ofbfdabicijcdjoeemcgabeeapciibbf" TargetMode="External"/><Relationship Id="rId239" Type="http://schemas.openxmlformats.org/officeDocument/2006/relationships/hyperlink" Target="https://chromewebstore.google.com/detail/jngkenaoceimiimeokpdbmejeonaaami" TargetMode="External"/><Relationship Id="rId238" Type="http://schemas.openxmlformats.org/officeDocument/2006/relationships/hyperlink" Target="https://chromewebstore.google.com/detail/jnajhcakejgchhbjlchkfmdidgjefleg" TargetMode="External"/><Relationship Id="rId237" Type="http://schemas.openxmlformats.org/officeDocument/2006/relationships/hyperlink" Target="https://chromewebstore.google.com/detail/jjmnbidkmmabkalampbilajnheeokpoj" TargetMode="External"/><Relationship Id="rId236" Type="http://schemas.openxmlformats.org/officeDocument/2006/relationships/hyperlink" Target="https://chromewebstore.google.com/detail/jjmdplljmniahpamcmabdnahmjdlikpm" TargetMode="External"/><Relationship Id="rId231" Type="http://schemas.openxmlformats.org/officeDocument/2006/relationships/hyperlink" Target="https://chromewebstore.google.com/detail/ilgcnhelpchnceeipipijaljkblbcobl" TargetMode="External"/><Relationship Id="rId5420" Type="http://schemas.openxmlformats.org/officeDocument/2006/relationships/hyperlink" Target="https://chromewebstore.google.com/detail/dnnbdjbnhfojinfmmiiehamhkheifbbg" TargetMode="External"/><Relationship Id="rId6751" Type="http://schemas.openxmlformats.org/officeDocument/2006/relationships/hyperlink" Target="https://chromewebstore.google.com/detail/oekdeefnfjmoojcdkmlbplpdnikfmdlc" TargetMode="External"/><Relationship Id="rId230" Type="http://schemas.openxmlformats.org/officeDocument/2006/relationships/hyperlink" Target="https://chromewebstore.google.com/detail/ikbablmmjldhamhcldjjigniffkkjgpo" TargetMode="External"/><Relationship Id="rId5421" Type="http://schemas.openxmlformats.org/officeDocument/2006/relationships/hyperlink" Target="https://chromewebstore.google.com/detail/dnnlphagnbdccldakkjehjdideaobidd" TargetMode="External"/><Relationship Id="rId6752" Type="http://schemas.openxmlformats.org/officeDocument/2006/relationships/hyperlink" Target="https://chromewebstore.google.com/detail/oekengelpdnkfopdkkphkmaacfanbnla" TargetMode="External"/><Relationship Id="rId6750" Type="http://schemas.openxmlformats.org/officeDocument/2006/relationships/hyperlink" Target="https://chromewebstore.google.com/detail/oekcldnibfbbhgkmadgjlabcdjefclkm" TargetMode="External"/><Relationship Id="rId235" Type="http://schemas.openxmlformats.org/officeDocument/2006/relationships/hyperlink" Target="https://chromewebstore.google.com/detail/jhmhfmkkefhodppadapgpnaiccboohef" TargetMode="External"/><Relationship Id="rId5424" Type="http://schemas.openxmlformats.org/officeDocument/2006/relationships/hyperlink" Target="https://chromewebstore.google.com/detail/dogblfnfkmjolfcbpgfkhpaahocjhkbk" TargetMode="External"/><Relationship Id="rId6755" Type="http://schemas.openxmlformats.org/officeDocument/2006/relationships/hyperlink" Target="https://chromewebstore.google.com/detail/oeolbkmoecehmgmgfghkldlbngokdjhb" TargetMode="External"/><Relationship Id="rId234" Type="http://schemas.openxmlformats.org/officeDocument/2006/relationships/hyperlink" Target="https://chromewebstore.google.com/detail/iofmialeiddolmdlkbheakaefefkjokp" TargetMode="External"/><Relationship Id="rId5425" Type="http://schemas.openxmlformats.org/officeDocument/2006/relationships/hyperlink" Target="https://chromewebstore.google.com/detail/dohbiijnjeiejifbgfdhfknogknkglio" TargetMode="External"/><Relationship Id="rId6756" Type="http://schemas.openxmlformats.org/officeDocument/2006/relationships/hyperlink" Target="https://chromewebstore.google.com/detail/oeomioifmeadkjdifcijpkfifjifhhhn" TargetMode="External"/><Relationship Id="rId233" Type="http://schemas.openxmlformats.org/officeDocument/2006/relationships/hyperlink" Target="https://chromewebstore.google.com/detail/inobiceghmpkaklcknpniboilbjmlald" TargetMode="External"/><Relationship Id="rId5422" Type="http://schemas.openxmlformats.org/officeDocument/2006/relationships/hyperlink" Target="https://chromewebstore.google.com/detail/dnoeippmocfhleigngbdncdiaiehjaff" TargetMode="External"/><Relationship Id="rId6753" Type="http://schemas.openxmlformats.org/officeDocument/2006/relationships/hyperlink" Target="https://chromewebstore.google.com/detail/oelmadmiblchepiglmkdooododgpeafa" TargetMode="External"/><Relationship Id="rId232" Type="http://schemas.openxmlformats.org/officeDocument/2006/relationships/hyperlink" Target="https://chromewebstore.google.com/detail/imokeandodnlammaoenbgcnbhigjbpjh" TargetMode="External"/><Relationship Id="rId5423" Type="http://schemas.openxmlformats.org/officeDocument/2006/relationships/hyperlink" Target="https://chromewebstore.google.com/detail/dodkihcbgpjblncjahodbnlgkkflliim" TargetMode="External"/><Relationship Id="rId6754" Type="http://schemas.openxmlformats.org/officeDocument/2006/relationships/hyperlink" Target="https://chromewebstore.google.com/detail/oemjndhbhfopdmlmjlakgdegemekkibg" TargetMode="External"/><Relationship Id="rId6704" Type="http://schemas.openxmlformats.org/officeDocument/2006/relationships/hyperlink" Target="https://chromewebstore.google.com/detail/npfihoncaeggchfpldnmodmdajngpjib" TargetMode="External"/><Relationship Id="rId6705" Type="http://schemas.openxmlformats.org/officeDocument/2006/relationships/hyperlink" Target="https://chromewebstore.google.com/detail/npkedbfekaljhfnfgpefnpcincdjnbpg" TargetMode="External"/><Relationship Id="rId6702" Type="http://schemas.openxmlformats.org/officeDocument/2006/relationships/hyperlink" Target="https://chromewebstore.google.com/detail/npbgaonpknkafgkfkjhkobhnaffmiafl" TargetMode="External"/><Relationship Id="rId6703" Type="http://schemas.openxmlformats.org/officeDocument/2006/relationships/hyperlink" Target="https://chromewebstore.google.com/detail/npfembjlphenkaefgeokfciglehfffmj" TargetMode="External"/><Relationship Id="rId6708" Type="http://schemas.openxmlformats.org/officeDocument/2006/relationships/hyperlink" Target="https://chromewebstore.google.com/detail/npohodmlkdednnlbhfegpnhohpgckocf" TargetMode="External"/><Relationship Id="rId6709" Type="http://schemas.openxmlformats.org/officeDocument/2006/relationships/hyperlink" Target="https://chromewebstore.google.com/detail/nppbdeifhmhjlahlcplebmeklianffba" TargetMode="External"/><Relationship Id="rId6706" Type="http://schemas.openxmlformats.org/officeDocument/2006/relationships/hyperlink" Target="https://chromewebstore.google.com/detail/npljhcbaaldjombimmaodgeakklblcie" TargetMode="External"/><Relationship Id="rId6707" Type="http://schemas.openxmlformats.org/officeDocument/2006/relationships/hyperlink" Target="https://chromewebstore.google.com/detail/nplpnljodajnjkpbgiflkmmcbpfiljac" TargetMode="External"/><Relationship Id="rId6700" Type="http://schemas.openxmlformats.org/officeDocument/2006/relationships/hyperlink" Target="https://chromewebstore.google.com/detail/nofmhkiliplhcecdhmfndhjbppbmoegk" TargetMode="External"/><Relationship Id="rId6701" Type="http://schemas.openxmlformats.org/officeDocument/2006/relationships/hyperlink" Target="https://chromewebstore.google.com/detail/nojbafgmebkfnkcedljjfdgmjfloocoe" TargetMode="External"/><Relationship Id="rId6726" Type="http://schemas.openxmlformats.org/officeDocument/2006/relationships/hyperlink" Target="https://chromewebstore.google.com/detail/obmkondomdmdibeoehobeofdnogneecp" TargetMode="External"/><Relationship Id="rId6727" Type="http://schemas.openxmlformats.org/officeDocument/2006/relationships/hyperlink" Target="https://chromewebstore.google.com/detail/obmlbfmagbgddcnmhnegnljdmhfnfgmc" TargetMode="External"/><Relationship Id="rId6724" Type="http://schemas.openxmlformats.org/officeDocument/2006/relationships/hyperlink" Target="https://chromewebstore.google.com/detail/obkfljadgdcionngoklljlmkddgljigk" TargetMode="External"/><Relationship Id="rId6725" Type="http://schemas.openxmlformats.org/officeDocument/2006/relationships/hyperlink" Target="https://chromewebstore.google.com/detail/obmioinepipfahfhaaebfjomonleiapd" TargetMode="External"/><Relationship Id="rId6728" Type="http://schemas.openxmlformats.org/officeDocument/2006/relationships/hyperlink" Target="https://chromewebstore.google.com/detail/ocaooaloaklnkihcmombdnobkipjgile" TargetMode="External"/><Relationship Id="rId6729" Type="http://schemas.openxmlformats.org/officeDocument/2006/relationships/hyperlink" Target="https://chromewebstore.google.com/detail/occeejcdjnhnbaejiohmbbdbgnbpemcc" TargetMode="External"/><Relationship Id="rId206" Type="http://schemas.openxmlformats.org/officeDocument/2006/relationships/hyperlink" Target="https://chromewebstore.google.com/detail/fpjegfbcdijjfkceenlfoehpcakfgldj" TargetMode="External"/><Relationship Id="rId205" Type="http://schemas.openxmlformats.org/officeDocument/2006/relationships/hyperlink" Target="https://chromewebstore.google.com/detail/fpdnjdlbdmifoocedhkighhlbchbiikl" TargetMode="External"/><Relationship Id="rId204" Type="http://schemas.openxmlformats.org/officeDocument/2006/relationships/hyperlink" Target="https://chromewebstore.google.com/detail/fmophgdjdipcbfjiopifpngdjmemonko" TargetMode="External"/><Relationship Id="rId203" Type="http://schemas.openxmlformats.org/officeDocument/2006/relationships/hyperlink" Target="https://chromewebstore.google.com/detail/fiabciakcmgepblmdkmemdbbkilneeeh" TargetMode="External"/><Relationship Id="rId209" Type="http://schemas.openxmlformats.org/officeDocument/2006/relationships/hyperlink" Target="https://chromewebstore.google.com/detail/gdiimmpmdoofmahingpgabiikimjgcia" TargetMode="External"/><Relationship Id="rId208" Type="http://schemas.openxmlformats.org/officeDocument/2006/relationships/hyperlink" Target="https://chromewebstore.google.com/detail/gbgjpdhhnbgmnafojckjmjogcpoinlim" TargetMode="External"/><Relationship Id="rId207" Type="http://schemas.openxmlformats.org/officeDocument/2006/relationships/hyperlink" Target="https://chromewebstore.google.com/detail/gbammbheopgpmaagmckhpjbfgdfkpadb" TargetMode="External"/><Relationship Id="rId202" Type="http://schemas.openxmlformats.org/officeDocument/2006/relationships/hyperlink" Target="https://chromewebstore.google.com/detail/fhcgjolkccmbidfldomjliifgaodjagh" TargetMode="External"/><Relationship Id="rId6722" Type="http://schemas.openxmlformats.org/officeDocument/2006/relationships/hyperlink" Target="https://chromewebstore.google.com/detail/obgghgheidhjlkgolpabbncemnmpkpac" TargetMode="External"/><Relationship Id="rId201" Type="http://schemas.openxmlformats.org/officeDocument/2006/relationships/hyperlink" Target="https://chromewebstore.google.com/detail/ffljdddodmkedhkcjhpmdajhjdbkogke" TargetMode="External"/><Relationship Id="rId6723" Type="http://schemas.openxmlformats.org/officeDocument/2006/relationships/hyperlink" Target="https://chromewebstore.google.com/detail/objbdnkdonjhgedbpffkahnoflllbjph" TargetMode="External"/><Relationship Id="rId200" Type="http://schemas.openxmlformats.org/officeDocument/2006/relationships/hyperlink" Target="https://chromewebstore.google.com/detail/fcikoaljfkfdofbhmfeonmpkmmagnokd" TargetMode="External"/><Relationship Id="rId6720" Type="http://schemas.openxmlformats.org/officeDocument/2006/relationships/hyperlink" Target="https://chromewebstore.google.com/detail/oaoneifognaiapnemgpeifibjijidpne" TargetMode="External"/><Relationship Id="rId6721" Type="http://schemas.openxmlformats.org/officeDocument/2006/relationships/hyperlink" Target="https://chromewebstore.google.com/detail/obdijnickljedfcojahfkknhcaepmjbb" TargetMode="External"/><Relationship Id="rId6715" Type="http://schemas.openxmlformats.org/officeDocument/2006/relationships/hyperlink" Target="https://chromewebstore.google.com/detail/oagaeikjnjbjcgelefgmomonfhpidclg" TargetMode="External"/><Relationship Id="rId6716" Type="http://schemas.openxmlformats.org/officeDocument/2006/relationships/hyperlink" Target="https://chromewebstore.google.com/detail/oagalgodeelgmgamlnladeeicpfccgag" TargetMode="External"/><Relationship Id="rId6713" Type="http://schemas.openxmlformats.org/officeDocument/2006/relationships/hyperlink" Target="https://chromewebstore.google.com/detail/oacgaangchinnhemdcakdmiekopnfckl" TargetMode="External"/><Relationship Id="rId6714" Type="http://schemas.openxmlformats.org/officeDocument/2006/relationships/hyperlink" Target="https://chromewebstore.google.com/detail/oadkmgihpeakaanccpjmaekjldceempn" TargetMode="External"/><Relationship Id="rId6719" Type="http://schemas.openxmlformats.org/officeDocument/2006/relationships/hyperlink" Target="https://chromewebstore.google.com/detail/oamijhcbhoplikcmmfdhgokglmbngcmj" TargetMode="External"/><Relationship Id="rId6717" Type="http://schemas.openxmlformats.org/officeDocument/2006/relationships/hyperlink" Target="https://chromewebstore.google.com/detail/oakjdafonfdgbgbcofjpaecngfimohno" TargetMode="External"/><Relationship Id="rId6718" Type="http://schemas.openxmlformats.org/officeDocument/2006/relationships/hyperlink" Target="https://chromewebstore.google.com/detail/oamfkdadogckhpdbhiibkobglkpiligo" TargetMode="External"/><Relationship Id="rId6711" Type="http://schemas.openxmlformats.org/officeDocument/2006/relationships/hyperlink" Target="https://chromewebstore.google.com/detail/oaahganejodjmecpcmbjhjoclllabgog" TargetMode="External"/><Relationship Id="rId6712" Type="http://schemas.openxmlformats.org/officeDocument/2006/relationships/hyperlink" Target="https://chromewebstore.google.com/detail/oabejkcoehheailplgpfogpjlgnkfkdb" TargetMode="External"/><Relationship Id="rId6710" Type="http://schemas.openxmlformats.org/officeDocument/2006/relationships/hyperlink" Target="https://chromewebstore.google.com/detail/npphpmbmpboghpojhghihkheedgjckkb" TargetMode="External"/><Relationship Id="rId5490" Type="http://schemas.openxmlformats.org/officeDocument/2006/relationships/hyperlink" Target="https://chromewebstore.google.com/detail/eglpmeihoibemdhnggkgolkepmofnmci" TargetMode="External"/><Relationship Id="rId4161" Type="http://schemas.openxmlformats.org/officeDocument/2006/relationships/hyperlink" Target="https://chromewebstore.google.com/detail/epedchlibfieifndgfjekmpaancjjfob" TargetMode="External"/><Relationship Id="rId5493" Type="http://schemas.openxmlformats.org/officeDocument/2006/relationships/hyperlink" Target="https://chromewebstore.google.com/detail/egpkelgmfbcppcjeefkbfemdfjljnhai" TargetMode="External"/><Relationship Id="rId4160" Type="http://schemas.openxmlformats.org/officeDocument/2006/relationships/hyperlink" Target="https://chromewebstore.google.com/detail/epaickocpjcjjiopbdlahnnkpljdlchm" TargetMode="External"/><Relationship Id="rId5494" Type="http://schemas.openxmlformats.org/officeDocument/2006/relationships/hyperlink" Target="https://chromewebstore.google.com/detail/ehajajfffkhkhlagpchojlakciinemfk" TargetMode="External"/><Relationship Id="rId4163" Type="http://schemas.openxmlformats.org/officeDocument/2006/relationships/hyperlink" Target="https://chromewebstore.google.com/detail/epoifkmdegipjgiaffigkidfgaijmjke" TargetMode="External"/><Relationship Id="rId5491" Type="http://schemas.openxmlformats.org/officeDocument/2006/relationships/hyperlink" Target="https://chromewebstore.google.com/detail/egmcoemabahnkbkfgdifiafkhebcfpfo" TargetMode="External"/><Relationship Id="rId4162" Type="http://schemas.openxmlformats.org/officeDocument/2006/relationships/hyperlink" Target="https://chromewebstore.google.com/detail/epnapkhlpikljdnnhkmfebapmmekjlab" TargetMode="External"/><Relationship Id="rId5492" Type="http://schemas.openxmlformats.org/officeDocument/2006/relationships/hyperlink" Target="https://chromewebstore.google.com/detail/egoipeajdgeadgkoejbohibgjmiabmpg" TargetMode="External"/><Relationship Id="rId4165" Type="http://schemas.openxmlformats.org/officeDocument/2006/relationships/hyperlink" Target="https://chromewebstore.google.com/detail/faccgibalfdoihmenknhpfhldkmgaang" TargetMode="External"/><Relationship Id="rId5497" Type="http://schemas.openxmlformats.org/officeDocument/2006/relationships/hyperlink" Target="https://chromewebstore.google.com/detail/ehecgbjlfigjeeapplnmliblgpkjaeme" TargetMode="External"/><Relationship Id="rId4164" Type="http://schemas.openxmlformats.org/officeDocument/2006/relationships/hyperlink" Target="https://chromewebstore.google.com/detail/fabkbngakgpgbfjcgniagacieofijajm" TargetMode="External"/><Relationship Id="rId5498" Type="http://schemas.openxmlformats.org/officeDocument/2006/relationships/hyperlink" Target="https://chromewebstore.google.com/detail/ehfhdfiepmimglpijcgmgclaejecmmmi" TargetMode="External"/><Relationship Id="rId4167" Type="http://schemas.openxmlformats.org/officeDocument/2006/relationships/hyperlink" Target="https://chromewebstore.google.com/detail/fakcbdabfjjicnmkhljhanahlhdkjlgf" TargetMode="External"/><Relationship Id="rId5495" Type="http://schemas.openxmlformats.org/officeDocument/2006/relationships/hyperlink" Target="https://chromewebstore.google.com/detail/ehdkmhgmlehnbibjhddpfelefhhniecm" TargetMode="External"/><Relationship Id="rId4166" Type="http://schemas.openxmlformats.org/officeDocument/2006/relationships/hyperlink" Target="https://chromewebstore.google.com/detail/fafnibnpfejgmleffgpnddkboddbipgm" TargetMode="External"/><Relationship Id="rId5496" Type="http://schemas.openxmlformats.org/officeDocument/2006/relationships/hyperlink" Target="https://chromewebstore.google.com/detail/eheapjobppkbengkdjfmjjamdohgnenp" TargetMode="External"/><Relationship Id="rId4169" Type="http://schemas.openxmlformats.org/officeDocument/2006/relationships/hyperlink" Target="https://chromewebstore.google.com/detail/fappknnhhggcjmeljjbjmibmhoninmem" TargetMode="External"/><Relationship Id="rId4168" Type="http://schemas.openxmlformats.org/officeDocument/2006/relationships/hyperlink" Target="https://chromewebstore.google.com/detail/falgkeemlabollcgileonaakpaggaldk" TargetMode="External"/><Relationship Id="rId5499" Type="http://schemas.openxmlformats.org/officeDocument/2006/relationships/hyperlink" Target="https://chromewebstore.google.com/detail/ehgcnaneidbjcmblghjepmamomchgahd" TargetMode="External"/><Relationship Id="rId4150" Type="http://schemas.openxmlformats.org/officeDocument/2006/relationships/hyperlink" Target="https://chromewebstore.google.com/detail/enagjojfhclogmaemicdkkohjghgpodh" TargetMode="External"/><Relationship Id="rId5482" Type="http://schemas.openxmlformats.org/officeDocument/2006/relationships/hyperlink" Target="https://chromewebstore.google.com/detail/efpojaaaadkmgcgafajaapmehnenjflp" TargetMode="External"/><Relationship Id="rId5483" Type="http://schemas.openxmlformats.org/officeDocument/2006/relationships/hyperlink" Target="https://chromewebstore.google.com/detail/egadjdfbcmohcmelgjhfkfkllljacbnp" TargetMode="External"/><Relationship Id="rId4152" Type="http://schemas.openxmlformats.org/officeDocument/2006/relationships/hyperlink" Target="https://chromewebstore.google.com/detail/enngmhjfhandgjeccahinpmjfmllklki" TargetMode="External"/><Relationship Id="rId5480" Type="http://schemas.openxmlformats.org/officeDocument/2006/relationships/hyperlink" Target="https://chromewebstore.google.com/detail/efnlmhjlcioaeboijgibmgepoahkegpm" TargetMode="External"/><Relationship Id="rId4151" Type="http://schemas.openxmlformats.org/officeDocument/2006/relationships/hyperlink" Target="https://chromewebstore.google.com/detail/enaoikphbblijoloobmapommnigpocid" TargetMode="External"/><Relationship Id="rId5481" Type="http://schemas.openxmlformats.org/officeDocument/2006/relationships/hyperlink" Target="https://chromewebstore.google.com/detail/efnmkpompmmellmbhajanpbomlklkcdd" TargetMode="External"/><Relationship Id="rId4154" Type="http://schemas.openxmlformats.org/officeDocument/2006/relationships/hyperlink" Target="https://chromewebstore.google.com/detail/eobcjlgohobbfcgabmijkdgpjkknpbbo" TargetMode="External"/><Relationship Id="rId5486" Type="http://schemas.openxmlformats.org/officeDocument/2006/relationships/hyperlink" Target="https://chromewebstore.google.com/detail/egfecfbhbaljhcacmclhcddckfofckid" TargetMode="External"/><Relationship Id="rId4153" Type="http://schemas.openxmlformats.org/officeDocument/2006/relationships/hyperlink" Target="https://chromewebstore.google.com/detail/enpponilfcooflcegkodmpdgboooohjm" TargetMode="External"/><Relationship Id="rId5487" Type="http://schemas.openxmlformats.org/officeDocument/2006/relationships/hyperlink" Target="https://chromewebstore.google.com/detail/eghabmmdjmfhajonjhglaakpnhhfibde" TargetMode="External"/><Relationship Id="rId4156" Type="http://schemas.openxmlformats.org/officeDocument/2006/relationships/hyperlink" Target="https://chromewebstore.google.com/detail/eohpihmnjndedfccbibjjlechjjeoooh" TargetMode="External"/><Relationship Id="rId5484" Type="http://schemas.openxmlformats.org/officeDocument/2006/relationships/hyperlink" Target="https://chromewebstore.google.com/detail/egadmmhpngfnpmonaeekogmilahecfhp" TargetMode="External"/><Relationship Id="rId4155" Type="http://schemas.openxmlformats.org/officeDocument/2006/relationships/hyperlink" Target="https://chromewebstore.google.com/detail/eobofinmnpbpbbmjhoickgllciakebjn" TargetMode="External"/><Relationship Id="rId5485" Type="http://schemas.openxmlformats.org/officeDocument/2006/relationships/hyperlink" Target="https://chromewebstore.google.com/detail/egbgfaldpekjcbmfhbjmcafbfcdjgboe" TargetMode="External"/><Relationship Id="rId4158" Type="http://schemas.openxmlformats.org/officeDocument/2006/relationships/hyperlink" Target="https://chromewebstore.google.com/detail/eomjeenhnoaegjeoljekagkjobjabalk" TargetMode="External"/><Relationship Id="rId4157" Type="http://schemas.openxmlformats.org/officeDocument/2006/relationships/hyperlink" Target="https://chromewebstore.google.com/detail/eolgelhflgphiebnjopklpnplinmemfi" TargetMode="External"/><Relationship Id="rId5488" Type="http://schemas.openxmlformats.org/officeDocument/2006/relationships/hyperlink" Target="https://chromewebstore.google.com/detail/eghfogfdhadandcigjcccdfhlohcgljn" TargetMode="External"/><Relationship Id="rId4159" Type="http://schemas.openxmlformats.org/officeDocument/2006/relationships/hyperlink" Target="https://chromewebstore.google.com/detail/eonnlpadjpdnandpobhloihongackbpg" TargetMode="External"/><Relationship Id="rId5489" Type="http://schemas.openxmlformats.org/officeDocument/2006/relationships/hyperlink" Target="https://chromewebstore.google.com/detail/egjknjnaeififddehjalmnhjcgdepdac" TargetMode="External"/><Relationship Id="rId1910" Type="http://schemas.openxmlformats.org/officeDocument/2006/relationships/hyperlink" Target="https://chromewebstore.google.com/detail/bfpceoikbdofmalhfgldnjbdmkclmfdg" TargetMode="External"/><Relationship Id="rId1911" Type="http://schemas.openxmlformats.org/officeDocument/2006/relationships/hyperlink" Target="https://chromewebstore.google.com/detail/bikfkbocgddjlkgibgbbjccnbkbgapch" TargetMode="External"/><Relationship Id="rId1912" Type="http://schemas.openxmlformats.org/officeDocument/2006/relationships/hyperlink" Target="https://chromewebstore.google.com/detail/biojnaikodbeknbdfdchnndkeoafkbnh" TargetMode="External"/><Relationship Id="rId1913" Type="http://schemas.openxmlformats.org/officeDocument/2006/relationships/hyperlink" Target="https://chromewebstore.google.com/detail/bjejneicjolfdccjnbclegjomjlhegbi" TargetMode="External"/><Relationship Id="rId1914" Type="http://schemas.openxmlformats.org/officeDocument/2006/relationships/hyperlink" Target="https://chromewebstore.google.com/detail/bkcaoipeckgolimcehafhdmcegipapnm" TargetMode="External"/><Relationship Id="rId1915" Type="http://schemas.openxmlformats.org/officeDocument/2006/relationships/hyperlink" Target="https://chromewebstore.google.com/detail/blbckhiepgpniilpmlionnkjoeehhgao" TargetMode="External"/><Relationship Id="rId1916" Type="http://schemas.openxmlformats.org/officeDocument/2006/relationships/hyperlink" Target="https://chromewebstore.google.com/detail/bmikpgodpkclnkgmnpphehdgcimmided" TargetMode="External"/><Relationship Id="rId1917" Type="http://schemas.openxmlformats.org/officeDocument/2006/relationships/hyperlink" Target="https://chromewebstore.google.com/detail/bncnpcfmnfndnbffpggadkdohijjejpj" TargetMode="External"/><Relationship Id="rId1918" Type="http://schemas.openxmlformats.org/officeDocument/2006/relationships/hyperlink" Target="https://chromewebstore.google.com/detail/boekkellfjdoiibmmhoaiimjpffndljf" TargetMode="External"/><Relationship Id="rId1919" Type="http://schemas.openxmlformats.org/officeDocument/2006/relationships/hyperlink" Target="https://chromewebstore.google.com/detail/cbjngbfjehiofmihfpodinolkcokdojp" TargetMode="External"/><Relationship Id="rId4181" Type="http://schemas.openxmlformats.org/officeDocument/2006/relationships/hyperlink" Target="https://chromewebstore.google.com/detail/fdlbedhogoojcdcjmjpipjonabaoidlj" TargetMode="External"/><Relationship Id="rId4180" Type="http://schemas.openxmlformats.org/officeDocument/2006/relationships/hyperlink" Target="https://chromewebstore.google.com/detail/fdehphjgknbbfmaopdnhciplgjfifjkc" TargetMode="External"/><Relationship Id="rId4183" Type="http://schemas.openxmlformats.org/officeDocument/2006/relationships/hyperlink" Target="https://chromewebstore.google.com/detail/fehpipicaiihbpiegagncpdfkfmodiol" TargetMode="External"/><Relationship Id="rId4182" Type="http://schemas.openxmlformats.org/officeDocument/2006/relationships/hyperlink" Target="https://chromewebstore.google.com/detail/feeeclckpfekcfbnplpmfoldhbllpikn" TargetMode="External"/><Relationship Id="rId4185" Type="http://schemas.openxmlformats.org/officeDocument/2006/relationships/hyperlink" Target="https://chromewebstore.google.com/detail/fejhallhnhclcidkbgclianhgfoendle" TargetMode="External"/><Relationship Id="rId4184" Type="http://schemas.openxmlformats.org/officeDocument/2006/relationships/hyperlink" Target="https://chromewebstore.google.com/detail/feijekkdahhnjbhpiffgejphmokchdbo" TargetMode="External"/><Relationship Id="rId4187" Type="http://schemas.openxmlformats.org/officeDocument/2006/relationships/hyperlink" Target="https://chromewebstore.google.com/detail/fepcenjlhhocbchbhfconcfeblaflgab" TargetMode="External"/><Relationship Id="rId4186" Type="http://schemas.openxmlformats.org/officeDocument/2006/relationships/hyperlink" Target="https://chromewebstore.google.com/detail/femolaikomdnigbodefkjhpjgkdopbci" TargetMode="External"/><Relationship Id="rId4189" Type="http://schemas.openxmlformats.org/officeDocument/2006/relationships/hyperlink" Target="https://chromewebstore.google.com/detail/fffhmhcillaopdbhllfffhfhbcnkioco" TargetMode="External"/><Relationship Id="rId4188" Type="http://schemas.openxmlformats.org/officeDocument/2006/relationships/hyperlink" Target="https://chromewebstore.google.com/detail/ffcinmkbpiamlpccghkkglghggpahnab" TargetMode="External"/><Relationship Id="rId1900" Type="http://schemas.openxmlformats.org/officeDocument/2006/relationships/hyperlink" Target="https://chromewebstore.google.com/detail/ambpfppfbpeepjlpgekhpdfmmgikfjjd" TargetMode="External"/><Relationship Id="rId1901" Type="http://schemas.openxmlformats.org/officeDocument/2006/relationships/hyperlink" Target="https://chromewebstore.google.com/detail/aocppmckdocdjkphmofnklcjhdidgmga" TargetMode="External"/><Relationship Id="rId1902" Type="http://schemas.openxmlformats.org/officeDocument/2006/relationships/hyperlink" Target="https://chromewebstore.google.com/detail/aofadimegphfgllgjblddapiaojbglhf" TargetMode="External"/><Relationship Id="rId1903" Type="http://schemas.openxmlformats.org/officeDocument/2006/relationships/hyperlink" Target="https://chromewebstore.google.com/detail/bafhdnhjnlcdbjcdcnafhdcphhnfnhjc" TargetMode="External"/><Relationship Id="rId1904" Type="http://schemas.openxmlformats.org/officeDocument/2006/relationships/hyperlink" Target="https://chromewebstore.google.com/detail/bckfpnenhimfckndcceonmkhheinmkob" TargetMode="External"/><Relationship Id="rId1905" Type="http://schemas.openxmlformats.org/officeDocument/2006/relationships/hyperlink" Target="https://chromewebstore.google.com/detail/beahjohmjaedaamelbphgpmopcigcegh" TargetMode="External"/><Relationship Id="rId1906" Type="http://schemas.openxmlformats.org/officeDocument/2006/relationships/hyperlink" Target="https://chromewebstore.google.com/detail/bfcjfegkgdoomgmofhcidoiampnpbdao" TargetMode="External"/><Relationship Id="rId1907" Type="http://schemas.openxmlformats.org/officeDocument/2006/relationships/hyperlink" Target="http://kbs.im" TargetMode="External"/><Relationship Id="rId1908" Type="http://schemas.openxmlformats.org/officeDocument/2006/relationships/hyperlink" Target="https://chromewebstore.google.com/detail/bfhimedecdiighdpopjohlmkfmglkmob" TargetMode="External"/><Relationship Id="rId1909" Type="http://schemas.openxmlformats.org/officeDocument/2006/relationships/hyperlink" Target="https://chromewebstore.google.com/detail/bfjihladgnccpchokgeeicpjcakdmkbe" TargetMode="External"/><Relationship Id="rId4170" Type="http://schemas.openxmlformats.org/officeDocument/2006/relationships/hyperlink" Target="https://chromewebstore.google.com/detail/fbdmadiknkkdfcgjdbmddklighibfomm" TargetMode="External"/><Relationship Id="rId4172" Type="http://schemas.openxmlformats.org/officeDocument/2006/relationships/hyperlink" Target="https://chromewebstore.google.com/detail/fbflpifoodcfknnolhnambbiekfjekmb" TargetMode="External"/><Relationship Id="rId4171" Type="http://schemas.openxmlformats.org/officeDocument/2006/relationships/hyperlink" Target="https://chromewebstore.google.com/detail/fbeembbkdhjmllclbpjipcceajlblhbn" TargetMode="External"/><Relationship Id="rId4174" Type="http://schemas.openxmlformats.org/officeDocument/2006/relationships/hyperlink" Target="https://chromewebstore.google.com/detail/fbkkphfailagfnjpgmddfmghblmggbja" TargetMode="External"/><Relationship Id="rId4173" Type="http://schemas.openxmlformats.org/officeDocument/2006/relationships/hyperlink" Target="https://chromewebstore.google.com/detail/fbkigokjancnolojmhcgcfhgeeljolkh" TargetMode="External"/><Relationship Id="rId4176" Type="http://schemas.openxmlformats.org/officeDocument/2006/relationships/hyperlink" Target="https://chromewebstore.google.com/detail/fbojgdgmgpmmjhipfcjnkgmafcomfngh" TargetMode="External"/><Relationship Id="rId4175" Type="http://schemas.openxmlformats.org/officeDocument/2006/relationships/hyperlink" Target="https://chromewebstore.google.com/detail/fbmkgmcpggolmkdjjgmjeacpkefiddcp" TargetMode="External"/><Relationship Id="rId4178" Type="http://schemas.openxmlformats.org/officeDocument/2006/relationships/hyperlink" Target="https://chromewebstore.google.com/detail/fcpnnjlljgdcinojgocmjddolelccbjc" TargetMode="External"/><Relationship Id="rId4177" Type="http://schemas.openxmlformats.org/officeDocument/2006/relationships/hyperlink" Target="https://chromewebstore.google.com/detail/fcgdlnpeeheimiofifimdfpmfiljddlk" TargetMode="External"/><Relationship Id="rId4179" Type="http://schemas.openxmlformats.org/officeDocument/2006/relationships/hyperlink" Target="https://chromewebstore.google.com/detail/fddklllgaiialpiglbmmpaofmiemkkdo" TargetMode="External"/><Relationship Id="rId4129" Type="http://schemas.openxmlformats.org/officeDocument/2006/relationships/hyperlink" Target="https://chromewebstore.google.com/detail/ehgchfhpoohealbjenffnigbifaeacba" TargetMode="External"/><Relationship Id="rId4128" Type="http://schemas.openxmlformats.org/officeDocument/2006/relationships/hyperlink" Target="https://chromewebstore.google.com/detail/ehclemkhpcjoodjgdlnaoodjbbfjhihj" TargetMode="External"/><Relationship Id="rId5459" Type="http://schemas.openxmlformats.org/officeDocument/2006/relationships/hyperlink" Target="https://chromewebstore.google.com/detail/ecgmmflabkilcakdgbaipdammklpglak" TargetMode="External"/><Relationship Id="rId6780" Type="http://schemas.openxmlformats.org/officeDocument/2006/relationships/hyperlink" Target="https://chromewebstore.google.com/detail/ohbgjelbnnilhimcihoipnkelmdfdhbe" TargetMode="External"/><Relationship Id="rId5450" Type="http://schemas.openxmlformats.org/officeDocument/2006/relationships/hyperlink" Target="https://chromewebstore.google.com/detail/eaopblpjlkbgaadjbahmafepfegaigfb" TargetMode="External"/><Relationship Id="rId6781" Type="http://schemas.openxmlformats.org/officeDocument/2006/relationships/hyperlink" Target="https://chromewebstore.google.com/detail/ohdcmmbkadhimldgmdmddaedglgcalcd" TargetMode="External"/><Relationship Id="rId4121" Type="http://schemas.openxmlformats.org/officeDocument/2006/relationships/hyperlink" Target="https://chromewebstore.google.com/detail/eekjepfmcakinlecaaecodjgfphcanlf" TargetMode="External"/><Relationship Id="rId5453" Type="http://schemas.openxmlformats.org/officeDocument/2006/relationships/hyperlink" Target="https://chromewebstore.google.com/detail/ebdjmjgokgjakdpigpmilfebpnfaibeb" TargetMode="External"/><Relationship Id="rId6784" Type="http://schemas.openxmlformats.org/officeDocument/2006/relationships/hyperlink" Target="https://chromewebstore.google.com/detail/ohhjfajndpfpbimipmehmdkblnbelaec" TargetMode="External"/><Relationship Id="rId4120" Type="http://schemas.openxmlformats.org/officeDocument/2006/relationships/hyperlink" Target="https://chromewebstore.google.com/detail/eehocaoejekpmecmfecdkpohdkgkmoee" TargetMode="External"/><Relationship Id="rId5454" Type="http://schemas.openxmlformats.org/officeDocument/2006/relationships/hyperlink" Target="https://chromewebstore.google.com/detail/ebdnoefbindlpognlepihpfaepalngda" TargetMode="External"/><Relationship Id="rId6785" Type="http://schemas.openxmlformats.org/officeDocument/2006/relationships/hyperlink" Target="https://chromewebstore.google.com/detail/ohjcpmdjfihchfhkmimcbklhjdphoeac" TargetMode="External"/><Relationship Id="rId4123" Type="http://schemas.openxmlformats.org/officeDocument/2006/relationships/hyperlink" Target="https://chromewebstore.google.com/detail/effgonodledjnccmbmenpilimbhljahh" TargetMode="External"/><Relationship Id="rId5451" Type="http://schemas.openxmlformats.org/officeDocument/2006/relationships/hyperlink" Target="https://chromewebstore.google.com/detail/ebamaffgiechnomghfojkmlkaipoadni" TargetMode="External"/><Relationship Id="rId6782" Type="http://schemas.openxmlformats.org/officeDocument/2006/relationships/hyperlink" Target="https://chromewebstore.google.com/detail/ohdilaonheipiclpcgepeioondfciiip" TargetMode="External"/><Relationship Id="rId4122" Type="http://schemas.openxmlformats.org/officeDocument/2006/relationships/hyperlink" Target="https://chromewebstore.google.com/detail/eepjjjjplcaiebldejkkfhlnmhpgceno" TargetMode="External"/><Relationship Id="rId5452" Type="http://schemas.openxmlformats.org/officeDocument/2006/relationships/hyperlink" Target="https://chromewebstore.google.com/detail/ebanajomahnlhgbljngocmccmpelnaam" TargetMode="External"/><Relationship Id="rId6783" Type="http://schemas.openxmlformats.org/officeDocument/2006/relationships/hyperlink" Target="https://chromewebstore.google.com/detail/oheaeephldhdnlglpkgigmlcjcieojfd" TargetMode="External"/><Relationship Id="rId4125" Type="http://schemas.openxmlformats.org/officeDocument/2006/relationships/hyperlink" Target="https://chromewebstore.google.com/detail/eggggihfcaabljfpjiiaohloefmgejic" TargetMode="External"/><Relationship Id="rId5457" Type="http://schemas.openxmlformats.org/officeDocument/2006/relationships/hyperlink" Target="https://chromewebstore.google.com/detail/ecbkcjeoffcjnppapdlncohmehhnfibd" TargetMode="External"/><Relationship Id="rId6788" Type="http://schemas.openxmlformats.org/officeDocument/2006/relationships/hyperlink" Target="https://chromewebstore.google.com/detail/ohogkbgckjfhmgmfbdabalmggjmjdjmk" TargetMode="External"/><Relationship Id="rId4124" Type="http://schemas.openxmlformats.org/officeDocument/2006/relationships/hyperlink" Target="https://chromewebstore.google.com/detail/efndcbfgochdmkgjpinknmeakjfkgjlk" TargetMode="External"/><Relationship Id="rId5458" Type="http://schemas.openxmlformats.org/officeDocument/2006/relationships/hyperlink" Target="https://chromewebstore.google.com/detail/ecgfhpjmkenogpckhiimbnkkmjgmdnkp" TargetMode="External"/><Relationship Id="rId6789" Type="http://schemas.openxmlformats.org/officeDocument/2006/relationships/hyperlink" Target="https://chromewebstore.google.com/detail/ohpbdgpfjldcmolpikooagnibhjijlgn" TargetMode="External"/><Relationship Id="rId4127" Type="http://schemas.openxmlformats.org/officeDocument/2006/relationships/hyperlink" Target="https://chromewebstore.google.com/detail/egpjdkipkomnmjhjmdamaniclmdlobbo" TargetMode="External"/><Relationship Id="rId5455" Type="http://schemas.openxmlformats.org/officeDocument/2006/relationships/hyperlink" Target="https://chromewebstore.google.com/detail/ebfpgeghginolinmdhlbecaahehoijlh" TargetMode="External"/><Relationship Id="rId6786" Type="http://schemas.openxmlformats.org/officeDocument/2006/relationships/hyperlink" Target="https://chromewebstore.google.com/detail/ohkoalpmmojgjaejpifmkglbcklcegdp" TargetMode="External"/><Relationship Id="rId4126" Type="http://schemas.openxmlformats.org/officeDocument/2006/relationships/hyperlink" Target="https://chromewebstore.google.com/detail/egoobjhmbpflgogbgbihhdeibdfnedii" TargetMode="External"/><Relationship Id="rId5456" Type="http://schemas.openxmlformats.org/officeDocument/2006/relationships/hyperlink" Target="https://chromewebstore.google.com/detail/ebopmadmefafkchimikckagkfgmabbbf" TargetMode="External"/><Relationship Id="rId6787" Type="http://schemas.openxmlformats.org/officeDocument/2006/relationships/hyperlink" Target="https://chromewebstore.google.com/detail/ohloajnmmkniehhbmjakbejnomonmijc" TargetMode="External"/><Relationship Id="rId4118" Type="http://schemas.openxmlformats.org/officeDocument/2006/relationships/hyperlink" Target="https://chromewebstore.google.com/detail/edpeidcfjfmepdgdjnodefckgdjbigem" TargetMode="External"/><Relationship Id="rId4117" Type="http://schemas.openxmlformats.org/officeDocument/2006/relationships/hyperlink" Target="https://chromewebstore.google.com/detail/edjhnplefifonpibnpeieioopodfloio" TargetMode="External"/><Relationship Id="rId5448" Type="http://schemas.openxmlformats.org/officeDocument/2006/relationships/hyperlink" Target="https://chromewebstore.google.com/detail/eagkabickapieimgklfjghijlclhghhj" TargetMode="External"/><Relationship Id="rId6779" Type="http://schemas.openxmlformats.org/officeDocument/2006/relationships/hyperlink" Target="https://chromewebstore.google.com/detail/ohajmcdpjokbdoihfhkpbmlmknejmoec" TargetMode="External"/><Relationship Id="rId4119" Type="http://schemas.openxmlformats.org/officeDocument/2006/relationships/hyperlink" Target="https://chromewebstore.google.com/detail/eedcgdapkfgbfdknngcpiphmfifgonji" TargetMode="External"/><Relationship Id="rId5449" Type="http://schemas.openxmlformats.org/officeDocument/2006/relationships/hyperlink" Target="https://chromewebstore.google.com/detail/eajfidjagfdheejfooghbheaimkghofa" TargetMode="External"/><Relationship Id="rId6770" Type="http://schemas.openxmlformats.org/officeDocument/2006/relationships/hyperlink" Target="https://chromewebstore.google.com/detail/ogcmacogjicbppmlfkaglcloolcgcema" TargetMode="External"/><Relationship Id="rId4110" Type="http://schemas.openxmlformats.org/officeDocument/2006/relationships/hyperlink" Target="https://chromewebstore.google.com/detail/eajalplbgimhaodcnncciojhbpcogkan" TargetMode="External"/><Relationship Id="rId5442" Type="http://schemas.openxmlformats.org/officeDocument/2006/relationships/hyperlink" Target="https://chromewebstore.google.com/detail/dpngnogjeefnipdphklffjmcnohjdoln" TargetMode="External"/><Relationship Id="rId6773" Type="http://schemas.openxmlformats.org/officeDocument/2006/relationships/hyperlink" Target="https://chromewebstore.google.com/detail/ogiegfgghlangemlggeoogaadkebmibh" TargetMode="External"/><Relationship Id="rId5443" Type="http://schemas.openxmlformats.org/officeDocument/2006/relationships/hyperlink" Target="https://chromewebstore.google.com/detail/dpodcjngfcnpjpmlfkiecmohpenljklc" TargetMode="External"/><Relationship Id="rId6774" Type="http://schemas.openxmlformats.org/officeDocument/2006/relationships/hyperlink" Target="https://chromewebstore.google.com/detail/ogjfcicbofbobbljgbmkbgehfmkmanpa" TargetMode="External"/><Relationship Id="rId4112" Type="http://schemas.openxmlformats.org/officeDocument/2006/relationships/hyperlink" Target="https://chromewebstore.google.com/detail/ebhapiodakbafkjhegnfcmohjccfedkm" TargetMode="External"/><Relationship Id="rId5440" Type="http://schemas.openxmlformats.org/officeDocument/2006/relationships/hyperlink" Target="https://chromewebstore.google.com/detail/dpiiceilamhnhfmifmopmgoncpndlppa" TargetMode="External"/><Relationship Id="rId6771" Type="http://schemas.openxmlformats.org/officeDocument/2006/relationships/hyperlink" Target="https://chromewebstore.google.com/detail/ogebapoedodganeklcnhgabiehndcanl" TargetMode="External"/><Relationship Id="rId4111" Type="http://schemas.openxmlformats.org/officeDocument/2006/relationships/hyperlink" Target="https://chromewebstore.google.com/detail/ebckolanhdjilblnkcgcgifaikppnhba" TargetMode="External"/><Relationship Id="rId5441" Type="http://schemas.openxmlformats.org/officeDocument/2006/relationships/hyperlink" Target="https://chromewebstore.google.com/detail/dpjjodibolklnnnbflilekpbaddeolpe" TargetMode="External"/><Relationship Id="rId6772" Type="http://schemas.openxmlformats.org/officeDocument/2006/relationships/hyperlink" Target="https://chromewebstore.google.com/detail/ogffaloegjglncjfehdfplabnoondfjo" TargetMode="External"/><Relationship Id="rId4114" Type="http://schemas.openxmlformats.org/officeDocument/2006/relationships/hyperlink" Target="https://chromewebstore.google.com/detail/eciblbmhipceenpjandbgolgdndlbple" TargetMode="External"/><Relationship Id="rId5446" Type="http://schemas.openxmlformats.org/officeDocument/2006/relationships/hyperlink" Target="https://chromewebstore.google.com/detail/eadbjpepaobdbloeenghnbeejhbidcpa" TargetMode="External"/><Relationship Id="rId6777" Type="http://schemas.openxmlformats.org/officeDocument/2006/relationships/hyperlink" Target="https://chromewebstore.google.com/detail/ogobbjinnajkoepejmkhafcfpjbkmahb" TargetMode="External"/><Relationship Id="rId4113" Type="http://schemas.openxmlformats.org/officeDocument/2006/relationships/hyperlink" Target="https://chromewebstore.google.com/detail/ecdbnfkcfkokaclkaghkdaapaihiafcc" TargetMode="External"/><Relationship Id="rId5447" Type="http://schemas.openxmlformats.org/officeDocument/2006/relationships/hyperlink" Target="https://chromewebstore.google.com/detail/eagjaoajkojpngcgahjbcnahlhacpdap" TargetMode="External"/><Relationship Id="rId6778" Type="http://schemas.openxmlformats.org/officeDocument/2006/relationships/hyperlink" Target="https://chromewebstore.google.com/detail/ogpakokhpomfmndbddggogokkmcjebpl" TargetMode="External"/><Relationship Id="rId4116" Type="http://schemas.openxmlformats.org/officeDocument/2006/relationships/hyperlink" Target="https://chromewebstore.google.com/detail/ecoofennebdojehcgmclnjdmillihhhm" TargetMode="External"/><Relationship Id="rId5444" Type="http://schemas.openxmlformats.org/officeDocument/2006/relationships/hyperlink" Target="https://chromewebstore.google.com/detail/dpoijgpgdkhmmpjijlgknkhiichmfabj" TargetMode="External"/><Relationship Id="rId6775" Type="http://schemas.openxmlformats.org/officeDocument/2006/relationships/hyperlink" Target="https://chromewebstore.google.com/detail/ogkhchpclioobkplbmkjekalofgddagc" TargetMode="External"/><Relationship Id="rId4115" Type="http://schemas.openxmlformats.org/officeDocument/2006/relationships/hyperlink" Target="https://chromewebstore.google.com/detail/ecmipeblhclmbklgalmpgilfonejhlgb" TargetMode="External"/><Relationship Id="rId5445" Type="http://schemas.openxmlformats.org/officeDocument/2006/relationships/hyperlink" Target="https://chromewebstore.google.com/detail/eaabjlbddgjhjfplckkiglekpmonabcm" TargetMode="External"/><Relationship Id="rId6776" Type="http://schemas.openxmlformats.org/officeDocument/2006/relationships/hyperlink" Target="https://chromewebstore.google.com/detail/ogncjloladfooiimjbdgdkokmlmjpkjd" TargetMode="External"/><Relationship Id="rId5471" Type="http://schemas.openxmlformats.org/officeDocument/2006/relationships/hyperlink" Target="https://chromewebstore.google.com/detail/eeknhipceeelbgdbcmchicoaoalfdnhi" TargetMode="External"/><Relationship Id="rId5472" Type="http://schemas.openxmlformats.org/officeDocument/2006/relationships/hyperlink" Target="https://chromewebstore.google.com/detail/eelblfimbpgpdckjlpknbhclfhdhkmpb" TargetMode="External"/><Relationship Id="rId4141" Type="http://schemas.openxmlformats.org/officeDocument/2006/relationships/hyperlink" Target="https://chromewebstore.google.com/detail/ekjalehlcmifmhjgnenllniahiocdjch" TargetMode="External"/><Relationship Id="rId4140" Type="http://schemas.openxmlformats.org/officeDocument/2006/relationships/hyperlink" Target="https://chromewebstore.google.com/detail/ekbpkpogdfpoaehbngjhfololhjndbdn" TargetMode="External"/><Relationship Id="rId5470" Type="http://schemas.openxmlformats.org/officeDocument/2006/relationships/hyperlink" Target="https://chromewebstore.google.com/detail/eegkpnmlimmhkpgjmacbkbbfojomaiem" TargetMode="External"/><Relationship Id="rId4143" Type="http://schemas.openxmlformats.org/officeDocument/2006/relationships/hyperlink" Target="https://chromewebstore.google.com/detail/ekojmgooipeonpigjjclfbflmbjhhkpk" TargetMode="External"/><Relationship Id="rId5475" Type="http://schemas.openxmlformats.org/officeDocument/2006/relationships/hyperlink" Target="https://chromewebstore.google.com/detail/eeohmkjefmpmddidkjadpifbfcplkifh" TargetMode="External"/><Relationship Id="rId4142" Type="http://schemas.openxmlformats.org/officeDocument/2006/relationships/hyperlink" Target="https://chromewebstore.google.com/detail/eklcbfkfhemcgponnlbafdiiofbnopdn" TargetMode="External"/><Relationship Id="rId5476" Type="http://schemas.openxmlformats.org/officeDocument/2006/relationships/hyperlink" Target="https://chromewebstore.google.com/detail/eeokebplgkeahnimfjeahkngagphpjdj" TargetMode="External"/><Relationship Id="rId4145" Type="http://schemas.openxmlformats.org/officeDocument/2006/relationships/hyperlink" Target="https://chromewebstore.google.com/detail/elkhalpmbmbaeoemecpcfdcoekmpgmdm" TargetMode="External"/><Relationship Id="rId5473" Type="http://schemas.openxmlformats.org/officeDocument/2006/relationships/hyperlink" Target="https://chromewebstore.google.com/detail/eelcmdidihggbganloigjkefaahhhanj" TargetMode="External"/><Relationship Id="rId4144" Type="http://schemas.openxmlformats.org/officeDocument/2006/relationships/hyperlink" Target="https://chromewebstore.google.com/detail/elikdceclccjilahimjfceoalhdbndan" TargetMode="External"/><Relationship Id="rId5474" Type="http://schemas.openxmlformats.org/officeDocument/2006/relationships/hyperlink" Target="https://chromewebstore.google.com/detail/eemlmflceflimbfhcpmbpolemefajhdl" TargetMode="External"/><Relationship Id="rId4147" Type="http://schemas.openxmlformats.org/officeDocument/2006/relationships/hyperlink" Target="https://chromewebstore.google.com/detail/emdnjmkfcjemifplhmbkjmelnckonggd" TargetMode="External"/><Relationship Id="rId5479" Type="http://schemas.openxmlformats.org/officeDocument/2006/relationships/hyperlink" Target="https://chromewebstore.google.com/detail/efmppndinjbljeellfdkpghgblenbcdd" TargetMode="External"/><Relationship Id="rId4146" Type="http://schemas.openxmlformats.org/officeDocument/2006/relationships/hyperlink" Target="https://chromewebstore.google.com/detail/elpoagpgipenhjnfgljbnacmgeihhhdm" TargetMode="External"/><Relationship Id="rId4149" Type="http://schemas.openxmlformats.org/officeDocument/2006/relationships/hyperlink" Target="https://chromewebstore.google.com/detail/emgomhlfknapebclbdkonjilalfmchep" TargetMode="External"/><Relationship Id="rId5477" Type="http://schemas.openxmlformats.org/officeDocument/2006/relationships/hyperlink" Target="https://chromewebstore.google.com/detail/efailolfobgihgpfiocfladhcnclkhea" TargetMode="External"/><Relationship Id="rId4148" Type="http://schemas.openxmlformats.org/officeDocument/2006/relationships/hyperlink" Target="https://chromewebstore.google.com/detail/emeedobobbobllpippjidhpiigoffbbj" TargetMode="External"/><Relationship Id="rId5478" Type="http://schemas.openxmlformats.org/officeDocument/2006/relationships/hyperlink" Target="https://chromewebstore.google.com/detail/eflminelddfglcbimfpncahdiacnnegk" TargetMode="External"/><Relationship Id="rId4139" Type="http://schemas.openxmlformats.org/officeDocument/2006/relationships/hyperlink" Target="https://chromewebstore.google.com/detail/ejjdbndmmongojeafjlilnchmkppbeap" TargetMode="External"/><Relationship Id="rId5460" Type="http://schemas.openxmlformats.org/officeDocument/2006/relationships/hyperlink" Target="https://chromewebstore.google.com/detail/ecmnkaldejeaaffaehobmhapkhnicnke" TargetMode="External"/><Relationship Id="rId6791" Type="http://schemas.openxmlformats.org/officeDocument/2006/relationships/hyperlink" Target="https://chromewebstore.google.com/detail/oidfgbojkfckgmkljhacgnckncpanbhm" TargetMode="External"/><Relationship Id="rId5461" Type="http://schemas.openxmlformats.org/officeDocument/2006/relationships/hyperlink" Target="https://chromewebstore.google.com/detail/ecoljajakaeclkkcakoamigglloihgao" TargetMode="External"/><Relationship Id="rId6792" Type="http://schemas.openxmlformats.org/officeDocument/2006/relationships/hyperlink" Target="https://chromewebstore.google.com/detail/oiehlacniklopgoomeehknondlaifnll" TargetMode="External"/><Relationship Id="rId4130" Type="http://schemas.openxmlformats.org/officeDocument/2006/relationships/hyperlink" Target="https://chromewebstore.google.com/detail/ehjicobhjldomnjicohkkejcgljecncf" TargetMode="External"/><Relationship Id="rId6790" Type="http://schemas.openxmlformats.org/officeDocument/2006/relationships/hyperlink" Target="https://chromewebstore.google.com/detail/oiafnkijemphjhikmdjfdpgcekhkibcl" TargetMode="External"/><Relationship Id="rId4132" Type="http://schemas.openxmlformats.org/officeDocument/2006/relationships/hyperlink" Target="https://chromewebstore.google.com/detail/ehpgegjlegpdpjpffilhpgmmlgbhkbip" TargetMode="External"/><Relationship Id="rId5464" Type="http://schemas.openxmlformats.org/officeDocument/2006/relationships/hyperlink" Target="https://chromewebstore.google.com/detail/edcakfpjaobkpdfpicldlccdffkhpbfk" TargetMode="External"/><Relationship Id="rId6795" Type="http://schemas.openxmlformats.org/officeDocument/2006/relationships/hyperlink" Target="https://chromewebstore.google.com/detail/oimoiefndijdcjpphcgldokllodoaihe" TargetMode="External"/><Relationship Id="rId4131" Type="http://schemas.openxmlformats.org/officeDocument/2006/relationships/hyperlink" Target="https://chromewebstore.google.com/detail/ehmipebdmhlmikaopdfoinmcjhhfadlf" TargetMode="External"/><Relationship Id="rId5465" Type="http://schemas.openxmlformats.org/officeDocument/2006/relationships/hyperlink" Target="https://chromewebstore.google.com/detail/eddhbfndofdkljemlhkldinjpbkhdpcm" TargetMode="External"/><Relationship Id="rId6796" Type="http://schemas.openxmlformats.org/officeDocument/2006/relationships/hyperlink" Target="https://chromewebstore.google.com/detail/oincadmpbogdfgckicmpclkdmcfagajg" TargetMode="External"/><Relationship Id="rId4134" Type="http://schemas.openxmlformats.org/officeDocument/2006/relationships/hyperlink" Target="https://chromewebstore.google.com/detail/eifkfjbbngmilpppefdcnocfpdlaipal" TargetMode="External"/><Relationship Id="rId5462" Type="http://schemas.openxmlformats.org/officeDocument/2006/relationships/hyperlink" Target="https://chromewebstore.google.com/detail/edbdmlapnodebdekiekhmeokboihmong" TargetMode="External"/><Relationship Id="rId6793" Type="http://schemas.openxmlformats.org/officeDocument/2006/relationships/hyperlink" Target="https://chromewebstore.google.com/detail/oijflcldgehkfiemnfcidmfjmfjmlbmk" TargetMode="External"/><Relationship Id="rId4133" Type="http://schemas.openxmlformats.org/officeDocument/2006/relationships/hyperlink" Target="https://chromewebstore.google.com/detail/eifgohhoabpigckfaodlcckgkoeijpio" TargetMode="External"/><Relationship Id="rId5463" Type="http://schemas.openxmlformats.org/officeDocument/2006/relationships/hyperlink" Target="https://chromewebstore.google.com/detail/edbngnhoeddnhnhppkojfememefahfgh" TargetMode="External"/><Relationship Id="rId6794" Type="http://schemas.openxmlformats.org/officeDocument/2006/relationships/hyperlink" Target="https://chromewebstore.google.com/detail/oimgeamnldoknegijnamobdaohbegjce" TargetMode="External"/><Relationship Id="rId4136" Type="http://schemas.openxmlformats.org/officeDocument/2006/relationships/hyperlink" Target="https://chromewebstore.google.com/detail/eiiilcdomkafolppehfkjdaflcblakml" TargetMode="External"/><Relationship Id="rId5468" Type="http://schemas.openxmlformats.org/officeDocument/2006/relationships/hyperlink" Target="https://chromewebstore.google.com/detail/edpadfdmemjdclnjfghaneencjeoncbn" TargetMode="External"/><Relationship Id="rId6799" Type="http://schemas.openxmlformats.org/officeDocument/2006/relationships/hyperlink" Target="https://chromewebstore.google.com/detail/oioeapdgbhbkkmmmeiichfjloebjggki" TargetMode="External"/><Relationship Id="rId4135" Type="http://schemas.openxmlformats.org/officeDocument/2006/relationships/hyperlink" Target="https://chromewebstore.google.com/detail/eigojmmlmgigbldiclbpibmjnlbdpiaa" TargetMode="External"/><Relationship Id="rId5469" Type="http://schemas.openxmlformats.org/officeDocument/2006/relationships/hyperlink" Target="https://chromewebstore.google.com/detail/eeajnjmemplcpcjadaihhfopcklaglpa" TargetMode="External"/><Relationship Id="rId4138" Type="http://schemas.openxmlformats.org/officeDocument/2006/relationships/hyperlink" Target="https://chromewebstore.google.com/detail/ejfgcoabhgdgaafjeindjmegacbklcin" TargetMode="External"/><Relationship Id="rId5466" Type="http://schemas.openxmlformats.org/officeDocument/2006/relationships/hyperlink" Target="https://chromewebstore.google.com/detail/edekdaabfonaodpbggccaamfhggjggki" TargetMode="External"/><Relationship Id="rId6797" Type="http://schemas.openxmlformats.org/officeDocument/2006/relationships/hyperlink" Target="https://chromewebstore.google.com/detail/oincafggaepgofadjimemcfmdfpjoepl" TargetMode="External"/><Relationship Id="rId4137" Type="http://schemas.openxmlformats.org/officeDocument/2006/relationships/hyperlink" Target="https://chromewebstore.google.com/detail/ejadepcppnegmgmndhbhpaicoffamngd" TargetMode="External"/><Relationship Id="rId5467" Type="http://schemas.openxmlformats.org/officeDocument/2006/relationships/hyperlink" Target="https://chromewebstore.google.com/detail/edlgnjpkhngmffcpmnebfkjcbenmbjoj" TargetMode="External"/><Relationship Id="rId6798" Type="http://schemas.openxmlformats.org/officeDocument/2006/relationships/hyperlink" Target="https://chromewebstore.google.com/detail/oiocapjnhpbjbijfppfjdnmnojifcdkh" TargetMode="External"/><Relationship Id="rId1972" Type="http://schemas.openxmlformats.org/officeDocument/2006/relationships/hyperlink" Target="https://chromewebstore.google.com/detail/gpedaoelggnhmcmpkjckffcngagcciol" TargetMode="External"/><Relationship Id="rId1973" Type="http://schemas.openxmlformats.org/officeDocument/2006/relationships/hyperlink" Target="https://chromewebstore.google.com/detail/hbacjdnfpgfdklcfdcomhgdcaogppddc" TargetMode="External"/><Relationship Id="rId1974" Type="http://schemas.openxmlformats.org/officeDocument/2006/relationships/hyperlink" Target="https://chromewebstore.google.com/detail/hfpnjihjndnmfcbclplooodjmhcdncan" TargetMode="External"/><Relationship Id="rId1975" Type="http://schemas.openxmlformats.org/officeDocument/2006/relationships/hyperlink" Target="https://chromewebstore.google.com/detail/hhhfapgdnelmcieoeldcpipdjfebgcfg" TargetMode="External"/><Relationship Id="rId1976" Type="http://schemas.openxmlformats.org/officeDocument/2006/relationships/hyperlink" Target="https://chromewebstore.google.com/detail/hldgbliocaaomajmalgenbhheinjlhgm" TargetMode="External"/><Relationship Id="rId1977" Type="http://schemas.openxmlformats.org/officeDocument/2006/relationships/hyperlink" Target="https://chromewebstore.google.com/detail/hlfhddckfmifofnpklmmiboiljmengde" TargetMode="External"/><Relationship Id="rId1978" Type="http://schemas.openxmlformats.org/officeDocument/2006/relationships/hyperlink" Target="https://chromewebstore.google.com/detail/icgipifjfgikecdbdakkfpchnjbhmdnm" TargetMode="External"/><Relationship Id="rId1979" Type="http://schemas.openxmlformats.org/officeDocument/2006/relationships/hyperlink" Target="https://chromewebstore.google.com/detail/icgmmonkdbidkcojchemocfihdgpoimj" TargetMode="External"/><Relationship Id="rId1970" Type="http://schemas.openxmlformats.org/officeDocument/2006/relationships/hyperlink" Target="https://chromewebstore.google.com/detail/gkohnhkfcjakajmcdcndpgjnghfjlkec" TargetMode="External"/><Relationship Id="rId1971" Type="http://schemas.openxmlformats.org/officeDocument/2006/relationships/hyperlink" Target="https://chromewebstore.google.com/detail/gmdbcklinofignhfmibchnmgjcocccbh" TargetMode="External"/><Relationship Id="rId1961" Type="http://schemas.openxmlformats.org/officeDocument/2006/relationships/hyperlink" Target="https://chromewebstore.google.com/detail/fnammdbpgloaalmefhleheklnlogpona" TargetMode="External"/><Relationship Id="rId1962" Type="http://schemas.openxmlformats.org/officeDocument/2006/relationships/hyperlink" Target="https://chromewebstore.google.com/detail/fncgbdbkhdhdcfiohjnbdfebholmhnkh" TargetMode="External"/><Relationship Id="rId1963" Type="http://schemas.openxmlformats.org/officeDocument/2006/relationships/hyperlink" Target="https://chromewebstore.google.com/detail/fnmnmfnfjojbginnabgiaeghcgljcimg" TargetMode="External"/><Relationship Id="rId1964" Type="http://schemas.openxmlformats.org/officeDocument/2006/relationships/hyperlink" Target="https://chromewebstore.google.com/detail/foilkalbafoifklkphdkijdcnkgcjefn" TargetMode="External"/><Relationship Id="rId1965" Type="http://schemas.openxmlformats.org/officeDocument/2006/relationships/hyperlink" Target="https://chromewebstore.google.com/detail/gahjcfmabepcnfmfanjhcobdaalgpjoh" TargetMode="External"/><Relationship Id="rId1966" Type="http://schemas.openxmlformats.org/officeDocument/2006/relationships/hyperlink" Target="https://chromewebstore.google.com/detail/gbaokejhnafeofbniplkljehipcekkbh" TargetMode="External"/><Relationship Id="rId1967" Type="http://schemas.openxmlformats.org/officeDocument/2006/relationships/hyperlink" Target="https://chromewebstore.google.com/detail/gekpeobpiilbboimdmbgfjndlmogepcj" TargetMode="External"/><Relationship Id="rId1968" Type="http://schemas.openxmlformats.org/officeDocument/2006/relationships/hyperlink" Target="https://chromewebstore.google.com/detail/gfpphfadinalebmmjaamocgoakipkolj" TargetMode="External"/><Relationship Id="rId1969" Type="http://schemas.openxmlformats.org/officeDocument/2006/relationships/hyperlink" Target="https://chromewebstore.google.com/detail/ghhmhdkbiodiengmhbbpjkcjodingned" TargetMode="External"/><Relationship Id="rId1960" Type="http://schemas.openxmlformats.org/officeDocument/2006/relationships/hyperlink" Target="https://chromewebstore.google.com/detail/fiionnfmbokfpleilfihlofncgkchjbe" TargetMode="External"/><Relationship Id="rId1994" Type="http://schemas.openxmlformats.org/officeDocument/2006/relationships/hyperlink" Target="https://chromewebstore.google.com/detail/jkhefpaaphbihngmjakkdfimkcfnbink" TargetMode="External"/><Relationship Id="rId1995" Type="http://schemas.openxmlformats.org/officeDocument/2006/relationships/hyperlink" Target="https://chromewebstore.google.com/detail/jlinpflaifheoeohbdffhfnnpghdnlel" TargetMode="External"/><Relationship Id="rId1996" Type="http://schemas.openxmlformats.org/officeDocument/2006/relationships/hyperlink" Target="https://chromewebstore.google.com/detail/jllonchimfiplfmddkdnbghgllhjlnln" TargetMode="External"/><Relationship Id="rId1997" Type="http://schemas.openxmlformats.org/officeDocument/2006/relationships/hyperlink" Target="https://chromewebstore.google.com/detail/jmhicemblbmkcbonbhkjmflehkmkiidj" TargetMode="External"/><Relationship Id="rId1998" Type="http://schemas.openxmlformats.org/officeDocument/2006/relationships/hyperlink" Target="https://chromewebstore.google.com/detail/jnhgnoijemmehpdmdcdcgjkkfhbbjnkc" TargetMode="External"/><Relationship Id="rId1999" Type="http://schemas.openxmlformats.org/officeDocument/2006/relationships/hyperlink" Target="https://chromewebstore.google.com/detail/jnmipkhdnlcnfllifhlohfigomcpcmhc" TargetMode="External"/><Relationship Id="rId1990" Type="http://schemas.openxmlformats.org/officeDocument/2006/relationships/hyperlink" Target="https://chromewebstore.google.com/detail/jcjhinpbjkmdphmhkikndcdlfpkgllfo" TargetMode="External"/><Relationship Id="rId1991" Type="http://schemas.openxmlformats.org/officeDocument/2006/relationships/hyperlink" Target="https://chromewebstore.google.com/detail/jdanmmkadklcdnmmhodecjodjljkekja" TargetMode="External"/><Relationship Id="rId1992" Type="http://schemas.openxmlformats.org/officeDocument/2006/relationships/hyperlink" Target="https://chromewebstore.google.com/detail/jdcodafmbknbopclkbcnfkohmeaeapeg" TargetMode="External"/><Relationship Id="rId1993" Type="http://schemas.openxmlformats.org/officeDocument/2006/relationships/hyperlink" Target="https://chromewebstore.google.com/detail/jfdmelgfepjcmlljpdeajbiiibkehnih" TargetMode="External"/><Relationship Id="rId1983" Type="http://schemas.openxmlformats.org/officeDocument/2006/relationships/hyperlink" Target="https://chromewebstore.google.com/detail/imfjknefmlnikonbgiogmjbidfkbbanp" TargetMode="External"/><Relationship Id="rId1984" Type="http://schemas.openxmlformats.org/officeDocument/2006/relationships/hyperlink" Target="https://chromewebstore.google.com/detail/iniabgbbmccaomaocmhcfioahgipigbh" TargetMode="External"/><Relationship Id="rId1985" Type="http://schemas.openxmlformats.org/officeDocument/2006/relationships/hyperlink" Target="https://chromewebstore.google.com/detail/iojaoainolpgkpojokmeclhidjolocci" TargetMode="External"/><Relationship Id="rId1986" Type="http://schemas.openxmlformats.org/officeDocument/2006/relationships/hyperlink" Target="https://chromewebstore.google.com/detail/ipiejeandmfgndimddbdoalejbbebenn" TargetMode="External"/><Relationship Id="rId1987" Type="http://schemas.openxmlformats.org/officeDocument/2006/relationships/hyperlink" Target="https://chromewebstore.google.com/detail/jadhpggafkbmpdpmpgigopmodldgfcki" TargetMode="External"/><Relationship Id="rId1988" Type="http://schemas.openxmlformats.org/officeDocument/2006/relationships/hyperlink" Target="https://chromewebstore.google.com/detail/jbhlmolodjapbchjnjijpeenoniollao" TargetMode="External"/><Relationship Id="rId1989" Type="http://schemas.openxmlformats.org/officeDocument/2006/relationships/hyperlink" Target="https://chromewebstore.google.com/detail/jbhnemdhjjeheieakekfknnficfdcbbn" TargetMode="External"/><Relationship Id="rId1980" Type="http://schemas.openxmlformats.org/officeDocument/2006/relationships/hyperlink" Target="https://chromewebstore.google.com/detail/iellnmonjokmoagdlggagdmfjgpiahmb" TargetMode="External"/><Relationship Id="rId1981" Type="http://schemas.openxmlformats.org/officeDocument/2006/relationships/hyperlink" Target="https://chromewebstore.google.com/detail/igpgcpdedfdmfnmhociacnmaefbeeekj" TargetMode="External"/><Relationship Id="rId1982" Type="http://schemas.openxmlformats.org/officeDocument/2006/relationships/hyperlink" Target="https://chromewebstore.google.com/detail/ilcojnencafllbjlmjnhjkfaildljioc" TargetMode="External"/><Relationship Id="rId1930" Type="http://schemas.openxmlformats.org/officeDocument/2006/relationships/hyperlink" Target="https://chromewebstore.google.com/detail/ddafdejlekcmnafgnbllcfkebabhabcl" TargetMode="External"/><Relationship Id="rId1931" Type="http://schemas.openxmlformats.org/officeDocument/2006/relationships/hyperlink" Target="https://chromewebstore.google.com/detail/dficcobpghplfppapheaenjajahhckkj" TargetMode="External"/><Relationship Id="rId1932" Type="http://schemas.openxmlformats.org/officeDocument/2006/relationships/hyperlink" Target="https://chromewebstore.google.com/detail/dgeiagkojabjccafojhokcceakmehpbb" TargetMode="External"/><Relationship Id="rId1933" Type="http://schemas.openxmlformats.org/officeDocument/2006/relationships/hyperlink" Target="https://chromewebstore.google.com/detail/dgldedkigbbalaioohedddpameekglma" TargetMode="External"/><Relationship Id="rId1934" Type="http://schemas.openxmlformats.org/officeDocument/2006/relationships/hyperlink" Target="https://chromewebstore.google.com/detail/didfpaehajfbjnamladanbocmdhahfch" TargetMode="External"/><Relationship Id="rId1935" Type="http://schemas.openxmlformats.org/officeDocument/2006/relationships/hyperlink" Target="https://chromewebstore.google.com/detail/djmoeoifnlhjolebkehmpaocfnipknbh" TargetMode="External"/><Relationship Id="rId1936" Type="http://schemas.openxmlformats.org/officeDocument/2006/relationships/hyperlink" Target="https://chromewebstore.google.com/detail/dladanhaondcgpahgiflodhckhoeohoe" TargetMode="External"/><Relationship Id="rId1937" Type="http://schemas.openxmlformats.org/officeDocument/2006/relationships/hyperlink" Target="https://chromewebstore.google.com/detail/dnhjklgpiifbofihffldllbcopkinlod" TargetMode="External"/><Relationship Id="rId1938" Type="http://schemas.openxmlformats.org/officeDocument/2006/relationships/hyperlink" Target="https://chromewebstore.google.com/detail/dnngcfpcnpmakpjeaeapphjihhbenilk" TargetMode="External"/><Relationship Id="rId1939" Type="http://schemas.openxmlformats.org/officeDocument/2006/relationships/hyperlink" Target="https://chromewebstore.google.com/detail/dobbfkjhgbkmmcooahlnllfopfmhcoln" TargetMode="External"/><Relationship Id="rId1920" Type="http://schemas.openxmlformats.org/officeDocument/2006/relationships/hyperlink" Target="https://chromewebstore.google.com/detail/cciemibfcmeeiijeefebhojenhnpoibc" TargetMode="External"/><Relationship Id="rId1921" Type="http://schemas.openxmlformats.org/officeDocument/2006/relationships/hyperlink" Target="https://chromewebstore.google.com/detail/ccokehohfncgmmbmnnhbhflmfbmimdgf" TargetMode="External"/><Relationship Id="rId1922" Type="http://schemas.openxmlformats.org/officeDocument/2006/relationships/hyperlink" Target="https://chromewebstore.google.com/detail/cdpohbejnbclggljmoijjcpdhbaaijfm" TargetMode="External"/><Relationship Id="rId1923" Type="http://schemas.openxmlformats.org/officeDocument/2006/relationships/hyperlink" Target="https://chromewebstore.google.com/detail/cjbfhofimhehhnllibmhammbemaboleh" TargetMode="External"/><Relationship Id="rId1924" Type="http://schemas.openxmlformats.org/officeDocument/2006/relationships/hyperlink" Target="https://chromewebstore.google.com/detail/cjnnmmjgjaaomkcjibnncokikbianjap" TargetMode="External"/><Relationship Id="rId1925" Type="http://schemas.openxmlformats.org/officeDocument/2006/relationships/hyperlink" Target="https://chromewebstore.google.com/detail/ckdkgoogioikcpmpmoecocgfdangpecg" TargetMode="External"/><Relationship Id="rId1926" Type="http://schemas.openxmlformats.org/officeDocument/2006/relationships/hyperlink" Target="https://chromewebstore.google.com/detail/ckhlfagjncfmdieecfekjbpnnaekhlhd" TargetMode="External"/><Relationship Id="rId1927" Type="http://schemas.openxmlformats.org/officeDocument/2006/relationships/hyperlink" Target="https://chromewebstore.google.com/detail/clpbjnhnklabamkibpaafmmfhodjpmhl" TargetMode="External"/><Relationship Id="rId1928" Type="http://schemas.openxmlformats.org/officeDocument/2006/relationships/hyperlink" Target="https://chromewebstore.google.com/detail/cmijogogehhbcpfjnggnmclcmafhdckl" TargetMode="External"/><Relationship Id="rId1929" Type="http://schemas.openxmlformats.org/officeDocument/2006/relationships/hyperlink" Target="https://chromewebstore.google.com/detail/cpdnilooeakjhhmlbliacfdimhblkmnc" TargetMode="External"/><Relationship Id="rId4190" Type="http://schemas.openxmlformats.org/officeDocument/2006/relationships/hyperlink" Target="https://chromewebstore.google.com/detail/ffpjegijenjngmidlmahaekajbhhdmml" TargetMode="External"/><Relationship Id="rId4192" Type="http://schemas.openxmlformats.org/officeDocument/2006/relationships/hyperlink" Target="https://chromewebstore.google.com/detail/fglojcpjnipennndfejiehbndbidenbh" TargetMode="External"/><Relationship Id="rId4191" Type="http://schemas.openxmlformats.org/officeDocument/2006/relationships/hyperlink" Target="https://chromewebstore.google.com/detail/fgjpbkpdakjgkgndpophdhjdnkchijjd" TargetMode="External"/><Relationship Id="rId4194" Type="http://schemas.openxmlformats.org/officeDocument/2006/relationships/hyperlink" Target="https://chromewebstore.google.com/detail/fhdmpmfccmhbdmlaclcllpfdddfnhbec" TargetMode="External"/><Relationship Id="rId4193" Type="http://schemas.openxmlformats.org/officeDocument/2006/relationships/hyperlink" Target="https://chromewebstore.google.com/detail/fgmeboblogphchmhbkppjdjohckmmhan" TargetMode="External"/><Relationship Id="rId4196" Type="http://schemas.openxmlformats.org/officeDocument/2006/relationships/hyperlink" Target="https://chromewebstore.google.com/detail/fhgkjpalccpgngmppjgfgeknfehopmoj" TargetMode="External"/><Relationship Id="rId4195" Type="http://schemas.openxmlformats.org/officeDocument/2006/relationships/hyperlink" Target="https://chromewebstore.google.com/detail/fhgfkokmjjnahoomiaocooplcahgccna" TargetMode="External"/><Relationship Id="rId4198" Type="http://schemas.openxmlformats.org/officeDocument/2006/relationships/hyperlink" Target="https://chromewebstore.google.com/detail/fhnkhcdcpalgfgneoojgcbmhnfjaepii" TargetMode="External"/><Relationship Id="rId4197" Type="http://schemas.openxmlformats.org/officeDocument/2006/relationships/hyperlink" Target="https://chromewebstore.google.com/detail/fhkechjkbbenaaoghnlmcepoolbfdmca" TargetMode="External"/><Relationship Id="rId4199" Type="http://schemas.openxmlformats.org/officeDocument/2006/relationships/hyperlink" Target="https://chromewebstore.google.com/detail/fholofncjefknlbmfkjondfolbgddjon" TargetMode="External"/><Relationship Id="rId1950" Type="http://schemas.openxmlformats.org/officeDocument/2006/relationships/hyperlink" Target="https://chromewebstore.google.com/detail/ejblinjidfhnpkjbphoendgjjnhmfoee" TargetMode="External"/><Relationship Id="rId1951" Type="http://schemas.openxmlformats.org/officeDocument/2006/relationships/hyperlink" Target="https://chromewebstore.google.com/detail/emaamodndfmmmcjepfigalbjjjemadom" TargetMode="External"/><Relationship Id="rId1952" Type="http://schemas.openxmlformats.org/officeDocument/2006/relationships/hyperlink" Target="https://chromewebstore.google.com/detail/enhldmjbphoeibbpdhmjkchohnidgnah" TargetMode="External"/><Relationship Id="rId1953" Type="http://schemas.openxmlformats.org/officeDocument/2006/relationships/hyperlink" Target="https://chromewebstore.google.com/detail/eocfcfklbhdgkilphhkcpcgaollminlf" TargetMode="External"/><Relationship Id="rId1954" Type="http://schemas.openxmlformats.org/officeDocument/2006/relationships/hyperlink" Target="https://chromewebstore.google.com/detail/eookkckfbbgnhdgcbfbicoahejkdoele" TargetMode="External"/><Relationship Id="rId1955" Type="http://schemas.openxmlformats.org/officeDocument/2006/relationships/hyperlink" Target="https://chromewebstore.google.com/detail/epmaefhielclhlnmjofcdapbeepkmggh" TargetMode="External"/><Relationship Id="rId1956" Type="http://schemas.openxmlformats.org/officeDocument/2006/relationships/hyperlink" Target="https://chromewebstore.google.com/detail/fbkckknfepmjednmkdkmplplcggkfbbn" TargetMode="External"/><Relationship Id="rId1957" Type="http://schemas.openxmlformats.org/officeDocument/2006/relationships/hyperlink" Target="https://chromewebstore.google.com/detail/fcjholccjchiplkbibepfimlaapdaiih" TargetMode="External"/><Relationship Id="rId1958" Type="http://schemas.openxmlformats.org/officeDocument/2006/relationships/hyperlink" Target="https://chromewebstore.google.com/detail/fcjlmbbejgnfpcgiigpgfacipckopdkf" TargetMode="External"/><Relationship Id="rId1959" Type="http://schemas.openxmlformats.org/officeDocument/2006/relationships/hyperlink" Target="https://chromewebstore.google.com/detail/fgcikanifihhgnacepigehgmplgkkgcl" TargetMode="External"/><Relationship Id="rId1940" Type="http://schemas.openxmlformats.org/officeDocument/2006/relationships/hyperlink" Target="https://chromewebstore.google.com/detail/domfinmkohodhgghgedfdcmonefafolm" TargetMode="External"/><Relationship Id="rId1941" Type="http://schemas.openxmlformats.org/officeDocument/2006/relationships/hyperlink" Target="https://chromewebstore.google.com/detail/eafoaklfmpnpdecnhhaailihkdbhkgin" TargetMode="External"/><Relationship Id="rId1942" Type="http://schemas.openxmlformats.org/officeDocument/2006/relationships/hyperlink" Target="https://chromewebstore.google.com/detail/eaheehidcidghlmmpdogfhgmibpelndm" TargetMode="External"/><Relationship Id="rId1943" Type="http://schemas.openxmlformats.org/officeDocument/2006/relationships/hyperlink" Target="https://chromewebstore.google.com/detail/ebbilkbochjjalheallpnblfdhkfjjmp" TargetMode="External"/><Relationship Id="rId1944" Type="http://schemas.openxmlformats.org/officeDocument/2006/relationships/hyperlink" Target="https://chromewebstore.google.com/detail/ebfhfdmncghemmnbecpblnbfejfpclcf" TargetMode="External"/><Relationship Id="rId1945" Type="http://schemas.openxmlformats.org/officeDocument/2006/relationships/hyperlink" Target="https://chromewebstore.google.com/detail/eckknmnfoohbeklmjlidmfdlakndcfkm" TargetMode="External"/><Relationship Id="rId1946" Type="http://schemas.openxmlformats.org/officeDocument/2006/relationships/hyperlink" Target="https://chromewebstore.google.com/detail/edoplhfbihpnlmnckkodifklpkkdgcoj" TargetMode="External"/><Relationship Id="rId1947" Type="http://schemas.openxmlformats.org/officeDocument/2006/relationships/hyperlink" Target="https://chromewebstore.google.com/detail/eehlmkfpnagoieibahhcghphdbjcdmen" TargetMode="External"/><Relationship Id="rId1948" Type="http://schemas.openxmlformats.org/officeDocument/2006/relationships/hyperlink" Target="https://chromewebstore.google.com/detail/eehnjaacbphnfgipdcfeaepafihfhnkm" TargetMode="External"/><Relationship Id="rId1949" Type="http://schemas.openxmlformats.org/officeDocument/2006/relationships/hyperlink" Target="https://chromewebstore.google.com/detail/egelalffpmicecakegglddmhlbdiemlg" TargetMode="External"/><Relationship Id="rId509" Type="http://schemas.openxmlformats.org/officeDocument/2006/relationships/hyperlink" Target="https://chromewebstore.google.com/detail/cbimabofgmfdkicghcadidpemeenbffn" TargetMode="External"/><Relationship Id="rId508" Type="http://schemas.openxmlformats.org/officeDocument/2006/relationships/hyperlink" Target="https://chromewebstore.google.com/detail/caahalkghnhbabknipmconmbicpkcopl" TargetMode="External"/><Relationship Id="rId9061" Type="http://schemas.openxmlformats.org/officeDocument/2006/relationships/hyperlink" Target="https://chromewebstore.google.com/detail/ogbiebalkhkimkogbkofjbfclocdaofg" TargetMode="External"/><Relationship Id="rId9060" Type="http://schemas.openxmlformats.org/officeDocument/2006/relationships/hyperlink" Target="https://chromewebstore.google.com/detail/noapiahhhhccobnbmaajnmadmjjaeadg" TargetMode="External"/><Relationship Id="rId503" Type="http://schemas.openxmlformats.org/officeDocument/2006/relationships/hyperlink" Target="https://chromewebstore.google.com/detail/biemppheiopfggogojnfpkngdkchelik" TargetMode="External"/><Relationship Id="rId9054" Type="http://schemas.openxmlformats.org/officeDocument/2006/relationships/hyperlink" Target="https://chromewebstore.google.com/detail/fcoeelnejimjadoffcopbkkcbggfmmfa" TargetMode="External"/><Relationship Id="rId502" Type="http://schemas.openxmlformats.org/officeDocument/2006/relationships/hyperlink" Target="https://chromewebstore.google.com/detail/bhibldekjicdbnjeeecmgoogcihoalhe" TargetMode="External"/><Relationship Id="rId9053" Type="http://schemas.openxmlformats.org/officeDocument/2006/relationships/hyperlink" Target="https://chromewebstore.google.com/detail/bkoaabafngkddaofpjomdmembpcblbgk" TargetMode="External"/><Relationship Id="rId501" Type="http://schemas.openxmlformats.org/officeDocument/2006/relationships/hyperlink" Target="https://chromewebstore.google.com/detail/bhbmbcgcieopphpjcakcadfphkejpnpn" TargetMode="External"/><Relationship Id="rId9052" Type="http://schemas.openxmlformats.org/officeDocument/2006/relationships/hyperlink" Target="https://chromewebstore.google.com/detail/ajcjkemninihecbgljahanflndoeggao" TargetMode="External"/><Relationship Id="rId500" Type="http://schemas.openxmlformats.org/officeDocument/2006/relationships/hyperlink" Target="https://chromewebstore.google.com/detail/beejegoimbgpafoobegjmhjnehlmnbcn" TargetMode="External"/><Relationship Id="rId9051" Type="http://schemas.openxmlformats.org/officeDocument/2006/relationships/hyperlink" Target="https://chromewebstore.google.com/detail/omhjmmilocdnjgploallbdoicffjnmpl" TargetMode="External"/><Relationship Id="rId507" Type="http://schemas.openxmlformats.org/officeDocument/2006/relationships/hyperlink" Target="https://chromewebstore.google.com/detail/bpelaihoicobbkgmhcbikncnpacdbknn" TargetMode="External"/><Relationship Id="rId9058" Type="http://schemas.openxmlformats.org/officeDocument/2006/relationships/hyperlink" Target="https://chromewebstore.google.com/detail/lckkkmepbdjcpfbpcjidlmafmfhfklgh" TargetMode="External"/><Relationship Id="rId506" Type="http://schemas.openxmlformats.org/officeDocument/2006/relationships/hyperlink" Target="https://chromewebstore.google.com/detail/boifjkmdjemnjadceofnlcnnfmjfjcoj" TargetMode="External"/><Relationship Id="rId9057" Type="http://schemas.openxmlformats.org/officeDocument/2006/relationships/hyperlink" Target="https://chromewebstore.google.com/detail/jbnodnfpdcegpnflleanllmiihkinkio" TargetMode="External"/><Relationship Id="rId505" Type="http://schemas.openxmlformats.org/officeDocument/2006/relationships/hyperlink" Target="https://chromewebstore.google.com/detail/bocdepodnagbohblgjmooobalmcojkpg" TargetMode="External"/><Relationship Id="rId9056" Type="http://schemas.openxmlformats.org/officeDocument/2006/relationships/hyperlink" Target="https://chromewebstore.google.com/detail/hobkoafajocifjponaoifdnmgdcaehin" TargetMode="External"/><Relationship Id="rId504" Type="http://schemas.openxmlformats.org/officeDocument/2006/relationships/hyperlink" Target="https://chromewebstore.google.com/detail/bihhflimonbpcfagfadcnbbdngpopnjb" TargetMode="External"/><Relationship Id="rId9055" Type="http://schemas.openxmlformats.org/officeDocument/2006/relationships/hyperlink" Target="https://chromewebstore.google.com/detail/hglojnclbngnbmijmgdllkkimnoiohig" TargetMode="External"/><Relationship Id="rId9059" Type="http://schemas.openxmlformats.org/officeDocument/2006/relationships/hyperlink" Target="https://chromewebstore.google.com/detail/mknemajaeeddmehlbllajcpggnlaaeag" TargetMode="External"/><Relationship Id="rId9050" Type="http://schemas.openxmlformats.org/officeDocument/2006/relationships/hyperlink" Target="https://chromewebstore.google.com/detail/nigpljchmlcjkhbglkdimgaplklombph" TargetMode="External"/><Relationship Id="rId9043" Type="http://schemas.openxmlformats.org/officeDocument/2006/relationships/hyperlink" Target="https://chromewebstore.google.com/detail/ehlignmalehipfgjncjmngndbgpjehed" TargetMode="External"/><Relationship Id="rId9042" Type="http://schemas.openxmlformats.org/officeDocument/2006/relationships/hyperlink" Target="https://chromewebstore.google.com/detail/anphjljedkjpfppcialbhbhlpeknhagf" TargetMode="External"/><Relationship Id="rId9041" Type="http://schemas.openxmlformats.org/officeDocument/2006/relationships/hyperlink" Target="https://chromewebstore.google.com/detail/leenefgjoiioafkijlmlhjjmokoijfmn" TargetMode="External"/><Relationship Id="rId9040" Type="http://schemas.openxmlformats.org/officeDocument/2006/relationships/hyperlink" Target="https://chromewebstore.google.com/detail/jlmgmdcfeikdeijcnjmkfapchfamjodj" TargetMode="External"/><Relationship Id="rId9047" Type="http://schemas.openxmlformats.org/officeDocument/2006/relationships/hyperlink" Target="https://chromewebstore.google.com/detail/kjcdpojndfkkmblojbgaohcakjfbmhkm" TargetMode="External"/><Relationship Id="rId9046" Type="http://schemas.openxmlformats.org/officeDocument/2006/relationships/hyperlink" Target="https://chromewebstore.google.com/detail/khoooekfjeadpjimigdbbalnbdcbapbm" TargetMode="External"/><Relationship Id="rId9045" Type="http://schemas.openxmlformats.org/officeDocument/2006/relationships/hyperlink" Target="https://chromewebstore.google.com/detail/jmjhfnknadodnkbgoahbconhpboioofh" TargetMode="External"/><Relationship Id="rId9044" Type="http://schemas.openxmlformats.org/officeDocument/2006/relationships/hyperlink" Target="https://chromewebstore.google.com/detail/ibglpalofdjmncnanplfjcapcaakoinb" TargetMode="External"/><Relationship Id="rId9049" Type="http://schemas.openxmlformats.org/officeDocument/2006/relationships/hyperlink" Target="https://chromewebstore.google.com/detail/ngdpilmbmplccomcgkoggnodcmaomfnj" TargetMode="External"/><Relationship Id="rId9048" Type="http://schemas.openxmlformats.org/officeDocument/2006/relationships/hyperlink" Target="https://chromewebstore.google.com/detail/lmfmialbcmpnhcdldmonpbmcclhdnaie" TargetMode="External"/><Relationship Id="rId6803" Type="http://schemas.openxmlformats.org/officeDocument/2006/relationships/hyperlink" Target="https://chromewebstore.google.com/detail/ojbnlipjeadjbehiplciekcdpfikkbib" TargetMode="External"/><Relationship Id="rId6804" Type="http://schemas.openxmlformats.org/officeDocument/2006/relationships/hyperlink" Target="https://chromewebstore.google.com/detail/ojccjdibbkolgodijhgfgmcdgchlojao" TargetMode="External"/><Relationship Id="rId6801" Type="http://schemas.openxmlformats.org/officeDocument/2006/relationships/hyperlink" Target="https://chromewebstore.google.com/detail/ojaihdhlcohdjjagclcklnnnanhjkbin" TargetMode="External"/><Relationship Id="rId6802" Type="http://schemas.openxmlformats.org/officeDocument/2006/relationships/hyperlink" Target="https://chromewebstore.google.com/detail/ojakcmmkjeffinjapolfoahfagdgelfk" TargetMode="External"/><Relationship Id="rId6807" Type="http://schemas.openxmlformats.org/officeDocument/2006/relationships/hyperlink" Target="https://chromewebstore.google.com/detail/ojmelblegakdgcjacaclnlgdmifgppdb" TargetMode="External"/><Relationship Id="rId6808" Type="http://schemas.openxmlformats.org/officeDocument/2006/relationships/hyperlink" Target="https://chromewebstore.google.com/detail/ojnfanikhkhoklphdcehbolcpeipbaec" TargetMode="External"/><Relationship Id="rId6805" Type="http://schemas.openxmlformats.org/officeDocument/2006/relationships/hyperlink" Target="https://chromewebstore.google.com/detail/ojjcnpikbhgaagkebdioeflencmpkgea" TargetMode="External"/><Relationship Id="rId6806" Type="http://schemas.openxmlformats.org/officeDocument/2006/relationships/hyperlink" Target="https://chromewebstore.google.com/detail/ojlhobincmkfmfgaflbpfgmmlfkmamkg" TargetMode="External"/><Relationship Id="rId6809" Type="http://schemas.openxmlformats.org/officeDocument/2006/relationships/hyperlink" Target="https://chromewebstore.google.com/detail/okdjjdfncmbfeoklehpmadgcdbnlnabd" TargetMode="External"/><Relationship Id="rId9083" Type="http://schemas.openxmlformats.org/officeDocument/2006/relationships/hyperlink" Target="https://chromewebstore.google.com/detail/bndphnggikgjkhappgdnhijgnlafnfph" TargetMode="External"/><Relationship Id="rId9082" Type="http://schemas.openxmlformats.org/officeDocument/2006/relationships/hyperlink" Target="https://chromewebstore.google.com/detail/ampfnhkbibnmhgoiaaokkejbajllamfj" TargetMode="External"/><Relationship Id="rId9081" Type="http://schemas.openxmlformats.org/officeDocument/2006/relationships/hyperlink" Target="https://chromewebstore.google.com/detail/aigghblcdebcjepbepaankbbjkibcncn" TargetMode="External"/><Relationship Id="rId9080" Type="http://schemas.openxmlformats.org/officeDocument/2006/relationships/hyperlink" Target="https://chromewebstore.google.com/detail/hegpcollkgldlimbhkimijhhhoaicipp" TargetMode="External"/><Relationship Id="rId525" Type="http://schemas.openxmlformats.org/officeDocument/2006/relationships/hyperlink" Target="https://chromewebstore.google.com/detail/edbijgkcdlhbnpgkoodblaecmkfmngbg" TargetMode="External"/><Relationship Id="rId9076" Type="http://schemas.openxmlformats.org/officeDocument/2006/relationships/hyperlink" Target="https://chromewebstore.google.com/detail/acckhcfpncdacfmhnmipaiheghjlhdjp" TargetMode="External"/><Relationship Id="rId524" Type="http://schemas.openxmlformats.org/officeDocument/2006/relationships/hyperlink" Target="https://chromewebstore.google.com/detail/dpngiggdglpdnjdoaefidgiigpemgage" TargetMode="External"/><Relationship Id="rId9075" Type="http://schemas.openxmlformats.org/officeDocument/2006/relationships/hyperlink" Target="https://chromewebstore.google.com/detail/plhglaflppbkmegaobkfdhjclakmmpmd" TargetMode="External"/><Relationship Id="rId523" Type="http://schemas.openxmlformats.org/officeDocument/2006/relationships/hyperlink" Target="https://chromewebstore.google.com/detail/dpecplbkinpdbedgejddhepkgcppgchk" TargetMode="External"/><Relationship Id="rId9074" Type="http://schemas.openxmlformats.org/officeDocument/2006/relationships/hyperlink" Target="https://chromewebstore.google.com/detail/olbjmgkbokabjfaelgogjjllpnfjgdoe" TargetMode="External"/><Relationship Id="rId522" Type="http://schemas.openxmlformats.org/officeDocument/2006/relationships/hyperlink" Target="https://chromewebstore.google.com/detail/donljlliiecjcagcenoeohjmabfegkph" TargetMode="External"/><Relationship Id="rId9073" Type="http://schemas.openxmlformats.org/officeDocument/2006/relationships/hyperlink" Target="https://chromewebstore.google.com/detail/okkbjbehpablhojbihehiacmkbdfebmp" TargetMode="External"/><Relationship Id="rId529" Type="http://schemas.openxmlformats.org/officeDocument/2006/relationships/hyperlink" Target="https://chromewebstore.google.com/detail/eidcpcpmmfiolomceegcagooodnaplmp" TargetMode="External"/><Relationship Id="rId528" Type="http://schemas.openxmlformats.org/officeDocument/2006/relationships/hyperlink" Target="https://chromewebstore.google.com/detail/egfgboclmgbokjeenpnghneoaogefnjn" TargetMode="External"/><Relationship Id="rId9079" Type="http://schemas.openxmlformats.org/officeDocument/2006/relationships/hyperlink" Target="https://chromewebstore.google.com/detail/gebbknledcndnnoamiccckbbodbhimde" TargetMode="External"/><Relationship Id="rId527" Type="http://schemas.openxmlformats.org/officeDocument/2006/relationships/hyperlink" Target="https://chromewebstore.google.com/detail/efhedldbjahpgjcneebmbolkalbhckfi" TargetMode="External"/><Relationship Id="rId9078" Type="http://schemas.openxmlformats.org/officeDocument/2006/relationships/hyperlink" Target="https://chromewebstore.google.com/detail/bajlcoahedhgjfpfgahdfaoeohmjbhfb" TargetMode="External"/><Relationship Id="rId526" Type="http://schemas.openxmlformats.org/officeDocument/2006/relationships/hyperlink" Target="https://chromewebstore.google.com/detail/efedjomeallaomheefphgnbleieplnfk" TargetMode="External"/><Relationship Id="rId9077" Type="http://schemas.openxmlformats.org/officeDocument/2006/relationships/hyperlink" Target="https://chromewebstore.google.com/detail/ahgbcbjdcoaijfoeakpnjaghpdndekbg" TargetMode="External"/><Relationship Id="rId521" Type="http://schemas.openxmlformats.org/officeDocument/2006/relationships/hyperlink" Target="https://chromewebstore.google.com/detail/djalaeippddcgflofefafkgijpefkjef" TargetMode="External"/><Relationship Id="rId520" Type="http://schemas.openxmlformats.org/officeDocument/2006/relationships/hyperlink" Target="https://chromewebstore.google.com/detail/djakfbefalbkkdgnhkkdiihelkjdpbfh" TargetMode="External"/><Relationship Id="rId6800" Type="http://schemas.openxmlformats.org/officeDocument/2006/relationships/hyperlink" Target="https://chromewebstore.google.com/detail/oiohdnannmknmdlddkdejbmplhbdcbee" TargetMode="External"/><Relationship Id="rId519" Type="http://schemas.openxmlformats.org/officeDocument/2006/relationships/hyperlink" Target="https://chromewebstore.google.com/detail/dconijmceladdfbjhmjpkfacjemmfeei" TargetMode="External"/><Relationship Id="rId9072" Type="http://schemas.openxmlformats.org/officeDocument/2006/relationships/hyperlink" Target="https://chromewebstore.google.com/detail/ldofhkbmbgplenhclhekpidbmgecnehb" TargetMode="External"/><Relationship Id="rId9071" Type="http://schemas.openxmlformats.org/officeDocument/2006/relationships/hyperlink" Target="https://chromewebstore.google.com/detail/kboomnlecbmbikamlaaeabjacbbadojh" TargetMode="External"/><Relationship Id="rId9070" Type="http://schemas.openxmlformats.org/officeDocument/2006/relationships/hyperlink" Target="https://chromewebstore.google.com/detail/jpoihkknbjjfhbancpejlbejefpghmnc" TargetMode="External"/><Relationship Id="rId514" Type="http://schemas.openxmlformats.org/officeDocument/2006/relationships/hyperlink" Target="https://chromewebstore.google.com/detail/cmfeooimdhjkcoiohoodihbccehncajo" TargetMode="External"/><Relationship Id="rId9065" Type="http://schemas.openxmlformats.org/officeDocument/2006/relationships/hyperlink" Target="https://chromewebstore.google.com/detail/ecddapgifccgblebfibdgkagfbdagjfn" TargetMode="External"/><Relationship Id="rId513" Type="http://schemas.openxmlformats.org/officeDocument/2006/relationships/hyperlink" Target="https://chromewebstore.google.com/detail/ckdcpbflcbeillmamogkpmdhnbeggfja" TargetMode="External"/><Relationship Id="rId9064" Type="http://schemas.openxmlformats.org/officeDocument/2006/relationships/hyperlink" Target="https://chromewebstore.google.com/detail/blagblbojfibhijpbaobmcdeanilmmdj" TargetMode="External"/><Relationship Id="rId512" Type="http://schemas.openxmlformats.org/officeDocument/2006/relationships/hyperlink" Target="https://chromewebstore.google.com/detail/chgpmaaockmdehmidghebcjafhihlgha" TargetMode="External"/><Relationship Id="rId9063" Type="http://schemas.openxmlformats.org/officeDocument/2006/relationships/hyperlink" Target="https://chromewebstore.google.com/detail/akaeanmingfpniomcfbdjklhnkcfchmm" TargetMode="External"/><Relationship Id="rId511" Type="http://schemas.openxmlformats.org/officeDocument/2006/relationships/hyperlink" Target="https://chromewebstore.google.com/detail/cgajiilhmpfemmdihjnodpibaffakjhj" TargetMode="External"/><Relationship Id="rId9062" Type="http://schemas.openxmlformats.org/officeDocument/2006/relationships/hyperlink" Target="https://chromewebstore.google.com/detail/ondhmbdgfiglnkgddjdkiippodobhjad" TargetMode="External"/><Relationship Id="rId518" Type="http://schemas.openxmlformats.org/officeDocument/2006/relationships/hyperlink" Target="https://chromewebstore.google.com/detail/dcfecmnffjopafbbbaepgopfcphnoham" TargetMode="External"/><Relationship Id="rId9069" Type="http://schemas.openxmlformats.org/officeDocument/2006/relationships/hyperlink" Target="https://chromewebstore.google.com/detail/hfggooianhnifmngaedjoiooohhdedim" TargetMode="External"/><Relationship Id="rId517" Type="http://schemas.openxmlformats.org/officeDocument/2006/relationships/hyperlink" Target="https://chromewebstore.google.com/detail/dafgdjggglmmknipkhngniifhplpcldb" TargetMode="External"/><Relationship Id="rId9068" Type="http://schemas.openxmlformats.org/officeDocument/2006/relationships/hyperlink" Target="https://chromewebstore.google.com/detail/bdnfnkhfbgepokkkkbookefhdfibpnbc" TargetMode="External"/><Relationship Id="rId516" Type="http://schemas.openxmlformats.org/officeDocument/2006/relationships/hyperlink" Target="https://chromewebstore.google.com/detail/copfinchbmcbjdffipaphabmjnnhijhe" TargetMode="External"/><Relationship Id="rId9067" Type="http://schemas.openxmlformats.org/officeDocument/2006/relationships/hyperlink" Target="https://chromewebstore.google.com/detail/oehmhenndanplepahcoagomojffbiooj" TargetMode="External"/><Relationship Id="rId515" Type="http://schemas.openxmlformats.org/officeDocument/2006/relationships/hyperlink" Target="https://chromewebstore.google.com/detail/cnlabakikmdekpfaflaihcepfkjopgll" TargetMode="External"/><Relationship Id="rId9066" Type="http://schemas.openxmlformats.org/officeDocument/2006/relationships/hyperlink" Target="https://chromewebstore.google.com/detail/imdkdmbnblpapcdidcofglgbjbgaegle" TargetMode="External"/><Relationship Id="rId510" Type="http://schemas.openxmlformats.org/officeDocument/2006/relationships/hyperlink" Target="https://chromewebstore.google.com/detail/cfojbadjlaaiddllnogeohfgamgedcfd" TargetMode="External"/><Relationship Id="rId9010" Type="http://schemas.openxmlformats.org/officeDocument/2006/relationships/hyperlink" Target="https://chromewebstore.google.com/detail/lclakbkgdadioimjddglmnoioedafelc" TargetMode="External"/><Relationship Id="rId9014" Type="http://schemas.openxmlformats.org/officeDocument/2006/relationships/hyperlink" Target="https://chromewebstore.google.com/detail/dhlbnhklidocogdehbgocdffpaicihjo" TargetMode="External"/><Relationship Id="rId9013" Type="http://schemas.openxmlformats.org/officeDocument/2006/relationships/hyperlink" Target="https://chromewebstore.google.com/detail/cgckffknepmgikkhnildjodfjobncckg" TargetMode="External"/><Relationship Id="rId9012" Type="http://schemas.openxmlformats.org/officeDocument/2006/relationships/hyperlink" Target="https://chromewebstore.google.com/detail/aegcebaebekmenognkfkamfpinmldpll" TargetMode="External"/><Relationship Id="rId9011" Type="http://schemas.openxmlformats.org/officeDocument/2006/relationships/hyperlink" Target="https://chromewebstore.google.com/detail/opdmehohhkdbnjihfleldcpjenmghobl" TargetMode="External"/><Relationship Id="rId9018" Type="http://schemas.openxmlformats.org/officeDocument/2006/relationships/hyperlink" Target="https://chromewebstore.google.com/detail/aigindmbmcgegjhjnonholgaebnldmln" TargetMode="External"/><Relationship Id="rId9017" Type="http://schemas.openxmlformats.org/officeDocument/2006/relationships/hyperlink" Target="https://chromewebstore.google.com/detail/hdjegjggiogfkaldbfphfdkpggjemaha" TargetMode="External"/><Relationship Id="rId9016" Type="http://schemas.openxmlformats.org/officeDocument/2006/relationships/hyperlink" Target="https://chromewebstore.google.com/detail/fmbbdgpoheokfdcgbpaofghkgbghadod" TargetMode="External"/><Relationship Id="rId9015" Type="http://schemas.openxmlformats.org/officeDocument/2006/relationships/hyperlink" Target="https://chromewebstore.google.com/detail/eaeejmnfacdjjdgdmijgefaaokfkhihi" TargetMode="External"/><Relationship Id="rId9019" Type="http://schemas.openxmlformats.org/officeDocument/2006/relationships/hyperlink" Target="https://chromewebstore.google.com/detail/bdhijffnjccdajojfpahnjfeladlpefp" TargetMode="External"/><Relationship Id="rId9003" Type="http://schemas.openxmlformats.org/officeDocument/2006/relationships/hyperlink" Target="https://chromewebstore.google.com/detail/blkcalljbilnpflcagdojnldcdifnndp" TargetMode="External"/><Relationship Id="rId9002" Type="http://schemas.openxmlformats.org/officeDocument/2006/relationships/hyperlink" Target="https://chromewebstore.google.com/detail/ohkbjcfpicefkagfejabhddfbmkeiojm" TargetMode="External"/><Relationship Id="rId9001" Type="http://schemas.openxmlformats.org/officeDocument/2006/relationships/hyperlink" Target="https://chromewebstore.google.com/detail/lggmpimhpmplkengmfmfecohbdbooiem" TargetMode="External"/><Relationship Id="rId9000" Type="http://schemas.openxmlformats.org/officeDocument/2006/relationships/hyperlink" Target="https://chromewebstore.google.com/detail/kpoogeanhkgkbkagbgeibbokbjdbjodb" TargetMode="External"/><Relationship Id="rId9007" Type="http://schemas.openxmlformats.org/officeDocument/2006/relationships/hyperlink" Target="https://chromewebstore.google.com/detail/cckkkpbokoogdeeeikjdkfkgdngfjpdm" TargetMode="External"/><Relationship Id="rId9006" Type="http://schemas.openxmlformats.org/officeDocument/2006/relationships/hyperlink" Target="https://chromewebstore.google.com/detail/oinfhocbmbejhpajcpefdhoifkcdepba" TargetMode="External"/><Relationship Id="rId9005" Type="http://schemas.openxmlformats.org/officeDocument/2006/relationships/hyperlink" Target="https://chromewebstore.google.com/detail/kpceegmoghjiacgkllncdimobpcfnhoo" TargetMode="External"/><Relationship Id="rId9004" Type="http://schemas.openxmlformats.org/officeDocument/2006/relationships/hyperlink" Target="https://chromewebstore.google.com/detail/ephfokcaimjfldlhakieekmoogekdegf" TargetMode="External"/><Relationship Id="rId9009" Type="http://schemas.openxmlformats.org/officeDocument/2006/relationships/hyperlink" Target="https://chromewebstore.google.com/detail/lahbgnkbojlfaocemjpkjgmdcnmpkfgc" TargetMode="External"/><Relationship Id="rId9008" Type="http://schemas.openxmlformats.org/officeDocument/2006/relationships/hyperlink" Target="https://chromewebstore.google.com/detail/dllmmaniogaffdnagcenlnnlbahmlmld" TargetMode="External"/><Relationship Id="rId9032" Type="http://schemas.openxmlformats.org/officeDocument/2006/relationships/hyperlink" Target="https://chromewebstore.google.com/detail/ppjfndcalabkncdafadlfkiilbjceggd" TargetMode="External"/><Relationship Id="rId9031" Type="http://schemas.openxmlformats.org/officeDocument/2006/relationships/hyperlink" Target="https://chromewebstore.google.com/detail/pofkcckikkdhiieipefhkaelgnbdkcib" TargetMode="External"/><Relationship Id="rId9030" Type="http://schemas.openxmlformats.org/officeDocument/2006/relationships/hyperlink" Target="https://chromewebstore.google.com/detail/oinkglklklhaloidmggmafgbibhnlidg" TargetMode="External"/><Relationship Id="rId9036" Type="http://schemas.openxmlformats.org/officeDocument/2006/relationships/hyperlink" Target="https://chromewebstore.google.com/detail/dlgodcdpmjmeegcakjjldfobmooajhhe" TargetMode="External"/><Relationship Id="rId9035" Type="http://schemas.openxmlformats.org/officeDocument/2006/relationships/hyperlink" Target="https://chromewebstore.google.com/detail/cekpldeffalionmgoedldkdnlcbphamp" TargetMode="External"/><Relationship Id="rId9034" Type="http://schemas.openxmlformats.org/officeDocument/2006/relationships/hyperlink" Target="https://chromewebstore.google.com/detail/caembjifniahacfdkkhdaehanlaebefd" TargetMode="External"/><Relationship Id="rId9033" Type="http://schemas.openxmlformats.org/officeDocument/2006/relationships/hyperlink" Target="https://chromewebstore.google.com/detail/bplpmfnmpdgiodnlpcafealcfbjnffmc" TargetMode="External"/><Relationship Id="rId9039" Type="http://schemas.openxmlformats.org/officeDocument/2006/relationships/hyperlink" Target="https://chromewebstore.google.com/detail/jhppfdbphdfchpfholhiehcdnbgkfjio" TargetMode="External"/><Relationship Id="rId9038" Type="http://schemas.openxmlformats.org/officeDocument/2006/relationships/hyperlink" Target="https://chromewebstore.google.com/detail/jdjkeinggenkakinhdoodppfjcggnmlo" TargetMode="External"/><Relationship Id="rId9037" Type="http://schemas.openxmlformats.org/officeDocument/2006/relationships/hyperlink" Target="https://chromewebstore.google.com/detail/ghpdiolckpncfliklbmgiljggbokjban" TargetMode="External"/><Relationship Id="rId9021" Type="http://schemas.openxmlformats.org/officeDocument/2006/relationships/hyperlink" Target="https://chromewebstore.google.com/detail/gmlnkohmoacknnggklomnmkohdcnjeak" TargetMode="External"/><Relationship Id="rId9020" Type="http://schemas.openxmlformats.org/officeDocument/2006/relationships/hyperlink" Target="https://chromewebstore.google.com/detail/fhbfhmmifmgcmnhdgjbgmkbaieembhha" TargetMode="External"/><Relationship Id="rId9025" Type="http://schemas.openxmlformats.org/officeDocument/2006/relationships/hyperlink" Target="https://chromewebstore.google.com/detail/ingodapckfhiolgmnjdocgfdfhgmokob" TargetMode="External"/><Relationship Id="rId9024" Type="http://schemas.openxmlformats.org/officeDocument/2006/relationships/hyperlink" Target="https://chromewebstore.google.com/detail/ilagjaefinhaihnmcmnhfnikaimpapeb" TargetMode="External"/><Relationship Id="rId9023" Type="http://schemas.openxmlformats.org/officeDocument/2006/relationships/hyperlink" Target="https://chromewebstore.google.com/detail/ihahdkpgnaoiidnkndhginfpianaindd" TargetMode="External"/><Relationship Id="rId9022" Type="http://schemas.openxmlformats.org/officeDocument/2006/relationships/hyperlink" Target="https://chromewebstore.google.com/detail/hpfapdojmefbgndfagcapgboejdnlddl" TargetMode="External"/><Relationship Id="rId9029" Type="http://schemas.openxmlformats.org/officeDocument/2006/relationships/hyperlink" Target="https://chromewebstore.google.com/detail/nadkgipbdodikbebedanhfpeedgbgail" TargetMode="External"/><Relationship Id="rId9028" Type="http://schemas.openxmlformats.org/officeDocument/2006/relationships/hyperlink" Target="https://chromewebstore.google.com/detail/jpagnmodhfdmdkmgjcolnnfienejokpo" TargetMode="External"/><Relationship Id="rId9027" Type="http://schemas.openxmlformats.org/officeDocument/2006/relationships/hyperlink" Target="https://chromewebstore.google.com/detail/jojafcbgfjjagedlpbpgpnafaedfjclk" TargetMode="External"/><Relationship Id="rId9026" Type="http://schemas.openxmlformats.org/officeDocument/2006/relationships/hyperlink" Target="https://chromewebstore.google.com/detail/jagapdgjhcbmakebkbilceabfeflnllk" TargetMode="External"/><Relationship Id="rId4206" Type="http://schemas.openxmlformats.org/officeDocument/2006/relationships/hyperlink" Target="https://chromewebstore.google.com/detail/fipboklgcfdipbmihkgjofbemfbjhomf" TargetMode="External"/><Relationship Id="rId5538" Type="http://schemas.openxmlformats.org/officeDocument/2006/relationships/hyperlink" Target="https://chromewebstore.google.com/detail/elnfdnpcmioiblhbichaacoghdhofeei" TargetMode="External"/><Relationship Id="rId6869" Type="http://schemas.openxmlformats.org/officeDocument/2006/relationships/hyperlink" Target="https://chromewebstore.google.com/detail/pccplfjdogpbnndhjjbbajhjmaihkcip" TargetMode="External"/><Relationship Id="rId4205" Type="http://schemas.openxmlformats.org/officeDocument/2006/relationships/hyperlink" Target="https://chromewebstore.google.com/detail/filngkjpmpaglfkcenjiljkmeajoaiff" TargetMode="External"/><Relationship Id="rId5539" Type="http://schemas.openxmlformats.org/officeDocument/2006/relationships/hyperlink" Target="https://chromewebstore.google.com/detail/emajnoacacifjgmkkmheackniabamonm" TargetMode="External"/><Relationship Id="rId4208" Type="http://schemas.openxmlformats.org/officeDocument/2006/relationships/hyperlink" Target="https://chromewebstore.google.com/detail/fjdogeikdkhflgmciddlakccnghigakg" TargetMode="External"/><Relationship Id="rId5536" Type="http://schemas.openxmlformats.org/officeDocument/2006/relationships/hyperlink" Target="https://chromewebstore.google.com/detail/elmkkpeccekaekegjhnekaolcjafnnep" TargetMode="External"/><Relationship Id="rId6867" Type="http://schemas.openxmlformats.org/officeDocument/2006/relationships/hyperlink" Target="https://chromewebstore.google.com/detail/pbmjkffahpajakjapejldcehlngihmhp" TargetMode="External"/><Relationship Id="rId4207" Type="http://schemas.openxmlformats.org/officeDocument/2006/relationships/hyperlink" Target="https://chromewebstore.google.com/detail/fjbjobpmgmgpcbdndpelgbfhnfjaacil" TargetMode="External"/><Relationship Id="rId5537" Type="http://schemas.openxmlformats.org/officeDocument/2006/relationships/hyperlink" Target="http://onex.am" TargetMode="External"/><Relationship Id="rId6868" Type="http://schemas.openxmlformats.org/officeDocument/2006/relationships/hyperlink" Target="https://chromewebstore.google.com/detail/pbnhojipeihlneembpdpaniddioobbib" TargetMode="External"/><Relationship Id="rId590" Type="http://schemas.openxmlformats.org/officeDocument/2006/relationships/hyperlink" Target="https://chromewebstore.google.com/detail/mocjldcbnkegopdodplogkdpbfmoeclk" TargetMode="External"/><Relationship Id="rId4209" Type="http://schemas.openxmlformats.org/officeDocument/2006/relationships/hyperlink" Target="https://chromewebstore.google.com/detail/fjiicadehcnbkjkkeoggfamngbfibicn" TargetMode="External"/><Relationship Id="rId589" Type="http://schemas.openxmlformats.org/officeDocument/2006/relationships/hyperlink" Target="https://chromewebstore.google.com/detail/mndpomcndmohjljbimojnnfnennikjmk" TargetMode="External"/><Relationship Id="rId588" Type="http://schemas.openxmlformats.org/officeDocument/2006/relationships/hyperlink" Target="https://chromewebstore.google.com/detail/mkhilblbmkdnapffblmecglknalglfji" TargetMode="External"/><Relationship Id="rId583" Type="http://schemas.openxmlformats.org/officeDocument/2006/relationships/hyperlink" Target="https://chromewebstore.google.com/detail/ljelghodcnccegncomkbfpkacbkagecf" TargetMode="External"/><Relationship Id="rId5530" Type="http://schemas.openxmlformats.org/officeDocument/2006/relationships/hyperlink" Target="https://chromewebstore.google.com/detail/elaccagjpdmjkcjogbdmcpcplfinifbh" TargetMode="External"/><Relationship Id="rId6861" Type="http://schemas.openxmlformats.org/officeDocument/2006/relationships/hyperlink" Target="https://chromewebstore.google.com/detail/pbeiaielhjhfdpnonbbincehnanaehon" TargetMode="External"/><Relationship Id="rId582" Type="http://schemas.openxmlformats.org/officeDocument/2006/relationships/hyperlink" Target="https://chromewebstore.google.com/detail/ljamgkbcojbnmcaonjokopmcblmmpfch" TargetMode="External"/><Relationship Id="rId5531" Type="http://schemas.openxmlformats.org/officeDocument/2006/relationships/hyperlink" Target="https://chromewebstore.google.com/detail/elbfgdnahnccodkhinelmahoclapilkm" TargetMode="External"/><Relationship Id="rId6862" Type="http://schemas.openxmlformats.org/officeDocument/2006/relationships/hyperlink" Target="https://chromewebstore.google.com/detail/pbfglldccjgbialkaabgogdjgpkjikgl" TargetMode="External"/><Relationship Id="rId581" Type="http://schemas.openxmlformats.org/officeDocument/2006/relationships/hyperlink" Target="https://chromewebstore.google.com/detail/lhfdhjladfcmghahdbcmlceajdlbkale" TargetMode="External"/><Relationship Id="rId4200" Type="http://schemas.openxmlformats.org/officeDocument/2006/relationships/hyperlink" Target="https://chromewebstore.google.com/detail/fiabhebnoobfodnondepifmhgooeompn" TargetMode="External"/><Relationship Id="rId580" Type="http://schemas.openxmlformats.org/officeDocument/2006/relationships/hyperlink" Target="https://chromewebstore.google.com/detail/lfijgegefgcgbfcgjgnhnkclenhfijhk" TargetMode="External"/><Relationship Id="rId6860" Type="http://schemas.openxmlformats.org/officeDocument/2006/relationships/hyperlink" Target="https://chromewebstore.google.com/detail/pbbcgecjmpkglppfjjggkkbhdnlemhkg" TargetMode="External"/><Relationship Id="rId587" Type="http://schemas.openxmlformats.org/officeDocument/2006/relationships/hyperlink" Target="https://chromewebstore.google.com/detail/mhoeffeimbfbmpccjcodjeeglinbpicp" TargetMode="External"/><Relationship Id="rId4202" Type="http://schemas.openxmlformats.org/officeDocument/2006/relationships/hyperlink" Target="https://chromewebstore.google.com/detail/fihebcnndekipadhomlgaiajoipkophe" TargetMode="External"/><Relationship Id="rId5534" Type="http://schemas.openxmlformats.org/officeDocument/2006/relationships/hyperlink" Target="https://chromewebstore.google.com/detail/eldodjejjdniikjmjkboebfdocbhofdo" TargetMode="External"/><Relationship Id="rId6865" Type="http://schemas.openxmlformats.org/officeDocument/2006/relationships/hyperlink" Target="https://chromewebstore.google.com/detail/pblodagimcngmkbdjcaphmjbjlnhicnj" TargetMode="External"/><Relationship Id="rId586" Type="http://schemas.openxmlformats.org/officeDocument/2006/relationships/hyperlink" Target="https://chromewebstore.google.com/detail/mefgmmbdailogpfhfblcnnjfmnpnmdfa" TargetMode="External"/><Relationship Id="rId4201" Type="http://schemas.openxmlformats.org/officeDocument/2006/relationships/hyperlink" Target="https://chromewebstore.google.com/detail/fiffpcmdajgojnmfdfangagpimonnmdc" TargetMode="External"/><Relationship Id="rId5535" Type="http://schemas.openxmlformats.org/officeDocument/2006/relationships/hyperlink" Target="https://chromewebstore.google.com/detail/elepfidkonofgnfipndmfimgadcpncgo" TargetMode="External"/><Relationship Id="rId6866" Type="http://schemas.openxmlformats.org/officeDocument/2006/relationships/hyperlink" Target="https://chromewebstore.google.com/detail/pbmcfhlhkcilffifjkgegfjiegmmjgpo" TargetMode="External"/><Relationship Id="rId585" Type="http://schemas.openxmlformats.org/officeDocument/2006/relationships/hyperlink" Target="https://chromewebstore.google.com/detail/mapfkcmnklanficcnnjkgeneakedmjkp" TargetMode="External"/><Relationship Id="rId4204" Type="http://schemas.openxmlformats.org/officeDocument/2006/relationships/hyperlink" Target="https://chromewebstore.google.com/detail/filkeckmpdjogddcamkafnekhgfaehkc" TargetMode="External"/><Relationship Id="rId5532" Type="http://schemas.openxmlformats.org/officeDocument/2006/relationships/hyperlink" Target="https://chromewebstore.google.com/detail/elcjekocfhomlfniihikpmbbgjdbgcoo" TargetMode="External"/><Relationship Id="rId6863" Type="http://schemas.openxmlformats.org/officeDocument/2006/relationships/hyperlink" Target="https://chromewebstore.google.com/detail/pbhfkcipafbmbcdgpcijmdhbogikmhie" TargetMode="External"/><Relationship Id="rId584" Type="http://schemas.openxmlformats.org/officeDocument/2006/relationships/hyperlink" Target="https://chromewebstore.google.com/detail/lppagnomjcaohgkfljlebenbmbdmbkdj" TargetMode="External"/><Relationship Id="rId4203" Type="http://schemas.openxmlformats.org/officeDocument/2006/relationships/hyperlink" Target="https://chromewebstore.google.com/detail/fiibfdgjeodlnklafeiginlalmdhjmmn" TargetMode="External"/><Relationship Id="rId5533" Type="http://schemas.openxmlformats.org/officeDocument/2006/relationships/hyperlink" Target="https://chromewebstore.google.com/detail/eldfkpmlpefcdeafbenjhelmdiggejhg" TargetMode="External"/><Relationship Id="rId6864" Type="http://schemas.openxmlformats.org/officeDocument/2006/relationships/hyperlink" Target="https://chromewebstore.google.com/detail/pbjkhpopkeemapfmncbmpleaecapdbfg" TargetMode="External"/><Relationship Id="rId5527" Type="http://schemas.openxmlformats.org/officeDocument/2006/relationships/hyperlink" Target="https://chromewebstore.google.com/detail/ekiieomfkkfmficbgpkhfpcaiglihdif" TargetMode="External"/><Relationship Id="rId6858" Type="http://schemas.openxmlformats.org/officeDocument/2006/relationships/hyperlink" Target="https://chromewebstore.google.com/detail/papngdkchffiibikcambipaainahiaag" TargetMode="External"/><Relationship Id="rId5528" Type="http://schemas.openxmlformats.org/officeDocument/2006/relationships/hyperlink" Target="https://chromewebstore.google.com/detail/ekknkegilfcanmhkplgkfoefdkjmeceb" TargetMode="External"/><Relationship Id="rId6859" Type="http://schemas.openxmlformats.org/officeDocument/2006/relationships/hyperlink" Target="https://chromewebstore.google.com/detail/pbamggcaifokmlmfikeajinpppkicfne" TargetMode="External"/><Relationship Id="rId5525" Type="http://schemas.openxmlformats.org/officeDocument/2006/relationships/hyperlink" Target="https://chromewebstore.google.com/detail/ekfmaibfpamaegficfifofnlhalkbdfm" TargetMode="External"/><Relationship Id="rId6856" Type="http://schemas.openxmlformats.org/officeDocument/2006/relationships/hyperlink" Target="https://chromewebstore.google.com/detail/paibejibkjomgdecgblgfkoobjjoakom" TargetMode="External"/><Relationship Id="rId5526" Type="http://schemas.openxmlformats.org/officeDocument/2006/relationships/hyperlink" Target="https://chromewebstore.google.com/detail/ekgifjamocffoikgnapdbabpaapoappn" TargetMode="External"/><Relationship Id="rId6857" Type="http://schemas.openxmlformats.org/officeDocument/2006/relationships/hyperlink" Target="https://chromewebstore.google.com/detail/pakngoacmndjaomplokegbepmohpfofb" TargetMode="External"/><Relationship Id="rId5529" Type="http://schemas.openxmlformats.org/officeDocument/2006/relationships/hyperlink" Target="https://chromewebstore.google.com/detail/ekljeoillbffchedponaceigjnbiffkm" TargetMode="External"/><Relationship Id="rId579" Type="http://schemas.openxmlformats.org/officeDocument/2006/relationships/hyperlink" Target="http://track24.ru" TargetMode="External"/><Relationship Id="rId578" Type="http://schemas.openxmlformats.org/officeDocument/2006/relationships/hyperlink" Target="https://chromewebstore.google.com/detail/leocjgngiajhfiikjolfhcpiokgbinep" TargetMode="External"/><Relationship Id="rId577" Type="http://schemas.openxmlformats.org/officeDocument/2006/relationships/hyperlink" Target="https://chromewebstore.google.com/detail/lefigjbiimiemfhjmibbgemkpenelmag" TargetMode="External"/><Relationship Id="rId572" Type="http://schemas.openxmlformats.org/officeDocument/2006/relationships/hyperlink" Target="https://chromewebstore.google.com/detail/klggbkjfmbonefdcfkiidhcmfjdfnepa" TargetMode="External"/><Relationship Id="rId6850" Type="http://schemas.openxmlformats.org/officeDocument/2006/relationships/hyperlink" Target="https://chromewebstore.google.com/detail/opkhfpnahihfkkhicenffonnfnhkheip" TargetMode="External"/><Relationship Id="rId571" Type="http://schemas.openxmlformats.org/officeDocument/2006/relationships/hyperlink" Target="https://chromewebstore.google.com/detail/kkehppgllpkfohejllckommnpfeomhnc" TargetMode="External"/><Relationship Id="rId5520" Type="http://schemas.openxmlformats.org/officeDocument/2006/relationships/hyperlink" Target="https://chromewebstore.google.com/detail/ekbpmgkfehkgcffncpghihhpblhijnbp" TargetMode="External"/><Relationship Id="rId6851" Type="http://schemas.openxmlformats.org/officeDocument/2006/relationships/hyperlink" Target="https://chromewebstore.google.com/detail/opphlpkpklmjbglpifmecilchaknobgn" TargetMode="External"/><Relationship Id="rId570" Type="http://schemas.openxmlformats.org/officeDocument/2006/relationships/hyperlink" Target="https://chromewebstore.google.com/detail/kicpmhgmcajloefloefojbfdmenhmhjf" TargetMode="External"/><Relationship Id="rId576" Type="http://schemas.openxmlformats.org/officeDocument/2006/relationships/hyperlink" Target="https://chromewebstore.google.com/detail/lcghoajegeldpfkfaejegfobkapnemjl" TargetMode="External"/><Relationship Id="rId5523" Type="http://schemas.openxmlformats.org/officeDocument/2006/relationships/hyperlink" Target="https://chromewebstore.google.com/detail/ekeenfdgilfphjgpaimhingjekdnifhb" TargetMode="External"/><Relationship Id="rId6854" Type="http://schemas.openxmlformats.org/officeDocument/2006/relationships/hyperlink" Target="https://chromewebstore.google.com/detail/pahlaamajbiopofflbolddpkfjfdjnlj" TargetMode="External"/><Relationship Id="rId575" Type="http://schemas.openxmlformats.org/officeDocument/2006/relationships/hyperlink" Target="https://chromewebstore.google.com/detail/lcfdefmogcogicollfebhgjiiakbjdje" TargetMode="External"/><Relationship Id="rId5524" Type="http://schemas.openxmlformats.org/officeDocument/2006/relationships/hyperlink" Target="https://chromewebstore.google.com/detail/ekekffgghkadgjkopekbpkhccddmkioc" TargetMode="External"/><Relationship Id="rId6855" Type="http://schemas.openxmlformats.org/officeDocument/2006/relationships/hyperlink" Target="https://chromewebstore.google.com/detail/pahmlghhaoabdlhnkmmjbkcmdamjccjj" TargetMode="External"/><Relationship Id="rId574" Type="http://schemas.openxmlformats.org/officeDocument/2006/relationships/hyperlink" Target="https://chromewebstore.google.com/detail/lalfpjdbhpmnhfofkckdpkljeilmogfl" TargetMode="External"/><Relationship Id="rId5521" Type="http://schemas.openxmlformats.org/officeDocument/2006/relationships/hyperlink" Target="https://chromewebstore.google.com/detail/ekcdobhfchooihahjgcalnhmppadiomh" TargetMode="External"/><Relationship Id="rId6852" Type="http://schemas.openxmlformats.org/officeDocument/2006/relationships/hyperlink" Target="https://chromewebstore.google.com/detail/oppikflppfjfdpjimpdadhelffjpciba" TargetMode="External"/><Relationship Id="rId573" Type="http://schemas.openxmlformats.org/officeDocument/2006/relationships/hyperlink" Target="https://chromewebstore.google.com/detail/kmhfkeaanbokocpddnjlocbefjcpohhl" TargetMode="External"/><Relationship Id="rId5522" Type="http://schemas.openxmlformats.org/officeDocument/2006/relationships/hyperlink" Target="https://chromewebstore.google.com/detail/ekdmipoabmcjmlonhcdoijilfdoomjbm" TargetMode="External"/><Relationship Id="rId6853" Type="http://schemas.openxmlformats.org/officeDocument/2006/relationships/hyperlink" Target="https://chromewebstore.google.com/detail/pacafepjegmgiiidkgofifmfcjfdkpea" TargetMode="External"/><Relationship Id="rId4228" Type="http://schemas.openxmlformats.org/officeDocument/2006/relationships/hyperlink" Target="https://chromewebstore.google.com/detail/fnmgefajmfpflnopkgeodcbfkgpkbcaa" TargetMode="External"/><Relationship Id="rId4227" Type="http://schemas.openxmlformats.org/officeDocument/2006/relationships/hyperlink" Target="https://chromewebstore.google.com/detail/fniphkhigniidpeeogcnmhgcnhfnajbo" TargetMode="External"/><Relationship Id="rId5558" Type="http://schemas.openxmlformats.org/officeDocument/2006/relationships/hyperlink" Target="https://chromewebstore.google.com/detail/eobkbhboppfebolebbcbbigmbfmflmcf" TargetMode="External"/><Relationship Id="rId6889" Type="http://schemas.openxmlformats.org/officeDocument/2006/relationships/hyperlink" Target="https://chromewebstore.google.com/detail/peeecebkcdlibcfllbpmmkhggflcppem" TargetMode="External"/><Relationship Id="rId4229" Type="http://schemas.openxmlformats.org/officeDocument/2006/relationships/hyperlink" Target="https://chromewebstore.google.com/detail/focmpdmaogbbmkdcdnofaifpkmcbmfdp" TargetMode="External"/><Relationship Id="rId5559" Type="http://schemas.openxmlformats.org/officeDocument/2006/relationships/hyperlink" Target="https://chromewebstore.google.com/detail/eobkkmbgipjpjimcffmjpfdpnekaoiom" TargetMode="External"/><Relationship Id="rId6880" Type="http://schemas.openxmlformats.org/officeDocument/2006/relationships/hyperlink" Target="https://chromewebstore.google.com/detail/pdhedahnmicgeobhejclpbogemgkfpdo" TargetMode="External"/><Relationship Id="rId4220" Type="http://schemas.openxmlformats.org/officeDocument/2006/relationships/hyperlink" Target="https://chromewebstore.google.com/detail/flhghpihapijancfhnicbnjifdodohpi" TargetMode="External"/><Relationship Id="rId5552" Type="http://schemas.openxmlformats.org/officeDocument/2006/relationships/hyperlink" Target="https://chromewebstore.google.com/detail/enieolhifcncmplmpadiffjnnfnoelic" TargetMode="External"/><Relationship Id="rId6883" Type="http://schemas.openxmlformats.org/officeDocument/2006/relationships/hyperlink" Target="https://chromewebstore.google.com/detail/pdpbfanllabhbledlnemlnmchfeheljp" TargetMode="External"/><Relationship Id="rId5553" Type="http://schemas.openxmlformats.org/officeDocument/2006/relationships/hyperlink" Target="https://chromewebstore.google.com/detail/enlkmhjigjnkjhocdnakhnabohfpdbag" TargetMode="External"/><Relationship Id="rId6884" Type="http://schemas.openxmlformats.org/officeDocument/2006/relationships/hyperlink" Target="https://chromewebstore.google.com/detail/peblgjafllfpndniijaemianngmokbcf" TargetMode="External"/><Relationship Id="rId4222" Type="http://schemas.openxmlformats.org/officeDocument/2006/relationships/hyperlink" Target="https://chromewebstore.google.com/detail/flmfagndkngjknjjcoejaihmibcfcjdh" TargetMode="External"/><Relationship Id="rId5550" Type="http://schemas.openxmlformats.org/officeDocument/2006/relationships/hyperlink" Target="https://chromewebstore.google.com/detail/enflemcandibjifcelngbchmjfagkkni" TargetMode="External"/><Relationship Id="rId6881" Type="http://schemas.openxmlformats.org/officeDocument/2006/relationships/hyperlink" Target="https://chromewebstore.google.com/detail/pdmgnoogmgjalmocjinpaedbiffbjoim" TargetMode="External"/><Relationship Id="rId4221" Type="http://schemas.openxmlformats.org/officeDocument/2006/relationships/hyperlink" Target="https://chromewebstore.google.com/detail/fllomkdgoahjlgcblpldnpjcilipjelp" TargetMode="External"/><Relationship Id="rId5551" Type="http://schemas.openxmlformats.org/officeDocument/2006/relationships/hyperlink" Target="https://chromewebstore.google.com/detail/engcgfkpphndmbjmondiodpoeegkemgh" TargetMode="External"/><Relationship Id="rId6882" Type="http://schemas.openxmlformats.org/officeDocument/2006/relationships/hyperlink" Target="https://chromewebstore.google.com/detail/pdnepfgkpdeanbbjokeimphnkhimiobi" TargetMode="External"/><Relationship Id="rId4224" Type="http://schemas.openxmlformats.org/officeDocument/2006/relationships/hyperlink" Target="https://chromewebstore.google.com/detail/fmecikjllhmgphepkbjdbngfedfiiabf" TargetMode="External"/><Relationship Id="rId5556" Type="http://schemas.openxmlformats.org/officeDocument/2006/relationships/hyperlink" Target="https://chromewebstore.google.com/detail/enpcfefpndigimneblibaglgcgjkedfn" TargetMode="External"/><Relationship Id="rId6887" Type="http://schemas.openxmlformats.org/officeDocument/2006/relationships/hyperlink" Target="https://chromewebstore.google.com/detail/pecdkhjikgejgnlpccgmghcnalkggjaj" TargetMode="External"/><Relationship Id="rId4223" Type="http://schemas.openxmlformats.org/officeDocument/2006/relationships/hyperlink" Target="https://chromewebstore.google.com/detail/fmdigckemedcngcmnkjkcjimcihmogdc" TargetMode="External"/><Relationship Id="rId5557" Type="http://schemas.openxmlformats.org/officeDocument/2006/relationships/hyperlink" Target="https://chromewebstore.google.com/detail/enphflaephhmabkpchhgkhkfcblbhiip" TargetMode="External"/><Relationship Id="rId6888" Type="http://schemas.openxmlformats.org/officeDocument/2006/relationships/hyperlink" Target="https://chromewebstore.google.com/detail/pecipdapigjbjmnkfahjlgnfcajpajhh" TargetMode="External"/><Relationship Id="rId4226" Type="http://schemas.openxmlformats.org/officeDocument/2006/relationships/hyperlink" Target="https://chromewebstore.google.com/detail/fmnbendpgeigfbbggclcongjkmpjnina" TargetMode="External"/><Relationship Id="rId5554" Type="http://schemas.openxmlformats.org/officeDocument/2006/relationships/hyperlink" Target="https://chromewebstore.google.com/detail/ennkgpoidlcphlccokdocigfibidmccj" TargetMode="External"/><Relationship Id="rId6885" Type="http://schemas.openxmlformats.org/officeDocument/2006/relationships/hyperlink" Target="https://chromewebstore.google.com/detail/pebnbbhfnlmonnpbnbkmjfffmngddnbg" TargetMode="External"/><Relationship Id="rId4225" Type="http://schemas.openxmlformats.org/officeDocument/2006/relationships/hyperlink" Target="https://chromewebstore.google.com/detail/fmffbkdjpleccffeakmpdkinffkahbgb" TargetMode="External"/><Relationship Id="rId5555" Type="http://schemas.openxmlformats.org/officeDocument/2006/relationships/hyperlink" Target="https://chromewebstore.google.com/detail/enpcedkgdcblopaldlgcajgebojbnhao" TargetMode="External"/><Relationship Id="rId6886" Type="http://schemas.openxmlformats.org/officeDocument/2006/relationships/hyperlink" Target="https://chromewebstore.google.com/detail/pecalkbdlhhhcoenmcjnmhgnncnkdgak" TargetMode="External"/><Relationship Id="rId4217" Type="http://schemas.openxmlformats.org/officeDocument/2006/relationships/hyperlink" Target="https://chromewebstore.google.com/detail/fkgnekciniccjnacbafpgepgdngeapbb" TargetMode="External"/><Relationship Id="rId5549" Type="http://schemas.openxmlformats.org/officeDocument/2006/relationships/hyperlink" Target="https://chromewebstore.google.com/detail/enfgannencjofjonlojjahlblnjnfhon" TargetMode="External"/><Relationship Id="rId4216" Type="http://schemas.openxmlformats.org/officeDocument/2006/relationships/hyperlink" Target="https://chromewebstore.google.com/detail/fjnfifedbeeeibikgpggddmfbaeccaoh" TargetMode="External"/><Relationship Id="rId4219" Type="http://schemas.openxmlformats.org/officeDocument/2006/relationships/hyperlink" Target="https://chromewebstore.google.com/detail/fkmojdpmdmdmeohmebiejjclmegkalli" TargetMode="External"/><Relationship Id="rId5547" Type="http://schemas.openxmlformats.org/officeDocument/2006/relationships/hyperlink" Target="https://chromewebstore.google.com/detail/enaifbbcamagcjaaeeaomhofifdgpjcn" TargetMode="External"/><Relationship Id="rId6878" Type="http://schemas.openxmlformats.org/officeDocument/2006/relationships/hyperlink" Target="https://chromewebstore.google.com/detail/pdfepgdcmifhbmldcofnkmnbabamjdnm" TargetMode="External"/><Relationship Id="rId4218" Type="http://schemas.openxmlformats.org/officeDocument/2006/relationships/hyperlink" Target="https://chromewebstore.google.com/detail/fkjidelplakiboijmadcpcbpboihkmee" TargetMode="External"/><Relationship Id="rId5548" Type="http://schemas.openxmlformats.org/officeDocument/2006/relationships/hyperlink" Target="https://chromewebstore.google.com/detail/eneakgbflmejjpkogbdmebjbfcdebjik" TargetMode="External"/><Relationship Id="rId6879" Type="http://schemas.openxmlformats.org/officeDocument/2006/relationships/hyperlink" Target="https://chromewebstore.google.com/detail/pdfkhgdhohjkogfppjjfbbkdenabhglp" TargetMode="External"/><Relationship Id="rId599" Type="http://schemas.openxmlformats.org/officeDocument/2006/relationships/hyperlink" Target="https://chromewebstore.google.com/detail/pdanbocphccpmidkhloklnlfplehiikb" TargetMode="External"/><Relationship Id="rId594" Type="http://schemas.openxmlformats.org/officeDocument/2006/relationships/hyperlink" Target="https://chromewebstore.google.com/detail/oghcfpacbadjkebhegcollgfhhjkalep" TargetMode="External"/><Relationship Id="rId5541" Type="http://schemas.openxmlformats.org/officeDocument/2006/relationships/hyperlink" Target="https://chromewebstore.google.com/detail/embfhnfkfobkdohleknckodkmhgmpdli" TargetMode="External"/><Relationship Id="rId6872" Type="http://schemas.openxmlformats.org/officeDocument/2006/relationships/hyperlink" Target="https://chromewebstore.google.com/detail/pcfedgjdgkacloiabdlghochjfmnalck" TargetMode="External"/><Relationship Id="rId593" Type="http://schemas.openxmlformats.org/officeDocument/2006/relationships/hyperlink" Target="https://chromewebstore.google.com/detail/ndcooeababalnlpkfedmmbbbgkljhpjf" TargetMode="External"/><Relationship Id="rId5542" Type="http://schemas.openxmlformats.org/officeDocument/2006/relationships/hyperlink" Target="https://chromewebstore.google.com/detail/emggakpfjmpnbhceddojakeaonegfecd" TargetMode="External"/><Relationship Id="rId6873" Type="http://schemas.openxmlformats.org/officeDocument/2006/relationships/hyperlink" Target="https://chromewebstore.google.com/detail/pcjkjppejpfepcigccchnemjpmmimijm" TargetMode="External"/><Relationship Id="rId592" Type="http://schemas.openxmlformats.org/officeDocument/2006/relationships/hyperlink" Target="https://chromewebstore.google.com/detail/nbbpjdmdkcmpimmhloehkojhbhjlboog" TargetMode="External"/><Relationship Id="rId4211" Type="http://schemas.openxmlformats.org/officeDocument/2006/relationships/hyperlink" Target="https://chromewebstore.google.com/detail/fjkehfaokpmcbigmbgdhmjblecgfkedg" TargetMode="External"/><Relationship Id="rId6870" Type="http://schemas.openxmlformats.org/officeDocument/2006/relationships/hyperlink" Target="https://chromewebstore.google.com/detail/pcejknpebeeppjgnmojbbdieidhcbbej" TargetMode="External"/><Relationship Id="rId591" Type="http://schemas.openxmlformats.org/officeDocument/2006/relationships/hyperlink" Target="https://chromewebstore.google.com/detail/mpmkclglcbkjchakihfpblainfncennj" TargetMode="External"/><Relationship Id="rId4210" Type="http://schemas.openxmlformats.org/officeDocument/2006/relationships/hyperlink" Target="https://chromewebstore.google.com/detail/fjjomhepnnicmnkfiopeimfpdbpegboa" TargetMode="External"/><Relationship Id="rId5540" Type="http://schemas.openxmlformats.org/officeDocument/2006/relationships/hyperlink" Target="https://chromewebstore.google.com/detail/emakhcohiapmkipgkjelkkkfaphanjdn" TargetMode="External"/><Relationship Id="rId6871" Type="http://schemas.openxmlformats.org/officeDocument/2006/relationships/hyperlink" Target="https://chromewebstore.google.com/detail/pcejpbljkjnljdjckjclmeoekieilokj" TargetMode="External"/><Relationship Id="rId598" Type="http://schemas.openxmlformats.org/officeDocument/2006/relationships/hyperlink" Target="https://chromewebstore.google.com/detail/pcboajngloecgmaailkmphmpbacmbcfb" TargetMode="External"/><Relationship Id="rId4213" Type="http://schemas.openxmlformats.org/officeDocument/2006/relationships/hyperlink" Target="https://chromewebstore.google.com/detail/fjmnijfljaoenghofncmjikccfjdaldg" TargetMode="External"/><Relationship Id="rId5545" Type="http://schemas.openxmlformats.org/officeDocument/2006/relationships/hyperlink" Target="https://chromewebstore.google.com/detail/emlglgogdlkgaepogbphgkdlpdlchdgg" TargetMode="External"/><Relationship Id="rId6876" Type="http://schemas.openxmlformats.org/officeDocument/2006/relationships/hyperlink" Target="https://chromewebstore.google.com/detail/pdefblacohipeefbmebhalgjickekjnp" TargetMode="External"/><Relationship Id="rId597" Type="http://schemas.openxmlformats.org/officeDocument/2006/relationships/hyperlink" Target="https://chromewebstore.google.com/detail/opcjanmpjbdbdpnjfjbboacibokblbhl" TargetMode="External"/><Relationship Id="rId4212" Type="http://schemas.openxmlformats.org/officeDocument/2006/relationships/hyperlink" Target="https://chromewebstore.google.com/detail/fjljjpffehpkhlppnbhmeonlanjmkhhf" TargetMode="External"/><Relationship Id="rId5546" Type="http://schemas.openxmlformats.org/officeDocument/2006/relationships/hyperlink" Target="https://chromewebstore.google.com/detail/emmenkmcjhjcgnjbngpaegoihmkmnhah" TargetMode="External"/><Relationship Id="rId6877" Type="http://schemas.openxmlformats.org/officeDocument/2006/relationships/hyperlink" Target="https://chromewebstore.google.com/detail/pdehepohihkkmeclfnlnipieffkomajc" TargetMode="External"/><Relationship Id="rId596" Type="http://schemas.openxmlformats.org/officeDocument/2006/relationships/hyperlink" Target="https://chromewebstore.google.com/detail/olfiakiemgabphalhjfjbcmganhfkbcg" TargetMode="External"/><Relationship Id="rId4215" Type="http://schemas.openxmlformats.org/officeDocument/2006/relationships/hyperlink" Target="https://chromewebstore.google.com/detail/fjnapmokjlagcbibhioepcfijehhlbpj" TargetMode="External"/><Relationship Id="rId5543" Type="http://schemas.openxmlformats.org/officeDocument/2006/relationships/hyperlink" Target="https://chromewebstore.google.com/detail/emhhhnhbnjkilmhkiibfhjmefpipnmke" TargetMode="External"/><Relationship Id="rId6874" Type="http://schemas.openxmlformats.org/officeDocument/2006/relationships/hyperlink" Target="https://chromewebstore.google.com/detail/pcoghfbplcjhdlljbjihcfdgnglondoc" TargetMode="External"/><Relationship Id="rId595" Type="http://schemas.openxmlformats.org/officeDocument/2006/relationships/hyperlink" Target="https://chromewebstore.google.com/detail/oghkljobbhapacbahlneolfclkniiami" TargetMode="External"/><Relationship Id="rId4214" Type="http://schemas.openxmlformats.org/officeDocument/2006/relationships/hyperlink" Target="https://chromewebstore.google.com/detail/fjmoemhemaejfjodjgnpkelbdgejnpgd" TargetMode="External"/><Relationship Id="rId5544" Type="http://schemas.openxmlformats.org/officeDocument/2006/relationships/hyperlink" Target="https://chromewebstore.google.com/detail/emkifbbnipjheakepkdnegemeknjmppm" TargetMode="External"/><Relationship Id="rId6875" Type="http://schemas.openxmlformats.org/officeDocument/2006/relationships/hyperlink" Target="https://chromewebstore.google.com/detail/pddbkjjdhnmhmdeoaodeggedmebdhcgp" TargetMode="External"/><Relationship Id="rId6825" Type="http://schemas.openxmlformats.org/officeDocument/2006/relationships/hyperlink" Target="https://chromewebstore.google.com/detail/ombkgoboclhmipmpjpnmajmlgenjjfdm" TargetMode="External"/><Relationship Id="rId6826" Type="http://schemas.openxmlformats.org/officeDocument/2006/relationships/hyperlink" Target="https://chromewebstore.google.com/detail/omdhnadkcnembinnkaejpmkpiccnfhno" TargetMode="External"/><Relationship Id="rId6823" Type="http://schemas.openxmlformats.org/officeDocument/2006/relationships/hyperlink" Target="https://chromewebstore.google.com/detail/omahbhljmcdlanacglbejbmnadecbkgm" TargetMode="External"/><Relationship Id="rId6824" Type="http://schemas.openxmlformats.org/officeDocument/2006/relationships/hyperlink" Target="https://chromewebstore.google.com/detail/omajchkpfbgdnponeednigfehanaholi" TargetMode="External"/><Relationship Id="rId6829" Type="http://schemas.openxmlformats.org/officeDocument/2006/relationships/hyperlink" Target="https://chromewebstore.google.com/detail/omhddidaimomdeombghbcbkkbimabmmm" TargetMode="External"/><Relationship Id="rId6827" Type="http://schemas.openxmlformats.org/officeDocument/2006/relationships/hyperlink" Target="https://chromewebstore.google.com/detail/omfnpkdhcmgcajclojcfhciacciogdcd" TargetMode="External"/><Relationship Id="rId6828" Type="http://schemas.openxmlformats.org/officeDocument/2006/relationships/hyperlink" Target="https://chromewebstore.google.com/detail/omgomlnnfccahaaicaphjjgkjplfkjai" TargetMode="External"/><Relationship Id="rId547" Type="http://schemas.openxmlformats.org/officeDocument/2006/relationships/hyperlink" Target="https://chromewebstore.google.com/detail/hejbmebodbijjdhflfknehhcgaklhano" TargetMode="External"/><Relationship Id="rId9098" Type="http://schemas.openxmlformats.org/officeDocument/2006/relationships/hyperlink" Target="https://chromewebstore.google.com/detail/pmgahbdihjhjdgnpnapldpddkodhhchn" TargetMode="External"/><Relationship Id="rId546" Type="http://schemas.openxmlformats.org/officeDocument/2006/relationships/hyperlink" Target="https://chromewebstore.google.com/detail/hebpbmepdiaagnenlpjclmncidmljlgl" TargetMode="External"/><Relationship Id="rId9097" Type="http://schemas.openxmlformats.org/officeDocument/2006/relationships/hyperlink" Target="https://chromewebstore.google.com/detail/nlhbmonchdkgilbpglpghlokfggebfdk" TargetMode="External"/><Relationship Id="rId545" Type="http://schemas.openxmlformats.org/officeDocument/2006/relationships/hyperlink" Target="https://chromewebstore.google.com/detail/hclhpnhohpmlbadmeieecaandnglfodm" TargetMode="External"/><Relationship Id="rId9096" Type="http://schemas.openxmlformats.org/officeDocument/2006/relationships/hyperlink" Target="https://chromewebstore.google.com/detail/niipgeipgmcgikcempmopgfaifponeni" TargetMode="External"/><Relationship Id="rId544" Type="http://schemas.openxmlformats.org/officeDocument/2006/relationships/hyperlink" Target="https://chromewebstore.google.com/detail/giehjnnlopapngdjbjjgddpaagoimmgl" TargetMode="External"/><Relationship Id="rId9095" Type="http://schemas.openxmlformats.org/officeDocument/2006/relationships/hyperlink" Target="https://chromewebstore.google.com/detail/mhpjihcolfmanjipbiileobmpljepjod" TargetMode="External"/><Relationship Id="rId549" Type="http://schemas.openxmlformats.org/officeDocument/2006/relationships/hyperlink" Target="https://chromewebstore.google.com/detail/hhienkkjhkcdeaolmcniloflgpjhdefi" TargetMode="External"/><Relationship Id="rId548" Type="http://schemas.openxmlformats.org/officeDocument/2006/relationships/hyperlink" Target="https://chromewebstore.google.com/detail/hfadalcgppcbffdnichplalnmhjbabbm" TargetMode="External"/><Relationship Id="rId9099" Type="http://schemas.openxmlformats.org/officeDocument/2006/relationships/hyperlink" Target="https://chromewebstore.google.com/detail/hgniihpjiioldkafogebpkbaiflmpimb" TargetMode="External"/><Relationship Id="rId543" Type="http://schemas.openxmlformats.org/officeDocument/2006/relationships/hyperlink" Target="https://chromewebstore.google.com/detail/ghipmampnddcpdlppkkamoankmkmcbmh" TargetMode="External"/><Relationship Id="rId6821" Type="http://schemas.openxmlformats.org/officeDocument/2006/relationships/hyperlink" Target="https://chromewebstore.google.com/detail/ollfjiihaphmpjemfhmkngaajbdblbkb" TargetMode="External"/><Relationship Id="rId542" Type="http://schemas.openxmlformats.org/officeDocument/2006/relationships/hyperlink" Target="http://pastebin.com" TargetMode="External"/><Relationship Id="rId6822" Type="http://schemas.openxmlformats.org/officeDocument/2006/relationships/hyperlink" Target="https://chromewebstore.google.com/detail/olmldjaicdbnkabfiieclmigepfakdoj" TargetMode="External"/><Relationship Id="rId541" Type="http://schemas.openxmlformats.org/officeDocument/2006/relationships/hyperlink" Target="https://chromewebstore.google.com/detail/ggcihihkaidbkkolahhliaaepdjhngli" TargetMode="External"/><Relationship Id="rId540" Type="http://schemas.openxmlformats.org/officeDocument/2006/relationships/hyperlink" Target="https://chromewebstore.google.com/detail/gfgkebiommjpiaomalcbfefimhhanlfd" TargetMode="External"/><Relationship Id="rId6820" Type="http://schemas.openxmlformats.org/officeDocument/2006/relationships/hyperlink" Target="https://chromewebstore.google.com/detail/olghnkfiljkinfbnichocbepnimdfclf" TargetMode="External"/><Relationship Id="rId6814" Type="http://schemas.openxmlformats.org/officeDocument/2006/relationships/hyperlink" Target="https://chromewebstore.google.com/detail/oknkcmcepaahofjeifofaomnlbenbpdc" TargetMode="External"/><Relationship Id="rId6815" Type="http://schemas.openxmlformats.org/officeDocument/2006/relationships/hyperlink" Target="https://chromewebstore.google.com/detail/oknmifdkopdphfngophcpoddjalaahok" TargetMode="External"/><Relationship Id="rId6812" Type="http://schemas.openxmlformats.org/officeDocument/2006/relationships/hyperlink" Target="https://chromewebstore.google.com/detail/okiohagmnigihpbleoloddfldckiknea" TargetMode="External"/><Relationship Id="rId6813" Type="http://schemas.openxmlformats.org/officeDocument/2006/relationships/hyperlink" Target="https://chromewebstore.google.com/detail/oklkidkfohahankieehkeenbillligdn" TargetMode="External"/><Relationship Id="rId6818" Type="http://schemas.openxmlformats.org/officeDocument/2006/relationships/hyperlink" Target="https://chromewebstore.google.com/detail/olekhdbiikodlegdppgkkcdgggikepne" TargetMode="External"/><Relationship Id="rId6819" Type="http://schemas.openxmlformats.org/officeDocument/2006/relationships/hyperlink" Target="https://chromewebstore.google.com/detail/olgcoeajbmggbinanooheaialmihaaof" TargetMode="External"/><Relationship Id="rId6816" Type="http://schemas.openxmlformats.org/officeDocument/2006/relationships/hyperlink" Target="https://chromewebstore.google.com/detail/olbmmdlchmicolppponihdhclpnhkpdd" TargetMode="External"/><Relationship Id="rId6817" Type="http://schemas.openxmlformats.org/officeDocument/2006/relationships/hyperlink" Target="https://chromewebstore.google.com/detail/olbpglaibapheinfojhgiaenneioilpn" TargetMode="External"/><Relationship Id="rId9090" Type="http://schemas.openxmlformats.org/officeDocument/2006/relationships/hyperlink" Target="https://chromewebstore.google.com/detail/epidbhilfagblclcplbdhfcnhhbehgnd" TargetMode="External"/><Relationship Id="rId9094" Type="http://schemas.openxmlformats.org/officeDocument/2006/relationships/hyperlink" Target="https://chromewebstore.google.com/detail/kcogbonnkheeologjkpkclphajgomnjf" TargetMode="External"/><Relationship Id="rId9093" Type="http://schemas.openxmlformats.org/officeDocument/2006/relationships/hyperlink" Target="https://chromewebstore.google.com/detail/jdojhcokhpkdijmhpdgfmkbflaokjmgn" TargetMode="External"/><Relationship Id="rId9092" Type="http://schemas.openxmlformats.org/officeDocument/2006/relationships/hyperlink" Target="https://chromewebstore.google.com/detail/ihfolgbjkckclahmpoejnoglilaeenji" TargetMode="External"/><Relationship Id="rId9091" Type="http://schemas.openxmlformats.org/officeDocument/2006/relationships/hyperlink" Target="https://chromewebstore.google.com/detail/hcbdbiggklmbnbhhmepnebffpmajnkai" TargetMode="External"/><Relationship Id="rId536" Type="http://schemas.openxmlformats.org/officeDocument/2006/relationships/hyperlink" Target="https://chromewebstore.google.com/detail/fogkjckfkdcnmnnfmbieljpkmmihhpao" TargetMode="External"/><Relationship Id="rId9087" Type="http://schemas.openxmlformats.org/officeDocument/2006/relationships/hyperlink" Target="https://chromewebstore.google.com/detail/klapbdjmkdbfdboihdcopnlfdemplphc" TargetMode="External"/><Relationship Id="rId535" Type="http://schemas.openxmlformats.org/officeDocument/2006/relationships/hyperlink" Target="https://chromewebstore.google.com/detail/flffekjijpabhjgpoapooggncnmcjopa" TargetMode="External"/><Relationship Id="rId9086" Type="http://schemas.openxmlformats.org/officeDocument/2006/relationships/hyperlink" Target="https://chromewebstore.google.com/detail/fkkfdilehekamhmocmkicmebbhcanobi" TargetMode="External"/><Relationship Id="rId534" Type="http://schemas.openxmlformats.org/officeDocument/2006/relationships/hyperlink" Target="https://chromewebstore.google.com/detail/fcmhccenbjblgnbblnlhmebpknoednjd" TargetMode="External"/><Relationship Id="rId9085" Type="http://schemas.openxmlformats.org/officeDocument/2006/relationships/hyperlink" Target="https://chromewebstore.google.com/detail/eakhakkpdlepncdbafeaagegpgnjhcij" TargetMode="External"/><Relationship Id="rId533" Type="http://schemas.openxmlformats.org/officeDocument/2006/relationships/hyperlink" Target="https://chromewebstore.google.com/detail/fbbaddabgkepmddhhpcdejamiijhaeme" TargetMode="External"/><Relationship Id="rId9084" Type="http://schemas.openxmlformats.org/officeDocument/2006/relationships/hyperlink" Target="https://chromewebstore.google.com/detail/ciamdnecdjnljmaaoneckkojbdbkmdhe" TargetMode="External"/><Relationship Id="rId539" Type="http://schemas.openxmlformats.org/officeDocument/2006/relationships/hyperlink" Target="https://chromewebstore.google.com/detail/gechpodbjheoedahmjkgooljlfflmbpf" TargetMode="External"/><Relationship Id="rId538" Type="http://schemas.openxmlformats.org/officeDocument/2006/relationships/hyperlink" Target="https://chromewebstore.google.com/detail/gcmfngnfcfkfpllkoheelacaikcahhjk" TargetMode="External"/><Relationship Id="rId9089" Type="http://schemas.openxmlformats.org/officeDocument/2006/relationships/hyperlink" Target="https://chromewebstore.google.com/detail/eoepooeledpjaoehhokhalpmlmjbedhe" TargetMode="External"/><Relationship Id="rId537" Type="http://schemas.openxmlformats.org/officeDocument/2006/relationships/hyperlink" Target="https://chromewebstore.google.com/detail/gakohpplicjdhhfllilcjpfildodfnnn" TargetMode="External"/><Relationship Id="rId9088" Type="http://schemas.openxmlformats.org/officeDocument/2006/relationships/hyperlink" Target="https://chromewebstore.google.com/detail/dilakjjoblnfllhnlhcpmnpfeblkbajp" TargetMode="External"/><Relationship Id="rId532" Type="http://schemas.openxmlformats.org/officeDocument/2006/relationships/hyperlink" Target="https://chromewebstore.google.com/detail/emkkfkcbnpdnhgeolpbggbdogfngiadf" TargetMode="External"/><Relationship Id="rId6810" Type="http://schemas.openxmlformats.org/officeDocument/2006/relationships/hyperlink" Target="https://chromewebstore.google.com/detail/okellkdngnddldceghgglinloadinfgg" TargetMode="External"/><Relationship Id="rId531" Type="http://schemas.openxmlformats.org/officeDocument/2006/relationships/hyperlink" Target="https://chromewebstore.google.com/detail/ekbmhggedfdlajiikminikhcjffbleac" TargetMode="External"/><Relationship Id="rId6811" Type="http://schemas.openxmlformats.org/officeDocument/2006/relationships/hyperlink" Target="https://chromewebstore.google.com/detail/okfigfhgkhpbddamkakbngmkgecffncj" TargetMode="External"/><Relationship Id="rId530" Type="http://schemas.openxmlformats.org/officeDocument/2006/relationships/hyperlink" Target="https://chromewebstore.google.com/detail/ekabamngknbdckokfeedhbjlbfhiejkj" TargetMode="External"/><Relationship Id="rId5516" Type="http://schemas.openxmlformats.org/officeDocument/2006/relationships/hyperlink" Target="https://chromewebstore.google.com/detail/ejeemacpidnaejkhpbmfkadhgjhnolaa" TargetMode="External"/><Relationship Id="rId6847" Type="http://schemas.openxmlformats.org/officeDocument/2006/relationships/hyperlink" Target="https://chromewebstore.google.com/detail/opaiclmkfkclikempbamopnepnajnjda" TargetMode="External"/><Relationship Id="rId5517" Type="http://schemas.openxmlformats.org/officeDocument/2006/relationships/hyperlink" Target="https://chromewebstore.google.com/detail/ejkhknemoeccfghmfnbpekpkndaffjjm" TargetMode="External"/><Relationship Id="rId6848" Type="http://schemas.openxmlformats.org/officeDocument/2006/relationships/hyperlink" Target="https://chromewebstore.google.com/detail/opednjnkpnkdndkmaciahffknkefpnle" TargetMode="External"/><Relationship Id="rId5514" Type="http://schemas.openxmlformats.org/officeDocument/2006/relationships/hyperlink" Target="https://chromewebstore.google.com/detail/ejbnakhldlocljfcglmeibhhdnmmcodh" TargetMode="External"/><Relationship Id="rId6845" Type="http://schemas.openxmlformats.org/officeDocument/2006/relationships/hyperlink" Target="https://chromewebstore.google.com/detail/ooemdibhakkbnhjhfmanckjnafiklfjo" TargetMode="External"/><Relationship Id="rId5515" Type="http://schemas.openxmlformats.org/officeDocument/2006/relationships/hyperlink" Target="https://chromewebstore.google.com/detail/ejcbnfgeiphhnkmpjggnkkhnbefihelh" TargetMode="External"/><Relationship Id="rId6846" Type="http://schemas.openxmlformats.org/officeDocument/2006/relationships/hyperlink" Target="https://chromewebstore.google.com/detail/ooghhkigehdihajppgalgkodhelbjjlm" TargetMode="External"/><Relationship Id="rId5518" Type="http://schemas.openxmlformats.org/officeDocument/2006/relationships/hyperlink" Target="https://chromewebstore.google.com/detail/ejnccfcackblkelbafbolcpjfpcmbplg" TargetMode="External"/><Relationship Id="rId6849" Type="http://schemas.openxmlformats.org/officeDocument/2006/relationships/hyperlink" Target="https://chromewebstore.google.com/detail/opelelcojgjgddbfhlolihhdmjodmjdf" TargetMode="External"/><Relationship Id="rId5519" Type="http://schemas.openxmlformats.org/officeDocument/2006/relationships/hyperlink" Target="https://chromewebstore.google.com/detail/ejpbmbkanbphaigjplbdbafkpiikdhhn" TargetMode="External"/><Relationship Id="rId569" Type="http://schemas.openxmlformats.org/officeDocument/2006/relationships/hyperlink" Target="https://chromewebstore.google.com/detail/kfkbmijfkphkfehjgjkchldojnefgice" TargetMode="External"/><Relationship Id="rId568" Type="http://schemas.openxmlformats.org/officeDocument/2006/relationships/hyperlink" Target="https://chromewebstore.google.com/detail/kfjkehmceppcpjoaoegdmffmkdhiegmc" TargetMode="External"/><Relationship Id="rId567" Type="http://schemas.openxmlformats.org/officeDocument/2006/relationships/hyperlink" Target="https://chromewebstore.google.com/detail/kammdlphdfejlopponbapgpbgakimokm" TargetMode="External"/><Relationship Id="rId566" Type="http://schemas.openxmlformats.org/officeDocument/2006/relationships/hyperlink" Target="https://chromewebstore.google.com/detail/joioophepbodkfjcjpoeofkgdblahbfe" TargetMode="External"/><Relationship Id="rId561" Type="http://schemas.openxmlformats.org/officeDocument/2006/relationships/hyperlink" Target="https://chromewebstore.google.com/detail/iglgjeoppncgpbbaildpifdnncgbpofl" TargetMode="External"/><Relationship Id="rId560" Type="http://schemas.openxmlformats.org/officeDocument/2006/relationships/hyperlink" Target="https://chromewebstore.google.com/detail/igieognglkjfefoldlaachcoimjecojk" TargetMode="External"/><Relationship Id="rId6840" Type="http://schemas.openxmlformats.org/officeDocument/2006/relationships/hyperlink" Target="https://chromewebstore.google.com/detail/onoloilfmbomfgdalcbbpnlnhibneofa" TargetMode="External"/><Relationship Id="rId565" Type="http://schemas.openxmlformats.org/officeDocument/2006/relationships/hyperlink" Target="https://chromewebstore.google.com/detail/jnhgefjoahogmkkekdnafldkdgppfehd" TargetMode="External"/><Relationship Id="rId5512" Type="http://schemas.openxmlformats.org/officeDocument/2006/relationships/hyperlink" Target="https://chromewebstore.google.com/detail/eipggklihehagbhhgolojahajhapnnfa" TargetMode="External"/><Relationship Id="rId6843" Type="http://schemas.openxmlformats.org/officeDocument/2006/relationships/hyperlink" Target="https://chromewebstore.google.com/detail/oochjcgkemdchmglnmmheapegkpgmjhd" TargetMode="External"/><Relationship Id="rId564" Type="http://schemas.openxmlformats.org/officeDocument/2006/relationships/hyperlink" Target="https://chromewebstore.google.com/detail/jndllhgbinhiiddokbeoeepbppdnhhio" TargetMode="External"/><Relationship Id="rId5513" Type="http://schemas.openxmlformats.org/officeDocument/2006/relationships/hyperlink" Target="https://chromewebstore.google.com/detail/ejadeefikdifbfnhokdodfphhkimbelb" TargetMode="External"/><Relationship Id="rId6844" Type="http://schemas.openxmlformats.org/officeDocument/2006/relationships/hyperlink" Target="https://chromewebstore.google.com/detail/oocmeehjidegkkilebmenjdogocfefbd" TargetMode="External"/><Relationship Id="rId563" Type="http://schemas.openxmlformats.org/officeDocument/2006/relationships/hyperlink" Target="https://chromewebstore.google.com/detail/jfmlfmpdclmcknhmonpdhppojbnoinpb" TargetMode="External"/><Relationship Id="rId5510" Type="http://schemas.openxmlformats.org/officeDocument/2006/relationships/hyperlink" Target="https://chromewebstore.google.com/detail/eiljhbjamiikjjldhnepillceohglbjh" TargetMode="External"/><Relationship Id="rId6841" Type="http://schemas.openxmlformats.org/officeDocument/2006/relationships/hyperlink" Target="https://chromewebstore.google.com/detail/onoobljibieiajgglidjhmgnoakahnln" TargetMode="External"/><Relationship Id="rId562" Type="http://schemas.openxmlformats.org/officeDocument/2006/relationships/hyperlink" Target="https://chromewebstore.google.com/detail/ilikenhndcpmliapkmmhoimckaokmihm" TargetMode="External"/><Relationship Id="rId5511" Type="http://schemas.openxmlformats.org/officeDocument/2006/relationships/hyperlink" Target="https://chromewebstore.google.com/detail/eiopkgeeaokbolhdhfebipcneblkelcm" TargetMode="External"/><Relationship Id="rId6842" Type="http://schemas.openxmlformats.org/officeDocument/2006/relationships/hyperlink" Target="https://chromewebstore.google.com/detail/oobnbmnbdiollepahbognnihpaomcdpb" TargetMode="External"/><Relationship Id="rId5505" Type="http://schemas.openxmlformats.org/officeDocument/2006/relationships/hyperlink" Target="https://chromewebstore.google.com/detail/eibjgaihfimmonjpalhfmkjbbhonhmfe" TargetMode="External"/><Relationship Id="rId6836" Type="http://schemas.openxmlformats.org/officeDocument/2006/relationships/hyperlink" Target="https://chromewebstore.google.com/detail/onibbobfihamlkmmgblfkdnigklgelhm" TargetMode="External"/><Relationship Id="rId5506" Type="http://schemas.openxmlformats.org/officeDocument/2006/relationships/hyperlink" Target="https://chromewebstore.google.com/detail/eiehpdffmelfdfjpmicbacjancjlojho" TargetMode="External"/><Relationship Id="rId6837" Type="http://schemas.openxmlformats.org/officeDocument/2006/relationships/hyperlink" Target="https://chromewebstore.google.com/detail/onjfmpknmlenmogehbpckfhlaocoidif" TargetMode="External"/><Relationship Id="rId5503" Type="http://schemas.openxmlformats.org/officeDocument/2006/relationships/hyperlink" Target="https://chromewebstore.google.com/detail/ehmnahdmmiibcbebjafdgjlomhnommpo" TargetMode="External"/><Relationship Id="rId6834" Type="http://schemas.openxmlformats.org/officeDocument/2006/relationships/hyperlink" Target="https://chromewebstore.google.com/detail/ommioalakfmjgimbjpbojbdhcgdipngh" TargetMode="External"/><Relationship Id="rId5504" Type="http://schemas.openxmlformats.org/officeDocument/2006/relationships/hyperlink" Target="https://chromewebstore.google.com/detail/ehnhdcgdappdimjoekdckhclbbnnlaio" TargetMode="External"/><Relationship Id="rId6835" Type="http://schemas.openxmlformats.org/officeDocument/2006/relationships/hyperlink" Target="https://chromewebstore.google.com/detail/omoljdnncdeeglgmagijlamhjlagobep" TargetMode="External"/><Relationship Id="rId5509" Type="http://schemas.openxmlformats.org/officeDocument/2006/relationships/hyperlink" Target="https://chromewebstore.google.com/detail/eiglgndkjiabiepkliiemoabepkkhacb" TargetMode="External"/><Relationship Id="rId5507" Type="http://schemas.openxmlformats.org/officeDocument/2006/relationships/hyperlink" Target="http://xmr.pt" TargetMode="External"/><Relationship Id="rId6838" Type="http://schemas.openxmlformats.org/officeDocument/2006/relationships/hyperlink" Target="https://chromewebstore.google.com/detail/onkkglkjdlnhhdmblopeaokcllhnceej" TargetMode="External"/><Relationship Id="rId5508" Type="http://schemas.openxmlformats.org/officeDocument/2006/relationships/hyperlink" Target="https://chromewebstore.google.com/detail/eigblbgjknlfbajkfhopmcojidlgcehm" TargetMode="External"/><Relationship Id="rId6839" Type="http://schemas.openxmlformats.org/officeDocument/2006/relationships/hyperlink" Target="http://jadisco.pl" TargetMode="External"/><Relationship Id="rId558" Type="http://schemas.openxmlformats.org/officeDocument/2006/relationships/hyperlink" Target="https://chromewebstore.google.com/detail/idjmioilgmedmbfabcfnpeaclcndeekb" TargetMode="External"/><Relationship Id="rId557" Type="http://schemas.openxmlformats.org/officeDocument/2006/relationships/hyperlink" Target="https://chromewebstore.google.com/detail/idalinkinmdgcofhpbfklbdkfadfapki" TargetMode="External"/><Relationship Id="rId556" Type="http://schemas.openxmlformats.org/officeDocument/2006/relationships/hyperlink" Target="https://chromewebstore.google.com/detail/iaijiochiiocodhamehbpmdlobhgghgi" TargetMode="External"/><Relationship Id="rId555" Type="http://schemas.openxmlformats.org/officeDocument/2006/relationships/hyperlink" Target="https://chromewebstore.google.com/detail/iahamcpedabephpcgkeikbclmaljebjp" TargetMode="External"/><Relationship Id="rId559" Type="http://schemas.openxmlformats.org/officeDocument/2006/relationships/hyperlink" Target="https://chromewebstore.google.com/detail/iempladfkphdpimdljfckjlmgklmdchc" TargetMode="External"/><Relationship Id="rId550" Type="http://schemas.openxmlformats.org/officeDocument/2006/relationships/hyperlink" Target="https://chromewebstore.google.com/detail/hhjeaokafplhjoogdemakihhdhffacia" TargetMode="External"/><Relationship Id="rId554" Type="http://schemas.openxmlformats.org/officeDocument/2006/relationships/hyperlink" Target="https://chromewebstore.google.com/detail/hkgmldnainaglpjngpajnnjfhpdjkohh" TargetMode="External"/><Relationship Id="rId5501" Type="http://schemas.openxmlformats.org/officeDocument/2006/relationships/hyperlink" Target="https://chromewebstore.google.com/detail/ehkdoijaaigomfliimepliikhjkoipob" TargetMode="External"/><Relationship Id="rId6832" Type="http://schemas.openxmlformats.org/officeDocument/2006/relationships/hyperlink" Target="https://chromewebstore.google.com/detail/omkhcojfbdmammghnnhhnbfcedllekbf" TargetMode="External"/><Relationship Id="rId553" Type="http://schemas.openxmlformats.org/officeDocument/2006/relationships/hyperlink" Target="https://chromewebstore.google.com/detail/hjocpjdeacglfchomobaagbmipeggnjg" TargetMode="External"/><Relationship Id="rId5502" Type="http://schemas.openxmlformats.org/officeDocument/2006/relationships/hyperlink" Target="https://chromewebstore.google.com/detail/ehlpgfcbbkfhglelonfjbgkeaebomjeh" TargetMode="External"/><Relationship Id="rId6833" Type="http://schemas.openxmlformats.org/officeDocument/2006/relationships/hyperlink" Target="https://chromewebstore.google.com/detail/omljlibfjloccmdmmlpcnlijjneabhjm" TargetMode="External"/><Relationship Id="rId552" Type="http://schemas.openxmlformats.org/officeDocument/2006/relationships/hyperlink" Target="https://chromewebstore.google.com/detail/hifjegnejppkpnikhppoafdghppgcjpj" TargetMode="External"/><Relationship Id="rId6830" Type="http://schemas.openxmlformats.org/officeDocument/2006/relationships/hyperlink" Target="https://chromewebstore.google.com/detail/omhmgbciiabipommgcimlfbfpjgngipi" TargetMode="External"/><Relationship Id="rId551" Type="http://schemas.openxmlformats.org/officeDocument/2006/relationships/hyperlink" Target="https://chromewebstore.google.com/detail/hifhgpdkfodlpnlmlnmhchnkepplebkb" TargetMode="External"/><Relationship Id="rId5500" Type="http://schemas.openxmlformats.org/officeDocument/2006/relationships/hyperlink" Target="https://chromewebstore.google.com/detail/ehjiibljljecbmgpgdlkejiaadppplkp" TargetMode="External"/><Relationship Id="rId6831" Type="http://schemas.openxmlformats.org/officeDocument/2006/relationships/hyperlink" Target="https://chromewebstore.google.com/detail/omjmoplhjiaimmadindicfbnhoejbpka" TargetMode="External"/><Relationship Id="rId4280" Type="http://schemas.openxmlformats.org/officeDocument/2006/relationships/hyperlink" Target="https://chromewebstore.google.com/detail/gkpaagblehjajcbedipoaipnhclecemn" TargetMode="External"/><Relationship Id="rId4282" Type="http://schemas.openxmlformats.org/officeDocument/2006/relationships/hyperlink" Target="https://chromewebstore.google.com/detail/glcfcbpnklnoioicglgeagddedkbfbmk" TargetMode="External"/><Relationship Id="rId4281" Type="http://schemas.openxmlformats.org/officeDocument/2006/relationships/hyperlink" Target="https://chromewebstore.google.com/detail/glaicnlmooddlibnipmedfkfjkphoklc" TargetMode="External"/><Relationship Id="rId4284" Type="http://schemas.openxmlformats.org/officeDocument/2006/relationships/hyperlink" Target="https://chromewebstore.google.com/detail/glegacjlklaemdoofcoaainnhjcoadfn" TargetMode="External"/><Relationship Id="rId4283" Type="http://schemas.openxmlformats.org/officeDocument/2006/relationships/hyperlink" Target="https://chromewebstore.google.com/detail/gldfiobnglilbkgbbahifeikpngcjmme" TargetMode="External"/><Relationship Id="rId4286" Type="http://schemas.openxmlformats.org/officeDocument/2006/relationships/hyperlink" Target="https://chromewebstore.google.com/detail/gljdkkichjgocpdmiaachhlfccddcjgb" TargetMode="External"/><Relationship Id="rId4285" Type="http://schemas.openxmlformats.org/officeDocument/2006/relationships/hyperlink" Target="https://chromewebstore.google.com/detail/glhnfeapdblacaodpihdfcaijfddedec" TargetMode="External"/><Relationship Id="rId4288" Type="http://schemas.openxmlformats.org/officeDocument/2006/relationships/hyperlink" Target="https://chromewebstore.google.com/detail/glnajkhggmbljlcafknlkcihcheoankc" TargetMode="External"/><Relationship Id="rId4287" Type="http://schemas.openxmlformats.org/officeDocument/2006/relationships/hyperlink" Target="https://chromewebstore.google.com/detail/glmlgaadcaohdmmpkkllhdkpjbeibond" TargetMode="External"/><Relationship Id="rId4289" Type="http://schemas.openxmlformats.org/officeDocument/2006/relationships/hyperlink" Target="https://chromewebstore.google.com/detail/glnbjmdjpcccpdlckpenknmacmgbecpa" TargetMode="External"/><Relationship Id="rId4271" Type="http://schemas.openxmlformats.org/officeDocument/2006/relationships/hyperlink" Target="https://chromewebstore.google.com/detail/ghjadbffkapbnlbccfjoljfhgolbofhi" TargetMode="External"/><Relationship Id="rId4270" Type="http://schemas.openxmlformats.org/officeDocument/2006/relationships/hyperlink" Target="https://chromewebstore.google.com/detail/ghfooiajeobmcfhmajcblmompfdehnli" TargetMode="External"/><Relationship Id="rId4273" Type="http://schemas.openxmlformats.org/officeDocument/2006/relationships/hyperlink" Target="https://chromewebstore.google.com/detail/giigiakobnabpjepaocchngobehpbbgb" TargetMode="External"/><Relationship Id="rId4272" Type="http://schemas.openxmlformats.org/officeDocument/2006/relationships/hyperlink" Target="https://chromewebstore.google.com/detail/gihphjdlkigognnhkankfjcclijhadpe" TargetMode="External"/><Relationship Id="rId4275" Type="http://schemas.openxmlformats.org/officeDocument/2006/relationships/hyperlink" Target="https://chromewebstore.google.com/detail/gjimohgoppopjioaalcikagnlhbhmimo" TargetMode="External"/><Relationship Id="rId4274" Type="http://schemas.openxmlformats.org/officeDocument/2006/relationships/hyperlink" Target="https://chromewebstore.google.com/detail/gjfkonhifbgbcbdjjggkiibcmljfdfpb" TargetMode="External"/><Relationship Id="rId4277" Type="http://schemas.openxmlformats.org/officeDocument/2006/relationships/hyperlink" Target="https://chromewebstore.google.com/detail/gjpgpobcdndcdcidmgcmlphbomllapjp" TargetMode="External"/><Relationship Id="rId4276" Type="http://schemas.openxmlformats.org/officeDocument/2006/relationships/hyperlink" Target="https://chromewebstore.google.com/detail/gjoopnklngamokaeodcngfcfdbomihdd" TargetMode="External"/><Relationship Id="rId4279" Type="http://schemas.openxmlformats.org/officeDocument/2006/relationships/hyperlink" Target="https://chromewebstore.google.com/detail/gkgfjfgolebaenhefmjbldmmiiokabni" TargetMode="External"/><Relationship Id="rId4278" Type="http://schemas.openxmlformats.org/officeDocument/2006/relationships/hyperlink" Target="https://chromewebstore.google.com/detail/gjpkdldojiaeanjdoifmldjdlgflemkl" TargetMode="External"/><Relationship Id="rId4291" Type="http://schemas.openxmlformats.org/officeDocument/2006/relationships/hyperlink" Target="https://chromewebstore.google.com/detail/gmhecmaeajphjedhdjogmmaakkfainfk" TargetMode="External"/><Relationship Id="rId4290" Type="http://schemas.openxmlformats.org/officeDocument/2006/relationships/hyperlink" Target="https://chromewebstore.google.com/detail/glnikkggejkcjnnpjgafjjplofcamkae" TargetMode="External"/><Relationship Id="rId4293" Type="http://schemas.openxmlformats.org/officeDocument/2006/relationships/hyperlink" Target="https://chromewebstore.google.com/detail/gmojcbijaafhccilpieladabaiendmmd" TargetMode="External"/><Relationship Id="rId4292" Type="http://schemas.openxmlformats.org/officeDocument/2006/relationships/hyperlink" Target="https://chromewebstore.google.com/detail/gmmjfgbacaloikamokicljdicelmdihp" TargetMode="External"/><Relationship Id="rId4295" Type="http://schemas.openxmlformats.org/officeDocument/2006/relationships/hyperlink" Target="https://chromewebstore.google.com/detail/gndlahfkkmgaanliojbppponkcpohhnm" TargetMode="External"/><Relationship Id="rId4294" Type="http://schemas.openxmlformats.org/officeDocument/2006/relationships/hyperlink" Target="http://paraphrasing.io" TargetMode="External"/><Relationship Id="rId4297" Type="http://schemas.openxmlformats.org/officeDocument/2006/relationships/hyperlink" Target="https://chromewebstore.google.com/detail/gnmjncgndkpfalekfpclgiikaljccpcl" TargetMode="External"/><Relationship Id="rId4296" Type="http://schemas.openxmlformats.org/officeDocument/2006/relationships/hyperlink" Target="https://chromewebstore.google.com/detail/gnlfpcbhdipbidmkchkjlleppeijclbj" TargetMode="External"/><Relationship Id="rId4299" Type="http://schemas.openxmlformats.org/officeDocument/2006/relationships/hyperlink" Target="https://chromewebstore.google.com/detail/goajlbdffkligccnfgibeilhdnnpaead" TargetMode="External"/><Relationship Id="rId4298" Type="http://schemas.openxmlformats.org/officeDocument/2006/relationships/hyperlink" Target="https://chromewebstore.google.com/detail/gnmpjacikebepcldbeiaghdlobpbbnjo" TargetMode="External"/><Relationship Id="rId4249" Type="http://schemas.openxmlformats.org/officeDocument/2006/relationships/hyperlink" Target="https://chromewebstore.google.com/detail/gcmjpicopfkgmjdomahfjkmhpcelklba" TargetMode="External"/><Relationship Id="rId5570" Type="http://schemas.openxmlformats.org/officeDocument/2006/relationships/hyperlink" Target="https://chromewebstore.google.com/detail/ephoopolmejjnjkbbdcfgoohokhnekca" TargetMode="External"/><Relationship Id="rId5571" Type="http://schemas.openxmlformats.org/officeDocument/2006/relationships/hyperlink" Target="https://chromewebstore.google.com/detail/epokajiceibnoalmmjgpgljfmamlhflk" TargetMode="External"/><Relationship Id="rId4240" Type="http://schemas.openxmlformats.org/officeDocument/2006/relationships/hyperlink" Target="https://chromewebstore.google.com/detail/gahbhdbjjomehdmbjielhoflcmnecief" TargetMode="External"/><Relationship Id="rId4242" Type="http://schemas.openxmlformats.org/officeDocument/2006/relationships/hyperlink" Target="https://chromewebstore.google.com/detail/gaojaekjdcfbdfiiggmklaocglaknnkd" TargetMode="External"/><Relationship Id="rId5574" Type="http://schemas.openxmlformats.org/officeDocument/2006/relationships/hyperlink" Target="https://chromewebstore.google.com/detail/facdmpkhcadnpcpeodngcnjjmgapfjia" TargetMode="External"/><Relationship Id="rId4241" Type="http://schemas.openxmlformats.org/officeDocument/2006/relationships/hyperlink" Target="https://chromewebstore.google.com/detail/gaodmenekccdomeicdoldgdpcemlgiag" TargetMode="External"/><Relationship Id="rId5575" Type="http://schemas.openxmlformats.org/officeDocument/2006/relationships/hyperlink" Target="https://chromewebstore.google.com/detail/facfdjdppldcgnfhdbknokkbnfhdiofl" TargetMode="External"/><Relationship Id="rId4244" Type="http://schemas.openxmlformats.org/officeDocument/2006/relationships/hyperlink" Target="https://chromewebstore.google.com/detail/gblkogokfmmijbaimilacehnjajkenmc" TargetMode="External"/><Relationship Id="rId5572" Type="http://schemas.openxmlformats.org/officeDocument/2006/relationships/hyperlink" Target="https://chromewebstore.google.com/detail/eppmoegdkngaleolkhdcdjoepijloikj" TargetMode="External"/><Relationship Id="rId4243" Type="http://schemas.openxmlformats.org/officeDocument/2006/relationships/hyperlink" Target="https://chromewebstore.google.com/detail/gbkddinkjahdfhaiifploahejhmaaeoa" TargetMode="External"/><Relationship Id="rId5573" Type="http://schemas.openxmlformats.org/officeDocument/2006/relationships/hyperlink" Target="https://chromewebstore.google.com/detail/fabmnggpampjmglmkbojpebjbhmfflkb" TargetMode="External"/><Relationship Id="rId4246" Type="http://schemas.openxmlformats.org/officeDocument/2006/relationships/hyperlink" Target="https://chromewebstore.google.com/detail/gcagclbpmooihllccniifbdekfeneebm" TargetMode="External"/><Relationship Id="rId5578" Type="http://schemas.openxmlformats.org/officeDocument/2006/relationships/hyperlink" Target="https://chromewebstore.google.com/detail/fafngnnaicjaodmdeekbnboekddgiohe" TargetMode="External"/><Relationship Id="rId4245" Type="http://schemas.openxmlformats.org/officeDocument/2006/relationships/hyperlink" Target="https://chromewebstore.google.com/detail/gbloepphddjkabijnjhaplhhamkmkmik" TargetMode="External"/><Relationship Id="rId5579" Type="http://schemas.openxmlformats.org/officeDocument/2006/relationships/hyperlink" Target="https://chromewebstore.google.com/detail/faiiddjaocoaiighbccojehokfaoeimk" TargetMode="External"/><Relationship Id="rId4248" Type="http://schemas.openxmlformats.org/officeDocument/2006/relationships/hyperlink" Target="https://chromewebstore.google.com/detail/gcknejnpflbcggigdinhahgngfhaomik" TargetMode="External"/><Relationship Id="rId5576" Type="http://schemas.openxmlformats.org/officeDocument/2006/relationships/hyperlink" Target="https://chromewebstore.google.com/detail/fadfgclijjcbcccnpgkbapnjbpbbicaa" TargetMode="External"/><Relationship Id="rId4247" Type="http://schemas.openxmlformats.org/officeDocument/2006/relationships/hyperlink" Target="https://chromewebstore.google.com/detail/gcgdpgjockahmkhjgcfidmlahiicmagj" TargetMode="External"/><Relationship Id="rId5577" Type="http://schemas.openxmlformats.org/officeDocument/2006/relationships/hyperlink" Target="https://chromewebstore.google.com/detail/fadncbccmelchegmlghbhpjchdmghmhh" TargetMode="External"/><Relationship Id="rId4239" Type="http://schemas.openxmlformats.org/officeDocument/2006/relationships/hyperlink" Target="https://chromewebstore.google.com/detail/gafcchglbfbajijlhhcnklpdcljldhlk" TargetMode="External"/><Relationship Id="rId4238" Type="http://schemas.openxmlformats.org/officeDocument/2006/relationships/hyperlink" Target="https://chromewebstore.google.com/detail/gadkijfpineeapfidmlddbaiemjigpdb" TargetMode="External"/><Relationship Id="rId5569" Type="http://schemas.openxmlformats.org/officeDocument/2006/relationships/hyperlink" Target="https://chromewebstore.google.com/detail/epebmipapbkicjpjkokcmpncdjdpjidi" TargetMode="External"/><Relationship Id="rId6890" Type="http://schemas.openxmlformats.org/officeDocument/2006/relationships/hyperlink" Target="https://chromewebstore.google.com/detail/peiccgabhfbgoenlbkahabimlgppnpef" TargetMode="External"/><Relationship Id="rId5560" Type="http://schemas.openxmlformats.org/officeDocument/2006/relationships/hyperlink" Target="https://chromewebstore.google.com/detail/eoeaennjgmgjmmpaellcjmjalpokgdee" TargetMode="External"/><Relationship Id="rId6891" Type="http://schemas.openxmlformats.org/officeDocument/2006/relationships/hyperlink" Target="https://chromewebstore.google.com/detail/pekhngokoehglkdkciedpimjddpbkcod" TargetMode="External"/><Relationship Id="rId495" Type="http://schemas.openxmlformats.org/officeDocument/2006/relationships/hyperlink" Target="https://chromewebstore.google.com/detail/aciombdipochlnkbpcbgdpjffcfdbggi" TargetMode="External"/><Relationship Id="rId4231" Type="http://schemas.openxmlformats.org/officeDocument/2006/relationships/hyperlink" Target="https://chromewebstore.google.com/detail/fojocjhjjckpokddghpfadcgeldkfafn" TargetMode="External"/><Relationship Id="rId5563" Type="http://schemas.openxmlformats.org/officeDocument/2006/relationships/hyperlink" Target="https://chromewebstore.google.com/detail/eooofainekcepemamfmcbcjkppcmoome" TargetMode="External"/><Relationship Id="rId6894" Type="http://schemas.openxmlformats.org/officeDocument/2006/relationships/hyperlink" Target="https://chromewebstore.google.com/detail/pemnnphikkocdjjchdakacbhbfidoocb" TargetMode="External"/><Relationship Id="rId494" Type="http://schemas.openxmlformats.org/officeDocument/2006/relationships/hyperlink" Target="https://chromewebstore.google.com/detail/abbedfhgcpfnmhonjhdlmndigalhandb" TargetMode="External"/><Relationship Id="rId4230" Type="http://schemas.openxmlformats.org/officeDocument/2006/relationships/hyperlink" Target="https://chromewebstore.google.com/detail/foieejideloffcogfliehljobfocglfc" TargetMode="External"/><Relationship Id="rId5564" Type="http://schemas.openxmlformats.org/officeDocument/2006/relationships/hyperlink" Target="https://chromewebstore.google.com/detail/eopjpiaipnhmamienhcdapckoojoiacm" TargetMode="External"/><Relationship Id="rId6895" Type="http://schemas.openxmlformats.org/officeDocument/2006/relationships/hyperlink" Target="https://chromewebstore.google.com/detail/peoghobgdhejhcmgoppjpjcidngdfkod" TargetMode="External"/><Relationship Id="rId493" Type="http://schemas.openxmlformats.org/officeDocument/2006/relationships/hyperlink" Target="https://chromewebstore.google.com/detail/aaebjepcfidgkojljbgoilgkgklehldj" TargetMode="External"/><Relationship Id="rId4233" Type="http://schemas.openxmlformats.org/officeDocument/2006/relationships/hyperlink" Target="https://chromewebstore.google.com/detail/fpaofkicpfiiifjpmkcadjpedlohpgep" TargetMode="External"/><Relationship Id="rId5561" Type="http://schemas.openxmlformats.org/officeDocument/2006/relationships/hyperlink" Target="https://chromewebstore.google.com/detail/eoiappopphdcceickjphgaaidacdkidi" TargetMode="External"/><Relationship Id="rId6892" Type="http://schemas.openxmlformats.org/officeDocument/2006/relationships/hyperlink" Target="https://chromewebstore.google.com/detail/pembnoempgcaclgebonodhljchdmbjhf" TargetMode="External"/><Relationship Id="rId492" Type="http://schemas.openxmlformats.org/officeDocument/2006/relationships/hyperlink" Target="https://chromewebstore.google.com/detail/pjcgkmiglhiambjngnljkdpoggonlnfe" TargetMode="External"/><Relationship Id="rId4232" Type="http://schemas.openxmlformats.org/officeDocument/2006/relationships/hyperlink" Target="https://chromewebstore.google.com/detail/fomomdfamkmilpipcbnapeiegbiadbic" TargetMode="External"/><Relationship Id="rId5562" Type="http://schemas.openxmlformats.org/officeDocument/2006/relationships/hyperlink" Target="https://chromewebstore.google.com/detail/eonkdmekioejmbllcbkjepialcifflfo" TargetMode="External"/><Relationship Id="rId6893" Type="http://schemas.openxmlformats.org/officeDocument/2006/relationships/hyperlink" Target="https://chromewebstore.google.com/detail/pemfglellcddffnkdbfjkkpnanhlhipl" TargetMode="External"/><Relationship Id="rId499" Type="http://schemas.openxmlformats.org/officeDocument/2006/relationships/hyperlink" Target="https://chromewebstore.google.com/detail/apajbjmfhhnbgpjjnhlhnhciammcnbag" TargetMode="External"/><Relationship Id="rId4235" Type="http://schemas.openxmlformats.org/officeDocument/2006/relationships/hyperlink" Target="https://chromewebstore.google.com/detail/fpeemclhojbkjkamiinkplghgkhddcgc" TargetMode="External"/><Relationship Id="rId5567" Type="http://schemas.openxmlformats.org/officeDocument/2006/relationships/hyperlink" Target="https://chromewebstore.google.com/detail/epcneeimefdgaaokhookbcmgeeffimdf" TargetMode="External"/><Relationship Id="rId6898" Type="http://schemas.openxmlformats.org/officeDocument/2006/relationships/hyperlink" Target="http://doit.im" TargetMode="External"/><Relationship Id="rId498" Type="http://schemas.openxmlformats.org/officeDocument/2006/relationships/hyperlink" Target="https://chromewebstore.google.com/detail/ajndhiajffnfkngbocimjhkkcngeheme" TargetMode="External"/><Relationship Id="rId4234" Type="http://schemas.openxmlformats.org/officeDocument/2006/relationships/hyperlink" Target="https://chromewebstore.google.com/detail/fpbbmgkekkdgipkngmlgcfgadhnapdle" TargetMode="External"/><Relationship Id="rId5568" Type="http://schemas.openxmlformats.org/officeDocument/2006/relationships/hyperlink" Target="https://chromewebstore.google.com/detail/epdcapclkanflhcnialagecbkbpkbcbi" TargetMode="External"/><Relationship Id="rId6899" Type="http://schemas.openxmlformats.org/officeDocument/2006/relationships/hyperlink" Target="https://chromewebstore.google.com/detail/pfahpnenjpaanicmlpkdfliemipjhjic" TargetMode="External"/><Relationship Id="rId497" Type="http://schemas.openxmlformats.org/officeDocument/2006/relationships/hyperlink" Target="https://chromewebstore.google.com/detail/aicohdnbjhigmdoeilbigahinnmcnnnk" TargetMode="External"/><Relationship Id="rId4237" Type="http://schemas.openxmlformats.org/officeDocument/2006/relationships/hyperlink" Target="https://chromewebstore.google.com/detail/gadbenpggeagjgnameagcpjnjdlckkpb" TargetMode="External"/><Relationship Id="rId5565" Type="http://schemas.openxmlformats.org/officeDocument/2006/relationships/hyperlink" Target="https://chromewebstore.google.com/detail/epbaejhegljenbdpgnneifblnfcnbiam" TargetMode="External"/><Relationship Id="rId6896" Type="http://schemas.openxmlformats.org/officeDocument/2006/relationships/hyperlink" Target="https://chromewebstore.google.com/detail/peoobhfbcfgilemdgnbkbjldedfgpffk" TargetMode="External"/><Relationship Id="rId496" Type="http://schemas.openxmlformats.org/officeDocument/2006/relationships/hyperlink" Target="https://chromewebstore.google.com/detail/aebccligckccmbgebeogmcgdcggiinkk" TargetMode="External"/><Relationship Id="rId4236" Type="http://schemas.openxmlformats.org/officeDocument/2006/relationships/hyperlink" Target="https://chromewebstore.google.com/detail/gaahlcaciakkdkggcjhdhlhgfdblabec" TargetMode="External"/><Relationship Id="rId5566" Type="http://schemas.openxmlformats.org/officeDocument/2006/relationships/hyperlink" Target="https://chromewebstore.google.com/detail/epcihifbffodmnbbnjgancnlodhbkhcl" TargetMode="External"/><Relationship Id="rId6897" Type="http://schemas.openxmlformats.org/officeDocument/2006/relationships/hyperlink" Target="https://chromewebstore.google.com/detail/pepbogfgohpfngkncedakaegddjneapm" TargetMode="External"/><Relationship Id="rId4260" Type="http://schemas.openxmlformats.org/officeDocument/2006/relationships/hyperlink" Target="https://chromewebstore.google.com/detail/gfmlilhophdchbdmihgdiphkkeeepecj" TargetMode="External"/><Relationship Id="rId5592" Type="http://schemas.openxmlformats.org/officeDocument/2006/relationships/hyperlink" Target="https://chromewebstore.google.com/detail/fbgfjlockdhidoaempmjcddibjklhpka" TargetMode="External"/><Relationship Id="rId5593" Type="http://schemas.openxmlformats.org/officeDocument/2006/relationships/hyperlink" Target="https://chromewebstore.google.com/detail/fbhbfbladmbgakfkccbfjpbabagjcmid" TargetMode="External"/><Relationship Id="rId4262" Type="http://schemas.openxmlformats.org/officeDocument/2006/relationships/hyperlink" Target="https://chromewebstore.google.com/detail/ggeclmklnppbanapfalngfepijekjpki" TargetMode="External"/><Relationship Id="rId5590" Type="http://schemas.openxmlformats.org/officeDocument/2006/relationships/hyperlink" Target="https://chromewebstore.google.com/detail/fbffaafomcgnbgcakjcjmjjnfmominbg" TargetMode="External"/><Relationship Id="rId4261" Type="http://schemas.openxmlformats.org/officeDocument/2006/relationships/hyperlink" Target="https://chromewebstore.google.com/detail/gfobbobglfbphfkaeifonggijdmdgiaa" TargetMode="External"/><Relationship Id="rId5591" Type="http://schemas.openxmlformats.org/officeDocument/2006/relationships/hyperlink" Target="https://chromewebstore.google.com/detail/fbgchecgijgcacfckobealojikbohcdd" TargetMode="External"/><Relationship Id="rId4264" Type="http://schemas.openxmlformats.org/officeDocument/2006/relationships/hyperlink" Target="https://chromewebstore.google.com/detail/ggjfmmgmhdopapbclggmlhjdepljpmha" TargetMode="External"/><Relationship Id="rId5596" Type="http://schemas.openxmlformats.org/officeDocument/2006/relationships/hyperlink" Target="https://chromewebstore.google.com/detail/fcadcainkooaeglkiofojfbedioapomp" TargetMode="External"/><Relationship Id="rId4263" Type="http://schemas.openxmlformats.org/officeDocument/2006/relationships/hyperlink" Target="https://chromewebstore.google.com/detail/gghbihjmlhobaiedlbhcaellinkmlogj" TargetMode="External"/><Relationship Id="rId5597" Type="http://schemas.openxmlformats.org/officeDocument/2006/relationships/hyperlink" Target="https://chromewebstore.google.com/detail/fcakpkglmoocmpbnohkjbiadlecodijh" TargetMode="External"/><Relationship Id="rId4266" Type="http://schemas.openxmlformats.org/officeDocument/2006/relationships/hyperlink" Target="https://chromewebstore.google.com/detail/ggnpgmocgnboafcpdmdojkdaaoddjape" TargetMode="External"/><Relationship Id="rId5594" Type="http://schemas.openxmlformats.org/officeDocument/2006/relationships/hyperlink" Target="https://chromewebstore.google.com/detail/fbnakolimookpnpbjillcidcfbijcdci" TargetMode="External"/><Relationship Id="rId4265" Type="http://schemas.openxmlformats.org/officeDocument/2006/relationships/hyperlink" Target="https://chromewebstore.google.com/detail/ggkedpioohgmaanpifhldbboibljkdmp" TargetMode="External"/><Relationship Id="rId5595" Type="http://schemas.openxmlformats.org/officeDocument/2006/relationships/hyperlink" Target="https://chromewebstore.google.com/detail/fbnlibmhkkkpncdgfolnijebgnmbdbhi" TargetMode="External"/><Relationship Id="rId4268" Type="http://schemas.openxmlformats.org/officeDocument/2006/relationships/hyperlink" Target="https://chromewebstore.google.com/detail/ghefodhmgeofnfpbmjlkglokpgomcodc" TargetMode="External"/><Relationship Id="rId4267" Type="http://schemas.openxmlformats.org/officeDocument/2006/relationships/hyperlink" Target="https://chromewebstore.google.com/detail/ggofbbndaeneibofhcakocmknlcoleaa" TargetMode="External"/><Relationship Id="rId5598" Type="http://schemas.openxmlformats.org/officeDocument/2006/relationships/hyperlink" Target="https://chromewebstore.google.com/detail/fcbhjoiikniliejghcnihedcjobnjnob" TargetMode="External"/><Relationship Id="rId4269" Type="http://schemas.openxmlformats.org/officeDocument/2006/relationships/hyperlink" Target="https://chromewebstore.google.com/detail/ghfmjkamilolkalibpmokjigalmncfek" TargetMode="External"/><Relationship Id="rId5599" Type="http://schemas.openxmlformats.org/officeDocument/2006/relationships/hyperlink" Target="https://chromewebstore.google.com/detail/fcgcgajibpoegghmlgkkhjolnfjjflbf" TargetMode="External"/><Relationship Id="rId5581" Type="http://schemas.openxmlformats.org/officeDocument/2006/relationships/hyperlink" Target="https://chromewebstore.google.com/detail/faklajjdekhkmkjhdknbikcikhofompi" TargetMode="External"/><Relationship Id="rId5582" Type="http://schemas.openxmlformats.org/officeDocument/2006/relationships/hyperlink" Target="https://chromewebstore.google.com/detail/falpcgfkedoeakcmjfpfkddflaebodep" TargetMode="External"/><Relationship Id="rId4251" Type="http://schemas.openxmlformats.org/officeDocument/2006/relationships/hyperlink" Target="https://chromewebstore.google.com/detail/gdimodggclcfachocbnfnciifajkmfpc" TargetMode="External"/><Relationship Id="rId4250" Type="http://schemas.openxmlformats.org/officeDocument/2006/relationships/hyperlink" Target="https://chromewebstore.google.com/detail/gddhicbfkbaeciiogipbgjdmkjdfanng" TargetMode="External"/><Relationship Id="rId5580" Type="http://schemas.openxmlformats.org/officeDocument/2006/relationships/hyperlink" Target="https://chromewebstore.google.com/detail/fakedinbmdjifniaepnfbplcheaecebc" TargetMode="External"/><Relationship Id="rId4253" Type="http://schemas.openxmlformats.org/officeDocument/2006/relationships/hyperlink" Target="https://chromewebstore.google.com/detail/gegegmbnpdigalgfkegjgnfcpmolijdg" TargetMode="External"/><Relationship Id="rId5585" Type="http://schemas.openxmlformats.org/officeDocument/2006/relationships/hyperlink" Target="https://chromewebstore.google.com/detail/faodiopjdcjfeflfmeadfkgodcbioejp" TargetMode="External"/><Relationship Id="rId4252" Type="http://schemas.openxmlformats.org/officeDocument/2006/relationships/hyperlink" Target="https://chromewebstore.google.com/detail/gedlidghoggkjjbjjfklaljpcfioikho" TargetMode="External"/><Relationship Id="rId5586" Type="http://schemas.openxmlformats.org/officeDocument/2006/relationships/hyperlink" Target="https://chromewebstore.google.com/detail/faomlffijfdkplfihocejidnijnbajan" TargetMode="External"/><Relationship Id="rId4255" Type="http://schemas.openxmlformats.org/officeDocument/2006/relationships/hyperlink" Target="https://chromewebstore.google.com/detail/gelkllafbnhilefggkgjgjanooclhddn" TargetMode="External"/><Relationship Id="rId5583" Type="http://schemas.openxmlformats.org/officeDocument/2006/relationships/hyperlink" Target="https://chromewebstore.google.com/detail/famfklfcpjmoicmdhakofiabnfhgllfd" TargetMode="External"/><Relationship Id="rId4254" Type="http://schemas.openxmlformats.org/officeDocument/2006/relationships/hyperlink" Target="https://chromewebstore.google.com/detail/gegndkiddfjlkjkeahlajekmamjgpngl" TargetMode="External"/><Relationship Id="rId5584" Type="http://schemas.openxmlformats.org/officeDocument/2006/relationships/hyperlink" Target="https://chromewebstore.google.com/detail/famkodflhompmapangljedfdcfeligih" TargetMode="External"/><Relationship Id="rId4257" Type="http://schemas.openxmlformats.org/officeDocument/2006/relationships/hyperlink" Target="https://chromewebstore.google.com/detail/gfefaehopggffjmpodfdplcjkjbmlpnc" TargetMode="External"/><Relationship Id="rId5589" Type="http://schemas.openxmlformats.org/officeDocument/2006/relationships/hyperlink" Target="https://chromewebstore.google.com/detail/fbeahjcnoclflfhkgphfadjldhfadncl" TargetMode="External"/><Relationship Id="rId4256" Type="http://schemas.openxmlformats.org/officeDocument/2006/relationships/hyperlink" Target="https://chromewebstore.google.com/detail/genocmfcloockjjgkdgifiabfampcgif" TargetMode="External"/><Relationship Id="rId4259" Type="http://schemas.openxmlformats.org/officeDocument/2006/relationships/hyperlink" Target="https://chromewebstore.google.com/detail/gfmeadbjkfhkeklgaomifcaihbhpeido" TargetMode="External"/><Relationship Id="rId5587" Type="http://schemas.openxmlformats.org/officeDocument/2006/relationships/hyperlink" Target="https://chromewebstore.google.com/detail/fapnehnahcpolcofaadoopejcmfidffc" TargetMode="External"/><Relationship Id="rId4258" Type="http://schemas.openxmlformats.org/officeDocument/2006/relationships/hyperlink" Target="https://chromewebstore.google.com/detail/gfibffekgcmgabbfaibbbcapgnfobnoi" TargetMode="External"/><Relationship Id="rId5588" Type="http://schemas.openxmlformats.org/officeDocument/2006/relationships/hyperlink" Target="https://chromewebstore.google.com/detail/fbdbnlmganadmogpnpceofkilanfolni" TargetMode="External"/><Relationship Id="rId9113" Type="http://schemas.openxmlformats.org/officeDocument/2006/relationships/hyperlink" Target="https://chromewebstore.google.com/detail/pmghhbcidenacjapeocgagkkaffnbfdd" TargetMode="External"/><Relationship Id="rId9112" Type="http://schemas.openxmlformats.org/officeDocument/2006/relationships/hyperlink" Target="http://thanks.io" TargetMode="External"/><Relationship Id="rId9111" Type="http://schemas.openxmlformats.org/officeDocument/2006/relationships/hyperlink" Target="https://chromewebstore.google.com/detail/mpjnbjlbcohfkbdmoffafmdmlokagjek" TargetMode="External"/><Relationship Id="rId9110" Type="http://schemas.openxmlformats.org/officeDocument/2006/relationships/hyperlink" Target="https://chromewebstore.google.com/detail/lgjbbgpdcecjcfmmlgpjedodehfeepcg" TargetMode="External"/><Relationship Id="rId9117" Type="http://schemas.openxmlformats.org/officeDocument/2006/relationships/hyperlink" Target="https://chromewebstore.google.com/detail/fgeegfpfgemgobpccccnaflpoipcopja" TargetMode="External"/><Relationship Id="rId9116" Type="http://schemas.openxmlformats.org/officeDocument/2006/relationships/hyperlink" Target="https://chromewebstore.google.com/detail/dkbgcfcjbajlpblohlndijcdnhkfjcck" TargetMode="External"/><Relationship Id="rId9115" Type="http://schemas.openxmlformats.org/officeDocument/2006/relationships/hyperlink" Target="https://chromewebstore.google.com/detail/cpeddbaihddojignldpdabddpklmmjmj" TargetMode="External"/><Relationship Id="rId9114" Type="http://schemas.openxmlformats.org/officeDocument/2006/relationships/hyperlink" Target="https://chromewebstore.google.com/detail/aiamoeimgpbjfhmagepggjdickchgpfd" TargetMode="External"/><Relationship Id="rId9119" Type="http://schemas.openxmlformats.org/officeDocument/2006/relationships/hyperlink" Target="https://chromewebstore.google.com/detail/jfpknileagbhhhmmkbadkiecgjcbpfpk" TargetMode="External"/><Relationship Id="rId9118" Type="http://schemas.openxmlformats.org/officeDocument/2006/relationships/hyperlink" Target="https://chromewebstore.google.com/detail/iepofmbkhfelkphdhkldbiemijmgcmlc" TargetMode="External"/><Relationship Id="rId9102" Type="http://schemas.openxmlformats.org/officeDocument/2006/relationships/hyperlink" Target="https://chromewebstore.google.com/detail/okomebddpkofkggafolekknmhookbkcf" TargetMode="External"/><Relationship Id="rId9101" Type="http://schemas.openxmlformats.org/officeDocument/2006/relationships/hyperlink" Target="https://chromewebstore.google.com/detail/ndifefelacmidghjaehmhicbchbidhpe" TargetMode="External"/><Relationship Id="rId9100" Type="http://schemas.openxmlformats.org/officeDocument/2006/relationships/hyperlink" Target="https://chromewebstore.google.com/detail/hjonhidkkghlaifloofeebkchkakglfa" TargetMode="External"/><Relationship Id="rId9106" Type="http://schemas.openxmlformats.org/officeDocument/2006/relationships/hyperlink" Target="https://chromewebstore.google.com/detail/eaabheapbodnjapjjhmgdkkgppadjgnf" TargetMode="External"/><Relationship Id="rId9105" Type="http://schemas.openxmlformats.org/officeDocument/2006/relationships/hyperlink" Target="https://chromewebstore.google.com/detail/colfckdffhgmegmaidpianbffeabajll" TargetMode="External"/><Relationship Id="rId9104" Type="http://schemas.openxmlformats.org/officeDocument/2006/relationships/hyperlink" Target="https://chromewebstore.google.com/detail/clfldjhhkpaihbcdbamcdgpiegepodfh" TargetMode="External"/><Relationship Id="rId9103" Type="http://schemas.openxmlformats.org/officeDocument/2006/relationships/hyperlink" Target="https://chromewebstore.google.com/detail/aegabhjcjoamaadpaegobifbdodfecil" TargetMode="External"/><Relationship Id="rId9109" Type="http://schemas.openxmlformats.org/officeDocument/2006/relationships/hyperlink" Target="https://chromewebstore.google.com/detail/iidccgfffeecdihjbmgoedphgmeeolka" TargetMode="External"/><Relationship Id="rId9108" Type="http://schemas.openxmlformats.org/officeDocument/2006/relationships/hyperlink" Target="https://chromewebstore.google.com/detail/gcjeljdjmnjhgldhjhomjfacoedjaabg" TargetMode="External"/><Relationship Id="rId9107" Type="http://schemas.openxmlformats.org/officeDocument/2006/relationships/hyperlink" Target="https://chromewebstore.google.com/detail/fndcklhnahjoejfeafoogjdplfgagnmm" TargetMode="External"/><Relationship Id="rId6902" Type="http://schemas.openxmlformats.org/officeDocument/2006/relationships/hyperlink" Target="https://chromewebstore.google.com/detail/pfdiljjcookjofjbjnbnkgfnfmnoljmk" TargetMode="External"/><Relationship Id="rId6903" Type="http://schemas.openxmlformats.org/officeDocument/2006/relationships/hyperlink" Target="https://chromewebstore.google.com/detail/pfehnkdhcjjppkmdbpgofopjpchlknmo" TargetMode="External"/><Relationship Id="rId6900" Type="http://schemas.openxmlformats.org/officeDocument/2006/relationships/hyperlink" Target="https://chromewebstore.google.com/detail/pfbdkdnlimiidmpnmknkfhbgpbiodohi" TargetMode="External"/><Relationship Id="rId6901" Type="http://schemas.openxmlformats.org/officeDocument/2006/relationships/hyperlink" Target="https://chromewebstore.google.com/detail/pfbllafiigecogfbbbjiflafkbhgjceo" TargetMode="External"/><Relationship Id="rId6906" Type="http://schemas.openxmlformats.org/officeDocument/2006/relationships/hyperlink" Target="https://chromewebstore.google.com/detail/pfmnahfcceibpccjkgnohmijjajadjgp" TargetMode="External"/><Relationship Id="rId6907" Type="http://schemas.openxmlformats.org/officeDocument/2006/relationships/hyperlink" Target="https://chromewebstore.google.com/detail/pfnkggfkmkodnccnfphcogpolpmlanke" TargetMode="External"/><Relationship Id="rId6904" Type="http://schemas.openxmlformats.org/officeDocument/2006/relationships/hyperlink" Target="https://chromewebstore.google.com/detail/pffidaimjkjobklpjdkgahhjbnmajpan" TargetMode="External"/><Relationship Id="rId6905" Type="http://schemas.openxmlformats.org/officeDocument/2006/relationships/hyperlink" Target="https://chromewebstore.google.com/detail/pfhndgndaihlfcloapnhkchefgojdild" TargetMode="External"/><Relationship Id="rId6908" Type="http://schemas.openxmlformats.org/officeDocument/2006/relationships/hyperlink" Target="https://chromewebstore.google.com/detail/pfnlengicohogdjcldalmpmdnaecndhf" TargetMode="External"/><Relationship Id="rId6909" Type="http://schemas.openxmlformats.org/officeDocument/2006/relationships/hyperlink" Target="https://chromewebstore.google.com/detail/pfpfeggklgmlblklkegjbbjobanfpnbe" TargetMode="External"/><Relationship Id="rId9182" Type="http://schemas.openxmlformats.org/officeDocument/2006/relationships/hyperlink" Target="https://chromewebstore.google.com/detail/kakifckibanjlglpkbnfdichejplgdap" TargetMode="External"/><Relationship Id="rId9181" Type="http://schemas.openxmlformats.org/officeDocument/2006/relationships/hyperlink" Target="https://chromewebstore.google.com/detail/gddplijpjcadnhpnlpkjoppgedpengbo" TargetMode="External"/><Relationship Id="rId9180" Type="http://schemas.openxmlformats.org/officeDocument/2006/relationships/hyperlink" Target="https://chromewebstore.google.com/detail/dnpclnddefebpffecjjfaebhoiekpggj" TargetMode="External"/><Relationship Id="rId9175" Type="http://schemas.openxmlformats.org/officeDocument/2006/relationships/hyperlink" Target="https://chromewebstore.google.com/detail/eolfdjgkgipepdbbfokjnlohdbdpmafe" TargetMode="External"/><Relationship Id="rId9174" Type="http://schemas.openxmlformats.org/officeDocument/2006/relationships/hyperlink" Target="https://chromewebstore.google.com/detail/dioedokjeinagmkffeoffbiiclofpjgd" TargetMode="External"/><Relationship Id="rId9173" Type="http://schemas.openxmlformats.org/officeDocument/2006/relationships/hyperlink" Target="https://chromewebstore.google.com/detail/plhaoajbhnjfbdkkimekccjpojkphmmp" TargetMode="External"/><Relationship Id="rId9172" Type="http://schemas.openxmlformats.org/officeDocument/2006/relationships/hyperlink" Target="https://chromewebstore.google.com/detail/papagkpjldglcaifeipgcfkhddlefnkk" TargetMode="External"/><Relationship Id="rId9179" Type="http://schemas.openxmlformats.org/officeDocument/2006/relationships/hyperlink" Target="https://chromewebstore.google.com/detail/ddagcmmgpaibmjkiobcgggeiblnjnfkm" TargetMode="External"/><Relationship Id="rId9178" Type="http://schemas.openxmlformats.org/officeDocument/2006/relationships/hyperlink" Target="https://chromewebstore.google.com/detail/pdbloggijnnlfodlddjfaemaegfpdgea" TargetMode="External"/><Relationship Id="rId9177" Type="http://schemas.openxmlformats.org/officeDocument/2006/relationships/hyperlink" Target="https://chromewebstore.google.com/detail/ooajpgmiljldhgplahlcofjljmoibkfh" TargetMode="External"/><Relationship Id="rId9176" Type="http://schemas.openxmlformats.org/officeDocument/2006/relationships/hyperlink" Target="https://chromewebstore.google.com/detail/hflmhkgipblnfcplmdlkcknmenjmnedp" TargetMode="External"/><Relationship Id="rId9171" Type="http://schemas.openxmlformats.org/officeDocument/2006/relationships/hyperlink" Target="https://chromewebstore.google.com/detail/mdpeibincallapdamgmhhpneloaoipii" TargetMode="External"/><Relationship Id="rId9170" Type="http://schemas.openxmlformats.org/officeDocument/2006/relationships/hyperlink" Target="https://chromewebstore.google.com/detail/kmdmcbadibaallgjciaabcimfbdcgaom" TargetMode="External"/><Relationship Id="rId9164" Type="http://schemas.openxmlformats.org/officeDocument/2006/relationships/hyperlink" Target="https://chromewebstore.google.com/detail/lcgbimfijafcjjijgjoodgpblgmkckhn" TargetMode="External"/><Relationship Id="rId9163" Type="http://schemas.openxmlformats.org/officeDocument/2006/relationships/hyperlink" Target="https://chromewebstore.google.com/detail/kfenghlfdhpjbnmdmbhnhhojdcofilcd" TargetMode="External"/><Relationship Id="rId9162" Type="http://schemas.openxmlformats.org/officeDocument/2006/relationships/hyperlink" Target="https://chromewebstore.google.com/detail/jcinkpfmclffaehlhmpfbicnkgpanmjo" TargetMode="External"/><Relationship Id="rId9161" Type="http://schemas.openxmlformats.org/officeDocument/2006/relationships/hyperlink" Target="https://chromewebstore.google.com/detail/ipijpiahkomdgeglkmndmegpgkfeddaj" TargetMode="External"/><Relationship Id="rId9168" Type="http://schemas.openxmlformats.org/officeDocument/2006/relationships/hyperlink" Target="https://chromewebstore.google.com/detail/dhnojfogghcjfmlomjdaohbfldkblfap" TargetMode="External"/><Relationship Id="rId9167" Type="http://schemas.openxmlformats.org/officeDocument/2006/relationships/hyperlink" Target="https://chromewebstore.google.com/detail/cmbmkopbnnbhdeknahmdkfkjogdlbdjf" TargetMode="External"/><Relationship Id="rId9166" Type="http://schemas.openxmlformats.org/officeDocument/2006/relationships/hyperlink" Target="https://chromewebstore.google.com/detail/ojaledjgjlkpjaebmdphdkcmljibaeen" TargetMode="External"/><Relationship Id="rId9165" Type="http://schemas.openxmlformats.org/officeDocument/2006/relationships/hyperlink" Target="https://chromewebstore.google.com/detail/mnipkeanijngbipifgacmcjjhkiklddc" TargetMode="External"/><Relationship Id="rId9169" Type="http://schemas.openxmlformats.org/officeDocument/2006/relationships/hyperlink" Target="https://chromewebstore.google.com/detail/fcakhfmaloljamcmhcedibdmbdpihdin" TargetMode="External"/><Relationship Id="rId6924" Type="http://schemas.openxmlformats.org/officeDocument/2006/relationships/hyperlink" Target="https://chromewebstore.google.com/detail/piglojnbanllileneaadnnbomcijnbdp" TargetMode="External"/><Relationship Id="rId6925" Type="http://schemas.openxmlformats.org/officeDocument/2006/relationships/hyperlink" Target="https://chromewebstore.google.com/detail/pihfndpmcafdecheofkjfkadecoogigm" TargetMode="External"/><Relationship Id="rId6922" Type="http://schemas.openxmlformats.org/officeDocument/2006/relationships/hyperlink" Target="https://chromewebstore.google.com/detail/piebfhjfnpgckpegengbagbhnokbflnc" TargetMode="External"/><Relationship Id="rId6923" Type="http://schemas.openxmlformats.org/officeDocument/2006/relationships/hyperlink" Target="https://chromewebstore.google.com/detail/piekceemifgeaigkimahdckfcikpmleh" TargetMode="External"/><Relationship Id="rId6928" Type="http://schemas.openxmlformats.org/officeDocument/2006/relationships/hyperlink" Target="https://chromewebstore.google.com/detail/pijckmbelgildikgpkckhlooiooeanpl" TargetMode="External"/><Relationship Id="rId6929" Type="http://schemas.openxmlformats.org/officeDocument/2006/relationships/hyperlink" Target="https://chromewebstore.google.com/detail/pjfjhkcfkhbemnbpkakjhmboacefmjjl" TargetMode="External"/><Relationship Id="rId6926" Type="http://schemas.openxmlformats.org/officeDocument/2006/relationships/hyperlink" Target="https://chromewebstore.google.com/detail/piihknpohlelblmabpalpmpogodcaljg" TargetMode="External"/><Relationship Id="rId6927" Type="http://schemas.openxmlformats.org/officeDocument/2006/relationships/hyperlink" Target="https://chromewebstore.google.com/detail/pijacafkghdlolapcjpmiodgbnpinicn" TargetMode="External"/><Relationship Id="rId409" Type="http://schemas.openxmlformats.org/officeDocument/2006/relationships/hyperlink" Target="https://chromewebstore.google.com/detail/kaedchgajfpgipflgbgeeiiajekblklm" TargetMode="External"/><Relationship Id="rId404" Type="http://schemas.openxmlformats.org/officeDocument/2006/relationships/hyperlink" Target="https://chromewebstore.google.com/detail/idehaflielbgpaokehlhidbjlehlfcep" TargetMode="External"/><Relationship Id="rId9197" Type="http://schemas.openxmlformats.org/officeDocument/2006/relationships/hyperlink" Target="https://chromewebstore.google.com/detail/hjbommnhodlfagkpepengkjokfpanpjj" TargetMode="External"/><Relationship Id="rId403" Type="http://schemas.openxmlformats.org/officeDocument/2006/relationships/hyperlink" Target="https://chromewebstore.google.com/detail/hpmobkglehhleflhaefmfajhbdnjmgim" TargetMode="External"/><Relationship Id="rId9196" Type="http://schemas.openxmlformats.org/officeDocument/2006/relationships/hyperlink" Target="https://chromewebstore.google.com/detail/oendodccclbjedifljnlkapjejklgekf" TargetMode="External"/><Relationship Id="rId402" Type="http://schemas.openxmlformats.org/officeDocument/2006/relationships/hyperlink" Target="https://chromewebstore.google.com/detail/hjlgbdmfljafjdkpgdiefkplpkcjlphh" TargetMode="External"/><Relationship Id="rId9195" Type="http://schemas.openxmlformats.org/officeDocument/2006/relationships/hyperlink" Target="https://chromewebstore.google.com/detail/obbcdbanojflckhlbghdaclhkdemindp" TargetMode="External"/><Relationship Id="rId401" Type="http://schemas.openxmlformats.org/officeDocument/2006/relationships/hyperlink" Target="https://chromewebstore.google.com/detail/hjjofhgnhekhkccpcnnloagmdpafifeo" TargetMode="External"/><Relationship Id="rId9194" Type="http://schemas.openxmlformats.org/officeDocument/2006/relationships/hyperlink" Target="https://chromewebstore.google.com/detail/njnffblfmpifpannonhbmfiellngpade" TargetMode="External"/><Relationship Id="rId408" Type="http://schemas.openxmlformats.org/officeDocument/2006/relationships/hyperlink" Target="https://chromewebstore.google.com/detail/kadpkdielickimifpinkknemjdipghaf" TargetMode="External"/><Relationship Id="rId407" Type="http://schemas.openxmlformats.org/officeDocument/2006/relationships/hyperlink" Target="https://chromewebstore.google.com/detail/jojlddfolpiejckahpinefdikdogenjg" TargetMode="External"/><Relationship Id="rId406" Type="http://schemas.openxmlformats.org/officeDocument/2006/relationships/hyperlink" Target="https://chromewebstore.google.com/detail/ipkfnchcgalnafehpglfbommidgmalan" TargetMode="External"/><Relationship Id="rId9199" Type="http://schemas.openxmlformats.org/officeDocument/2006/relationships/hyperlink" Target="https://chromewebstore.google.com/detail/iiolkehjeklhkdphaakkceadenbcdahj" TargetMode="External"/><Relationship Id="rId405" Type="http://schemas.openxmlformats.org/officeDocument/2006/relationships/hyperlink" Target="https://chromewebstore.google.com/detail/ihnknokegkbpmofmafnkoadfjkhlogph" TargetMode="External"/><Relationship Id="rId9198" Type="http://schemas.openxmlformats.org/officeDocument/2006/relationships/hyperlink" Target="https://chromewebstore.google.com/detail/icphdcfpompgbdikholnedfeidemgobg" TargetMode="External"/><Relationship Id="rId400" Type="http://schemas.openxmlformats.org/officeDocument/2006/relationships/hyperlink" Target="https://chromewebstore.google.com/detail/hgngncnljacgakaiifjcgdnknaglfipo" TargetMode="External"/><Relationship Id="rId6920" Type="http://schemas.openxmlformats.org/officeDocument/2006/relationships/hyperlink" Target="https://chromewebstore.google.com/detail/phjkbonaifennbfpmieeipknnkhaoiaf" TargetMode="External"/><Relationship Id="rId6921" Type="http://schemas.openxmlformats.org/officeDocument/2006/relationships/hyperlink" Target="https://chromewebstore.google.com/detail/pibgjfhdkflakjlhghpgecpdojokglnn" TargetMode="External"/><Relationship Id="rId6913" Type="http://schemas.openxmlformats.org/officeDocument/2006/relationships/hyperlink" Target="https://chromewebstore.google.com/detail/pghhaihcmffdmndjcagdgogjockdnaao" TargetMode="External"/><Relationship Id="rId6914" Type="http://schemas.openxmlformats.org/officeDocument/2006/relationships/hyperlink" Target="https://chromewebstore.google.com/detail/pgjlemoacllebidgpchfhdgeifkmbigi" TargetMode="External"/><Relationship Id="rId6911" Type="http://schemas.openxmlformats.org/officeDocument/2006/relationships/hyperlink" Target="https://chromewebstore.google.com/detail/pghdabpagojegpfplckdbnlalpgidikc" TargetMode="External"/><Relationship Id="rId6912" Type="http://schemas.openxmlformats.org/officeDocument/2006/relationships/hyperlink" Target="https://chromewebstore.google.com/detail/pghfoglbgdeknkjcmilhkidfdkgenfdi" TargetMode="External"/><Relationship Id="rId6917" Type="http://schemas.openxmlformats.org/officeDocument/2006/relationships/hyperlink" Target="https://chromewebstore.google.com/detail/phcgdpgoofnibfjcekphmdbjhkdfnkad" TargetMode="External"/><Relationship Id="rId6918" Type="http://schemas.openxmlformats.org/officeDocument/2006/relationships/hyperlink" Target="https://chromewebstore.google.com/detail/phcppmldknbkicjnjchgjbdbjjodoebi" TargetMode="External"/><Relationship Id="rId6915" Type="http://schemas.openxmlformats.org/officeDocument/2006/relationships/hyperlink" Target="https://chromewebstore.google.com/detail/pglhkpcfkalkpckfbdpngbaigmklcfmc" TargetMode="External"/><Relationship Id="rId6916" Type="http://schemas.openxmlformats.org/officeDocument/2006/relationships/hyperlink" Target="https://chromewebstore.google.com/detail/pgpjdkejablgneeocagbncanfihkebpf" TargetMode="External"/><Relationship Id="rId6919" Type="http://schemas.openxmlformats.org/officeDocument/2006/relationships/hyperlink" Target="http://bl.ocks.org" TargetMode="External"/><Relationship Id="rId9193" Type="http://schemas.openxmlformats.org/officeDocument/2006/relationships/hyperlink" Target="https://chromewebstore.google.com/detail/nfldfdiecanfehfklddallboddlhedgh" TargetMode="External"/><Relationship Id="rId9192" Type="http://schemas.openxmlformats.org/officeDocument/2006/relationships/hyperlink" Target="https://chromewebstore.google.com/detail/mfgdchikohkibmghmbklpiijfakcmlfl" TargetMode="External"/><Relationship Id="rId9191" Type="http://schemas.openxmlformats.org/officeDocument/2006/relationships/hyperlink" Target="https://chromewebstore.google.com/detail/mcdomdjmmhkcdhejlgfjmnljkkedogln" TargetMode="External"/><Relationship Id="rId9190" Type="http://schemas.openxmlformats.org/officeDocument/2006/relationships/hyperlink" Target="https://chromewebstore.google.com/detail/fccbmnpilngffifjlblcnaaeoahbamfp" TargetMode="External"/><Relationship Id="rId9186" Type="http://schemas.openxmlformats.org/officeDocument/2006/relationships/hyperlink" Target="https://chromewebstore.google.com/detail/nkiecajlaphenndjpfjoeldeljkgpjec" TargetMode="External"/><Relationship Id="rId9185" Type="http://schemas.openxmlformats.org/officeDocument/2006/relationships/hyperlink" Target="https://chromewebstore.google.com/detail/nbihfiblmebjoppccegmiopkipcknedo" TargetMode="External"/><Relationship Id="rId9184" Type="http://schemas.openxmlformats.org/officeDocument/2006/relationships/hyperlink" Target="https://chromewebstore.google.com/detail/lafhdjlbfokddafjkiakhcmgkpnkeagh" TargetMode="External"/><Relationship Id="rId9183" Type="http://schemas.openxmlformats.org/officeDocument/2006/relationships/hyperlink" Target="https://chromewebstore.google.com/detail/kfdibhbheajeacnkkakomaliggbgndcf" TargetMode="External"/><Relationship Id="rId9189" Type="http://schemas.openxmlformats.org/officeDocument/2006/relationships/hyperlink" Target="https://chromewebstore.google.com/detail/cfmnokobeamddnjilinmidbkkdlheghh" TargetMode="External"/><Relationship Id="rId9188" Type="http://schemas.openxmlformats.org/officeDocument/2006/relationships/hyperlink" Target="https://chromewebstore.google.com/detail/agijkohaieagbidlmjjlajhlkpfoegao" TargetMode="External"/><Relationship Id="rId9187" Type="http://schemas.openxmlformats.org/officeDocument/2006/relationships/hyperlink" Target="https://chromewebstore.google.com/detail/onbipggmljeocamidpecljdkaicfibep" TargetMode="External"/><Relationship Id="rId6910" Type="http://schemas.openxmlformats.org/officeDocument/2006/relationships/hyperlink" Target="https://chromewebstore.google.com/detail/pgcoonmbehcdmlddodjejedplihglojl" TargetMode="External"/><Relationship Id="rId9131" Type="http://schemas.openxmlformats.org/officeDocument/2006/relationships/hyperlink" Target="https://chromewebstore.google.com/detail/llimijeljhcflhcakemjahakijmllgbe" TargetMode="External"/><Relationship Id="rId9130" Type="http://schemas.openxmlformats.org/officeDocument/2006/relationships/hyperlink" Target="https://chromewebstore.google.com/detail/likibnmpifknedmpikkllcfikoknafen" TargetMode="External"/><Relationship Id="rId9135" Type="http://schemas.openxmlformats.org/officeDocument/2006/relationships/hyperlink" Target="https://chromewebstore.google.com/detail/fnapinimcdpmgkedhjbfckmpjppnbhba" TargetMode="External"/><Relationship Id="rId9134" Type="http://schemas.openxmlformats.org/officeDocument/2006/relationships/hyperlink" Target="https://chromewebstore.google.com/detail/eimfpbhegdjjclmjalemkpkgngdolccp" TargetMode="External"/><Relationship Id="rId9133" Type="http://schemas.openxmlformats.org/officeDocument/2006/relationships/hyperlink" Target="https://chromewebstore.google.com/detail/dnkbidmoaefofeklbalbfncodbfhcpgn" TargetMode="External"/><Relationship Id="rId9132" Type="http://schemas.openxmlformats.org/officeDocument/2006/relationships/hyperlink" Target="https://chromewebstore.google.com/detail/pbjkodijnlbkbbkjmhgemlpigeaoaken" TargetMode="External"/><Relationship Id="rId9139" Type="http://schemas.openxmlformats.org/officeDocument/2006/relationships/hyperlink" Target="https://chromewebstore.google.com/detail/pkfmefgcldahebkaebdcjlkgijkaebmg" TargetMode="External"/><Relationship Id="rId9138" Type="http://schemas.openxmlformats.org/officeDocument/2006/relationships/hyperlink" Target="https://chromewebstore.google.com/detail/maaihlnpjfbdfajjbhbpmjpklkodbdca" TargetMode="External"/><Relationship Id="rId9137" Type="http://schemas.openxmlformats.org/officeDocument/2006/relationships/hyperlink" Target="https://chromewebstore.google.com/detail/lljbpnomhjlnohbcipjjjmnbncfofobe" TargetMode="External"/><Relationship Id="rId9136" Type="http://schemas.openxmlformats.org/officeDocument/2006/relationships/hyperlink" Target="https://chromewebstore.google.com/detail/lhiljglgmbfgpamafdpljdplhkfnnboh" TargetMode="External"/><Relationship Id="rId9120" Type="http://schemas.openxmlformats.org/officeDocument/2006/relationships/hyperlink" Target="https://chromewebstore.google.com/detail/kpkjomcemjimkbmhiobdobpiocgnkgoc" TargetMode="External"/><Relationship Id="rId9124" Type="http://schemas.openxmlformats.org/officeDocument/2006/relationships/hyperlink" Target="https://chromewebstore.google.com/detail/aeildolmfjhmlbbambcaobkjkhppphod" TargetMode="External"/><Relationship Id="rId9123" Type="http://schemas.openxmlformats.org/officeDocument/2006/relationships/hyperlink" Target="https://chromewebstore.google.com/detail/adgbiebneebkejegnebimeflfkofcalj" TargetMode="External"/><Relationship Id="rId9122" Type="http://schemas.openxmlformats.org/officeDocument/2006/relationships/hyperlink" Target="https://chromewebstore.google.com/detail/nhogooppmliljkaickdcmdnmaheaicmg" TargetMode="External"/><Relationship Id="rId9121" Type="http://schemas.openxmlformats.org/officeDocument/2006/relationships/hyperlink" Target="https://chromewebstore.google.com/detail/mfhiahbobigkjofkpcbelhaojlcfkiah" TargetMode="External"/><Relationship Id="rId9128" Type="http://schemas.openxmlformats.org/officeDocument/2006/relationships/hyperlink" Target="https://chromewebstore.google.com/detail/fmceajdookgglbnmeonlcedeoajmchpn" TargetMode="External"/><Relationship Id="rId9127" Type="http://schemas.openxmlformats.org/officeDocument/2006/relationships/hyperlink" Target="https://chromewebstore.google.com/detail/ehdcdancjbfkckpjnpjlakcfililnhkl" TargetMode="External"/><Relationship Id="rId9126" Type="http://schemas.openxmlformats.org/officeDocument/2006/relationships/hyperlink" Target="https://chromewebstore.google.com/detail/dhabdofcfmbcogjdnlnjnodicfmaaiej" TargetMode="External"/><Relationship Id="rId9125" Type="http://schemas.openxmlformats.org/officeDocument/2006/relationships/hyperlink" Target="https://chromewebstore.google.com/detail/biejinfobcnfmjjgggmldodnbjppplod" TargetMode="External"/><Relationship Id="rId9129" Type="http://schemas.openxmlformats.org/officeDocument/2006/relationships/hyperlink" Target="https://chromewebstore.google.com/detail/iodgmdnioenechbmenajalhpadghigfa" TargetMode="External"/><Relationship Id="rId9160" Type="http://schemas.openxmlformats.org/officeDocument/2006/relationships/hyperlink" Target="https://chromewebstore.google.com/detail/ghfpifklepifimmmnfggkakdiahccacp" TargetMode="External"/><Relationship Id="rId9153" Type="http://schemas.openxmlformats.org/officeDocument/2006/relationships/hyperlink" Target="https://chromewebstore.google.com/detail/jgfpgkknopphgdcaoclnaoecckinkhda" TargetMode="External"/><Relationship Id="rId9152" Type="http://schemas.openxmlformats.org/officeDocument/2006/relationships/hyperlink" Target="https://chromewebstore.google.com/detail/fiomkbglnahplbafedejbebpfnmmpgdj" TargetMode="External"/><Relationship Id="rId9151" Type="http://schemas.openxmlformats.org/officeDocument/2006/relationships/hyperlink" Target="https://chromewebstore.google.com/detail/clofnhpoigphigpholmoimnmkojlpmjg" TargetMode="External"/><Relationship Id="rId9150" Type="http://schemas.openxmlformats.org/officeDocument/2006/relationships/hyperlink" Target="https://chromewebstore.google.com/detail/plpjemecoefaeikldhckbggehnhiokjn" TargetMode="External"/><Relationship Id="rId9157" Type="http://schemas.openxmlformats.org/officeDocument/2006/relationships/hyperlink" Target="https://chromewebstore.google.com/detail/alanjgmjccmkkpmpejgdhaodfjlmcone" TargetMode="External"/><Relationship Id="rId9156" Type="http://schemas.openxmlformats.org/officeDocument/2006/relationships/hyperlink" Target="https://chromewebstore.google.com/detail/pcdmjenfjbffehpfmmdbkbdbgllpnmac" TargetMode="External"/><Relationship Id="rId9155" Type="http://schemas.openxmlformats.org/officeDocument/2006/relationships/hyperlink" Target="https://chromewebstore.google.com/detail/odifiogjabgjhgkodimeiikghfgpfaoh" TargetMode="External"/><Relationship Id="rId9154" Type="http://schemas.openxmlformats.org/officeDocument/2006/relationships/hyperlink" Target="https://chromewebstore.google.com/detail/negipcmgbepcfhamlpdbkepipeiidkfk" TargetMode="External"/><Relationship Id="rId9159" Type="http://schemas.openxmlformats.org/officeDocument/2006/relationships/hyperlink" Target="https://chromewebstore.google.com/detail/ejnboneedfadhjddmbckhflmpnlcomge" TargetMode="External"/><Relationship Id="rId9158" Type="http://schemas.openxmlformats.org/officeDocument/2006/relationships/hyperlink" Target="https://chromewebstore.google.com/detail/bnlabgojebipbkffbebpecgapkakdikp" TargetMode="External"/><Relationship Id="rId9142" Type="http://schemas.openxmlformats.org/officeDocument/2006/relationships/hyperlink" Target="https://chromewebstore.google.com/detail/emclpejnhkiogdlimfgipbdfpdcnhhoj" TargetMode="External"/><Relationship Id="rId9141" Type="http://schemas.openxmlformats.org/officeDocument/2006/relationships/hyperlink" Target="https://chromewebstore.google.com/detail/dghlnbdlgkaocplkljohkjdbhpghgboo" TargetMode="External"/><Relationship Id="rId9140" Type="http://schemas.openxmlformats.org/officeDocument/2006/relationships/hyperlink" Target="https://chromewebstore.google.com/detail/bmmflkcfgkjchdcgfmdleaekoplpjlgb" TargetMode="External"/><Relationship Id="rId9146" Type="http://schemas.openxmlformats.org/officeDocument/2006/relationships/hyperlink" Target="https://chromewebstore.google.com/detail/gmklieclhlmicflemopmbllaldmejnkp" TargetMode="External"/><Relationship Id="rId9145" Type="http://schemas.openxmlformats.org/officeDocument/2006/relationships/hyperlink" Target="https://chromewebstore.google.com/detail/gbpjnlpngmlonccincackjglapdnlckf" TargetMode="External"/><Relationship Id="rId9144" Type="http://schemas.openxmlformats.org/officeDocument/2006/relationships/hyperlink" Target="https://chromewebstore.google.com/detail/fipaibmadbngajchpclbkjlomacfbicc" TargetMode="External"/><Relationship Id="rId9143" Type="http://schemas.openxmlformats.org/officeDocument/2006/relationships/hyperlink" Target="https://chromewebstore.google.com/detail/fbnkdiommanmaggjbppgecgpekigaceb" TargetMode="External"/><Relationship Id="rId9149" Type="http://schemas.openxmlformats.org/officeDocument/2006/relationships/hyperlink" Target="https://chromewebstore.google.com/detail/omcldlkglopofaoiicnhommadfecgdeo" TargetMode="External"/><Relationship Id="rId9148" Type="http://schemas.openxmlformats.org/officeDocument/2006/relationships/hyperlink" Target="https://chromewebstore.google.com/detail/ogkhimnfjdkddagddmckolplacmmhiai" TargetMode="External"/><Relationship Id="rId9147" Type="http://schemas.openxmlformats.org/officeDocument/2006/relationships/hyperlink" Target="https://chromewebstore.google.com/detail/ioknjbncflfoefodkjodmddcpahnhkgh" TargetMode="External"/><Relationship Id="rId4327" Type="http://schemas.openxmlformats.org/officeDocument/2006/relationships/hyperlink" Target="https://chromewebstore.google.com/detail/healhengajmbpahbgiokccdoemnnlaak" TargetMode="External"/><Relationship Id="rId5659" Type="http://schemas.openxmlformats.org/officeDocument/2006/relationships/hyperlink" Target="https://chromewebstore.google.com/detail/fjbnbhebgopdlgahhommoinamobocdmo" TargetMode="External"/><Relationship Id="rId4326" Type="http://schemas.openxmlformats.org/officeDocument/2006/relationships/hyperlink" Target="https://chromewebstore.google.com/detail/hdoplfhlfoagdghmfamhnakmjjffeila" TargetMode="External"/><Relationship Id="rId4329" Type="http://schemas.openxmlformats.org/officeDocument/2006/relationships/hyperlink" Target="https://chromewebstore.google.com/detail/hehejefmdmpijnamjenkjogiamhoahha" TargetMode="External"/><Relationship Id="rId5657" Type="http://schemas.openxmlformats.org/officeDocument/2006/relationships/hyperlink" Target="https://chromewebstore.google.com/detail/finhmpmkpbacljcdemplngnnjdenihpp" TargetMode="External"/><Relationship Id="rId6988" Type="http://schemas.openxmlformats.org/officeDocument/2006/relationships/hyperlink" Target="https://chromewebstore.google.com/detail/pohakmokiogdbhiocmacgalcmnfdbbne" TargetMode="External"/><Relationship Id="rId4328" Type="http://schemas.openxmlformats.org/officeDocument/2006/relationships/hyperlink" Target="https://chromewebstore.google.com/detail/heephfjhabnjmmeiindjefllheeddogn" TargetMode="External"/><Relationship Id="rId5658" Type="http://schemas.openxmlformats.org/officeDocument/2006/relationships/hyperlink" Target="https://chromewebstore.google.com/detail/fjbjbkoepflddmlieaicfhelkdmkbcdb" TargetMode="External"/><Relationship Id="rId6989" Type="http://schemas.openxmlformats.org/officeDocument/2006/relationships/hyperlink" Target="https://chromewebstore.google.com/detail/bahhfoidnfogingiolidoidmlkogjlhp" TargetMode="External"/><Relationship Id="rId469" Type="http://schemas.openxmlformats.org/officeDocument/2006/relationships/hyperlink" Target="https://chromewebstore.google.com/detail/kaimfhiiegblglllpkcpoegelgefonef" TargetMode="External"/><Relationship Id="rId468" Type="http://schemas.openxmlformats.org/officeDocument/2006/relationships/hyperlink" Target="https://chromewebstore.google.com/detail/jpblofcpgfjikaapfedldfeilmpgkedf" TargetMode="External"/><Relationship Id="rId467" Type="http://schemas.openxmlformats.org/officeDocument/2006/relationships/hyperlink" Target="https://chromewebstore.google.com/detail/jnmdbgnckbbmblkbammnfagdmikchhnp" TargetMode="External"/><Relationship Id="rId462" Type="http://schemas.openxmlformats.org/officeDocument/2006/relationships/hyperlink" Target="https://chromewebstore.google.com/detail/ibiejjpajlfljcgjndbonclhcbdcamai" TargetMode="External"/><Relationship Id="rId5651" Type="http://schemas.openxmlformats.org/officeDocument/2006/relationships/hyperlink" Target="https://chromewebstore.google.com/detail/fiefoaeemgdpplhofbhkdehoidoajfld" TargetMode="External"/><Relationship Id="rId6982" Type="http://schemas.openxmlformats.org/officeDocument/2006/relationships/hyperlink" Target="https://chromewebstore.google.com/detail/ppeafcmpnlhfpajdcjoddeopdbnadjaf" TargetMode="External"/><Relationship Id="rId461" Type="http://schemas.openxmlformats.org/officeDocument/2006/relationships/hyperlink" Target="https://chromewebstore.google.com/detail/iaeibhcmabccclfnafahihdndonfgebo" TargetMode="External"/><Relationship Id="rId5652" Type="http://schemas.openxmlformats.org/officeDocument/2006/relationships/hyperlink" Target="https://chromewebstore.google.com/detail/fiflmfdkmjodhcppbeabhjdmljkifigf" TargetMode="External"/><Relationship Id="rId6983" Type="http://schemas.openxmlformats.org/officeDocument/2006/relationships/hyperlink" Target="https://chromewebstore.google.com/detail/ppgkljncihhlaaekeamabgmceippfhfo" TargetMode="External"/><Relationship Id="rId460" Type="http://schemas.openxmlformats.org/officeDocument/2006/relationships/hyperlink" Target="https://chromewebstore.google.com/detail/hogplamgfpbbbkdbjebamjacelgpmnpl" TargetMode="External"/><Relationship Id="rId4321" Type="http://schemas.openxmlformats.org/officeDocument/2006/relationships/hyperlink" Target="https://chromewebstore.google.com/detail/hcgieffgpbjghiibedcileaobhopaodg" TargetMode="External"/><Relationship Id="rId6980" Type="http://schemas.openxmlformats.org/officeDocument/2006/relationships/hyperlink" Target="https://chromewebstore.google.com/detail/ppckicpaoihcmamekmnhdaiaklmccobm" TargetMode="External"/><Relationship Id="rId4320" Type="http://schemas.openxmlformats.org/officeDocument/2006/relationships/hyperlink" Target="https://chromewebstore.google.com/detail/hcepmnlphdfefjddkgkblcjkbpbpemac" TargetMode="External"/><Relationship Id="rId5650" Type="http://schemas.openxmlformats.org/officeDocument/2006/relationships/hyperlink" Target="https://chromewebstore.google.com/detail/fichomnnmpafldcbpelajknhhmcafcca" TargetMode="External"/><Relationship Id="rId6981" Type="http://schemas.openxmlformats.org/officeDocument/2006/relationships/hyperlink" Target="http://addons.la" TargetMode="External"/><Relationship Id="rId466" Type="http://schemas.openxmlformats.org/officeDocument/2006/relationships/hyperlink" Target="https://chromewebstore.google.com/detail/jffllllkcjoncomfjcdeplijmfnlpnbb" TargetMode="External"/><Relationship Id="rId4323" Type="http://schemas.openxmlformats.org/officeDocument/2006/relationships/hyperlink" Target="https://chromewebstore.google.com/detail/hcmgcfdnagjkihmgjhbiombjdcgckgnb" TargetMode="External"/><Relationship Id="rId5655" Type="http://schemas.openxmlformats.org/officeDocument/2006/relationships/hyperlink" Target="https://chromewebstore.google.com/detail/fikbnglopgmdoobfkallgioahbeddajc" TargetMode="External"/><Relationship Id="rId6986" Type="http://schemas.openxmlformats.org/officeDocument/2006/relationships/hyperlink" Target="https://chromewebstore.google.com/detail/pplnfonehjimoddpmnhldhkgojhkjcfh" TargetMode="External"/><Relationship Id="rId465" Type="http://schemas.openxmlformats.org/officeDocument/2006/relationships/hyperlink" Target="https://chromewebstore.google.com/detail/jepfhfjlkgobooomdgpcjikalfpcldmm" TargetMode="External"/><Relationship Id="rId4322" Type="http://schemas.openxmlformats.org/officeDocument/2006/relationships/hyperlink" Target="https://chromewebstore.google.com/detail/hcllofidbkalfnhfapholimfflgpojdp" TargetMode="External"/><Relationship Id="rId5656" Type="http://schemas.openxmlformats.org/officeDocument/2006/relationships/hyperlink" Target="https://chromewebstore.google.com/detail/fikolfjjlmpebakleinkgcnpomjoodhn" TargetMode="External"/><Relationship Id="rId6987" Type="http://schemas.openxmlformats.org/officeDocument/2006/relationships/hyperlink" Target="https://chromewebstore.google.com/detail/ppnfkghlfjlpipickophihdanpjllflo" TargetMode="External"/><Relationship Id="rId464" Type="http://schemas.openxmlformats.org/officeDocument/2006/relationships/hyperlink" Target="https://chromewebstore.google.com/detail/jaoafjdoijdconemdmodhbfpianehlon" TargetMode="External"/><Relationship Id="rId4325" Type="http://schemas.openxmlformats.org/officeDocument/2006/relationships/hyperlink" Target="https://chromewebstore.google.com/detail/hdnbkdgkacokppmmcgbmljaoljkbnell" TargetMode="External"/><Relationship Id="rId5653" Type="http://schemas.openxmlformats.org/officeDocument/2006/relationships/hyperlink" Target="https://chromewebstore.google.com/detail/fijaenjgknobfdombbdchngpamggajpm" TargetMode="External"/><Relationship Id="rId6984" Type="http://schemas.openxmlformats.org/officeDocument/2006/relationships/hyperlink" Target="https://chromewebstore.google.com/detail/pphlnhlbnejfljgkgifbkfdndjlddakh" TargetMode="External"/><Relationship Id="rId463" Type="http://schemas.openxmlformats.org/officeDocument/2006/relationships/hyperlink" Target="https://chromewebstore.google.com/detail/ieoejemkppmjcdfbnfphhpbfmallhfnc" TargetMode="External"/><Relationship Id="rId4324" Type="http://schemas.openxmlformats.org/officeDocument/2006/relationships/hyperlink" Target="https://chromewebstore.google.com/detail/hdbkcjlhppelfoljjhfkgaeffmamkmcb" TargetMode="External"/><Relationship Id="rId5654" Type="http://schemas.openxmlformats.org/officeDocument/2006/relationships/hyperlink" Target="https://chromewebstore.google.com/detail/fikbcnlbgoafooldbkgikejejhaddajg" TargetMode="External"/><Relationship Id="rId6985" Type="http://schemas.openxmlformats.org/officeDocument/2006/relationships/hyperlink" Target="https://chromewebstore.google.com/detail/ppigcngidmooiiafkelbilbojiijffag" TargetMode="External"/><Relationship Id="rId4316" Type="http://schemas.openxmlformats.org/officeDocument/2006/relationships/hyperlink" Target="https://chromewebstore.google.com/detail/hbcnmbidfinkocndbbchppnnnmlcdocl" TargetMode="External"/><Relationship Id="rId5648" Type="http://schemas.openxmlformats.org/officeDocument/2006/relationships/hyperlink" Target="https://chromewebstore.google.com/detail/fibmipocbhmmodnjfioojdfobejfdajg" TargetMode="External"/><Relationship Id="rId6979" Type="http://schemas.openxmlformats.org/officeDocument/2006/relationships/hyperlink" Target="https://chromewebstore.google.com/detail/popfmfdcmbgimojlgdgeikdffbecaija" TargetMode="External"/><Relationship Id="rId4315" Type="http://schemas.openxmlformats.org/officeDocument/2006/relationships/hyperlink" Target="https://chromewebstore.google.com/detail/hbcmpkcpbnecinpngdnfbnknfkdpdfli" TargetMode="External"/><Relationship Id="rId5649" Type="http://schemas.openxmlformats.org/officeDocument/2006/relationships/hyperlink" Target="https://chromewebstore.google.com/detail/ficbamdhpkgoalecmiclffghlllemcki" TargetMode="External"/><Relationship Id="rId4318" Type="http://schemas.openxmlformats.org/officeDocument/2006/relationships/hyperlink" Target="https://chromewebstore.google.com/detail/hbplgmpfdabobhnadbfpknppljdfkiia" TargetMode="External"/><Relationship Id="rId5646" Type="http://schemas.openxmlformats.org/officeDocument/2006/relationships/hyperlink" Target="https://chromewebstore.google.com/detail/fhljkabkmnoeecgibakgnkkdmheccecg" TargetMode="External"/><Relationship Id="rId6977" Type="http://schemas.openxmlformats.org/officeDocument/2006/relationships/hyperlink" Target="https://chromewebstore.google.com/detail/polcbnennmbhbdoafiicjgccofalcncl" TargetMode="External"/><Relationship Id="rId4317" Type="http://schemas.openxmlformats.org/officeDocument/2006/relationships/hyperlink" Target="https://chromewebstore.google.com/detail/hbpagabeiphkfhbboacggckhkkipgdmh" TargetMode="External"/><Relationship Id="rId5647" Type="http://schemas.openxmlformats.org/officeDocument/2006/relationships/hyperlink" Target="https://chromewebstore.google.com/detail/fhnbdhpddlplookheppaagkaccfancck" TargetMode="External"/><Relationship Id="rId6978" Type="http://schemas.openxmlformats.org/officeDocument/2006/relationships/hyperlink" Target="https://chromewebstore.google.com/detail/poliinbejkeohgkakcjhnidgbalekdnj" TargetMode="External"/><Relationship Id="rId4319" Type="http://schemas.openxmlformats.org/officeDocument/2006/relationships/hyperlink" Target="https://chromewebstore.google.com/detail/hcbifpgnodngojidpmahogbpchlcmjmd" TargetMode="External"/><Relationship Id="rId459" Type="http://schemas.openxmlformats.org/officeDocument/2006/relationships/hyperlink" Target="https://chromewebstore.google.com/detail/hobgfokkfmmdehpedkjgkhjcnejfoodf" TargetMode="External"/><Relationship Id="rId458" Type="http://schemas.openxmlformats.org/officeDocument/2006/relationships/hyperlink" Target="https://chromewebstore.google.com/detail/hncgkmhphmncjohllpoleelnibpmccpj" TargetMode="External"/><Relationship Id="rId457" Type="http://schemas.openxmlformats.org/officeDocument/2006/relationships/hyperlink" Target="https://chromewebstore.google.com/detail/hliiefogghiapfajokakaehafbdpokgh" TargetMode="External"/><Relationship Id="rId456" Type="http://schemas.openxmlformats.org/officeDocument/2006/relationships/hyperlink" Target="https://chromewebstore.google.com/detail/haafibkemckmbknhfkiiniobjpgkebko" TargetMode="External"/><Relationship Id="rId451" Type="http://schemas.openxmlformats.org/officeDocument/2006/relationships/hyperlink" Target="https://chromewebstore.google.com/detail/ehemiojjcpldeipjhjkepfdaohajpbdo" TargetMode="External"/><Relationship Id="rId5640" Type="http://schemas.openxmlformats.org/officeDocument/2006/relationships/hyperlink" Target="https://chromewebstore.google.com/detail/fhaaihkljlacmdclpphnfmjfcckhpjle" TargetMode="External"/><Relationship Id="rId6971" Type="http://schemas.openxmlformats.org/officeDocument/2006/relationships/hyperlink" Target="https://chromewebstore.google.com/detail/pnpbpndnbcleanlcijhancijmhdolecj" TargetMode="External"/><Relationship Id="rId450" Type="http://schemas.openxmlformats.org/officeDocument/2006/relationships/hyperlink" Target="https://chromewebstore.google.com/detail/dnacggjlcbpfcfchkkogedlkenpnlfbi" TargetMode="External"/><Relationship Id="rId5641" Type="http://schemas.openxmlformats.org/officeDocument/2006/relationships/hyperlink" Target="https://chromewebstore.google.com/detail/fhbdfgoahpihjmcpjnhcdofenlhfaicd" TargetMode="External"/><Relationship Id="rId6972" Type="http://schemas.openxmlformats.org/officeDocument/2006/relationships/hyperlink" Target="https://chromewebstore.google.com/detail/podcggegodopijnhcbocfmjhbmjegjai" TargetMode="External"/><Relationship Id="rId4310" Type="http://schemas.openxmlformats.org/officeDocument/2006/relationships/hyperlink" Target="https://chromewebstore.google.com/detail/haafcedjaceogpbeopamdmeckgdmldbb" TargetMode="External"/><Relationship Id="rId6970" Type="http://schemas.openxmlformats.org/officeDocument/2006/relationships/hyperlink" Target="https://chromewebstore.google.com/detail/pnpbbadbcckmfcbdhkbkegfgpdmoieji" TargetMode="External"/><Relationship Id="rId455" Type="http://schemas.openxmlformats.org/officeDocument/2006/relationships/hyperlink" Target="https://chromewebstore.google.com/detail/gjnmclkoadjdljnfmbnnhaahilafoeji" TargetMode="External"/><Relationship Id="rId4312" Type="http://schemas.openxmlformats.org/officeDocument/2006/relationships/hyperlink" Target="https://chromewebstore.google.com/detail/habonpimjphpdnmcfkaockjnffodikoj" TargetMode="External"/><Relationship Id="rId5644" Type="http://schemas.openxmlformats.org/officeDocument/2006/relationships/hyperlink" Target="https://chromewebstore.google.com/detail/fhenghaaikkdannghmaapfbngihadgnf" TargetMode="External"/><Relationship Id="rId6975" Type="http://schemas.openxmlformats.org/officeDocument/2006/relationships/hyperlink" Target="https://chromewebstore.google.com/detail/pokdemmjbolebfenngalladelkofhiba" TargetMode="External"/><Relationship Id="rId454" Type="http://schemas.openxmlformats.org/officeDocument/2006/relationships/hyperlink" Target="https://chromewebstore.google.com/detail/giekhiebdpmljgchjojblnekkcgpdobp" TargetMode="External"/><Relationship Id="rId4311" Type="http://schemas.openxmlformats.org/officeDocument/2006/relationships/hyperlink" Target="https://chromewebstore.google.com/detail/habdalaejnjehgaadeignhbmllkdngpf" TargetMode="External"/><Relationship Id="rId5645" Type="http://schemas.openxmlformats.org/officeDocument/2006/relationships/hyperlink" Target="https://chromewebstore.google.com/detail/fhgdnbefmbjihhjjjlkonajmioaagmoh" TargetMode="External"/><Relationship Id="rId6976" Type="http://schemas.openxmlformats.org/officeDocument/2006/relationships/hyperlink" Target="https://chromewebstore.google.com/detail/pokmephakeikepjkmloeopmjjmiioeno" TargetMode="External"/><Relationship Id="rId453" Type="http://schemas.openxmlformats.org/officeDocument/2006/relationships/hyperlink" Target="https://chromewebstore.google.com/detail/enhkeonpomkliaedmafeniofidolfmdd" TargetMode="External"/><Relationship Id="rId4314" Type="http://schemas.openxmlformats.org/officeDocument/2006/relationships/hyperlink" Target="https://chromewebstore.google.com/detail/hapeijdlgbbhjmijhmgggnakcgdcpfap" TargetMode="External"/><Relationship Id="rId5642" Type="http://schemas.openxmlformats.org/officeDocument/2006/relationships/hyperlink" Target="https://chromewebstore.google.com/detail/fhbelblobiabomlogejpabonapkencph" TargetMode="External"/><Relationship Id="rId6973" Type="http://schemas.openxmlformats.org/officeDocument/2006/relationships/hyperlink" Target="https://chromewebstore.google.com/detail/poemphopblfbpoaoglhbljbjfodofmpa" TargetMode="External"/><Relationship Id="rId452" Type="http://schemas.openxmlformats.org/officeDocument/2006/relationships/hyperlink" Target="https://chromewebstore.google.com/detail/enakdcohihakipecmneppjlneaaaiffe" TargetMode="External"/><Relationship Id="rId4313" Type="http://schemas.openxmlformats.org/officeDocument/2006/relationships/hyperlink" Target="https://chromewebstore.google.com/detail/hamjjddlcjfininpcaoankggglkblckb" TargetMode="External"/><Relationship Id="rId5643" Type="http://schemas.openxmlformats.org/officeDocument/2006/relationships/hyperlink" Target="http://xdealer.pro" TargetMode="External"/><Relationship Id="rId6974" Type="http://schemas.openxmlformats.org/officeDocument/2006/relationships/hyperlink" Target="https://chromewebstore.google.com/detail/pogakilfalpppaalpjolakkbhdpgpnpn" TargetMode="External"/><Relationship Id="rId3018" Type="http://schemas.openxmlformats.org/officeDocument/2006/relationships/hyperlink" Target="https://chromewebstore.google.com/detail/hlpgiileennpalklffkdgjodnppfnccd" TargetMode="External"/><Relationship Id="rId4349" Type="http://schemas.openxmlformats.org/officeDocument/2006/relationships/hyperlink" Target="https://chromewebstore.google.com/detail/hkkgiaikmcbodmomfcadhdgconbijlbh" TargetMode="External"/><Relationship Id="rId3017" Type="http://schemas.openxmlformats.org/officeDocument/2006/relationships/hyperlink" Target="https://chromewebstore.google.com/detail/hlcgjkbdmlnfmelambncafejbemlfodl" TargetMode="External"/><Relationship Id="rId4348" Type="http://schemas.openxmlformats.org/officeDocument/2006/relationships/hyperlink" Target="https://chromewebstore.google.com/detail/hkgnleedlgehhehjjjbipfjlceepfkjk" TargetMode="External"/><Relationship Id="rId5679" Type="http://schemas.openxmlformats.org/officeDocument/2006/relationships/hyperlink" Target="https://chromewebstore.google.com/detail/fkojelfjjlmjcdlgldmkfhkbbdgbkejn" TargetMode="External"/><Relationship Id="rId3019" Type="http://schemas.openxmlformats.org/officeDocument/2006/relationships/hyperlink" Target="https://chromewebstore.google.com/detail/hmmahfccoaoebmjhmcnbbomomkimomhi" TargetMode="External"/><Relationship Id="rId491" Type="http://schemas.openxmlformats.org/officeDocument/2006/relationships/hyperlink" Target="https://chromewebstore.google.com/detail/pebgngldogenhmnokpncolbajkelhjba" TargetMode="External"/><Relationship Id="rId490" Type="http://schemas.openxmlformats.org/officeDocument/2006/relationships/hyperlink" Target="https://chromewebstore.google.com/detail/pdnmlnhalemfcehgdnfkpehgoniobnph" TargetMode="External"/><Relationship Id="rId489" Type="http://schemas.openxmlformats.org/officeDocument/2006/relationships/hyperlink" Target="https://chromewebstore.google.com/detail/pcpmcffcomlcjgpcheokdfcjipanjdpc" TargetMode="External"/><Relationship Id="rId5670" Type="http://schemas.openxmlformats.org/officeDocument/2006/relationships/hyperlink" Target="https://chromewebstore.google.com/detail/fkdjhomfkhllofmhjhnecclikkdhkjpj" TargetMode="External"/><Relationship Id="rId484" Type="http://schemas.openxmlformats.org/officeDocument/2006/relationships/hyperlink" Target="https://chromewebstore.google.com/detail/nifnmbbelnhfhgeiampkfghakhmgggcf" TargetMode="External"/><Relationship Id="rId3010" Type="http://schemas.openxmlformats.org/officeDocument/2006/relationships/hyperlink" Target="https://chromewebstore.google.com/detail/hfllfiimcgelfjkiedbcakabjekfldig" TargetMode="External"/><Relationship Id="rId4341" Type="http://schemas.openxmlformats.org/officeDocument/2006/relationships/hyperlink" Target="https://chromewebstore.google.com/detail/hicmfobjcbinceoeegookkgllpdgkcdc" TargetMode="External"/><Relationship Id="rId5673" Type="http://schemas.openxmlformats.org/officeDocument/2006/relationships/hyperlink" Target="https://chromewebstore.google.com/detail/fkedgglbeenhodhknmpibnbhgfbphggp" TargetMode="External"/><Relationship Id="rId483" Type="http://schemas.openxmlformats.org/officeDocument/2006/relationships/hyperlink" Target="https://chromewebstore.google.com/detail/niaoghengfohplclhbjnjheodgkejpih" TargetMode="External"/><Relationship Id="rId4340" Type="http://schemas.openxmlformats.org/officeDocument/2006/relationships/hyperlink" Target="https://chromewebstore.google.com/detail/hhcmoefkofcdbfbpgibmffepdgaklppi" TargetMode="External"/><Relationship Id="rId5674" Type="http://schemas.openxmlformats.org/officeDocument/2006/relationships/hyperlink" Target="https://chromewebstore.google.com/detail/fkenopinnpinfcjneoanjoimhkmdcjne" TargetMode="External"/><Relationship Id="rId482" Type="http://schemas.openxmlformats.org/officeDocument/2006/relationships/hyperlink" Target="https://chromewebstore.google.com/detail/nhdelomnagopgaealggpgojkhcafhnin" TargetMode="External"/><Relationship Id="rId3012" Type="http://schemas.openxmlformats.org/officeDocument/2006/relationships/hyperlink" Target="https://chromewebstore.google.com/detail/hglmpnnkhfjpnoheioijdpleijlmfcfb" TargetMode="External"/><Relationship Id="rId4343" Type="http://schemas.openxmlformats.org/officeDocument/2006/relationships/hyperlink" Target="https://chromewebstore.google.com/detail/himccccaelhgphommckogopgpddngimf" TargetMode="External"/><Relationship Id="rId5671" Type="http://schemas.openxmlformats.org/officeDocument/2006/relationships/hyperlink" Target="https://chromewebstore.google.com/detail/fkdnpnhfpckhhihenedafjmejflipbam" TargetMode="External"/><Relationship Id="rId481" Type="http://schemas.openxmlformats.org/officeDocument/2006/relationships/hyperlink" Target="https://chromewebstore.google.com/detail/nbdmccoknlfggadpfkmcpnamfnbkmkcp" TargetMode="External"/><Relationship Id="rId3011" Type="http://schemas.openxmlformats.org/officeDocument/2006/relationships/hyperlink" Target="https://chromewebstore.google.com/detail/hgknnlekfojmhgcaianhcoggcklinnic" TargetMode="External"/><Relationship Id="rId4342" Type="http://schemas.openxmlformats.org/officeDocument/2006/relationships/hyperlink" Target="https://chromewebstore.google.com/detail/hiekdllknpjfplfdejdbajoahehmkogk" TargetMode="External"/><Relationship Id="rId5672" Type="http://schemas.openxmlformats.org/officeDocument/2006/relationships/hyperlink" Target="https://chromewebstore.google.com/detail/fkdpgnngeoheiclbcljihebimblcbcjj" TargetMode="External"/><Relationship Id="rId488" Type="http://schemas.openxmlformats.org/officeDocument/2006/relationships/hyperlink" Target="https://chromewebstore.google.com/detail/onpjdedikjphpmpfjcafkmdmngchfaid" TargetMode="External"/><Relationship Id="rId3014" Type="http://schemas.openxmlformats.org/officeDocument/2006/relationships/hyperlink" Target="https://chromewebstore.google.com/detail/hiagbhcincnckilkbbglilfchoehldmj" TargetMode="External"/><Relationship Id="rId4345" Type="http://schemas.openxmlformats.org/officeDocument/2006/relationships/hyperlink" Target="https://chromewebstore.google.com/detail/hipnhfelcpeakkbodboaekadfleolnbi" TargetMode="External"/><Relationship Id="rId5677" Type="http://schemas.openxmlformats.org/officeDocument/2006/relationships/hyperlink" Target="https://chromewebstore.google.com/detail/fkhkpjiagcmkicnbmnnlfdjodhbblnkl" TargetMode="External"/><Relationship Id="rId487" Type="http://schemas.openxmlformats.org/officeDocument/2006/relationships/hyperlink" Target="https://chromewebstore.google.com/detail/ohecpopkeajmibbdepdebfaepkjkimgl" TargetMode="External"/><Relationship Id="rId3013" Type="http://schemas.openxmlformats.org/officeDocument/2006/relationships/hyperlink" Target="https://chromewebstore.google.com/detail/hgnnllcclhhigideaknjkbbmnokfocgd" TargetMode="External"/><Relationship Id="rId4344" Type="http://schemas.openxmlformats.org/officeDocument/2006/relationships/hyperlink" Target="https://chromewebstore.google.com/detail/himjbijchjdfcpnihaajckmjlignpkmh" TargetMode="External"/><Relationship Id="rId5678" Type="http://schemas.openxmlformats.org/officeDocument/2006/relationships/hyperlink" Target="https://chromewebstore.google.com/detail/fkmakjnhammpmefchjkboohfgebblhab" TargetMode="External"/><Relationship Id="rId486" Type="http://schemas.openxmlformats.org/officeDocument/2006/relationships/hyperlink" Target="https://chromewebstore.google.com/detail/nmliklikilkjommabacojbijjimlgjck" TargetMode="External"/><Relationship Id="rId3016" Type="http://schemas.openxmlformats.org/officeDocument/2006/relationships/hyperlink" Target="https://chromewebstore.google.com/detail/hkciiohohfimeecpjoidoipjpalbabld" TargetMode="External"/><Relationship Id="rId4347" Type="http://schemas.openxmlformats.org/officeDocument/2006/relationships/hyperlink" Target="https://chromewebstore.google.com/detail/hkglibabhninbjmaccpajiakojeacnaf" TargetMode="External"/><Relationship Id="rId5675" Type="http://schemas.openxmlformats.org/officeDocument/2006/relationships/hyperlink" Target="https://chromewebstore.google.com/detail/fkfpfifjldhigjfibnnnidopknecocbc" TargetMode="External"/><Relationship Id="rId485" Type="http://schemas.openxmlformats.org/officeDocument/2006/relationships/hyperlink" Target="https://chromewebstore.google.com/detail/nlngjmhlfdekmgoaaiendhkcbhdcedjh" TargetMode="External"/><Relationship Id="rId3015" Type="http://schemas.openxmlformats.org/officeDocument/2006/relationships/hyperlink" Target="https://chromewebstore.google.com/detail/hiaoiehpkillodoeillmodjcadmfmcbg" TargetMode="External"/><Relationship Id="rId4346" Type="http://schemas.openxmlformats.org/officeDocument/2006/relationships/hyperlink" Target="https://chromewebstore.google.com/detail/hkclahnmhniojcpfpkmolmdknbpnaccp" TargetMode="External"/><Relationship Id="rId5676" Type="http://schemas.openxmlformats.org/officeDocument/2006/relationships/hyperlink" Target="https://chromewebstore.google.com/detail/fkhfmlkfiaafmoaobaofhldnlgapekhl" TargetMode="External"/><Relationship Id="rId3007" Type="http://schemas.openxmlformats.org/officeDocument/2006/relationships/hyperlink" Target="https://chromewebstore.google.com/detail/hemgkbfmploojfhljdcpbloffgkfamlb" TargetMode="External"/><Relationship Id="rId4338" Type="http://schemas.openxmlformats.org/officeDocument/2006/relationships/hyperlink" Target="https://chromewebstore.google.com/detail/hglehkpfnjjjnihahbhbppiciggfaphh" TargetMode="External"/><Relationship Id="rId3006" Type="http://schemas.openxmlformats.org/officeDocument/2006/relationships/hyperlink" Target="https://chromewebstore.google.com/detail/heclkjfhijjcnikjhncnihdbcokfdono" TargetMode="External"/><Relationship Id="rId4337" Type="http://schemas.openxmlformats.org/officeDocument/2006/relationships/hyperlink" Target="https://chromewebstore.google.com/detail/hgfcjgkfpcgkpjejigpabfioeghofajm" TargetMode="External"/><Relationship Id="rId3009" Type="http://schemas.openxmlformats.org/officeDocument/2006/relationships/hyperlink" Target="https://chromewebstore.google.com/detail/hflapaedaljpdhhdcdgkmhgmcncdchca" TargetMode="External"/><Relationship Id="rId5668" Type="http://schemas.openxmlformats.org/officeDocument/2006/relationships/hyperlink" Target="https://chromewebstore.google.com/detail/fkcahpakljaenbeobgjlefompnldambb" TargetMode="External"/><Relationship Id="rId6999" Type="http://schemas.openxmlformats.org/officeDocument/2006/relationships/hyperlink" Target="https://chromewebstore.google.com/detail/dncilgghjaocdjgbimbkjpeapednecmj" TargetMode="External"/><Relationship Id="rId3008" Type="http://schemas.openxmlformats.org/officeDocument/2006/relationships/hyperlink" Target="https://chromewebstore.google.com/detail/hfbgaebkpgmceelecplahfjcmpbllpjh" TargetMode="External"/><Relationship Id="rId4339" Type="http://schemas.openxmlformats.org/officeDocument/2006/relationships/hyperlink" Target="https://chromewebstore.google.com/detail/hgoiijmhpdjkmecnlkpdcflgfjebpbhe" TargetMode="External"/><Relationship Id="rId5669" Type="http://schemas.openxmlformats.org/officeDocument/2006/relationships/hyperlink" Target="https://chromewebstore.google.com/detail/fkcljmgncjjkckdandfdodbgdefgbjep" TargetMode="External"/><Relationship Id="rId480" Type="http://schemas.openxmlformats.org/officeDocument/2006/relationships/hyperlink" Target="https://chromewebstore.google.com/detail/mjdchcigpimjbnldeiiaakooipceanbo" TargetMode="External"/><Relationship Id="rId479" Type="http://schemas.openxmlformats.org/officeDocument/2006/relationships/hyperlink" Target="https://chromewebstore.google.com/detail/mcekgmccnieoopjfhjoekehkjkojjnfd" TargetMode="External"/><Relationship Id="rId478" Type="http://schemas.openxmlformats.org/officeDocument/2006/relationships/hyperlink" Target="https://chromewebstore.google.com/detail/lpnepegcocaajhgbpcfajmdnninbjppf" TargetMode="External"/><Relationship Id="rId6990" Type="http://schemas.openxmlformats.org/officeDocument/2006/relationships/hyperlink" Target="https://chromewebstore.google.com/detail/fhemegfjjpfaopgfojmahgbmjjnkldpl" TargetMode="External"/><Relationship Id="rId473" Type="http://schemas.openxmlformats.org/officeDocument/2006/relationships/hyperlink" Target="https://chromewebstore.google.com/detail/lblebdecfhdegbeoejplcpmhibbkbkin" TargetMode="External"/><Relationship Id="rId4330" Type="http://schemas.openxmlformats.org/officeDocument/2006/relationships/hyperlink" Target="https://chromewebstore.google.com/detail/hemkkjpjknkkndhconammdhlhdkjclim" TargetMode="External"/><Relationship Id="rId5662" Type="http://schemas.openxmlformats.org/officeDocument/2006/relationships/hyperlink" Target="https://chromewebstore.google.com/detail/fjgbnnhgejbfgfbofeohlffjlpceejlm" TargetMode="External"/><Relationship Id="rId6993" Type="http://schemas.openxmlformats.org/officeDocument/2006/relationships/hyperlink" Target="https://chromewebstore.google.com/detail/jafbohhbdpejlcfpkbbpkegglokegjid" TargetMode="External"/><Relationship Id="rId472" Type="http://schemas.openxmlformats.org/officeDocument/2006/relationships/hyperlink" Target="https://chromewebstore.google.com/detail/kngfjpghaokedippaapkfihdlmmlafcc" TargetMode="External"/><Relationship Id="rId5663" Type="http://schemas.openxmlformats.org/officeDocument/2006/relationships/hyperlink" Target="https://chromewebstore.google.com/detail/fjggbafppemkjilmleaibofamjedkkgb" TargetMode="External"/><Relationship Id="rId6994" Type="http://schemas.openxmlformats.org/officeDocument/2006/relationships/hyperlink" Target="https://chromewebstore.google.com/detail/pnadejonabhdibgdmgfcomljhddlpfcc" TargetMode="External"/><Relationship Id="rId471" Type="http://schemas.openxmlformats.org/officeDocument/2006/relationships/hyperlink" Target="https://chromewebstore.google.com/detail/kneikgicddfadmnpnjhbfiaoomchignh" TargetMode="External"/><Relationship Id="rId3001" Type="http://schemas.openxmlformats.org/officeDocument/2006/relationships/hyperlink" Target="https://chromewebstore.google.com/detail/gpcloglcoibdbkafhnmghmaeofdikpnm" TargetMode="External"/><Relationship Id="rId4332" Type="http://schemas.openxmlformats.org/officeDocument/2006/relationships/hyperlink" Target="https://chromewebstore.google.com/detail/hfemgdpfoemphmhakjpcbepaggjmhjci" TargetMode="External"/><Relationship Id="rId5660" Type="http://schemas.openxmlformats.org/officeDocument/2006/relationships/hyperlink" Target="https://chromewebstore.google.com/detail/fjeioblmaijiakkflmjnbnhcdmnhlhde" TargetMode="External"/><Relationship Id="rId6991" Type="http://schemas.openxmlformats.org/officeDocument/2006/relationships/hyperlink" Target="https://chromewebstore.google.com/detail/kcmahlhoenfpefmeoihnddopdcdidcjk" TargetMode="External"/><Relationship Id="rId470" Type="http://schemas.openxmlformats.org/officeDocument/2006/relationships/hyperlink" Target="https://chromewebstore.google.com/detail/keigmbfdafflbnbceacbignhkigddiph" TargetMode="External"/><Relationship Id="rId3000" Type="http://schemas.openxmlformats.org/officeDocument/2006/relationships/hyperlink" Target="https://chromewebstore.google.com/detail/gpaagbhojejffmocmmjclhedfijjafja" TargetMode="External"/><Relationship Id="rId4331" Type="http://schemas.openxmlformats.org/officeDocument/2006/relationships/hyperlink" Target="https://chromewebstore.google.com/detail/hfaafepenlpgdjdkhdgdgidipgohdclf" TargetMode="External"/><Relationship Id="rId5661" Type="http://schemas.openxmlformats.org/officeDocument/2006/relationships/hyperlink" Target="https://chromewebstore.google.com/detail/fjfgeonblbdcofcokojamlcnomcdliap" TargetMode="External"/><Relationship Id="rId6992" Type="http://schemas.openxmlformats.org/officeDocument/2006/relationships/hyperlink" Target="https://chromewebstore.google.com/detail/mnannclpojfocmcjfhoicjbkjllajfhg" TargetMode="External"/><Relationship Id="rId477" Type="http://schemas.openxmlformats.org/officeDocument/2006/relationships/hyperlink" Target="https://chromewebstore.google.com/detail/lpmockibcakojclnfmhchibmdpmollgn" TargetMode="External"/><Relationship Id="rId3003" Type="http://schemas.openxmlformats.org/officeDocument/2006/relationships/hyperlink" Target="https://chromewebstore.google.com/detail/hafeeaangmkbibcaahfjdmmmeappjbbp" TargetMode="External"/><Relationship Id="rId4334" Type="http://schemas.openxmlformats.org/officeDocument/2006/relationships/hyperlink" Target="https://chromewebstore.google.com/detail/hfkcemahdlffhnlkogfmddikhggegfmg" TargetMode="External"/><Relationship Id="rId5666" Type="http://schemas.openxmlformats.org/officeDocument/2006/relationships/hyperlink" Target="https://chromewebstore.google.com/detail/fjkmgjdhaagkgbaejlglkiacpfchncke" TargetMode="External"/><Relationship Id="rId6997" Type="http://schemas.openxmlformats.org/officeDocument/2006/relationships/hyperlink" Target="https://chromewebstore.google.com/detail/aigpmdbobjhlndfippahifgfflpbihol" TargetMode="External"/><Relationship Id="rId476" Type="http://schemas.openxmlformats.org/officeDocument/2006/relationships/hyperlink" Target="https://chromewebstore.google.com/detail/lpcaoilgpobajbkiamaojipjddpkkida" TargetMode="External"/><Relationship Id="rId3002" Type="http://schemas.openxmlformats.org/officeDocument/2006/relationships/hyperlink" Target="https://chromewebstore.google.com/detail/gppjmggcabclbfckbgmljnidgemfgjef" TargetMode="External"/><Relationship Id="rId4333" Type="http://schemas.openxmlformats.org/officeDocument/2006/relationships/hyperlink" Target="https://chromewebstore.google.com/detail/hfiffenhnefppjhloglpebefjlbhoeai" TargetMode="External"/><Relationship Id="rId5667" Type="http://schemas.openxmlformats.org/officeDocument/2006/relationships/hyperlink" Target="https://chromewebstore.google.com/detail/fkbigbddainndbfabdcmbhgionobgina" TargetMode="External"/><Relationship Id="rId6998" Type="http://schemas.openxmlformats.org/officeDocument/2006/relationships/hyperlink" Target="https://chromewebstore.google.com/detail/ciipbadfpnjpnnjchpeaiilodeeeekam" TargetMode="External"/><Relationship Id="rId475" Type="http://schemas.openxmlformats.org/officeDocument/2006/relationships/hyperlink" Target="https://chromewebstore.google.com/detail/lmplfbilpbnjhafalmhlkpggbefibode" TargetMode="External"/><Relationship Id="rId3005" Type="http://schemas.openxmlformats.org/officeDocument/2006/relationships/hyperlink" Target="https://chromewebstore.google.com/detail/hdommeagcldeibnepgadkfbhiofkndgf" TargetMode="External"/><Relationship Id="rId4336" Type="http://schemas.openxmlformats.org/officeDocument/2006/relationships/hyperlink" Target="https://chromewebstore.google.com/detail/hgabmgeiblbaoolibacenpdndiepahkk" TargetMode="External"/><Relationship Id="rId5664" Type="http://schemas.openxmlformats.org/officeDocument/2006/relationships/hyperlink" Target="https://chromewebstore.google.com/detail/fjjkbjfmekjgnedpdpgnpjakppmkpidn" TargetMode="External"/><Relationship Id="rId6995" Type="http://schemas.openxmlformats.org/officeDocument/2006/relationships/hyperlink" Target="https://chromewebstore.google.com/detail/fmmpphipbblipmbgcfkenkbfhfchllkf" TargetMode="External"/><Relationship Id="rId474" Type="http://schemas.openxmlformats.org/officeDocument/2006/relationships/hyperlink" Target="https://chromewebstore.google.com/detail/lhgadannddhdpkfhfjjgcpdjhpmjhkfm" TargetMode="External"/><Relationship Id="rId3004" Type="http://schemas.openxmlformats.org/officeDocument/2006/relationships/hyperlink" Target="https://chromewebstore.google.com/detail/hbdmelobmfcompinikjdaiphhonbgfpn" TargetMode="External"/><Relationship Id="rId4335" Type="http://schemas.openxmlformats.org/officeDocument/2006/relationships/hyperlink" Target="https://chromewebstore.google.com/detail/hfnkpihhjamocbcmdcjdbbplgjoklmno" TargetMode="External"/><Relationship Id="rId5665" Type="http://schemas.openxmlformats.org/officeDocument/2006/relationships/hyperlink" Target="https://chromewebstore.google.com/detail/fjjmlofpfnccdaiplopjkgeifgbhiccl" TargetMode="External"/><Relationship Id="rId6996" Type="http://schemas.openxmlformats.org/officeDocument/2006/relationships/hyperlink" Target="https://chromewebstore.google.com/detail/aelhoojncpjocgdcgjfhfgmdklbidflh" TargetMode="External"/><Relationship Id="rId5615" Type="http://schemas.openxmlformats.org/officeDocument/2006/relationships/hyperlink" Target="https://chromewebstore.google.com/detail/feckpephlmdcjnpoclagmaogngeffafk" TargetMode="External"/><Relationship Id="rId6946" Type="http://schemas.openxmlformats.org/officeDocument/2006/relationships/hyperlink" Target="https://chromewebstore.google.com/detail/plfjbbakjphlkdpcdpodaedhicoaloph" TargetMode="External"/><Relationship Id="rId5616" Type="http://schemas.openxmlformats.org/officeDocument/2006/relationships/hyperlink" Target="https://chromewebstore.google.com/detail/fedicaemhcfcmelihceehhaodggfeffm" TargetMode="External"/><Relationship Id="rId6947" Type="http://schemas.openxmlformats.org/officeDocument/2006/relationships/hyperlink" Target="https://chromewebstore.google.com/detail/plgkaedealnnbkngbdgiilehecfbaklm" TargetMode="External"/><Relationship Id="rId5613" Type="http://schemas.openxmlformats.org/officeDocument/2006/relationships/hyperlink" Target="https://chromewebstore.google.com/detail/fdnhgkgdcnekilgcojklcaoleilpaghj" TargetMode="External"/><Relationship Id="rId6944" Type="http://schemas.openxmlformats.org/officeDocument/2006/relationships/hyperlink" Target="https://chromewebstore.google.com/detail/plebhjfgbokgojhikeoibipikgkclihp" TargetMode="External"/><Relationship Id="rId5614" Type="http://schemas.openxmlformats.org/officeDocument/2006/relationships/hyperlink" Target="https://chromewebstore.google.com/detail/feblndkkkcojdijcmdkghckpgjmcjnbd" TargetMode="External"/><Relationship Id="rId6945" Type="http://schemas.openxmlformats.org/officeDocument/2006/relationships/hyperlink" Target="https://chromewebstore.google.com/detail/pleijhempjpmjogomoabhibenbjekhlj" TargetMode="External"/><Relationship Id="rId5619" Type="http://schemas.openxmlformats.org/officeDocument/2006/relationships/hyperlink" Target="https://chromewebstore.google.com/detail/fegapncdamjhcaofcobgedeppgdhpled" TargetMode="External"/><Relationship Id="rId5617" Type="http://schemas.openxmlformats.org/officeDocument/2006/relationships/hyperlink" Target="https://chromewebstore.google.com/detail/fefdekpjmfkgenlofhigjalhkbbedmel" TargetMode="External"/><Relationship Id="rId6948" Type="http://schemas.openxmlformats.org/officeDocument/2006/relationships/hyperlink" Target="https://chromewebstore.google.com/detail/plhigdejmcnjiljpefhbcmllngmmjggp" TargetMode="External"/><Relationship Id="rId5618" Type="http://schemas.openxmlformats.org/officeDocument/2006/relationships/hyperlink" Target="https://chromewebstore.google.com/detail/fefjjiapooggkhiicnofcmlknjgpinop" TargetMode="External"/><Relationship Id="rId6949" Type="http://schemas.openxmlformats.org/officeDocument/2006/relationships/hyperlink" Target="https://chromewebstore.google.com/detail/plldjngagpbkienpplkifjkcoimkeadj" TargetMode="External"/><Relationship Id="rId426" Type="http://schemas.openxmlformats.org/officeDocument/2006/relationships/hyperlink" Target="https://chromewebstore.google.com/detail/nlnpeeaafijaebcdgkdeojkpnkfkjdnh" TargetMode="External"/><Relationship Id="rId425" Type="http://schemas.openxmlformats.org/officeDocument/2006/relationships/hyperlink" Target="https://chromewebstore.google.com/detail/ncppfjladdkdaemaghochfikpmghbcpc" TargetMode="External"/><Relationship Id="rId424" Type="http://schemas.openxmlformats.org/officeDocument/2006/relationships/hyperlink" Target="https://chromewebstore.google.com/detail/mjmgfgodldapcfepblcemihhdenlnimk" TargetMode="External"/><Relationship Id="rId423" Type="http://schemas.openxmlformats.org/officeDocument/2006/relationships/hyperlink" Target="https://chromewebstore.google.com/detail/mjicdmidmifkppilbbcanmnljpffmfmh" TargetMode="External"/><Relationship Id="rId429" Type="http://schemas.openxmlformats.org/officeDocument/2006/relationships/hyperlink" Target="https://chromewebstore.google.com/detail/pbnndmlekkboofhnbonilimejonapojg" TargetMode="External"/><Relationship Id="rId428" Type="http://schemas.openxmlformats.org/officeDocument/2006/relationships/hyperlink" Target="https://chromewebstore.google.com/detail/occpjibghkbopohbefbejkklnfdkdmok" TargetMode="External"/><Relationship Id="rId427" Type="http://schemas.openxmlformats.org/officeDocument/2006/relationships/hyperlink" Target="https://chromewebstore.google.com/detail/oallcdoceahndjmaalbicbcgpfnajgae" TargetMode="External"/><Relationship Id="rId422" Type="http://schemas.openxmlformats.org/officeDocument/2006/relationships/hyperlink" Target="https://chromewebstore.google.com/detail/mghenlmbmjcpehccoangkdpagbcbkdpc" TargetMode="External"/><Relationship Id="rId5611" Type="http://schemas.openxmlformats.org/officeDocument/2006/relationships/hyperlink" Target="https://chromewebstore.google.com/detail/fdmmgnabliecegmbnmmihidbnmdjmflh" TargetMode="External"/><Relationship Id="rId6942" Type="http://schemas.openxmlformats.org/officeDocument/2006/relationships/hyperlink" Target="https://chromewebstore.google.com/detail/pkoehcnndieoekjpcdebhnpafbfmngce" TargetMode="External"/><Relationship Id="rId421" Type="http://schemas.openxmlformats.org/officeDocument/2006/relationships/hyperlink" Target="https://chromewebstore.google.com/detail/mfdbamkphjbmacjbmaipkdicefagjjlp" TargetMode="External"/><Relationship Id="rId5612" Type="http://schemas.openxmlformats.org/officeDocument/2006/relationships/hyperlink" Target="https://chromewebstore.google.com/detail/fdmmjeeidodfpcijanldnemdkagoplfh" TargetMode="External"/><Relationship Id="rId6943" Type="http://schemas.openxmlformats.org/officeDocument/2006/relationships/hyperlink" Target="https://chromewebstore.google.com/detail/pkomofdgjghnedcjkppnmccboacbodbp" TargetMode="External"/><Relationship Id="rId420" Type="http://schemas.openxmlformats.org/officeDocument/2006/relationships/hyperlink" Target="https://chromewebstore.google.com/detail/mbomllgopkebhhnljlgikdicedmnpknl" TargetMode="External"/><Relationship Id="rId6940" Type="http://schemas.openxmlformats.org/officeDocument/2006/relationships/hyperlink" Target="https://chromewebstore.google.com/detail/pklakpjfiegjacoppcodencchehlfnpd" TargetMode="External"/><Relationship Id="rId5610" Type="http://schemas.openxmlformats.org/officeDocument/2006/relationships/hyperlink" Target="https://chromewebstore.google.com/detail/fdmdnnfdofijijgcbhdbnlohaabnmdkb" TargetMode="External"/><Relationship Id="rId6941" Type="http://schemas.openxmlformats.org/officeDocument/2006/relationships/hyperlink" Target="https://chromewebstore.google.com/detail/pklnbjkiadglpemlgdaheegaehhlehlp" TargetMode="External"/><Relationship Id="rId5604" Type="http://schemas.openxmlformats.org/officeDocument/2006/relationships/hyperlink" Target="https://chromewebstore.google.com/detail/fcmkdcldohbdlglienjjldifpahkkond" TargetMode="External"/><Relationship Id="rId6935" Type="http://schemas.openxmlformats.org/officeDocument/2006/relationships/hyperlink" Target="https://chromewebstore.google.com/detail/pkbhkhbgdaamliaimlpdlhokkecoibka" TargetMode="External"/><Relationship Id="rId5605" Type="http://schemas.openxmlformats.org/officeDocument/2006/relationships/hyperlink" Target="https://chromewebstore.google.com/detail/fcomjgibcahinagaaoihliepblakkcdd" TargetMode="External"/><Relationship Id="rId6936" Type="http://schemas.openxmlformats.org/officeDocument/2006/relationships/hyperlink" Target="https://chromewebstore.google.com/detail/pkckpaaolokjkclbambhmcokaahignkc" TargetMode="External"/><Relationship Id="rId5602" Type="http://schemas.openxmlformats.org/officeDocument/2006/relationships/hyperlink" Target="https://chromewebstore.google.com/detail/fcliomgofohffdcmapnabhpgcemjjhin" TargetMode="External"/><Relationship Id="rId6933" Type="http://schemas.openxmlformats.org/officeDocument/2006/relationships/hyperlink" Target="https://chromewebstore.google.com/detail/pkaoiecplgdldkfihclpndbakokopjde" TargetMode="External"/><Relationship Id="rId5603" Type="http://schemas.openxmlformats.org/officeDocument/2006/relationships/hyperlink" Target="https://chromewebstore.google.com/detail/fcmiopamalpkecdfjfkmmdlojjhdjfim" TargetMode="External"/><Relationship Id="rId6934" Type="http://schemas.openxmlformats.org/officeDocument/2006/relationships/hyperlink" Target="https://chromewebstore.google.com/detail/pkbafmmljafiakicginonlmhmobfeeeh" TargetMode="External"/><Relationship Id="rId5608" Type="http://schemas.openxmlformats.org/officeDocument/2006/relationships/hyperlink" Target="https://chromewebstore.google.com/detail/fdgapbbhfnchidhmpjahegjmpnfdldhn" TargetMode="External"/><Relationship Id="rId6939" Type="http://schemas.openxmlformats.org/officeDocument/2006/relationships/hyperlink" Target="https://chromewebstore.google.com/detail/pkklnaklcgpbepjfpdapabdmbhpjkgjp" TargetMode="External"/><Relationship Id="rId5609" Type="http://schemas.openxmlformats.org/officeDocument/2006/relationships/hyperlink" Target="https://chromewebstore.google.com/detail/fdjghmbmljbhojdgegmhhbkhgoacgdcb" TargetMode="External"/><Relationship Id="rId5606" Type="http://schemas.openxmlformats.org/officeDocument/2006/relationships/hyperlink" Target="https://chromewebstore.google.com/detail/fdbennihdlknligjbmnimidhimbnhkoj" TargetMode="External"/><Relationship Id="rId6937" Type="http://schemas.openxmlformats.org/officeDocument/2006/relationships/hyperlink" Target="https://chromewebstore.google.com/detail/pkidecliagangmpphpelecaoogfbnihi" TargetMode="External"/><Relationship Id="rId5607" Type="http://schemas.openxmlformats.org/officeDocument/2006/relationships/hyperlink" Target="https://chromewebstore.google.com/detail/fdgajmekgmeingahdbcogkbgnpodoihh" TargetMode="External"/><Relationship Id="rId6938" Type="http://schemas.openxmlformats.org/officeDocument/2006/relationships/hyperlink" Target="https://chromewebstore.google.com/detail/pkjgpdkpjnbjmnjdkbpdfdhlgbadhhol" TargetMode="External"/><Relationship Id="rId415" Type="http://schemas.openxmlformats.org/officeDocument/2006/relationships/hyperlink" Target="https://chromewebstore.google.com/detail/lajchlhgfdaopdpingpkefbggcegkgla" TargetMode="External"/><Relationship Id="rId414" Type="http://schemas.openxmlformats.org/officeDocument/2006/relationships/hyperlink" Target="https://chromewebstore.google.com/detail/kpbgepniagkhbpbnbelghdjcmgladefd" TargetMode="External"/><Relationship Id="rId413" Type="http://schemas.openxmlformats.org/officeDocument/2006/relationships/hyperlink" Target="https://chromewebstore.google.com/detail/kjhdffcfinhkdfbbhjlfoadcdfgihmlp" TargetMode="External"/><Relationship Id="rId412" Type="http://schemas.openxmlformats.org/officeDocument/2006/relationships/hyperlink" Target="https://chromewebstore.google.com/detail/kidibbfcblfbbafhnlanccjjdehoahep" TargetMode="External"/><Relationship Id="rId419" Type="http://schemas.openxmlformats.org/officeDocument/2006/relationships/hyperlink" Target="https://chromewebstore.google.com/detail/mafjndpogghbanhhkaclhkbknfdgjngm" TargetMode="External"/><Relationship Id="rId418" Type="http://schemas.openxmlformats.org/officeDocument/2006/relationships/hyperlink" Target="https://chromewebstore.google.com/detail/lppkddfmnlpjbojooindbmcokchjgbib" TargetMode="External"/><Relationship Id="rId417" Type="http://schemas.openxmlformats.org/officeDocument/2006/relationships/hyperlink" Target="https://chromewebstore.google.com/detail/lmbegcmkonokdjbhbamhpmkihpachdbk" TargetMode="External"/><Relationship Id="rId416" Type="http://schemas.openxmlformats.org/officeDocument/2006/relationships/hyperlink" Target="https://chromewebstore.google.com/detail/lhcnbocbalolokdppbnnamdhpclimhoa" TargetMode="External"/><Relationship Id="rId411" Type="http://schemas.openxmlformats.org/officeDocument/2006/relationships/hyperlink" Target="https://chromewebstore.google.com/detail/kclbicheojedbinfjdjjolmciodoihkl" TargetMode="External"/><Relationship Id="rId5600" Type="http://schemas.openxmlformats.org/officeDocument/2006/relationships/hyperlink" Target="https://chromewebstore.google.com/detail/fcihkahjnapdpnenlljgphabbadckoil" TargetMode="External"/><Relationship Id="rId6931" Type="http://schemas.openxmlformats.org/officeDocument/2006/relationships/hyperlink" Target="https://chromewebstore.google.com/detail/pjogcfefhpolfclgebhfpambjlndbpek" TargetMode="External"/><Relationship Id="rId410" Type="http://schemas.openxmlformats.org/officeDocument/2006/relationships/hyperlink" Target="https://chromewebstore.google.com/detail/kbgigmcnifmaklccibmlepmahpfdhjch" TargetMode="External"/><Relationship Id="rId5601" Type="http://schemas.openxmlformats.org/officeDocument/2006/relationships/hyperlink" Target="https://chromewebstore.google.com/detail/fckoocndimgbeagiamkcnkbnfmkpdopp" TargetMode="External"/><Relationship Id="rId6932" Type="http://schemas.openxmlformats.org/officeDocument/2006/relationships/hyperlink" Target="https://chromewebstore.google.com/detail/pjoipnocgklcnjhohaaeffemifmbnkho" TargetMode="External"/><Relationship Id="rId6930" Type="http://schemas.openxmlformats.org/officeDocument/2006/relationships/hyperlink" Target="https://chromewebstore.google.com/detail/pjmmkidfflgolkfgcgpjhpdiimenoodn" TargetMode="External"/><Relationship Id="rId4305" Type="http://schemas.openxmlformats.org/officeDocument/2006/relationships/hyperlink" Target="https://chromewebstore.google.com/detail/gpcddccmdcalkmfjicallifmnddihkgp" TargetMode="External"/><Relationship Id="rId5637" Type="http://schemas.openxmlformats.org/officeDocument/2006/relationships/hyperlink" Target="https://chromewebstore.google.com/detail/fglobbnbihckpkodmeefhagijjcjnbeh" TargetMode="External"/><Relationship Id="rId6968" Type="http://schemas.openxmlformats.org/officeDocument/2006/relationships/hyperlink" Target="https://chromewebstore.google.com/detail/pnmdcoaajafdppfpioijldebfbpogopn" TargetMode="External"/><Relationship Id="rId4304" Type="http://schemas.openxmlformats.org/officeDocument/2006/relationships/hyperlink" Target="https://chromewebstore.google.com/detail/gooemkdilmkoeinjobpbmgbogjopbbif" TargetMode="External"/><Relationship Id="rId5638" Type="http://schemas.openxmlformats.org/officeDocument/2006/relationships/hyperlink" Target="https://chromewebstore.google.com/detail/fgnnjldhcpkgffephopliioangockjgk" TargetMode="External"/><Relationship Id="rId6969" Type="http://schemas.openxmlformats.org/officeDocument/2006/relationships/hyperlink" Target="https://chromewebstore.google.com/detail/pnmlfkjgmkpeganjbhhefogaijonppik" TargetMode="External"/><Relationship Id="rId4307" Type="http://schemas.openxmlformats.org/officeDocument/2006/relationships/hyperlink" Target="https://chromewebstore.google.com/detail/gpkimglohcihapifmlbojjpdgeiejcip" TargetMode="External"/><Relationship Id="rId5635" Type="http://schemas.openxmlformats.org/officeDocument/2006/relationships/hyperlink" Target="https://chromewebstore.google.com/detail/fghlihhodmdhjbflkmhmfaibhilclahc" TargetMode="External"/><Relationship Id="rId6966" Type="http://schemas.openxmlformats.org/officeDocument/2006/relationships/hyperlink" Target="https://chromewebstore.google.com/detail/pnlmgagkccpjblmmooeigomkjgmncjbp" TargetMode="External"/><Relationship Id="rId4306" Type="http://schemas.openxmlformats.org/officeDocument/2006/relationships/hyperlink" Target="https://chromewebstore.google.com/detail/gpcjjddhdnilcbddlonlfgdbejfboonn" TargetMode="External"/><Relationship Id="rId5636" Type="http://schemas.openxmlformats.org/officeDocument/2006/relationships/hyperlink" Target="https://chromewebstore.google.com/detail/fgjkpniomfjjdnmnahjeglgobdlmglma" TargetMode="External"/><Relationship Id="rId6967" Type="http://schemas.openxmlformats.org/officeDocument/2006/relationships/hyperlink" Target="https://chromewebstore.google.com/detail/pnlmgdnhaomgoadfilnfjhkfegeeamfh" TargetMode="External"/><Relationship Id="rId4309" Type="http://schemas.openxmlformats.org/officeDocument/2006/relationships/hyperlink" Target="https://chromewebstore.google.com/detail/gppjdeelhcpegjlfgfjnbeljgbcejbmp" TargetMode="External"/><Relationship Id="rId4308" Type="http://schemas.openxmlformats.org/officeDocument/2006/relationships/hyperlink" Target="https://chromewebstore.google.com/detail/gpnjkkgajfmdmbbpadigjlhpkaopfccl" TargetMode="External"/><Relationship Id="rId5639" Type="http://schemas.openxmlformats.org/officeDocument/2006/relationships/hyperlink" Target="https://chromewebstore.google.com/detail/fgnpiobcofdgpanjebklpihjmnhfdhic" TargetMode="External"/><Relationship Id="rId448" Type="http://schemas.openxmlformats.org/officeDocument/2006/relationships/hyperlink" Target="https://chromewebstore.google.com/detail/dkkfampndkdnjffkleokegfnibnnjfah" TargetMode="External"/><Relationship Id="rId447" Type="http://schemas.openxmlformats.org/officeDocument/2006/relationships/hyperlink" Target="https://chromewebstore.google.com/detail/dkgoclojlihiolngeagmhkjiglmoeeic" TargetMode="External"/><Relationship Id="rId446" Type="http://schemas.openxmlformats.org/officeDocument/2006/relationships/hyperlink" Target="https://chromewebstore.google.com/detail/ddbjnfjiigjmcpcpkmhogomapikjbjdk" TargetMode="External"/><Relationship Id="rId445" Type="http://schemas.openxmlformats.org/officeDocument/2006/relationships/hyperlink" Target="https://chromewebstore.google.com/detail/cmogeohlpljgihhbafbnincahfmafbfn" TargetMode="External"/><Relationship Id="rId449" Type="http://schemas.openxmlformats.org/officeDocument/2006/relationships/hyperlink" Target="https://chromewebstore.google.com/detail/dminbokeajnkkikeiepfhlgijfjjmdkf" TargetMode="External"/><Relationship Id="rId440" Type="http://schemas.openxmlformats.org/officeDocument/2006/relationships/hyperlink" Target="https://chromewebstore.google.com/detail/caahnegbjfcllcodihpdjahggfbeleie" TargetMode="External"/><Relationship Id="rId6960" Type="http://schemas.openxmlformats.org/officeDocument/2006/relationships/hyperlink" Target="https://chromewebstore.google.com/detail/pndegigbkdknlmlhgmikdlgnlibhpell" TargetMode="External"/><Relationship Id="rId5630" Type="http://schemas.openxmlformats.org/officeDocument/2006/relationships/hyperlink" Target="https://chromewebstore.google.com/detail/ffndamophekokjpnlnmgpdglkmjkcdfc" TargetMode="External"/><Relationship Id="rId6961" Type="http://schemas.openxmlformats.org/officeDocument/2006/relationships/hyperlink" Target="https://chromewebstore.google.com/detail/pnfpeedickdijmfpfcdgcofpoemmdpgi" TargetMode="External"/><Relationship Id="rId444" Type="http://schemas.openxmlformats.org/officeDocument/2006/relationships/hyperlink" Target="https://chromewebstore.google.com/detail/clmabinlolakdafkoajkfjjengcdmnpm" TargetMode="External"/><Relationship Id="rId4301" Type="http://schemas.openxmlformats.org/officeDocument/2006/relationships/hyperlink" Target="https://chromewebstore.google.com/detail/goinehmnmhnoaepodbngfgdgjeibgelh" TargetMode="External"/><Relationship Id="rId5633" Type="http://schemas.openxmlformats.org/officeDocument/2006/relationships/hyperlink" Target="https://chromewebstore.google.com/detail/fgfmogmmpgfolmebmimlnjbmhecinngd" TargetMode="External"/><Relationship Id="rId6964" Type="http://schemas.openxmlformats.org/officeDocument/2006/relationships/hyperlink" Target="https://chromewebstore.google.com/detail/pnidkiailngiifhiamapafedcpepgdge" TargetMode="External"/><Relationship Id="rId443" Type="http://schemas.openxmlformats.org/officeDocument/2006/relationships/hyperlink" Target="https://chromewebstore.google.com/detail/cfaglmggimoleoclaghmmboppofffdda" TargetMode="External"/><Relationship Id="rId4300" Type="http://schemas.openxmlformats.org/officeDocument/2006/relationships/hyperlink" Target="https://chromewebstore.google.com/detail/gocmebnobccjiigdnakfmlieghedgdhk" TargetMode="External"/><Relationship Id="rId5634" Type="http://schemas.openxmlformats.org/officeDocument/2006/relationships/hyperlink" Target="https://chromewebstore.google.com/detail/fggehoeohlcblgnaocikggnblikbokdi" TargetMode="External"/><Relationship Id="rId6965" Type="http://schemas.openxmlformats.org/officeDocument/2006/relationships/hyperlink" Target="https://chromewebstore.google.com/detail/pniopfmciclllcpockpkgceikipiibol" TargetMode="External"/><Relationship Id="rId442" Type="http://schemas.openxmlformats.org/officeDocument/2006/relationships/hyperlink" Target="https://chromewebstore.google.com/detail/cegddajdfabllncgnkadccjdkffbnolk" TargetMode="External"/><Relationship Id="rId4303" Type="http://schemas.openxmlformats.org/officeDocument/2006/relationships/hyperlink" Target="https://chromewebstore.google.com/detail/gomddcmabinakjildbgfoabbiakfkkfk" TargetMode="External"/><Relationship Id="rId5631" Type="http://schemas.openxmlformats.org/officeDocument/2006/relationships/hyperlink" Target="https://chromewebstore.google.com/detail/ffpifaemeofjmncjdbegmbpcdaemkeoc" TargetMode="External"/><Relationship Id="rId6962" Type="http://schemas.openxmlformats.org/officeDocument/2006/relationships/hyperlink" Target="https://chromewebstore.google.com/detail/pnhaaddlgbpchligciolcdjgndcpelee" TargetMode="External"/><Relationship Id="rId441" Type="http://schemas.openxmlformats.org/officeDocument/2006/relationships/hyperlink" Target="https://chromewebstore.google.com/detail/cacfnookefkldifaigjdedpophfjkjeh" TargetMode="External"/><Relationship Id="rId4302" Type="http://schemas.openxmlformats.org/officeDocument/2006/relationships/hyperlink" Target="https://chromewebstore.google.com/detail/gokdopjgopnkdginfdjhpbakchalalfp" TargetMode="External"/><Relationship Id="rId5632" Type="http://schemas.openxmlformats.org/officeDocument/2006/relationships/hyperlink" Target="https://chromewebstore.google.com/detail/ffpkcknolpnlaecifjnpembbfnbknahd" TargetMode="External"/><Relationship Id="rId6963" Type="http://schemas.openxmlformats.org/officeDocument/2006/relationships/hyperlink" Target="https://chromewebstore.google.com/detail/pnhnmmcigmleaooedjnodnioapklfngc" TargetMode="External"/><Relationship Id="rId5626" Type="http://schemas.openxmlformats.org/officeDocument/2006/relationships/hyperlink" Target="https://chromewebstore.google.com/detail/fepoafffphkpcnmmomcofalajmobmojj" TargetMode="External"/><Relationship Id="rId6957" Type="http://schemas.openxmlformats.org/officeDocument/2006/relationships/hyperlink" Target="https://chromewebstore.google.com/detail/pnamgombpjfancnbmlnlbeianoodojhi" TargetMode="External"/><Relationship Id="rId5627" Type="http://schemas.openxmlformats.org/officeDocument/2006/relationships/hyperlink" Target="https://chromewebstore.google.com/detail/ffemldjbbfhimggdkkckolidemlllklk" TargetMode="External"/><Relationship Id="rId6958" Type="http://schemas.openxmlformats.org/officeDocument/2006/relationships/hyperlink" Target="https://chromewebstore.google.com/detail/pnbmplojlceadfbbaoihkhmefocedchm" TargetMode="External"/><Relationship Id="rId5624" Type="http://schemas.openxmlformats.org/officeDocument/2006/relationships/hyperlink" Target="https://chromewebstore.google.com/detail/femhimekihpocbkdfimhojklmhkniami" TargetMode="External"/><Relationship Id="rId6955" Type="http://schemas.openxmlformats.org/officeDocument/2006/relationships/hyperlink" Target="https://chromewebstore.google.com/detail/pmjjijdigbmcgnmkmgkcboemdggjgpog" TargetMode="External"/><Relationship Id="rId5625" Type="http://schemas.openxmlformats.org/officeDocument/2006/relationships/hyperlink" Target="https://chromewebstore.google.com/detail/fenhpkaocajfmpchcojgniehkamhkafp" TargetMode="External"/><Relationship Id="rId6956" Type="http://schemas.openxmlformats.org/officeDocument/2006/relationships/hyperlink" Target="https://chromewebstore.google.com/detail/pmngpbahkehcgeppngnbnfbmmdclkddj" TargetMode="External"/><Relationship Id="rId5628" Type="http://schemas.openxmlformats.org/officeDocument/2006/relationships/hyperlink" Target="https://chromewebstore.google.com/detail/fffhehmjhahdjnenkogpejaknlgacanj" TargetMode="External"/><Relationship Id="rId6959" Type="http://schemas.openxmlformats.org/officeDocument/2006/relationships/hyperlink" Target="https://chromewebstore.google.com/detail/pncfaijgefbolbapchmpkfkjpgjelclh" TargetMode="External"/><Relationship Id="rId5629" Type="http://schemas.openxmlformats.org/officeDocument/2006/relationships/hyperlink" Target="http://dobromat.sk" TargetMode="External"/><Relationship Id="rId437" Type="http://schemas.openxmlformats.org/officeDocument/2006/relationships/hyperlink" Target="https://chromewebstore.google.com/detail/bdkjmbcncndimgnfckabiinbjdfnkahj" TargetMode="External"/><Relationship Id="rId436" Type="http://schemas.openxmlformats.org/officeDocument/2006/relationships/hyperlink" Target="https://chromewebstore.google.com/detail/bcennaiejdjpomgmmohhpgnjlmpcjmbg" TargetMode="External"/><Relationship Id="rId435" Type="http://schemas.openxmlformats.org/officeDocument/2006/relationships/hyperlink" Target="https://chromewebstore.google.com/detail/bbebbhmelpcfmijoanocdliephmoahln" TargetMode="External"/><Relationship Id="rId434" Type="http://schemas.openxmlformats.org/officeDocument/2006/relationships/hyperlink" Target="https://chromewebstore.google.com/detail/anbfhidldjknonaihbalghlebaijealk" TargetMode="External"/><Relationship Id="rId439" Type="http://schemas.openxmlformats.org/officeDocument/2006/relationships/hyperlink" Target="https://chromewebstore.google.com/detail/bikpkcdadljalhghbbipfkkhocppkhob" TargetMode="External"/><Relationship Id="rId438" Type="http://schemas.openxmlformats.org/officeDocument/2006/relationships/hyperlink" Target="https://chromewebstore.google.com/detail/bijpdibkloghppkbmhcklkogpjaenfkg" TargetMode="External"/><Relationship Id="rId6950" Type="http://schemas.openxmlformats.org/officeDocument/2006/relationships/hyperlink" Target="https://chromewebstore.google.com/detail/plpahoandlbofpfpikiklmobalngapjl" TargetMode="External"/><Relationship Id="rId433" Type="http://schemas.openxmlformats.org/officeDocument/2006/relationships/hyperlink" Target="https://chromewebstore.google.com/detail/aadahadfdmiibmdhfmpbeeebejmjnkef" TargetMode="External"/><Relationship Id="rId5622" Type="http://schemas.openxmlformats.org/officeDocument/2006/relationships/hyperlink" Target="https://chromewebstore.google.com/detail/fejgbfmdlplhjkbpmnedfonifhajinck" TargetMode="External"/><Relationship Id="rId6953" Type="http://schemas.openxmlformats.org/officeDocument/2006/relationships/hyperlink" Target="https://chromewebstore.google.com/detail/pmbnnghficmddkpcgmohhbecmmaoenal" TargetMode="External"/><Relationship Id="rId432" Type="http://schemas.openxmlformats.org/officeDocument/2006/relationships/hyperlink" Target="https://chromewebstore.google.com/detail/ppdadbejkmjnefldpcdjhnkpbjkikoip" TargetMode="External"/><Relationship Id="rId5623" Type="http://schemas.openxmlformats.org/officeDocument/2006/relationships/hyperlink" Target="https://chromewebstore.google.com/detail/fekjpjaehfnfhcbakbkkhbjfcpmaffff" TargetMode="External"/><Relationship Id="rId6954" Type="http://schemas.openxmlformats.org/officeDocument/2006/relationships/hyperlink" Target="https://chromewebstore.google.com/detail/pmdfjdiiiacncpgmjmeicdoidkaadjde" TargetMode="External"/><Relationship Id="rId431" Type="http://schemas.openxmlformats.org/officeDocument/2006/relationships/hyperlink" Target="https://chromewebstore.google.com/detail/pgmjaihnmedpcdkjcgigocogcbffgkbn" TargetMode="External"/><Relationship Id="rId5620" Type="http://schemas.openxmlformats.org/officeDocument/2006/relationships/hyperlink" Target="https://chromewebstore.google.com/detail/fehnbjiphphbebcfgjmmffcfmnohcgbb" TargetMode="External"/><Relationship Id="rId6951" Type="http://schemas.openxmlformats.org/officeDocument/2006/relationships/hyperlink" Target="https://chromewebstore.google.com/detail/plphehondjjchhnmgaaabelaobbkjofc" TargetMode="External"/><Relationship Id="rId430" Type="http://schemas.openxmlformats.org/officeDocument/2006/relationships/hyperlink" Target="https://chromewebstore.google.com/detail/pffnpnkjfbkdecgjajdjailghedhgnfg" TargetMode="External"/><Relationship Id="rId5621" Type="http://schemas.openxmlformats.org/officeDocument/2006/relationships/hyperlink" Target="https://chromewebstore.google.com/detail/feiheebgoilmbkaddngcoocjbogfchlb" TargetMode="External"/><Relationship Id="rId6952" Type="http://schemas.openxmlformats.org/officeDocument/2006/relationships/hyperlink" Target="https://chromewebstore.google.com/detail/pmbfkcgplcmlmoccjbcgmopkbefndhpd" TargetMode="External"/><Relationship Id="rId6108" Type="http://schemas.openxmlformats.org/officeDocument/2006/relationships/hyperlink" Target="https://chromewebstore.google.com/detail/jffahhmaajjplmpgfpeihhifecgcocmk" TargetMode="External"/><Relationship Id="rId6109" Type="http://schemas.openxmlformats.org/officeDocument/2006/relationships/hyperlink" Target="https://chromewebstore.google.com/detail/jfiaocmgamojjagpllpljapgekgmkaje" TargetMode="External"/><Relationship Id="rId7439" Type="http://schemas.openxmlformats.org/officeDocument/2006/relationships/hyperlink" Target="https://chromewebstore.google.com/detail/ppdjcaigbogfcfmakohpecocdjfjdopk" TargetMode="External"/><Relationship Id="rId7430" Type="http://schemas.openxmlformats.org/officeDocument/2006/relationships/hyperlink" Target="https://chromewebstore.google.com/detail/nophchlleabfnhjonhnhjiacdjhjkghb" TargetMode="External"/><Relationship Id="rId8761" Type="http://schemas.openxmlformats.org/officeDocument/2006/relationships/hyperlink" Target="https://chromewebstore.google.com/detail/fepmcjghfpdmhdfbdckdfhckcmcfegpb" TargetMode="External"/><Relationship Id="rId8760" Type="http://schemas.openxmlformats.org/officeDocument/2006/relationships/hyperlink" Target="https://chromewebstore.google.com/detail/ejdaeiahdnabjhceoobekpekohcileep" TargetMode="External"/><Relationship Id="rId6102" Type="http://schemas.openxmlformats.org/officeDocument/2006/relationships/hyperlink" Target="https://chromewebstore.google.com/detail/jedmfdadjflnlakpidicccpibkdfpeap" TargetMode="External"/><Relationship Id="rId7434" Type="http://schemas.openxmlformats.org/officeDocument/2006/relationships/hyperlink" Target="https://chromewebstore.google.com/detail/ekjpkajimfmgjiammkidbhomndojnpbb" TargetMode="External"/><Relationship Id="rId8765" Type="http://schemas.openxmlformats.org/officeDocument/2006/relationships/hyperlink" Target="https://chromewebstore.google.com/detail/bnjdbijgcgbpnghpipedgnfedmpodnom" TargetMode="External"/><Relationship Id="rId6103" Type="http://schemas.openxmlformats.org/officeDocument/2006/relationships/hyperlink" Target="https://chromewebstore.google.com/detail/jeeilfacglnffgflhgmciaegglekjlod" TargetMode="External"/><Relationship Id="rId7433" Type="http://schemas.openxmlformats.org/officeDocument/2006/relationships/hyperlink" Target="https://chromewebstore.google.com/detail/eafmdhegblfeilejhmieheapmlpdeklm" TargetMode="External"/><Relationship Id="rId8764" Type="http://schemas.openxmlformats.org/officeDocument/2006/relationships/hyperlink" Target="http://muunship.com" TargetMode="External"/><Relationship Id="rId6100" Type="http://schemas.openxmlformats.org/officeDocument/2006/relationships/hyperlink" Target="https://chromewebstore.google.com/detail/jeccccjfpjoheejopfjmhcbkdeiohfgg" TargetMode="External"/><Relationship Id="rId7432" Type="http://schemas.openxmlformats.org/officeDocument/2006/relationships/hyperlink" Target="https://chromewebstore.google.com/detail/ckjogkiieodbdmkeabpnhdaagilainco" TargetMode="External"/><Relationship Id="rId8763" Type="http://schemas.openxmlformats.org/officeDocument/2006/relationships/hyperlink" Target="https://chromewebstore.google.com/detail/oamfgaophpgocppjcgfobkbkkeehionm" TargetMode="External"/><Relationship Id="rId6101" Type="http://schemas.openxmlformats.org/officeDocument/2006/relationships/hyperlink" Target="https://chromewebstore.google.com/detail/jecjgcceeafhbkoemdmeocbdphhacbfi" TargetMode="External"/><Relationship Id="rId7431" Type="http://schemas.openxmlformats.org/officeDocument/2006/relationships/hyperlink" Target="https://chromewebstore.google.com/detail/palhkglkelpleoalemmjdhbdckkikjmo" TargetMode="External"/><Relationship Id="rId8762" Type="http://schemas.openxmlformats.org/officeDocument/2006/relationships/hyperlink" Target="https://chromewebstore.google.com/detail/ijfnjhlohbehhlhhokgokabonpnlldon" TargetMode="External"/><Relationship Id="rId6106" Type="http://schemas.openxmlformats.org/officeDocument/2006/relationships/hyperlink" Target="https://chromewebstore.google.com/detail/jfbodkjgjenlagkjepebmpnhekihgplo" TargetMode="External"/><Relationship Id="rId7438" Type="http://schemas.openxmlformats.org/officeDocument/2006/relationships/hyperlink" Target="https://chromewebstore.google.com/detail/poobeppenopkcbjejfjenbiepifcbclg" TargetMode="External"/><Relationship Id="rId8769" Type="http://schemas.openxmlformats.org/officeDocument/2006/relationships/hyperlink" Target="https://chromewebstore.google.com/detail/jfmggnnekbfhbphpfdcbpdeibilpkfck" TargetMode="External"/><Relationship Id="rId6107" Type="http://schemas.openxmlformats.org/officeDocument/2006/relationships/hyperlink" Target="https://chromewebstore.google.com/detail/jfempmidaeihapfgebideoelfjgnegab" TargetMode="External"/><Relationship Id="rId7437" Type="http://schemas.openxmlformats.org/officeDocument/2006/relationships/hyperlink" Target="https://chromewebstore.google.com/detail/poannipkjoijnlchnpljlhgphaappbkf" TargetMode="External"/><Relationship Id="rId8768" Type="http://schemas.openxmlformats.org/officeDocument/2006/relationships/hyperlink" Target="https://chromewebstore.google.com/detail/gblfkgdklcmdedpcdedhoepgdldkfkfg" TargetMode="External"/><Relationship Id="rId6104" Type="http://schemas.openxmlformats.org/officeDocument/2006/relationships/hyperlink" Target="https://chromewebstore.google.com/detail/jefpknpgklhhhnagffflpaffceilmohg" TargetMode="External"/><Relationship Id="rId7436" Type="http://schemas.openxmlformats.org/officeDocument/2006/relationships/hyperlink" Target="https://chromewebstore.google.com/detail/mnjomdibnloobkbgdaaplldfihfhpnbm" TargetMode="External"/><Relationship Id="rId8767" Type="http://schemas.openxmlformats.org/officeDocument/2006/relationships/hyperlink" Target="https://chromewebstore.google.com/detail/fagmfkolmknblpackhiildiemhmfnomn" TargetMode="External"/><Relationship Id="rId6105" Type="http://schemas.openxmlformats.org/officeDocument/2006/relationships/hyperlink" Target="https://chromewebstore.google.com/detail/jellomkphijifcoeoefbniimkdehcjfl" TargetMode="External"/><Relationship Id="rId7435" Type="http://schemas.openxmlformats.org/officeDocument/2006/relationships/hyperlink" Target="https://chromewebstore.google.com/detail/igccnpemgifkkpnlhbebglclbgofpemb" TargetMode="External"/><Relationship Id="rId8766" Type="http://schemas.openxmlformats.org/officeDocument/2006/relationships/hyperlink" Target="https://chromewebstore.google.com/detail/dinicgnlokehfhgdpnmochdhhhcfgiga" TargetMode="External"/><Relationship Id="rId7429" Type="http://schemas.openxmlformats.org/officeDocument/2006/relationships/hyperlink" Target="https://chromewebstore.google.com/detail/gcfemncaehdhehnidnegppgofnmomido" TargetMode="External"/><Relationship Id="rId7428" Type="http://schemas.openxmlformats.org/officeDocument/2006/relationships/hyperlink" Target="https://chromewebstore.google.com/detail/dpealgnedanapbepaegeajlhpbidbifg" TargetMode="External"/><Relationship Id="rId8759" Type="http://schemas.openxmlformats.org/officeDocument/2006/relationships/hyperlink" Target="https://chromewebstore.google.com/detail/ebijidmcbgegeollecfmniimekemhlmk" TargetMode="External"/><Relationship Id="rId8750" Type="http://schemas.openxmlformats.org/officeDocument/2006/relationships/hyperlink" Target="https://chromewebstore.google.com/detail/jajfnignhamaakankjkilkomgnabonei" TargetMode="External"/><Relationship Id="rId7423" Type="http://schemas.openxmlformats.org/officeDocument/2006/relationships/hyperlink" Target="https://chromewebstore.google.com/detail/oocokpigpfnmcblelocddbadnclmfjeh" TargetMode="External"/><Relationship Id="rId8754" Type="http://schemas.openxmlformats.org/officeDocument/2006/relationships/hyperlink" Target="https://chromewebstore.google.com/detail/fahggphoodkmfhpeomejdfonhjijdedk" TargetMode="External"/><Relationship Id="rId7422" Type="http://schemas.openxmlformats.org/officeDocument/2006/relationships/hyperlink" Target="https://chromewebstore.google.com/detail/nifbdojdggkboiifaklkamfpjcmgafpo" TargetMode="External"/><Relationship Id="rId8753" Type="http://schemas.openxmlformats.org/officeDocument/2006/relationships/hyperlink" Target="https://chromewebstore.google.com/detail/eheahakaengdijmkoeegphbnlgphlfii" TargetMode="External"/><Relationship Id="rId7421" Type="http://schemas.openxmlformats.org/officeDocument/2006/relationships/hyperlink" Target="https://chromewebstore.google.com/detail/nabghppbcmjjflfemokkgocleeclijph" TargetMode="External"/><Relationship Id="rId8752" Type="http://schemas.openxmlformats.org/officeDocument/2006/relationships/hyperlink" Target="https://chromewebstore.google.com/detail/anbkoicflbagjpoadmjemgjaaibdmien" TargetMode="External"/><Relationship Id="rId7420" Type="http://schemas.openxmlformats.org/officeDocument/2006/relationships/hyperlink" Target="https://chromewebstore.google.com/detail/iggfkakbafpkgjaocfjaoehcclhcjckb" TargetMode="External"/><Relationship Id="rId8751" Type="http://schemas.openxmlformats.org/officeDocument/2006/relationships/hyperlink" Target="https://chromewebstore.google.com/detail/noegjlhdcbcjieppomcphdalgelkigdb" TargetMode="External"/><Relationship Id="rId7427" Type="http://schemas.openxmlformats.org/officeDocument/2006/relationships/hyperlink" Target="https://chromewebstore.google.com/detail/cjdeidnceplfnabgonejmggjhgjmlpff" TargetMode="External"/><Relationship Id="rId8758" Type="http://schemas.openxmlformats.org/officeDocument/2006/relationships/hyperlink" Target="https://chromewebstore.google.com/detail/dmamggdkgjfiddiedcoghmbdmjbfgcjd" TargetMode="External"/><Relationship Id="rId7426" Type="http://schemas.openxmlformats.org/officeDocument/2006/relationships/hyperlink" Target="https://chromewebstore.google.com/detail/pbfneacmjmcjdbeonggmoanjpaklahfk" TargetMode="External"/><Relationship Id="rId8757" Type="http://schemas.openxmlformats.org/officeDocument/2006/relationships/hyperlink" Target="https://chromewebstore.google.com/detail/cckelcjlkjehoepkfcpgdpjfagodhimd" TargetMode="External"/><Relationship Id="rId7425" Type="http://schemas.openxmlformats.org/officeDocument/2006/relationships/hyperlink" Target="https://chromewebstore.google.com/detail/ejgkinembcbakgnmlejjcajkefnddlin" TargetMode="External"/><Relationship Id="rId8756" Type="http://schemas.openxmlformats.org/officeDocument/2006/relationships/hyperlink" Target="https://chromewebstore.google.com/detail/phaniiibecagmfolpbjafbcckimlgjac" TargetMode="External"/><Relationship Id="rId7424" Type="http://schemas.openxmlformats.org/officeDocument/2006/relationships/hyperlink" Target="https://chromewebstore.google.com/detail/efnhgdhfilhagkkfplapfkcfodhdgeoa" TargetMode="External"/><Relationship Id="rId8755" Type="http://schemas.openxmlformats.org/officeDocument/2006/relationships/hyperlink" Target="https://chromewebstore.google.com/detail/kbliaiapfnladddeljohhbgghelbdlbl" TargetMode="External"/><Relationship Id="rId6120" Type="http://schemas.openxmlformats.org/officeDocument/2006/relationships/hyperlink" Target="https://chromewebstore.google.com/detail/jhdcbkpphfaclidacgbnnaphoilhgipm" TargetMode="External"/><Relationship Id="rId7452" Type="http://schemas.openxmlformats.org/officeDocument/2006/relationships/hyperlink" Target="https://chromewebstore.google.com/detail/plhdffccclnkdlolokgfdobocldbjdjn" TargetMode="External"/><Relationship Id="rId8783" Type="http://schemas.openxmlformats.org/officeDocument/2006/relationships/hyperlink" Target="https://chromewebstore.google.com/detail/amcbnabgjffdhibpmgcnpnmjpfjliikh" TargetMode="External"/><Relationship Id="rId6121" Type="http://schemas.openxmlformats.org/officeDocument/2006/relationships/hyperlink" Target="https://chromewebstore.google.com/detail/jhdmlgkbngkbonnfkknnmeohkomcnagk" TargetMode="External"/><Relationship Id="rId7451" Type="http://schemas.openxmlformats.org/officeDocument/2006/relationships/hyperlink" Target="https://chromewebstore.google.com/detail/pdddoiidkiobfckceckklfooomlikihb" TargetMode="External"/><Relationship Id="rId8782" Type="http://schemas.openxmlformats.org/officeDocument/2006/relationships/hyperlink" Target="https://chromewebstore.google.com/detail/peifeohiachhdbogbbhabeflggebbmol" TargetMode="External"/><Relationship Id="rId7450" Type="http://schemas.openxmlformats.org/officeDocument/2006/relationships/hyperlink" Target="https://chromewebstore.google.com/detail/opeaihddpcbkkecmmkeedgeofknfbfop" TargetMode="External"/><Relationship Id="rId8781" Type="http://schemas.openxmlformats.org/officeDocument/2006/relationships/hyperlink" Target="https://chromewebstore.google.com/detail/okbcoijdeebocmahlanbfemnckjonfnh" TargetMode="External"/><Relationship Id="rId8780" Type="http://schemas.openxmlformats.org/officeDocument/2006/relationships/hyperlink" Target="https://chromewebstore.google.com/detail/lpohhpokidkkffkeaklfocgpkdlkpkki" TargetMode="External"/><Relationship Id="rId6124" Type="http://schemas.openxmlformats.org/officeDocument/2006/relationships/hyperlink" Target="https://chromewebstore.google.com/detail/jhnjkibnbggodedbajpnkdehambhddjk" TargetMode="External"/><Relationship Id="rId7456" Type="http://schemas.openxmlformats.org/officeDocument/2006/relationships/hyperlink" Target="https://chromewebstore.google.com/detail/fblembigbjdoeoicolcapnhacpfcajnl" TargetMode="External"/><Relationship Id="rId8787" Type="http://schemas.openxmlformats.org/officeDocument/2006/relationships/hyperlink" Target="http://fteaser.ru" TargetMode="External"/><Relationship Id="rId6125" Type="http://schemas.openxmlformats.org/officeDocument/2006/relationships/hyperlink" Target="https://chromewebstore.google.com/detail/jhoineohanallgjdgfeebmoejgjmlibk" TargetMode="External"/><Relationship Id="rId7455" Type="http://schemas.openxmlformats.org/officeDocument/2006/relationships/hyperlink" Target="https://chromewebstore.google.com/detail/ahnaocfoepojfegbafgokdjnpnhajjgb" TargetMode="External"/><Relationship Id="rId8786" Type="http://schemas.openxmlformats.org/officeDocument/2006/relationships/hyperlink" Target="https://chromewebstore.google.com/detail/idegoclkpbmijpnnldfgngfceghpfhpg" TargetMode="External"/><Relationship Id="rId6122" Type="http://schemas.openxmlformats.org/officeDocument/2006/relationships/hyperlink" Target="https://chromewebstore.google.com/detail/jhfblapoehcfajokolimghdfmeeakbee" TargetMode="External"/><Relationship Id="rId7454" Type="http://schemas.openxmlformats.org/officeDocument/2006/relationships/hyperlink" Target="https://chromewebstore.google.com/detail/adpfjochlgeifbpfnlchcdcmoaafnoim" TargetMode="External"/><Relationship Id="rId8785" Type="http://schemas.openxmlformats.org/officeDocument/2006/relationships/hyperlink" Target="https://chromewebstore.google.com/detail/clccniplcefppppkbaaefjmkipnjgpek" TargetMode="External"/><Relationship Id="rId6123" Type="http://schemas.openxmlformats.org/officeDocument/2006/relationships/hyperlink" Target="https://chromewebstore.google.com/detail/jhgnbkkipaallpehbohjmkbjofjdmeid" TargetMode="External"/><Relationship Id="rId7453" Type="http://schemas.openxmlformats.org/officeDocument/2006/relationships/hyperlink" Target="https://chromewebstore.google.com/detail/ppoobnoipkllpmpnnldhpghefjhiinoh" TargetMode="External"/><Relationship Id="rId8784" Type="http://schemas.openxmlformats.org/officeDocument/2006/relationships/hyperlink" Target="https://chromewebstore.google.com/detail/bamdlgngndkdhmepijfgchpfbhlaimol" TargetMode="External"/><Relationship Id="rId6128" Type="http://schemas.openxmlformats.org/officeDocument/2006/relationships/hyperlink" Target="https://chromewebstore.google.com/detail/jibfakcjhhekoolfogeejilflpcnbnel" TargetMode="External"/><Relationship Id="rId6129" Type="http://schemas.openxmlformats.org/officeDocument/2006/relationships/hyperlink" Target="https://chromewebstore.google.com/detail/jicglelpanknddlcpkflelfbaciblgdk" TargetMode="External"/><Relationship Id="rId7459" Type="http://schemas.openxmlformats.org/officeDocument/2006/relationships/hyperlink" Target="https://chromewebstore.google.com/detail/okodoejppedehahibmdngneledbkliap" TargetMode="External"/><Relationship Id="rId6126" Type="http://schemas.openxmlformats.org/officeDocument/2006/relationships/hyperlink" Target="https://chromewebstore.google.com/detail/jhojofcfcoaehegceklibimbbjejdjfo" TargetMode="External"/><Relationship Id="rId7458" Type="http://schemas.openxmlformats.org/officeDocument/2006/relationships/hyperlink" Target="https://chromewebstore.google.com/detail/llgeckbnbfmlfcpmcpjiimlcefgpmfac" TargetMode="External"/><Relationship Id="rId8789" Type="http://schemas.openxmlformats.org/officeDocument/2006/relationships/hyperlink" Target="https://chromewebstore.google.com/detail/mogcmmflienoigckdgnkkkafbgkaecbj" TargetMode="External"/><Relationship Id="rId6127" Type="http://schemas.openxmlformats.org/officeDocument/2006/relationships/hyperlink" Target="https://chromewebstore.google.com/detail/jibccbkkepidahndjomdfbmbnfappopf" TargetMode="External"/><Relationship Id="rId7457" Type="http://schemas.openxmlformats.org/officeDocument/2006/relationships/hyperlink" Target="https://chromewebstore.google.com/detail/gflgpmojfnandipfkamhocgjdnjkdhlk" TargetMode="External"/><Relationship Id="rId8788" Type="http://schemas.openxmlformats.org/officeDocument/2006/relationships/hyperlink" Target="https://chromewebstore.google.com/detail/kbbdhdnamedaijdpppljhmddmjcncoho" TargetMode="External"/><Relationship Id="rId6119" Type="http://schemas.openxmlformats.org/officeDocument/2006/relationships/hyperlink" Target="https://chromewebstore.google.com/detail/jhblbpejbfgogmhhkaeeicanbgaaehid" TargetMode="External"/><Relationship Id="rId7441" Type="http://schemas.openxmlformats.org/officeDocument/2006/relationships/hyperlink" Target="https://chromewebstore.google.com/detail/kcdjkpahilfbajemghhapfompnafeijf" TargetMode="External"/><Relationship Id="rId8772" Type="http://schemas.openxmlformats.org/officeDocument/2006/relationships/hyperlink" Target="https://chromewebstore.google.com/detail/eicjndbmlajfjdhephbcjdeegmmoadip" TargetMode="External"/><Relationship Id="rId6110" Type="http://schemas.openxmlformats.org/officeDocument/2006/relationships/hyperlink" Target="https://chromewebstore.google.com/detail/jfjbbakkeggpkjklfdiacnchjjmocoac" TargetMode="External"/><Relationship Id="rId7440" Type="http://schemas.openxmlformats.org/officeDocument/2006/relationships/hyperlink" Target="https://chromewebstore.google.com/detail/gchapniglkpmdbgdgcglhddjpahiklpk" TargetMode="External"/><Relationship Id="rId8771" Type="http://schemas.openxmlformats.org/officeDocument/2006/relationships/hyperlink" Target="https://chromewebstore.google.com/detail/dhokeechijknaledflfhcpmjkmibhblc" TargetMode="External"/><Relationship Id="rId8770" Type="http://schemas.openxmlformats.org/officeDocument/2006/relationships/hyperlink" Target="https://chromewebstore.google.com/detail/lelcdhabkkjhffonhfcfflbjaekdmege" TargetMode="External"/><Relationship Id="rId6113" Type="http://schemas.openxmlformats.org/officeDocument/2006/relationships/hyperlink" Target="https://chromewebstore.google.com/detail/jflpleoegnheglmefkpcjbmbolhiffdi" TargetMode="External"/><Relationship Id="rId7445" Type="http://schemas.openxmlformats.org/officeDocument/2006/relationships/hyperlink" Target="https://chromewebstore.google.com/detail/cnecfoeoohjnimhbcojcdfhhdllgleck" TargetMode="External"/><Relationship Id="rId8776" Type="http://schemas.openxmlformats.org/officeDocument/2006/relationships/hyperlink" Target="https://chromewebstore.google.com/detail/lkfkidfbenipdkmnngmdjfnmkhekinlm" TargetMode="External"/><Relationship Id="rId6114" Type="http://schemas.openxmlformats.org/officeDocument/2006/relationships/hyperlink" Target="https://chromewebstore.google.com/detail/jgnfpjioblcgjidmekaikhkpkapfifhd" TargetMode="External"/><Relationship Id="rId7444" Type="http://schemas.openxmlformats.org/officeDocument/2006/relationships/hyperlink" Target="https://chromewebstore.google.com/detail/obiogedpmdnfaldjdjmnbpmhjjfnghnj" TargetMode="External"/><Relationship Id="rId8775" Type="http://schemas.openxmlformats.org/officeDocument/2006/relationships/hyperlink" Target="https://chromewebstore.google.com/detail/kccclhpedkhcdieldgnejhmdolcipdlg" TargetMode="External"/><Relationship Id="rId6111" Type="http://schemas.openxmlformats.org/officeDocument/2006/relationships/hyperlink" Target="https://chromewebstore.google.com/detail/jfjjlnififpkkkbbgdncaolfocgkdecm" TargetMode="External"/><Relationship Id="rId7443" Type="http://schemas.openxmlformats.org/officeDocument/2006/relationships/hyperlink" Target="https://chromewebstore.google.com/detail/mbjafjdfamobncblnamcbfpkeelcihno" TargetMode="External"/><Relationship Id="rId8774" Type="http://schemas.openxmlformats.org/officeDocument/2006/relationships/hyperlink" Target="https://chromewebstore.google.com/detail/gjponlefaghiebceidhikagiddaekbbi" TargetMode="External"/><Relationship Id="rId6112" Type="http://schemas.openxmlformats.org/officeDocument/2006/relationships/hyperlink" Target="https://chromewebstore.google.com/detail/jfknaapblnppeflfamkegnnonlfgokhp" TargetMode="External"/><Relationship Id="rId7442" Type="http://schemas.openxmlformats.org/officeDocument/2006/relationships/hyperlink" Target="https://chromewebstore.google.com/detail/kdhdgaemffmpfmceolgbfpnfiafbjdkp" TargetMode="External"/><Relationship Id="rId8773" Type="http://schemas.openxmlformats.org/officeDocument/2006/relationships/hyperlink" Target="https://chromewebstore.google.com/detail/fakaldmaepeakkcjljcakjphgknbbbmp" TargetMode="External"/><Relationship Id="rId6117" Type="http://schemas.openxmlformats.org/officeDocument/2006/relationships/hyperlink" Target="https://chromewebstore.google.com/detail/jgplakhhiofpgplgbjgohnjfnkiafncd" TargetMode="External"/><Relationship Id="rId7449" Type="http://schemas.openxmlformats.org/officeDocument/2006/relationships/hyperlink" Target="https://chromewebstore.google.com/detail/ocolinehgapgfghadjhmlfcdmmechadj" TargetMode="External"/><Relationship Id="rId6118" Type="http://schemas.openxmlformats.org/officeDocument/2006/relationships/hyperlink" Target="https://chromewebstore.google.com/detail/jhbapkbempcealhabaeicidlgbmhafmk" TargetMode="External"/><Relationship Id="rId7448" Type="http://schemas.openxmlformats.org/officeDocument/2006/relationships/hyperlink" Target="https://chromewebstore.google.com/detail/fdegbhikbooibcahgagmcbkdecmelgfo" TargetMode="External"/><Relationship Id="rId8779" Type="http://schemas.openxmlformats.org/officeDocument/2006/relationships/hyperlink" Target="https://chromewebstore.google.com/detail/hdncbeemmadlkelehboocphbgnpagmgk" TargetMode="External"/><Relationship Id="rId6115" Type="http://schemas.openxmlformats.org/officeDocument/2006/relationships/hyperlink" Target="https://chromewebstore.google.com/detail/jgoilgghdiafcdpgaddhfnlnhjhiejjl" TargetMode="External"/><Relationship Id="rId7447" Type="http://schemas.openxmlformats.org/officeDocument/2006/relationships/hyperlink" Target="https://chromewebstore.google.com/detail/eecedcnoilljhbpblfpceoakfipemlgg" TargetMode="External"/><Relationship Id="rId8778" Type="http://schemas.openxmlformats.org/officeDocument/2006/relationships/hyperlink" Target="https://chromewebstore.google.com/detail/ggjfoablenfkopjbdjeipgcjcocklhne" TargetMode="External"/><Relationship Id="rId6116" Type="http://schemas.openxmlformats.org/officeDocument/2006/relationships/hyperlink" Target="https://chromewebstore.google.com/detail/jgpfopdbickmplomaophdeafcoenhpep" TargetMode="External"/><Relationship Id="rId7446" Type="http://schemas.openxmlformats.org/officeDocument/2006/relationships/hyperlink" Target="https://chromewebstore.google.com/detail/dfnefpadkibojlglpobnjbphlaojobfg" TargetMode="External"/><Relationship Id="rId8777" Type="http://schemas.openxmlformats.org/officeDocument/2006/relationships/hyperlink" Target="https://chromewebstore.google.com/detail/cimopngjedikbebkpcnemgokekenboam" TargetMode="External"/><Relationship Id="rId8729" Type="http://schemas.openxmlformats.org/officeDocument/2006/relationships/hyperlink" Target="https://chromewebstore.google.com/detail/odceejiiplkpbgindolcjnhfbojameao" TargetMode="External"/><Relationship Id="rId8728" Type="http://schemas.openxmlformats.org/officeDocument/2006/relationships/hyperlink" Target="https://chromewebstore.google.com/detail/lmmeplodmojecahcndjgnonnhcbcmpdk" TargetMode="External"/><Relationship Id="rId8727" Type="http://schemas.openxmlformats.org/officeDocument/2006/relationships/hyperlink" Target="https://chromewebstore.google.com/detail/dcoljlfaeahfnjgeajeakopfgpaoadmc" TargetMode="External"/><Relationship Id="rId8726" Type="http://schemas.openxmlformats.org/officeDocument/2006/relationships/hyperlink" Target="https://chromewebstore.google.com/detail/baplejgongpocoeabgpmhmnknjafhmbo" TargetMode="External"/><Relationship Id="rId1" Type="http://schemas.openxmlformats.org/officeDocument/2006/relationships/hyperlink" Target="https://chromewebstore.google.com/detail/cjpalhdlnbpafiamejdnhcphjbkeiagm" TargetMode="External"/><Relationship Id="rId2" Type="http://schemas.openxmlformats.org/officeDocument/2006/relationships/hyperlink" Target="https://chromewebstore.google.com/detail/ngpampappnmepgilojfohadhhmbhlaek" TargetMode="External"/><Relationship Id="rId3" Type="http://schemas.openxmlformats.org/officeDocument/2006/relationships/hyperlink" Target="https://chromewebstore.google.com/detail/ifbmcpbgkhlpfcodhjhdbllhiaomkdej" TargetMode="External"/><Relationship Id="rId4" Type="http://schemas.openxmlformats.org/officeDocument/2006/relationships/hyperlink" Target="https://chromewebstore.google.com/detail/okgjbfikepgflmlelgfgecmgjnmnmnnb" TargetMode="External"/><Relationship Id="rId9" Type="http://schemas.openxmlformats.org/officeDocument/2006/relationships/hyperlink" Target="https://chromewebstore.google.com/detail/gbmdgpbipfallnflgajpaliibnhdgobh" TargetMode="External"/><Relationship Id="rId8721" Type="http://schemas.openxmlformats.org/officeDocument/2006/relationships/hyperlink" Target="https://chromewebstore.google.com/detail/fpddhllfchfajogpilcliaichjndognf" TargetMode="External"/><Relationship Id="rId8720" Type="http://schemas.openxmlformats.org/officeDocument/2006/relationships/hyperlink" Target="https://chromewebstore.google.com/detail/enhmhnpongjnlidbliglfbljgnknfepo" TargetMode="External"/><Relationship Id="rId5" Type="http://schemas.openxmlformats.org/officeDocument/2006/relationships/hyperlink" Target="https://chromewebstore.google.com/detail/ohcpnigalekghcmgcdcenkpelffpdolg" TargetMode="External"/><Relationship Id="rId8725" Type="http://schemas.openxmlformats.org/officeDocument/2006/relationships/hyperlink" Target="https://chromewebstore.google.com/detail/lgbennneeiaagpbialihidiohfkcagph" TargetMode="External"/><Relationship Id="rId6" Type="http://schemas.openxmlformats.org/officeDocument/2006/relationships/hyperlink" Target="https://chromewebstore.google.com/detail/padekgcemlokbadohgkifijomclgjgif" TargetMode="External"/><Relationship Id="rId8724" Type="http://schemas.openxmlformats.org/officeDocument/2006/relationships/hyperlink" Target="https://chromewebstore.google.com/detail/mnohnflacgkmhaocfhhmjeeciibiciep" TargetMode="External"/><Relationship Id="rId7" Type="http://schemas.openxmlformats.org/officeDocument/2006/relationships/hyperlink" Target="https://chromewebstore.google.com/detail/fhbjgbiflinjbdggehcddcbncdddomop" TargetMode="External"/><Relationship Id="rId8723" Type="http://schemas.openxmlformats.org/officeDocument/2006/relationships/hyperlink" Target="https://chromewebstore.google.com/detail/kgpjjblahlmjlfljfpcneapmeblichbp" TargetMode="External"/><Relationship Id="rId8" Type="http://schemas.openxmlformats.org/officeDocument/2006/relationships/hyperlink" Target="https://chromewebstore.google.com/detail/fmidkjgknpkbmninbmklhcgaalfalbdh" TargetMode="External"/><Relationship Id="rId8722" Type="http://schemas.openxmlformats.org/officeDocument/2006/relationships/hyperlink" Target="https://chromewebstore.google.com/detail/ikkobdhhnnllhcmjaealbihjkahnegia" TargetMode="External"/><Relationship Id="rId8718" Type="http://schemas.openxmlformats.org/officeDocument/2006/relationships/hyperlink" Target="https://chromewebstore.google.com/detail/aogbgmnbacmlobiajlmjhmbecjohglnl" TargetMode="External"/><Relationship Id="rId8717" Type="http://schemas.openxmlformats.org/officeDocument/2006/relationships/hyperlink" Target="https://chromewebstore.google.com/detail/nlgkphpdbpmpdngngdafeggajlblhhko" TargetMode="External"/><Relationship Id="rId8716" Type="http://schemas.openxmlformats.org/officeDocument/2006/relationships/hyperlink" Target="https://chromewebstore.google.com/detail/nbnenbbiijokomeoejdlnphoagolpbek" TargetMode="External"/><Relationship Id="rId8715" Type="http://schemas.openxmlformats.org/officeDocument/2006/relationships/hyperlink" Target="https://chromewebstore.google.com/detail/kindcepkhhhkoofimgndkdbhkfechfon" TargetMode="External"/><Relationship Id="rId8719" Type="http://schemas.openxmlformats.org/officeDocument/2006/relationships/hyperlink" Target="https://chromewebstore.google.com/detail/egfdbbahfgffecgejddaohlhehdbgcim" TargetMode="External"/><Relationship Id="rId8710" Type="http://schemas.openxmlformats.org/officeDocument/2006/relationships/hyperlink" Target="https://chromewebstore.google.com/detail/dlgjecnejicmpdknhangcbeahbgipolf" TargetMode="External"/><Relationship Id="rId8714" Type="http://schemas.openxmlformats.org/officeDocument/2006/relationships/hyperlink" Target="https://chromewebstore.google.com/detail/kdabjjgkcfjdlbpneackoihbkdpdmodp" TargetMode="External"/><Relationship Id="rId8713" Type="http://schemas.openxmlformats.org/officeDocument/2006/relationships/hyperlink" Target="https://chromewebstore.google.com/detail/hpnikgbjfhnpcaoicgbkkialbejlecke" TargetMode="External"/><Relationship Id="rId8712" Type="http://schemas.openxmlformats.org/officeDocument/2006/relationships/hyperlink" Target="https://chromewebstore.google.com/detail/gimgggabfigedfmidfhmgaaccgefdfnj" TargetMode="External"/><Relationship Id="rId8711" Type="http://schemas.openxmlformats.org/officeDocument/2006/relationships/hyperlink" Target="https://chromewebstore.google.com/detail/ejdojpmakfpfcnenobhjdngbdfgkdmjl" TargetMode="External"/><Relationship Id="rId7419" Type="http://schemas.openxmlformats.org/officeDocument/2006/relationships/hyperlink" Target="https://chromewebstore.google.com/detail/hpigbcfkeekdfkbabcohgljkgiggehag" TargetMode="External"/><Relationship Id="rId7418" Type="http://schemas.openxmlformats.org/officeDocument/2006/relationships/hyperlink" Target="https://chromewebstore.google.com/detail/dkmlhgmmfochpgplckjlfakepmmhpaep" TargetMode="External"/><Relationship Id="rId8749" Type="http://schemas.openxmlformats.org/officeDocument/2006/relationships/hyperlink" Target="https://chromewebstore.google.com/detail/fineefhnleogndjepcabcddamodbkcjo" TargetMode="External"/><Relationship Id="rId7417" Type="http://schemas.openxmlformats.org/officeDocument/2006/relationships/hyperlink" Target="https://chromewebstore.google.com/detail/bkbkgpcacphidgmpbfcapoillheakfpi" TargetMode="External"/><Relationship Id="rId8748" Type="http://schemas.openxmlformats.org/officeDocument/2006/relationships/hyperlink" Target="https://chromewebstore.google.com/detail/fdngcgnmmiiolgcdcnmafbfoplhcjcel" TargetMode="External"/><Relationship Id="rId7412" Type="http://schemas.openxmlformats.org/officeDocument/2006/relationships/hyperlink" Target="https://chromewebstore.google.com/detail/kjolnndanembeldfjpchaipfopflpdph" TargetMode="External"/><Relationship Id="rId8743" Type="http://schemas.openxmlformats.org/officeDocument/2006/relationships/hyperlink" Target="https://chromewebstore.google.com/detail/geggkgmkcghccndcoihfklmaojdbgaio" TargetMode="External"/><Relationship Id="rId7411" Type="http://schemas.openxmlformats.org/officeDocument/2006/relationships/hyperlink" Target="https://chromewebstore.google.com/detail/jglmompgeddkbcdamdknmebaimldkkbl" TargetMode="External"/><Relationship Id="rId8742" Type="http://schemas.openxmlformats.org/officeDocument/2006/relationships/hyperlink" Target="https://chromewebstore.google.com/detail/keoldnckmblacoeicjncfkfgnldbpolf" TargetMode="External"/><Relationship Id="rId7410" Type="http://schemas.openxmlformats.org/officeDocument/2006/relationships/hyperlink" Target="https://chromewebstore.google.com/detail/kokpmlmpjlfgkpkbafjfcpebdnbhodlb" TargetMode="External"/><Relationship Id="rId8741" Type="http://schemas.openxmlformats.org/officeDocument/2006/relationships/hyperlink" Target="https://chromewebstore.google.com/detail/kamhblojfkpcbpfbgfpcbiffpnjjoppl" TargetMode="External"/><Relationship Id="rId8740" Type="http://schemas.openxmlformats.org/officeDocument/2006/relationships/hyperlink" Target="https://chromewebstore.google.com/detail/illimocegjikcgmopnajholfanllebic" TargetMode="External"/><Relationship Id="rId7416" Type="http://schemas.openxmlformats.org/officeDocument/2006/relationships/hyperlink" Target="https://chromewebstore.google.com/detail/plncnpocaddbiiggfiflhiabkgmklcge" TargetMode="External"/><Relationship Id="rId8747" Type="http://schemas.openxmlformats.org/officeDocument/2006/relationships/hyperlink" Target="https://chromewebstore.google.com/detail/lfijjmjnlahhgpfdbilgnnnkikacnmgg" TargetMode="External"/><Relationship Id="rId7415" Type="http://schemas.openxmlformats.org/officeDocument/2006/relationships/hyperlink" Target="https://chromewebstore.google.com/detail/oepbpdamkigabminkagecahfgdgbbodc" TargetMode="External"/><Relationship Id="rId8746" Type="http://schemas.openxmlformats.org/officeDocument/2006/relationships/hyperlink" Target="https://chromewebstore.google.com/detail/kdollpkhgalgcngiilcninngilhkceha" TargetMode="External"/><Relationship Id="rId7414" Type="http://schemas.openxmlformats.org/officeDocument/2006/relationships/hyperlink" Target="https://chromewebstore.google.com/detail/lngoloonfgohfhnpcgkfgnfikeedbhgg" TargetMode="External"/><Relationship Id="rId8745" Type="http://schemas.openxmlformats.org/officeDocument/2006/relationships/hyperlink" Target="https://chromewebstore.google.com/detail/jnojjlmgafipcahopmnnafodcekcalmc" TargetMode="External"/><Relationship Id="rId7413" Type="http://schemas.openxmlformats.org/officeDocument/2006/relationships/hyperlink" Target="https://chromewebstore.google.com/detail/lkfmekffciaajeflkfegpmlhfapfholj" TargetMode="External"/><Relationship Id="rId8744" Type="http://schemas.openxmlformats.org/officeDocument/2006/relationships/hyperlink" Target="https://chromewebstore.google.com/detail/hllhbmpggmclmlefofdfoadpaeldnkfl" TargetMode="External"/><Relationship Id="rId7409" Type="http://schemas.openxmlformats.org/officeDocument/2006/relationships/hyperlink" Target="https://chromewebstore.google.com/detail/clnalilglegcjmlgenoppklmfppddien" TargetMode="External"/><Relationship Id="rId7408" Type="http://schemas.openxmlformats.org/officeDocument/2006/relationships/hyperlink" Target="https://chromewebstore.google.com/detail/onhnglhmledjhmniakhogfdpkmkinnfe" TargetMode="External"/><Relationship Id="rId8739" Type="http://schemas.openxmlformats.org/officeDocument/2006/relationships/hyperlink" Target="https://chromewebstore.google.com/detail/engmhjmhpefoikhobkahplacofaogiob" TargetMode="External"/><Relationship Id="rId7407" Type="http://schemas.openxmlformats.org/officeDocument/2006/relationships/hyperlink" Target="https://chromewebstore.google.com/detail/comfcmnenlmhdkhkjgokadlonincpidm" TargetMode="External"/><Relationship Id="rId8738" Type="http://schemas.openxmlformats.org/officeDocument/2006/relationships/hyperlink" Target="https://chromewebstore.google.com/detail/anfdiaikaccfpdloehibnplnlgijeaan" TargetMode="External"/><Relationship Id="rId7406" Type="http://schemas.openxmlformats.org/officeDocument/2006/relationships/hyperlink" Target="https://chromewebstore.google.com/detail/mnfckoipoonlebfjfonlmpepbgifmnhm" TargetMode="External"/><Relationship Id="rId8737" Type="http://schemas.openxmlformats.org/officeDocument/2006/relationships/hyperlink" Target="https://chromewebstore.google.com/detail/kggikmmipgmioinmlfpfpbhgmpgmedhp" TargetMode="External"/><Relationship Id="rId7401" Type="http://schemas.openxmlformats.org/officeDocument/2006/relationships/hyperlink" Target="https://chromewebstore.google.com/detail/afnedldoicelogeopolcehamaelpagfd" TargetMode="External"/><Relationship Id="rId8732" Type="http://schemas.openxmlformats.org/officeDocument/2006/relationships/hyperlink" Target="https://chromewebstore.google.com/detail/effgbolecegljiieljjfnfgelnnepcff" TargetMode="External"/><Relationship Id="rId7400" Type="http://schemas.openxmlformats.org/officeDocument/2006/relationships/hyperlink" Target="https://chromewebstore.google.com/detail/lmncnhchelhjhiecgkeocomgbkjnmfgm" TargetMode="External"/><Relationship Id="rId8731" Type="http://schemas.openxmlformats.org/officeDocument/2006/relationships/hyperlink" Target="https://chromewebstore.google.com/detail/agmnjaabedgipomljkngpfpmmgclogce" TargetMode="External"/><Relationship Id="rId8730" Type="http://schemas.openxmlformats.org/officeDocument/2006/relationships/hyperlink" Target="https://chromewebstore.google.com/detail/pgecoedepcnloepnnpaainogaldjjobc" TargetMode="External"/><Relationship Id="rId7405" Type="http://schemas.openxmlformats.org/officeDocument/2006/relationships/hyperlink" Target="https://chromewebstore.google.com/detail/ekiibapogjgmlhlhpoalbppfhhgkcogc" TargetMode="External"/><Relationship Id="rId8736" Type="http://schemas.openxmlformats.org/officeDocument/2006/relationships/hyperlink" Target="https://chromewebstore.google.com/detail/hijkflhhocjhknnafhmafolcckldoadh" TargetMode="External"/><Relationship Id="rId7404" Type="http://schemas.openxmlformats.org/officeDocument/2006/relationships/hyperlink" Target="https://chromewebstore.google.com/detail/bigmfjdfngafahnkjchgobejppekainl" TargetMode="External"/><Relationship Id="rId8735" Type="http://schemas.openxmlformats.org/officeDocument/2006/relationships/hyperlink" Target="https://chromewebstore.google.com/detail/emlmmgcgnglgamlijmgmnlnkohbipkoi" TargetMode="External"/><Relationship Id="rId7403" Type="http://schemas.openxmlformats.org/officeDocument/2006/relationships/hyperlink" Target="https://chromewebstore.google.com/detail/gfkelnilbjflkdjhhfeojhpbjogakifh" TargetMode="External"/><Relationship Id="rId8734" Type="http://schemas.openxmlformats.org/officeDocument/2006/relationships/hyperlink" Target="https://chromewebstore.google.com/detail/eknnpofdolaciafcnokdbgfelpmdpceb" TargetMode="External"/><Relationship Id="rId7402" Type="http://schemas.openxmlformats.org/officeDocument/2006/relationships/hyperlink" Target="https://chromewebstore.google.com/detail/apdbfgmgdliefllebjfkbdmmgcdgfmpp" TargetMode="External"/><Relationship Id="rId8733" Type="http://schemas.openxmlformats.org/officeDocument/2006/relationships/hyperlink" Target="https://chromewebstore.google.com/detail/egdbhllbiehpidkfpkccejnkcjbigpca" TargetMode="External"/><Relationship Id="rId3911" Type="http://schemas.openxmlformats.org/officeDocument/2006/relationships/hyperlink" Target="https://chromewebstore.google.com/detail/alnbfogmmhllgofhggijancpooogdodi" TargetMode="External"/><Relationship Id="rId3910" Type="http://schemas.openxmlformats.org/officeDocument/2006/relationships/hyperlink" Target="https://chromewebstore.google.com/detail/aldlkaonkdflcjlmdcbdnhgcmmnjijjn" TargetMode="External"/><Relationship Id="rId3913" Type="http://schemas.openxmlformats.org/officeDocument/2006/relationships/hyperlink" Target="https://chromewebstore.google.com/detail/amfepecmobgaflidkebmofbgdgkgpman" TargetMode="External"/><Relationship Id="rId3912" Type="http://schemas.openxmlformats.org/officeDocument/2006/relationships/hyperlink" Target="https://chromewebstore.google.com/detail/alojhmccmalcppopolaegbopeiakokne" TargetMode="External"/><Relationship Id="rId3915" Type="http://schemas.openxmlformats.org/officeDocument/2006/relationships/hyperlink" Target="https://chromewebstore.google.com/detail/amobeamdmdnloajcaiomgegpakjdiacm" TargetMode="External"/><Relationship Id="rId3914" Type="http://schemas.openxmlformats.org/officeDocument/2006/relationships/hyperlink" Target="https://chromewebstore.google.com/detail/amnplbchpnilohkojmodepiappjhaehi" TargetMode="External"/><Relationship Id="rId3917" Type="http://schemas.openxmlformats.org/officeDocument/2006/relationships/hyperlink" Target="https://chromewebstore.google.com/detail/annljkgbhnihbghkbfammlacnlfkdclp" TargetMode="External"/><Relationship Id="rId3916" Type="http://schemas.openxmlformats.org/officeDocument/2006/relationships/hyperlink" Target="https://chromewebstore.google.com/detail/annjojfceiaonmfjcddndgoegbijooia" TargetMode="External"/><Relationship Id="rId3919" Type="http://schemas.openxmlformats.org/officeDocument/2006/relationships/hyperlink" Target="https://chromewebstore.google.com/detail/aoeboeflhhnobfjkafamelopfeojdohk" TargetMode="External"/><Relationship Id="rId3918" Type="http://schemas.openxmlformats.org/officeDocument/2006/relationships/hyperlink" Target="https://chromewebstore.google.com/detail/aoajjebmcgjjecfgmncgablckdifcfad" TargetMode="External"/><Relationship Id="rId6190" Type="http://schemas.openxmlformats.org/officeDocument/2006/relationships/hyperlink" Target="https://chromewebstore.google.com/detail/kaklalnjjcbnacalpghdfokeohelpbnf" TargetMode="External"/><Relationship Id="rId6182" Type="http://schemas.openxmlformats.org/officeDocument/2006/relationships/hyperlink" Target="https://chromewebstore.google.com/detail/jpbbdgndcngomphbmplabjginoihkdph" TargetMode="External"/><Relationship Id="rId6183" Type="http://schemas.openxmlformats.org/officeDocument/2006/relationships/hyperlink" Target="https://chromewebstore.google.com/detail/jpeknkphnajdkmmliodephcdklgjlhli" TargetMode="External"/><Relationship Id="rId6180" Type="http://schemas.openxmlformats.org/officeDocument/2006/relationships/hyperlink" Target="https://chromewebstore.google.com/detail/jompciojchdhmgenaegbgnlghlcmmpok" TargetMode="External"/><Relationship Id="rId6181" Type="http://schemas.openxmlformats.org/officeDocument/2006/relationships/hyperlink" Target="https://chromewebstore.google.com/detail/jopdhoinfcaefobmlekemdaikoaaojln" TargetMode="External"/><Relationship Id="rId6186" Type="http://schemas.openxmlformats.org/officeDocument/2006/relationships/hyperlink" Target="https://chromewebstore.google.com/detail/kaacflffkmlaiebklgemhmlfbhificko" TargetMode="External"/><Relationship Id="rId6187" Type="http://schemas.openxmlformats.org/officeDocument/2006/relationships/hyperlink" Target="https://chromewebstore.google.com/detail/kaccbbiokomdcofdediakkkfhkbddehl" TargetMode="External"/><Relationship Id="rId6184" Type="http://schemas.openxmlformats.org/officeDocument/2006/relationships/hyperlink" Target="https://chromewebstore.google.com/detail/jphkmoanbilmnmcjnigbmddfceodnlcf" TargetMode="External"/><Relationship Id="rId6185" Type="http://schemas.openxmlformats.org/officeDocument/2006/relationships/hyperlink" Target="https://chromewebstore.google.com/detail/jplkkkfinccdllaoobmiojlocpmpeipb" TargetMode="External"/><Relationship Id="rId6188" Type="http://schemas.openxmlformats.org/officeDocument/2006/relationships/hyperlink" Target="https://chromewebstore.google.com/detail/kaelcgjdiogcpjapcncdgoknbakjfooo" TargetMode="External"/><Relationship Id="rId6189" Type="http://schemas.openxmlformats.org/officeDocument/2006/relationships/hyperlink" Target="https://chromewebstore.google.com/detail/kaipekgdjopphabpimakjkienfckcknp" TargetMode="External"/><Relationship Id="rId3900" Type="http://schemas.openxmlformats.org/officeDocument/2006/relationships/hyperlink" Target="https://chromewebstore.google.com/detail/aijcgkcgldkomeddnlpbhdelcpfamklm" TargetMode="External"/><Relationship Id="rId3902" Type="http://schemas.openxmlformats.org/officeDocument/2006/relationships/hyperlink" Target="https://chromewebstore.google.com/detail/aingjdeimmekeknhjcbnigfbfbboffeo" TargetMode="External"/><Relationship Id="rId3901" Type="http://schemas.openxmlformats.org/officeDocument/2006/relationships/hyperlink" Target="https://chromewebstore.google.com/detail/ailgcbdikiapkcbglcpfippolmjfljgi" TargetMode="External"/><Relationship Id="rId3904" Type="http://schemas.openxmlformats.org/officeDocument/2006/relationships/hyperlink" Target="https://chromewebstore.google.com/detail/ajaomcmkalmeeahjfdklkcjbljhbokjl" TargetMode="External"/><Relationship Id="rId3903" Type="http://schemas.openxmlformats.org/officeDocument/2006/relationships/hyperlink" Target="https://chromewebstore.google.com/detail/ainpldfncpicabccajiklbibogoonpjp" TargetMode="External"/><Relationship Id="rId3906" Type="http://schemas.openxmlformats.org/officeDocument/2006/relationships/hyperlink" Target="https://chromewebstore.google.com/detail/ajgafpcbdchnokkfimcnmoemeldnefnl" TargetMode="External"/><Relationship Id="rId3905" Type="http://schemas.openxmlformats.org/officeDocument/2006/relationships/hyperlink" Target="https://chromewebstore.google.com/detail/ajfpaddcchjgaemolcibmlbgijkhdocl" TargetMode="External"/><Relationship Id="rId3908" Type="http://schemas.openxmlformats.org/officeDocument/2006/relationships/hyperlink" Target="https://chromewebstore.google.com/detail/ajlmalinjdbkamfgjbamebnjeejbkkil" TargetMode="External"/><Relationship Id="rId3907" Type="http://schemas.openxmlformats.org/officeDocument/2006/relationships/hyperlink" Target="https://chromewebstore.google.com/detail/ajidbeahpmkfbjllenakjgjpoompbiii" TargetMode="External"/><Relationship Id="rId3909" Type="http://schemas.openxmlformats.org/officeDocument/2006/relationships/hyperlink" Target="https://chromewebstore.google.com/detail/akihgihkelengbpamifhdmngachbjgab" TargetMode="External"/><Relationship Id="rId6171" Type="http://schemas.openxmlformats.org/officeDocument/2006/relationships/hyperlink" Target="https://chromewebstore.google.com/detail/jncleaahefkafljcnbdcfafidhhgkcjc" TargetMode="External"/><Relationship Id="rId6172" Type="http://schemas.openxmlformats.org/officeDocument/2006/relationships/hyperlink" Target="https://chromewebstore.google.com/detail/jngjmljecflgeoiagcladdhcpalcdfpm" TargetMode="External"/><Relationship Id="rId6170" Type="http://schemas.openxmlformats.org/officeDocument/2006/relationships/hyperlink" Target="https://chromewebstore.google.com/detail/jmpaeglcabhpohgbfcehemlgophfjikk" TargetMode="External"/><Relationship Id="rId6175" Type="http://schemas.openxmlformats.org/officeDocument/2006/relationships/hyperlink" Target="https://chromewebstore.google.com/detail/joahjeghhofndcnokdadmgjnoleckonf" TargetMode="External"/><Relationship Id="rId6176" Type="http://schemas.openxmlformats.org/officeDocument/2006/relationships/hyperlink" Target="https://chromewebstore.google.com/detail/jofcbndmnngbfjhflkaaaiobdjcpbpki" TargetMode="External"/><Relationship Id="rId6173" Type="http://schemas.openxmlformats.org/officeDocument/2006/relationships/hyperlink" Target="https://chromewebstore.google.com/detail/jngmmiaolbliepfphdnelgfcclpnkoja" TargetMode="External"/><Relationship Id="rId6174" Type="http://schemas.openxmlformats.org/officeDocument/2006/relationships/hyperlink" Target="https://chromewebstore.google.com/detail/jnnfgjmkpfdbkibfgemojefdmjalnaal" TargetMode="External"/><Relationship Id="rId6179" Type="http://schemas.openxmlformats.org/officeDocument/2006/relationships/hyperlink" Target="https://chromewebstore.google.com/detail/jogajkcgclkfedbhdcopmpmeeophkkji" TargetMode="External"/><Relationship Id="rId6177" Type="http://schemas.openxmlformats.org/officeDocument/2006/relationships/hyperlink" Target="https://chromewebstore.google.com/detail/jofikieipejiceaccabdhlbedbfhogkm" TargetMode="External"/><Relationship Id="rId6178" Type="http://schemas.openxmlformats.org/officeDocument/2006/relationships/hyperlink" Target="https://chromewebstore.google.com/detail/jofipiopohkiomefophlddhgflnmjclo" TargetMode="External"/><Relationship Id="rId3931" Type="http://schemas.openxmlformats.org/officeDocument/2006/relationships/hyperlink" Target="https://chromewebstore.google.com/detail/appcmpfjgmnjdhickdfnalkkalgejbff" TargetMode="External"/><Relationship Id="rId2600" Type="http://schemas.openxmlformats.org/officeDocument/2006/relationships/hyperlink" Target="https://chromewebstore.google.com/detail/feikojefkpembojkeegfajbbfecocddd" TargetMode="External"/><Relationship Id="rId3930" Type="http://schemas.openxmlformats.org/officeDocument/2006/relationships/hyperlink" Target="https://chromewebstore.google.com/detail/apoogihgnkfpeamhldjjoebpphjcmank" TargetMode="External"/><Relationship Id="rId2601" Type="http://schemas.openxmlformats.org/officeDocument/2006/relationships/hyperlink" Target="http://teamo.ru" TargetMode="External"/><Relationship Id="rId3933" Type="http://schemas.openxmlformats.org/officeDocument/2006/relationships/hyperlink" Target="https://chromewebstore.google.com/detail/bbabbdijmipkeilehcnbopedgbjejbmb" TargetMode="External"/><Relationship Id="rId2602" Type="http://schemas.openxmlformats.org/officeDocument/2006/relationships/hyperlink" Target="https://chromewebstore.google.com/detail/fhnifebbafonofdnbimiaejahcfifmec" TargetMode="External"/><Relationship Id="rId3932" Type="http://schemas.openxmlformats.org/officeDocument/2006/relationships/hyperlink" Target="https://chromewebstore.google.com/detail/bafcgdbnifplmbidjllnefgbhglckgge" TargetMode="External"/><Relationship Id="rId2603" Type="http://schemas.openxmlformats.org/officeDocument/2006/relationships/hyperlink" Target="https://chromewebstore.google.com/detail/fhnkibfmfnbebnhcihmpdbibjgolbifm" TargetMode="External"/><Relationship Id="rId3935" Type="http://schemas.openxmlformats.org/officeDocument/2006/relationships/hyperlink" Target="https://chromewebstore.google.com/detail/bbdpgcaljkaaigfcomhidmneffjjjfgp" TargetMode="External"/><Relationship Id="rId2604" Type="http://schemas.openxmlformats.org/officeDocument/2006/relationships/hyperlink" Target="https://chromewebstore.google.com/detail/fjidjgneljagnakdcijilikbmgoajeln" TargetMode="External"/><Relationship Id="rId3934" Type="http://schemas.openxmlformats.org/officeDocument/2006/relationships/hyperlink" Target="https://chromewebstore.google.com/detail/bbcbaocecmnikgmgpbodcfekboiodppo" TargetMode="External"/><Relationship Id="rId2605" Type="http://schemas.openxmlformats.org/officeDocument/2006/relationships/hyperlink" Target="https://chromewebstore.google.com/detail/fkgjfjogmipihchhfchdmhblgdpdeagg" TargetMode="External"/><Relationship Id="rId3937" Type="http://schemas.openxmlformats.org/officeDocument/2006/relationships/hyperlink" Target="https://chromewebstore.google.com/detail/bbobfhojppbhccdchodgghknbolnnhlb" TargetMode="External"/><Relationship Id="rId2606" Type="http://schemas.openxmlformats.org/officeDocument/2006/relationships/hyperlink" Target="https://chromewebstore.google.com/detail/fkhpeihpgdipchpfmddkfcigllaaiaki" TargetMode="External"/><Relationship Id="rId3936" Type="http://schemas.openxmlformats.org/officeDocument/2006/relationships/hyperlink" Target="https://chromewebstore.google.com/detail/bbmplccbdhijapdpheaigjcdcgadecih" TargetMode="External"/><Relationship Id="rId808" Type="http://schemas.openxmlformats.org/officeDocument/2006/relationships/hyperlink" Target="https://chromewebstore.google.com/detail/ckdjcgaagfcnndkkknfmncedapdjaokb" TargetMode="External"/><Relationship Id="rId2607" Type="http://schemas.openxmlformats.org/officeDocument/2006/relationships/hyperlink" Target="https://chromewebstore.google.com/detail/fmldiainnnecolalfmbeajgnhgbaekfa" TargetMode="External"/><Relationship Id="rId3939" Type="http://schemas.openxmlformats.org/officeDocument/2006/relationships/hyperlink" Target="https://chromewebstore.google.com/detail/bcmhejapohpmhgnpidaeiaedackacelm" TargetMode="External"/><Relationship Id="rId807" Type="http://schemas.openxmlformats.org/officeDocument/2006/relationships/hyperlink" Target="https://chromewebstore.google.com/detail/ckciegopcnnpagdmgjadmhjkocchicji" TargetMode="External"/><Relationship Id="rId2608" Type="http://schemas.openxmlformats.org/officeDocument/2006/relationships/hyperlink" Target="https://chromewebstore.google.com/detail/foeoiieheeibpcncbalmoejmfankigah" TargetMode="External"/><Relationship Id="rId3938" Type="http://schemas.openxmlformats.org/officeDocument/2006/relationships/hyperlink" Target="https://chromewebstore.google.com/detail/bcadadmcbloddgfgklhaiifpncndpbcb" TargetMode="External"/><Relationship Id="rId806" Type="http://schemas.openxmlformats.org/officeDocument/2006/relationships/hyperlink" Target="https://chromewebstore.google.com/detail/cjhgdbmohmlomkjgbgkcbknncblpfanf" TargetMode="External"/><Relationship Id="rId2609" Type="http://schemas.openxmlformats.org/officeDocument/2006/relationships/hyperlink" Target="https://chromewebstore.google.com/detail/foigpdheanhpdikafahciabdjhaognmo" TargetMode="External"/><Relationship Id="rId805" Type="http://schemas.openxmlformats.org/officeDocument/2006/relationships/hyperlink" Target="https://chromewebstore.google.com/detail/cinncpjcejdnoafflljjmgibkkgkigag" TargetMode="External"/><Relationship Id="rId809" Type="http://schemas.openxmlformats.org/officeDocument/2006/relationships/hyperlink" Target="https://chromewebstore.google.com/detail/cmcidfkdmfopijnadkbdbhknfkjodmec" TargetMode="External"/><Relationship Id="rId800" Type="http://schemas.openxmlformats.org/officeDocument/2006/relationships/hyperlink" Target="https://chromewebstore.google.com/detail/cfghpjmgdnienmgcajbmjjemfnnmldlh" TargetMode="External"/><Relationship Id="rId804" Type="http://schemas.openxmlformats.org/officeDocument/2006/relationships/hyperlink" Target="https://chromewebstore.google.com/detail/cifcnoebhbpdndjendfkpehpfbglgfkc" TargetMode="External"/><Relationship Id="rId803" Type="http://schemas.openxmlformats.org/officeDocument/2006/relationships/hyperlink" Target="https://chromewebstore.google.com/detail/chhkkciiljiehmmfgmodhaaljggikhmc" TargetMode="External"/><Relationship Id="rId802" Type="http://schemas.openxmlformats.org/officeDocument/2006/relationships/hyperlink" Target="https://chromewebstore.google.com/detail/chackijkbbbmdlgekngbjdcpnbgaepji" TargetMode="External"/><Relationship Id="rId801" Type="http://schemas.openxmlformats.org/officeDocument/2006/relationships/hyperlink" Target="https://chromewebstore.google.com/detail/cfokcacdaonnckdmopmcgeanhkebeaio" TargetMode="External"/><Relationship Id="rId3920" Type="http://schemas.openxmlformats.org/officeDocument/2006/relationships/hyperlink" Target="https://chromewebstore.google.com/detail/aoelbednjmdnkeldonljnijdejdnhjfi" TargetMode="External"/><Relationship Id="rId3922" Type="http://schemas.openxmlformats.org/officeDocument/2006/relationships/hyperlink" Target="https://chromewebstore.google.com/detail/aopgpanbkndckicpnnnaeiebllepdldc" TargetMode="External"/><Relationship Id="rId3921" Type="http://schemas.openxmlformats.org/officeDocument/2006/relationships/hyperlink" Target="https://chromewebstore.google.com/detail/aojddkcamiecmkmbecpkjddnhpnpoaab" TargetMode="External"/><Relationship Id="rId3924" Type="http://schemas.openxmlformats.org/officeDocument/2006/relationships/hyperlink" Target="https://chromewebstore.google.com/detail/apgphfamplbbabmclbgpebdkclodnlpl" TargetMode="External"/><Relationship Id="rId3923" Type="http://schemas.openxmlformats.org/officeDocument/2006/relationships/hyperlink" Target="https://chromewebstore.google.com/detail/apfabhfippohjkndobkbeoiplilgojei" TargetMode="External"/><Relationship Id="rId3926" Type="http://schemas.openxmlformats.org/officeDocument/2006/relationships/hyperlink" Target="https://chromewebstore.google.com/detail/aplepkehejihebabfhghmdelnbppchnp" TargetMode="External"/><Relationship Id="rId3925" Type="http://schemas.openxmlformats.org/officeDocument/2006/relationships/hyperlink" Target="https://chromewebstore.google.com/detail/apjdloapfacpgloidbikcdcigljkgogg" TargetMode="External"/><Relationship Id="rId3928" Type="http://schemas.openxmlformats.org/officeDocument/2006/relationships/hyperlink" Target="https://chromewebstore.google.com/detail/apnbkmkpchabofhbnmhbdbnlpkbcomkg" TargetMode="External"/><Relationship Id="rId3927" Type="http://schemas.openxmlformats.org/officeDocument/2006/relationships/hyperlink" Target="https://chromewebstore.google.com/detail/apmfackigpphgbbanjkjcafbiciialnm" TargetMode="External"/><Relationship Id="rId3929" Type="http://schemas.openxmlformats.org/officeDocument/2006/relationships/hyperlink" Target="https://chromewebstore.google.com/detail/apnopkndgalmmmanikgoihpnmkgflelc" TargetMode="External"/><Relationship Id="rId6193" Type="http://schemas.openxmlformats.org/officeDocument/2006/relationships/hyperlink" Target="https://chromewebstore.google.com/detail/kapcngknfepfobkbinmkdakbjobieoam" TargetMode="External"/><Relationship Id="rId6194" Type="http://schemas.openxmlformats.org/officeDocument/2006/relationships/hyperlink" Target="https://chromewebstore.google.com/detail/kbchmfoeolkghjeapilfdamdnieedlkp" TargetMode="External"/><Relationship Id="rId6191" Type="http://schemas.openxmlformats.org/officeDocument/2006/relationships/hyperlink" Target="https://chromewebstore.google.com/detail/kalmlbhhgndofalfencmggfncedfajgj" TargetMode="External"/><Relationship Id="rId6192" Type="http://schemas.openxmlformats.org/officeDocument/2006/relationships/hyperlink" Target="https://chromewebstore.google.com/detail/kamcahcpkdbdhphbnhblmcgemhbhbohm" TargetMode="External"/><Relationship Id="rId6197" Type="http://schemas.openxmlformats.org/officeDocument/2006/relationships/hyperlink" Target="https://chromewebstore.google.com/detail/kbkfjhdphkidpjcgpkjbdjoipkcjccjf" TargetMode="External"/><Relationship Id="rId6198" Type="http://schemas.openxmlformats.org/officeDocument/2006/relationships/hyperlink" Target="https://chromewebstore.google.com/detail/kblnaaogehadfaelemdemldbkpojknml" TargetMode="External"/><Relationship Id="rId6195" Type="http://schemas.openxmlformats.org/officeDocument/2006/relationships/hyperlink" Target="https://chromewebstore.google.com/detail/kbdcjepncmkhgflbmmikjahojomfcina" TargetMode="External"/><Relationship Id="rId6196" Type="http://schemas.openxmlformats.org/officeDocument/2006/relationships/hyperlink" Target="https://chromewebstore.google.com/detail/kbfhngekhdipgofmnofbeanadlaakmja" TargetMode="External"/><Relationship Id="rId6199" Type="http://schemas.openxmlformats.org/officeDocument/2006/relationships/hyperlink" Target="https://chromewebstore.google.com/detail/kbmlldlmbfcejlgflijfedcbncnpbbjj" TargetMode="External"/><Relationship Id="rId7470" Type="http://schemas.openxmlformats.org/officeDocument/2006/relationships/hyperlink" Target="https://chromewebstore.google.com/detail/pekdpppibljpmpbcjelehhnldnfbglgf" TargetMode="External"/><Relationship Id="rId6142" Type="http://schemas.openxmlformats.org/officeDocument/2006/relationships/hyperlink" Target="https://chromewebstore.google.com/detail/jjdjccppehnjdennppcnlnaadcdlffdf" TargetMode="External"/><Relationship Id="rId7474" Type="http://schemas.openxmlformats.org/officeDocument/2006/relationships/hyperlink" Target="https://chromewebstore.google.com/detail/dhgfjjjnmfkolfcmcmdppghhanopfine" TargetMode="External"/><Relationship Id="rId6143" Type="http://schemas.openxmlformats.org/officeDocument/2006/relationships/hyperlink" Target="https://chromewebstore.google.com/detail/jjealpfmifpaeoakfjbafddkhmkbnkmg" TargetMode="External"/><Relationship Id="rId7473" Type="http://schemas.openxmlformats.org/officeDocument/2006/relationships/hyperlink" Target="https://chromewebstore.google.com/detail/dgjafcfohanpcjdlejlklfcaiodolcdl" TargetMode="External"/><Relationship Id="rId6140" Type="http://schemas.openxmlformats.org/officeDocument/2006/relationships/hyperlink" Target="https://chromewebstore.google.com/detail/jjahknhonoemjpjjccbmljjmjggidpoa" TargetMode="External"/><Relationship Id="rId7472" Type="http://schemas.openxmlformats.org/officeDocument/2006/relationships/hyperlink" Target="https://chromewebstore.google.com/detail/cnmmkgiofmdjndakmiknefanjfpbljee" TargetMode="External"/><Relationship Id="rId6141" Type="http://schemas.openxmlformats.org/officeDocument/2006/relationships/hyperlink" Target="https://chromewebstore.google.com/detail/jjbabalpgmamghijhepnkdimbpomefbo" TargetMode="External"/><Relationship Id="rId7471" Type="http://schemas.openxmlformats.org/officeDocument/2006/relationships/hyperlink" Target="https://chromewebstore.google.com/detail/hafhilhhmfljhlgkcnpmkephidgbiman" TargetMode="External"/><Relationship Id="rId6146" Type="http://schemas.openxmlformats.org/officeDocument/2006/relationships/hyperlink" Target="https://chromewebstore.google.com/detail/jjfgpjihgigboplilbcehdbacklfgjlp" TargetMode="External"/><Relationship Id="rId7478" Type="http://schemas.openxmlformats.org/officeDocument/2006/relationships/hyperlink" Target="https://chromewebstore.google.com/detail/eggafenfldlaaefokcbdbinjhifjgoda" TargetMode="External"/><Relationship Id="rId6147" Type="http://schemas.openxmlformats.org/officeDocument/2006/relationships/hyperlink" Target="https://chromewebstore.google.com/detail/jjjmjikebpnpehpgebjibjdkdkpmbcgn" TargetMode="External"/><Relationship Id="rId7477" Type="http://schemas.openxmlformats.org/officeDocument/2006/relationships/hyperlink" Target="https://chromewebstore.google.com/detail/dchhcpcppkgonkhpgajbgempdofniibj" TargetMode="External"/><Relationship Id="rId6144" Type="http://schemas.openxmlformats.org/officeDocument/2006/relationships/hyperlink" Target="https://chromewebstore.google.com/detail/jjelffefampmaekfacjlhkacbnggbceg" TargetMode="External"/><Relationship Id="rId7476" Type="http://schemas.openxmlformats.org/officeDocument/2006/relationships/hyperlink" Target="https://chromewebstore.google.com/detail/chpcjpecheclldlaadmlmaclhoflalbd" TargetMode="External"/><Relationship Id="rId6145" Type="http://schemas.openxmlformats.org/officeDocument/2006/relationships/hyperlink" Target="https://chromewebstore.google.com/detail/jjepabgdfhnikhbpfkbaahaioeheigdc" TargetMode="External"/><Relationship Id="rId7475" Type="http://schemas.openxmlformats.org/officeDocument/2006/relationships/hyperlink" Target="https://chromewebstore.google.com/detail/hajkkplnnaacmpkfpeoeepbgbdiihbjk" TargetMode="External"/><Relationship Id="rId6148" Type="http://schemas.openxmlformats.org/officeDocument/2006/relationships/hyperlink" Target="http://sotel.vn" TargetMode="External"/><Relationship Id="rId6149" Type="http://schemas.openxmlformats.org/officeDocument/2006/relationships/hyperlink" Target="https://chromewebstore.google.com/detail/jjmdjpaemngddcgfgpbcijjcannbigoh" TargetMode="External"/><Relationship Id="rId7479" Type="http://schemas.openxmlformats.org/officeDocument/2006/relationships/hyperlink" Target="https://chromewebstore.google.com/detail/epenpjchljckbcfcmlahbhldaibgeolm" TargetMode="External"/><Relationship Id="rId8790" Type="http://schemas.openxmlformats.org/officeDocument/2006/relationships/hyperlink" Target="https://chromewebstore.google.com/detail/nlilibdmmomdoanihholgmofmhhdcpnm" TargetMode="External"/><Relationship Id="rId6131" Type="http://schemas.openxmlformats.org/officeDocument/2006/relationships/hyperlink" Target="https://chromewebstore.google.com/detail/jidjocdchokabfoljbhpdiejiddilnop" TargetMode="External"/><Relationship Id="rId7463" Type="http://schemas.openxmlformats.org/officeDocument/2006/relationships/hyperlink" Target="https://chromewebstore.google.com/detail/khkopiebhfmedlbmnhdohicienflooag" TargetMode="External"/><Relationship Id="rId8794" Type="http://schemas.openxmlformats.org/officeDocument/2006/relationships/hyperlink" Target="https://chromewebstore.google.com/detail/cokbkfdekagbhjgcbmfocehbmocjmgmk" TargetMode="External"/><Relationship Id="rId6132" Type="http://schemas.openxmlformats.org/officeDocument/2006/relationships/hyperlink" Target="https://chromewebstore.google.com/detail/jieipmflhhlbimogheoejpchlebnpfie" TargetMode="External"/><Relationship Id="rId7462" Type="http://schemas.openxmlformats.org/officeDocument/2006/relationships/hyperlink" Target="https://chromewebstore.google.com/detail/nmdmdpkkcdahmailooblnbdbcbakmbkp" TargetMode="External"/><Relationship Id="rId8793" Type="http://schemas.openxmlformats.org/officeDocument/2006/relationships/hyperlink" Target="https://chromewebstore.google.com/detail/ajchknafbabadjpbdkcnglcakmiknlge" TargetMode="External"/><Relationship Id="rId7461" Type="http://schemas.openxmlformats.org/officeDocument/2006/relationships/hyperlink" Target="https://chromewebstore.google.com/detail/aoieokedbecedmpafmimaabhcpmefjdk" TargetMode="External"/><Relationship Id="rId8792" Type="http://schemas.openxmlformats.org/officeDocument/2006/relationships/hyperlink" Target="https://chromewebstore.google.com/detail/pjihmfnnfklnilcknhhihhkomnfeoefb" TargetMode="External"/><Relationship Id="rId6130" Type="http://schemas.openxmlformats.org/officeDocument/2006/relationships/hyperlink" Target="https://chromewebstore.google.com/detail/jicncdodkpdlndbppohjljcggoemckjp" TargetMode="External"/><Relationship Id="rId7460" Type="http://schemas.openxmlformats.org/officeDocument/2006/relationships/hyperlink" Target="https://chromewebstore.google.com/detail/pdlgekbegnmmhadkmoeiobdhpkamaene" TargetMode="External"/><Relationship Id="rId8791" Type="http://schemas.openxmlformats.org/officeDocument/2006/relationships/hyperlink" Target="https://chromewebstore.google.com/detail/ofmgjckcackgocnboajincbpjdmkbifg" TargetMode="External"/><Relationship Id="rId6135" Type="http://schemas.openxmlformats.org/officeDocument/2006/relationships/hyperlink" Target="https://chromewebstore.google.com/detail/jinpkmfakkbmiimemppkhgjeogbdbnid" TargetMode="External"/><Relationship Id="rId7467" Type="http://schemas.openxmlformats.org/officeDocument/2006/relationships/hyperlink" Target="https://chromewebstore.google.com/detail/hnfhfloeaalhhbnbbgnlimemkjmaoedg" TargetMode="External"/><Relationship Id="rId8798" Type="http://schemas.openxmlformats.org/officeDocument/2006/relationships/hyperlink" Target="https://chromewebstore.google.com/detail/lmlkphhdlngaicolpmaakfmhplagoaln" TargetMode="External"/><Relationship Id="rId6136" Type="http://schemas.openxmlformats.org/officeDocument/2006/relationships/hyperlink" Target="https://chromewebstore.google.com/detail/jioeflccmbeaeelfklklmbdjcbdeccnh" TargetMode="External"/><Relationship Id="rId7466" Type="http://schemas.openxmlformats.org/officeDocument/2006/relationships/hyperlink" Target="https://chromewebstore.google.com/detail/plfkjhocdlikiendflhcgpbndefindap" TargetMode="External"/><Relationship Id="rId8797" Type="http://schemas.openxmlformats.org/officeDocument/2006/relationships/hyperlink" Target="https://chromewebstore.google.com/detail/libmlgomhhohdfldmdppljefhkdbcnci" TargetMode="External"/><Relationship Id="rId6133" Type="http://schemas.openxmlformats.org/officeDocument/2006/relationships/hyperlink" Target="https://chromewebstore.google.com/detail/jieoklljhhfecfdhgobapbbjlpkdlmli" TargetMode="External"/><Relationship Id="rId7465" Type="http://schemas.openxmlformats.org/officeDocument/2006/relationships/hyperlink" Target="https://chromewebstore.google.com/detail/mbdmbjljdmkaefooomifpmmallfgdbec" TargetMode="External"/><Relationship Id="rId8796" Type="http://schemas.openxmlformats.org/officeDocument/2006/relationships/hyperlink" Target="https://chromewebstore.google.com/detail/himebmdddlbemclikfplacbnmjgomlkk" TargetMode="External"/><Relationship Id="rId6134" Type="http://schemas.openxmlformats.org/officeDocument/2006/relationships/hyperlink" Target="https://chromewebstore.google.com/detail/jifnokgbglfegkimjdociknefoaapfpe" TargetMode="External"/><Relationship Id="rId7464" Type="http://schemas.openxmlformats.org/officeDocument/2006/relationships/hyperlink" Target="https://chromewebstore.google.com/detail/llfpaibekbngemphkhllbbffpgopboec" TargetMode="External"/><Relationship Id="rId8795" Type="http://schemas.openxmlformats.org/officeDocument/2006/relationships/hyperlink" Target="https://chromewebstore.google.com/detail/eaphndngbeiabnejnachpmpmkapipihm" TargetMode="External"/><Relationship Id="rId6139" Type="http://schemas.openxmlformats.org/officeDocument/2006/relationships/hyperlink" Target="https://chromewebstore.google.com/detail/jjaeodeafkbbimejiboehejbdgpebjcd" TargetMode="External"/><Relationship Id="rId6137" Type="http://schemas.openxmlformats.org/officeDocument/2006/relationships/hyperlink" Target="https://chromewebstore.google.com/detail/jiopicfpmajlonjbckpdejadefhgmakc" TargetMode="External"/><Relationship Id="rId7469" Type="http://schemas.openxmlformats.org/officeDocument/2006/relationships/hyperlink" Target="https://chromewebstore.google.com/detail/kijmjccaolmigiidffnnfbolbpnehhhp" TargetMode="External"/><Relationship Id="rId6138" Type="http://schemas.openxmlformats.org/officeDocument/2006/relationships/hyperlink" Target="https://chromewebstore.google.com/detail/jjacckjcdoeapengmjdmkdehpbjgndhd" TargetMode="External"/><Relationship Id="rId7468" Type="http://schemas.openxmlformats.org/officeDocument/2006/relationships/hyperlink" Target="https://chromewebstore.google.com/detail/ikoffjnnljahdalenipohfhdhlaihfme" TargetMode="External"/><Relationship Id="rId8799" Type="http://schemas.openxmlformats.org/officeDocument/2006/relationships/hyperlink" Target="https://chromewebstore.google.com/detail/lnhjdlekcjjldjbhnnhdehceokficdmo" TargetMode="External"/><Relationship Id="rId6160" Type="http://schemas.openxmlformats.org/officeDocument/2006/relationships/hyperlink" Target="https://chromewebstore.google.com/detail/jleaiaokbancbkmpebmgfafnodjfhngd" TargetMode="External"/><Relationship Id="rId7492" Type="http://schemas.openxmlformats.org/officeDocument/2006/relationships/hyperlink" Target="https://chromewebstore.google.com/detail/dnjaaphbpdglnpphncoiefaglgpfpmne" TargetMode="External"/><Relationship Id="rId6161" Type="http://schemas.openxmlformats.org/officeDocument/2006/relationships/hyperlink" Target="https://chromewebstore.google.com/detail/jlhijknhcoghgfkokndpffmfmoebficg" TargetMode="External"/><Relationship Id="rId7491" Type="http://schemas.openxmlformats.org/officeDocument/2006/relationships/hyperlink" Target="https://chromewebstore.google.com/detail/bneckalmjgjiocbgannjaffookadphna" TargetMode="External"/><Relationship Id="rId7490" Type="http://schemas.openxmlformats.org/officeDocument/2006/relationships/hyperlink" Target="https://chromewebstore.google.com/detail/bcikajlocgcppeihfloalfdnpgfibdpk" TargetMode="External"/><Relationship Id="rId6164" Type="http://schemas.openxmlformats.org/officeDocument/2006/relationships/hyperlink" Target="https://chromewebstore.google.com/detail/jlphgahloknbjaldldejcjmmknhgpfpm" TargetMode="External"/><Relationship Id="rId7496" Type="http://schemas.openxmlformats.org/officeDocument/2006/relationships/hyperlink" Target="https://chromewebstore.google.com/detail/iidnpfiaeiohlkmaehhjoiffcmjclpap" TargetMode="External"/><Relationship Id="rId6165" Type="http://schemas.openxmlformats.org/officeDocument/2006/relationships/hyperlink" Target="https://chromewebstore.google.com/detail/jlpncnjcpiellaedjhhclogeppnophbo" TargetMode="External"/><Relationship Id="rId7495" Type="http://schemas.openxmlformats.org/officeDocument/2006/relationships/hyperlink" Target="https://chromewebstore.google.com/detail/gdblpfiocmgbccolhonbgpilnfnjidgn" TargetMode="External"/><Relationship Id="rId6162" Type="http://schemas.openxmlformats.org/officeDocument/2006/relationships/hyperlink" Target="https://chromewebstore.google.com/detail/jlkgkebpphmaiemciejnmgccejccnpha" TargetMode="External"/><Relationship Id="rId7494" Type="http://schemas.openxmlformats.org/officeDocument/2006/relationships/hyperlink" Target="https://chromewebstore.google.com/detail/epanejkfcekejmmfbcpbcbigfpefbnlb" TargetMode="External"/><Relationship Id="rId6163" Type="http://schemas.openxmlformats.org/officeDocument/2006/relationships/hyperlink" Target="https://chromewebstore.google.com/detail/jlmdkcaiejonohbmkgickmkgbpceokmn" TargetMode="External"/><Relationship Id="rId7493" Type="http://schemas.openxmlformats.org/officeDocument/2006/relationships/hyperlink" Target="https://chromewebstore.google.com/detail/ecpkbbplpehkkgaojngfhmfjgpkjbnci" TargetMode="External"/><Relationship Id="rId6168" Type="http://schemas.openxmlformats.org/officeDocument/2006/relationships/hyperlink" Target="https://chromewebstore.google.com/detail/jmfopcggkdciofgckgnhcoacjjipopjc" TargetMode="External"/><Relationship Id="rId6169" Type="http://schemas.openxmlformats.org/officeDocument/2006/relationships/hyperlink" Target="https://chromewebstore.google.com/detail/jmibaelpbeoflbmehlelmhgfpongfnke" TargetMode="External"/><Relationship Id="rId7499" Type="http://schemas.openxmlformats.org/officeDocument/2006/relationships/hyperlink" Target="https://chromewebstore.google.com/detail/pocbegcjhdleffmjjkaookjioocjipoh" TargetMode="External"/><Relationship Id="rId6166" Type="http://schemas.openxmlformats.org/officeDocument/2006/relationships/hyperlink" Target="https://chromewebstore.google.com/detail/jmadehfbknkdlbhiajnmpodahfloajgk" TargetMode="External"/><Relationship Id="rId7498" Type="http://schemas.openxmlformats.org/officeDocument/2006/relationships/hyperlink" Target="https://chromewebstore.google.com/detail/npmoddlmdecogbedcedcnnaikakheell" TargetMode="External"/><Relationship Id="rId6167" Type="http://schemas.openxmlformats.org/officeDocument/2006/relationships/hyperlink" Target="https://chromewebstore.google.com/detail/jmakiemlndlphoffgdjmhlghbcnionmc" TargetMode="External"/><Relationship Id="rId7497" Type="http://schemas.openxmlformats.org/officeDocument/2006/relationships/hyperlink" Target="https://chromewebstore.google.com/detail/kdgcemcnbloklddniceknpobimmglbjm" TargetMode="External"/><Relationship Id="rId7481" Type="http://schemas.openxmlformats.org/officeDocument/2006/relationships/hyperlink" Target="https://chromewebstore.google.com/detail/jfjjcakbilcniihnkmjdllfheoanjagh" TargetMode="External"/><Relationship Id="rId6150" Type="http://schemas.openxmlformats.org/officeDocument/2006/relationships/hyperlink" Target="https://chromewebstore.google.com/detail/jjmfhjhfkipdojpiohplpfoliolcemlp" TargetMode="External"/><Relationship Id="rId7480" Type="http://schemas.openxmlformats.org/officeDocument/2006/relationships/hyperlink" Target="https://chromewebstore.google.com/detail/jdkjckndecegekgnogmeobdajbnnmgng" TargetMode="External"/><Relationship Id="rId6153" Type="http://schemas.openxmlformats.org/officeDocument/2006/relationships/hyperlink" Target="https://chromewebstore.google.com/detail/jkdhmahpbiogkhmkeiekiogogkbnkmln" TargetMode="External"/><Relationship Id="rId7485" Type="http://schemas.openxmlformats.org/officeDocument/2006/relationships/hyperlink" Target="https://chromewebstore.google.com/detail/ojmmohmckbjmbpjpdohkfmhnkfedbofp" TargetMode="External"/><Relationship Id="rId6154" Type="http://schemas.openxmlformats.org/officeDocument/2006/relationships/hyperlink" Target="https://chromewebstore.google.com/detail/jkfkkhnehbgnaenppohbjehflonfhefb" TargetMode="External"/><Relationship Id="rId7484" Type="http://schemas.openxmlformats.org/officeDocument/2006/relationships/hyperlink" Target="https://chromewebstore.google.com/detail/ogflhjilpmfeejjdnelhakfokcldpfki" TargetMode="External"/><Relationship Id="rId6151" Type="http://schemas.openxmlformats.org/officeDocument/2006/relationships/hyperlink" Target="https://chromewebstore.google.com/detail/jkboihlnedihckbjohaeiollighbpddo" TargetMode="External"/><Relationship Id="rId7483" Type="http://schemas.openxmlformats.org/officeDocument/2006/relationships/hyperlink" Target="https://chromewebstore.google.com/detail/lpmakbbndaemdmmdpfijabdjdklhkkbd" TargetMode="External"/><Relationship Id="rId6152" Type="http://schemas.openxmlformats.org/officeDocument/2006/relationships/hyperlink" Target="https://chromewebstore.google.com/detail/jkccfahhcjiggkgakkinjdipljallmkf" TargetMode="External"/><Relationship Id="rId7482" Type="http://schemas.openxmlformats.org/officeDocument/2006/relationships/hyperlink" Target="https://chromewebstore.google.com/detail/kloffboieoflphfanokeeaffhmoladln" TargetMode="External"/><Relationship Id="rId6157" Type="http://schemas.openxmlformats.org/officeDocument/2006/relationships/hyperlink" Target="https://chromewebstore.google.com/detail/jkmnfhflkgcekodgohnkcmecndbghigp" TargetMode="External"/><Relationship Id="rId7489" Type="http://schemas.openxmlformats.org/officeDocument/2006/relationships/hyperlink" Target="https://chromewebstore.google.com/detail/limeoeacpekfcanimjnnbgolggamkogd" TargetMode="External"/><Relationship Id="rId6158" Type="http://schemas.openxmlformats.org/officeDocument/2006/relationships/hyperlink" Target="https://chromewebstore.google.com/detail/jlbdldmegomhlplbfkinpkfffdhcpdmm" TargetMode="External"/><Relationship Id="rId7488" Type="http://schemas.openxmlformats.org/officeDocument/2006/relationships/hyperlink" Target="https://chromewebstore.google.com/detail/lffnkibaadgoclbhfajpnhlobdoomfeh" TargetMode="External"/><Relationship Id="rId6155" Type="http://schemas.openxmlformats.org/officeDocument/2006/relationships/hyperlink" Target="https://chromewebstore.google.com/detail/jkhcdncinkkdajmcgapnpnjegcgonmkb" TargetMode="External"/><Relationship Id="rId7487" Type="http://schemas.openxmlformats.org/officeDocument/2006/relationships/hyperlink" Target="https://chromewebstore.google.com/detail/fnbghoijkcenbfhmnenlhdlbididmecl" TargetMode="External"/><Relationship Id="rId6156" Type="http://schemas.openxmlformats.org/officeDocument/2006/relationships/hyperlink" Target="https://chromewebstore.google.com/detail/jkkkccnaigkmkjljjldddhhjjfjbdiga" TargetMode="External"/><Relationship Id="rId7486" Type="http://schemas.openxmlformats.org/officeDocument/2006/relationships/hyperlink" Target="https://chromewebstore.google.com/detail/eldkkiimeobmnkkiielcgemfkaadpchm" TargetMode="External"/><Relationship Id="rId6159" Type="http://schemas.openxmlformats.org/officeDocument/2006/relationships/hyperlink" Target="https://chromewebstore.google.com/detail/jldomlpgobfdlloikpngnjbdidonfjhj" TargetMode="External"/><Relationship Id="rId1334" Type="http://schemas.openxmlformats.org/officeDocument/2006/relationships/hyperlink" Target="https://chromewebstore.google.com/detail/fojfndbpbomkflegaomglkjiiimbkaco" TargetMode="External"/><Relationship Id="rId2665" Type="http://schemas.openxmlformats.org/officeDocument/2006/relationships/hyperlink" Target="https://chromewebstore.google.com/detail/ifgnnjhhfdpjpjokajkolhioakajhidc" TargetMode="External"/><Relationship Id="rId3997" Type="http://schemas.openxmlformats.org/officeDocument/2006/relationships/hyperlink" Target="https://chromewebstore.google.com/detail/cchpcfjfdljcfchegellgojokpfobjkd" TargetMode="External"/><Relationship Id="rId1335" Type="http://schemas.openxmlformats.org/officeDocument/2006/relationships/hyperlink" Target="https://chromewebstore.google.com/detail/folafkamgdbhdeejjhohajojeogpoknm" TargetMode="External"/><Relationship Id="rId2666" Type="http://schemas.openxmlformats.org/officeDocument/2006/relationships/hyperlink" Target="https://chromewebstore.google.com/detail/ijnffcpmmpapfapajdkajkdegnghgeci" TargetMode="External"/><Relationship Id="rId3996" Type="http://schemas.openxmlformats.org/officeDocument/2006/relationships/hyperlink" Target="https://chromewebstore.google.com/detail/ccfpenhpilnacfeimonjfdndpphbgkaa" TargetMode="External"/><Relationship Id="rId1336" Type="http://schemas.openxmlformats.org/officeDocument/2006/relationships/hyperlink" Target="https://chromewebstore.google.com/detail/fpcgjpjkgjphjiehdfkolmaldbnefgjg" TargetMode="External"/><Relationship Id="rId2667" Type="http://schemas.openxmlformats.org/officeDocument/2006/relationships/hyperlink" Target="https://chromewebstore.google.com/detail/ijpiffheldgmdkbaohoilabdnmeinand" TargetMode="External"/><Relationship Id="rId3999" Type="http://schemas.openxmlformats.org/officeDocument/2006/relationships/hyperlink" Target="https://chromewebstore.google.com/detail/cdipjnbignkeledopgpgdlgbolhgkben" TargetMode="External"/><Relationship Id="rId1337" Type="http://schemas.openxmlformats.org/officeDocument/2006/relationships/hyperlink" Target="https://chromewebstore.google.com/detail/fpdmlanpbgokpkcmkojldkjlajcnajko" TargetMode="External"/><Relationship Id="rId2668" Type="http://schemas.openxmlformats.org/officeDocument/2006/relationships/hyperlink" Target="https://chromewebstore.google.com/detail/ilcnkabiejjaijmenfmfobnkplflaglb" TargetMode="External"/><Relationship Id="rId3998" Type="http://schemas.openxmlformats.org/officeDocument/2006/relationships/hyperlink" Target="https://chromewebstore.google.com/detail/ccnaigimpbpdnckifklmbamndjonobio" TargetMode="External"/><Relationship Id="rId1338" Type="http://schemas.openxmlformats.org/officeDocument/2006/relationships/hyperlink" Target="https://chromewebstore.google.com/detail/fpfmklldfnlcblofkhdeoohfppdoejdc" TargetMode="External"/><Relationship Id="rId2669" Type="http://schemas.openxmlformats.org/officeDocument/2006/relationships/hyperlink" Target="https://chromewebstore.google.com/detail/ilfodmgfnklehinlndjdjbmhndkhiand" TargetMode="External"/><Relationship Id="rId1339" Type="http://schemas.openxmlformats.org/officeDocument/2006/relationships/hyperlink" Target="https://chromewebstore.google.com/detail/gabdloknkpdefdpkkibplcfnkngbidim" TargetMode="External"/><Relationship Id="rId745" Type="http://schemas.openxmlformats.org/officeDocument/2006/relationships/hyperlink" Target="https://chromewebstore.google.com/detail/oiimcpipjgnkggjnionbfmlleolhnlco" TargetMode="External"/><Relationship Id="rId744" Type="http://schemas.openxmlformats.org/officeDocument/2006/relationships/hyperlink" Target="https://chromewebstore.google.com/detail/oficfgdfeoknbjfhommlpiekdapmnebh" TargetMode="External"/><Relationship Id="rId743" Type="http://schemas.openxmlformats.org/officeDocument/2006/relationships/hyperlink" Target="https://chromewebstore.google.com/detail/ofdgfpchbidcgncgfpdlpclnpaemakoj" TargetMode="External"/><Relationship Id="rId742" Type="http://schemas.openxmlformats.org/officeDocument/2006/relationships/hyperlink" Target="https://chromewebstore.google.com/detail/oelggcmknbjmhkpgjfhakedcfnkgbdpg" TargetMode="External"/><Relationship Id="rId749" Type="http://schemas.openxmlformats.org/officeDocument/2006/relationships/hyperlink" Target="https://chromewebstore.google.com/detail/ologblpnojaoppnoekhcjbnnhjbepmge" TargetMode="External"/><Relationship Id="rId748" Type="http://schemas.openxmlformats.org/officeDocument/2006/relationships/hyperlink" Target="https://chromewebstore.google.com/detail/olndffocioplakeilhkgenfgdincjlpn" TargetMode="External"/><Relationship Id="rId747" Type="http://schemas.openxmlformats.org/officeDocument/2006/relationships/hyperlink" Target="https://chromewebstore.google.com/detail/olfdaaodhngodpnnoahamgfnndipjopi" TargetMode="External"/><Relationship Id="rId746" Type="http://schemas.openxmlformats.org/officeDocument/2006/relationships/hyperlink" Target="https://chromewebstore.google.com/detail/olciafpppkdhlcjfmaibelnopafmhmdd" TargetMode="External"/><Relationship Id="rId3991" Type="http://schemas.openxmlformats.org/officeDocument/2006/relationships/hyperlink" Target="https://chromewebstore.google.com/detail/caclhldkbdhkgncflgccigmdiljkdpdi" TargetMode="External"/><Relationship Id="rId2660" Type="http://schemas.openxmlformats.org/officeDocument/2006/relationships/hyperlink" Target="https://chromewebstore.google.com/detail/ibpocciholggdbggengnomeikgkibmah" TargetMode="External"/><Relationship Id="rId3990" Type="http://schemas.openxmlformats.org/officeDocument/2006/relationships/hyperlink" Target="https://chromewebstore.google.com/detail/cacindbnpcofhdcbhfbncglgdacdhoin" TargetMode="External"/><Relationship Id="rId741" Type="http://schemas.openxmlformats.org/officeDocument/2006/relationships/hyperlink" Target="https://chromewebstore.google.com/detail/odhmfmnoejhihkmfebnolljiibpnednn" TargetMode="External"/><Relationship Id="rId1330" Type="http://schemas.openxmlformats.org/officeDocument/2006/relationships/hyperlink" Target="https://chromewebstore.google.com/detail/fngonekeakdeebdiokhdigkicnhlpnhj" TargetMode="External"/><Relationship Id="rId2661" Type="http://schemas.openxmlformats.org/officeDocument/2006/relationships/hyperlink" Target="https://chromewebstore.google.com/detail/icgnedmflkjdghcdbglhfcjjphibffpo" TargetMode="External"/><Relationship Id="rId3993" Type="http://schemas.openxmlformats.org/officeDocument/2006/relationships/hyperlink" Target="https://chromewebstore.google.com/detail/cbbhgghlegjpkbhfhpmjoajkdngbfhlg" TargetMode="External"/><Relationship Id="rId740" Type="http://schemas.openxmlformats.org/officeDocument/2006/relationships/hyperlink" Target="https://chromewebstore.google.com/detail/odbdbcaekkgabdfaabepfjgiooilmaoe" TargetMode="External"/><Relationship Id="rId1331" Type="http://schemas.openxmlformats.org/officeDocument/2006/relationships/hyperlink" Target="https://chromewebstore.google.com/detail/fnmfnlamkbhmkaknaokkfcmkeknkpncb" TargetMode="External"/><Relationship Id="rId2662" Type="http://schemas.openxmlformats.org/officeDocument/2006/relationships/hyperlink" Target="https://chromewebstore.google.com/detail/icjgknkfhpgnpjmhchbjacifboahiajj" TargetMode="External"/><Relationship Id="rId3992" Type="http://schemas.openxmlformats.org/officeDocument/2006/relationships/hyperlink" Target="https://chromewebstore.google.com/detail/canbakmdapinjpiabkbdgmpenllifmij" TargetMode="External"/><Relationship Id="rId1332" Type="http://schemas.openxmlformats.org/officeDocument/2006/relationships/hyperlink" Target="https://chromewebstore.google.com/detail/foiapgoppijipmmgkaibacckkhbngfhp" TargetMode="External"/><Relationship Id="rId2663" Type="http://schemas.openxmlformats.org/officeDocument/2006/relationships/hyperlink" Target="https://chromewebstore.google.com/detail/idcnhbaefagbglkinhliaelonppplneh" TargetMode="External"/><Relationship Id="rId3995" Type="http://schemas.openxmlformats.org/officeDocument/2006/relationships/hyperlink" Target="https://chromewebstore.google.com/detail/cbolehniipnbcbmecpekldhjhnohifpm" TargetMode="External"/><Relationship Id="rId1333" Type="http://schemas.openxmlformats.org/officeDocument/2006/relationships/hyperlink" Target="https://chromewebstore.google.com/detail/fojcpnmhelbpakmgaakfhjlmjokocgjg" TargetMode="External"/><Relationship Id="rId2664" Type="http://schemas.openxmlformats.org/officeDocument/2006/relationships/hyperlink" Target="https://chromewebstore.google.com/detail/ifeladbcpppilicpddbbmnfbgemaeeai" TargetMode="External"/><Relationship Id="rId3994" Type="http://schemas.openxmlformats.org/officeDocument/2006/relationships/hyperlink" Target="https://chromewebstore.google.com/detail/cbgpbhpefmeholmeodlhaalbcjgbafjd" TargetMode="External"/><Relationship Id="rId1323" Type="http://schemas.openxmlformats.org/officeDocument/2006/relationships/hyperlink" Target="https://chromewebstore.google.com/detail/fkllkmgclnabanhckclcipnddfbindan" TargetMode="External"/><Relationship Id="rId2654" Type="http://schemas.openxmlformats.org/officeDocument/2006/relationships/hyperlink" Target="https://chromewebstore.google.com/detail/hnfdibcbmlppjlkefinedeffoiomlecc" TargetMode="External"/><Relationship Id="rId3986" Type="http://schemas.openxmlformats.org/officeDocument/2006/relationships/hyperlink" Target="https://chromewebstore.google.com/detail/bpjdjkonibhggbbjchphchlbonaijjme" TargetMode="External"/><Relationship Id="rId1324" Type="http://schemas.openxmlformats.org/officeDocument/2006/relationships/hyperlink" Target="https://chromewebstore.google.com/detail/flcpelgcagfhfoegekianiofphddckof" TargetMode="External"/><Relationship Id="rId2655" Type="http://schemas.openxmlformats.org/officeDocument/2006/relationships/hyperlink" Target="https://chromewebstore.google.com/detail/hofkoiddldajhihgjbckeffpodeoockc" TargetMode="External"/><Relationship Id="rId3985" Type="http://schemas.openxmlformats.org/officeDocument/2006/relationships/hyperlink" Target="https://chromewebstore.google.com/detail/bpjdhheiliihcghpalfflhfpfbmcekij" TargetMode="External"/><Relationship Id="rId1325" Type="http://schemas.openxmlformats.org/officeDocument/2006/relationships/hyperlink" Target="https://chromewebstore.google.com/detail/flkokionhgagpmnhlngldhbfnblmenen" TargetMode="External"/><Relationship Id="rId2656" Type="http://schemas.openxmlformats.org/officeDocument/2006/relationships/hyperlink" Target="https://chromewebstore.google.com/detail/hpaajmgfhgakaamoopdhieneihpmeapm" TargetMode="External"/><Relationship Id="rId3988" Type="http://schemas.openxmlformats.org/officeDocument/2006/relationships/hyperlink" Target="https://chromewebstore.google.com/detail/bpnnnahgjgehfimcicpjmjidcoghhfpf" TargetMode="External"/><Relationship Id="rId1326" Type="http://schemas.openxmlformats.org/officeDocument/2006/relationships/hyperlink" Target="https://chromewebstore.google.com/detail/fmimndodhalboaeakkpfbophcagcelnn" TargetMode="External"/><Relationship Id="rId2657" Type="http://schemas.openxmlformats.org/officeDocument/2006/relationships/hyperlink" Target="https://chromewebstore.google.com/detail/hpogobkggapdhmfnamfnhmchcbmehokb" TargetMode="External"/><Relationship Id="rId3987" Type="http://schemas.openxmlformats.org/officeDocument/2006/relationships/hyperlink" Target="https://chromewebstore.google.com/detail/bpmilapammjhbeldoleojjclaihdbdoo" TargetMode="External"/><Relationship Id="rId1327" Type="http://schemas.openxmlformats.org/officeDocument/2006/relationships/hyperlink" Target="https://chromewebstore.google.com/detail/fmopikahpohdfccohchaailaejpkbobg" TargetMode="External"/><Relationship Id="rId2658" Type="http://schemas.openxmlformats.org/officeDocument/2006/relationships/hyperlink" Target="https://chromewebstore.google.com/detail/iakogcgjbbfakakbpmlocfgabpdhboja" TargetMode="External"/><Relationship Id="rId1328" Type="http://schemas.openxmlformats.org/officeDocument/2006/relationships/hyperlink" Target="https://chromewebstore.google.com/detail/fndcenfgdacibjnofbbdndfijggefgmp" TargetMode="External"/><Relationship Id="rId2659" Type="http://schemas.openxmlformats.org/officeDocument/2006/relationships/hyperlink" Target="https://chromewebstore.google.com/detail/ibpfkplbhnbiklpjacjbaelahebmbmpp" TargetMode="External"/><Relationship Id="rId3989" Type="http://schemas.openxmlformats.org/officeDocument/2006/relationships/hyperlink" Target="https://chromewebstore.google.com/detail/bpokcenamldgbghabnklpmbkkcgcgdld" TargetMode="External"/><Relationship Id="rId1329" Type="http://schemas.openxmlformats.org/officeDocument/2006/relationships/hyperlink" Target="https://chromewebstore.google.com/detail/fnfekoddbjkgnhkhjlaiddjionpkeddn" TargetMode="External"/><Relationship Id="rId739" Type="http://schemas.openxmlformats.org/officeDocument/2006/relationships/hyperlink" Target="https://chromewebstore.google.com/detail/ocgghcnnjekfpbmafindjmijdpopafoe" TargetMode="External"/><Relationship Id="rId734" Type="http://schemas.openxmlformats.org/officeDocument/2006/relationships/hyperlink" Target="https://chromewebstore.google.com/detail/njkmjblmcfiobddjgebnoeldkjcplfjb" TargetMode="External"/><Relationship Id="rId733" Type="http://schemas.openxmlformats.org/officeDocument/2006/relationships/hyperlink" Target="https://chromewebstore.google.com/detail/nikccehomlnjkmgmhnieecolhgdafajb" TargetMode="External"/><Relationship Id="rId732" Type="http://schemas.openxmlformats.org/officeDocument/2006/relationships/hyperlink" Target="https://chromewebstore.google.com/detail/nhbmpbdladcchdhkemlojfjdknjadhmh" TargetMode="External"/><Relationship Id="rId731" Type="http://schemas.openxmlformats.org/officeDocument/2006/relationships/hyperlink" Target="https://chromewebstore.google.com/detail/ngkpdaefpmokglfnmienfiaioffjodam" TargetMode="External"/><Relationship Id="rId738" Type="http://schemas.openxmlformats.org/officeDocument/2006/relationships/hyperlink" Target="https://chromewebstore.google.com/detail/oacindbdmlbdeidohafnfocfckkhjlbg" TargetMode="External"/><Relationship Id="rId737" Type="http://schemas.openxmlformats.org/officeDocument/2006/relationships/hyperlink" Target="https://chromewebstore.google.com/detail/oabphaconndgibllomdcjbfdghcmenci" TargetMode="External"/><Relationship Id="rId736" Type="http://schemas.openxmlformats.org/officeDocument/2006/relationships/hyperlink" Target="https://chromewebstore.google.com/detail/nmpppefjehmjbiplimkfjeamnohldmko" TargetMode="External"/><Relationship Id="rId735" Type="http://schemas.openxmlformats.org/officeDocument/2006/relationships/hyperlink" Target="https://chromewebstore.google.com/detail/nlbpiflhmdcklcbihngeffpmoklbiooj" TargetMode="External"/><Relationship Id="rId3980" Type="http://schemas.openxmlformats.org/officeDocument/2006/relationships/hyperlink" Target="https://chromewebstore.google.com/detail/bonbclphagmhlcpiahpimimkbmlamenc" TargetMode="External"/><Relationship Id="rId730" Type="http://schemas.openxmlformats.org/officeDocument/2006/relationships/hyperlink" Target="https://chromewebstore.google.com/detail/nfbfkdjcnfiiaifgbkibeenfackinihp" TargetMode="External"/><Relationship Id="rId2650" Type="http://schemas.openxmlformats.org/officeDocument/2006/relationships/hyperlink" Target="https://chromewebstore.google.com/detail/hjgbehhikdpmpglfjiknhjffnlfnphbo" TargetMode="External"/><Relationship Id="rId3982" Type="http://schemas.openxmlformats.org/officeDocument/2006/relationships/hyperlink" Target="https://chromewebstore.google.com/detail/bpcliekjnopcagpekljnkpicfdpjfbkc" TargetMode="External"/><Relationship Id="rId1320" Type="http://schemas.openxmlformats.org/officeDocument/2006/relationships/hyperlink" Target="https://chromewebstore.google.com/detail/fjhpodccjhpmkjohgbmmafnnnjfkcalc" TargetMode="External"/><Relationship Id="rId2651" Type="http://schemas.openxmlformats.org/officeDocument/2006/relationships/hyperlink" Target="https://chromewebstore.google.com/detail/hjjngolnpaaikemddabgdaobickpknco" TargetMode="External"/><Relationship Id="rId3981" Type="http://schemas.openxmlformats.org/officeDocument/2006/relationships/hyperlink" Target="https://chromewebstore.google.com/detail/bpbhcboindgomhjpohahlaoonfinnmkf" TargetMode="External"/><Relationship Id="rId1321" Type="http://schemas.openxmlformats.org/officeDocument/2006/relationships/hyperlink" Target="https://chromewebstore.google.com/detail/fkfehdnondfhgkechihgejkcnkhdbfna" TargetMode="External"/><Relationship Id="rId2652" Type="http://schemas.openxmlformats.org/officeDocument/2006/relationships/hyperlink" Target="https://chromewebstore.google.com/detail/hlbcdnfdlghcdgkhgbiboicdcpddjnnb" TargetMode="External"/><Relationship Id="rId3984" Type="http://schemas.openxmlformats.org/officeDocument/2006/relationships/hyperlink" Target="https://chromewebstore.google.com/detail/bpfflbmfgeipgagicanlmccbioknoici" TargetMode="External"/><Relationship Id="rId1322" Type="http://schemas.openxmlformats.org/officeDocument/2006/relationships/hyperlink" Target="https://chromewebstore.google.com/detail/fkkiamalmpiidkljmicmjfbieiclmeij" TargetMode="External"/><Relationship Id="rId2653" Type="http://schemas.openxmlformats.org/officeDocument/2006/relationships/hyperlink" Target="https://chromewebstore.google.com/detail/hllbomlnkhcgejgcjaidcodpnkefhjcg" TargetMode="External"/><Relationship Id="rId3983" Type="http://schemas.openxmlformats.org/officeDocument/2006/relationships/hyperlink" Target="https://chromewebstore.google.com/detail/bpfbcbgognjimbmabiiphhofpgdcgbgc" TargetMode="External"/><Relationship Id="rId1356" Type="http://schemas.openxmlformats.org/officeDocument/2006/relationships/hyperlink" Target="https://chromewebstore.google.com/detail/ghkpjogmachfebfbikjopkdcimjfekdm" TargetMode="External"/><Relationship Id="rId2687" Type="http://schemas.openxmlformats.org/officeDocument/2006/relationships/hyperlink" Target="https://chromewebstore.google.com/detail/kacblojlkodlpoiknfljhamkegibpgfi" TargetMode="External"/><Relationship Id="rId1357" Type="http://schemas.openxmlformats.org/officeDocument/2006/relationships/hyperlink" Target="https://chromewebstore.google.com/detail/ghnkdbkeniegahdcjeeikjoaapakeomf" TargetMode="External"/><Relationship Id="rId2688" Type="http://schemas.openxmlformats.org/officeDocument/2006/relationships/hyperlink" Target="https://chromewebstore.google.com/detail/kaefboomflkchpcemdfcleklomdincbo" TargetMode="External"/><Relationship Id="rId1358" Type="http://schemas.openxmlformats.org/officeDocument/2006/relationships/hyperlink" Target="https://chromewebstore.google.com/detail/ghppfgfeoafdcaebjoglabppkfmbcjdd" TargetMode="External"/><Relationship Id="rId2689" Type="http://schemas.openxmlformats.org/officeDocument/2006/relationships/hyperlink" Target="https://chromewebstore.google.com/detail/kbmjfcgbpnigcngkjgfjmaameebdhhab" TargetMode="External"/><Relationship Id="rId1359" Type="http://schemas.openxmlformats.org/officeDocument/2006/relationships/hyperlink" Target="https://chromewebstore.google.com/detail/giompennnhheakjcnobejbnjgbbkmdnd" TargetMode="External"/><Relationship Id="rId767" Type="http://schemas.openxmlformats.org/officeDocument/2006/relationships/hyperlink" Target="https://chromewebstore.google.com/detail/femogmcmjpjkokoojcljkpfdifkpbbpp" TargetMode="External"/><Relationship Id="rId766" Type="http://schemas.openxmlformats.org/officeDocument/2006/relationships/hyperlink" Target="https://chromewebstore.google.com/detail/gcjpddnhdopbpimmngmgfhhimnbenjhl" TargetMode="External"/><Relationship Id="rId765" Type="http://schemas.openxmlformats.org/officeDocument/2006/relationships/hyperlink" Target="https://chromewebstore.google.com/detail/lkaihdpfpifdlgoapbfocpmekbokmcfd" TargetMode="External"/><Relationship Id="rId764" Type="http://schemas.openxmlformats.org/officeDocument/2006/relationships/hyperlink" Target="https://chromewebstore.google.com/detail/jbhbalpncehdfjnfcmmimecdhalmjjem" TargetMode="External"/><Relationship Id="rId769" Type="http://schemas.openxmlformats.org/officeDocument/2006/relationships/hyperlink" Target="https://chromewebstore.google.com/detail/acofndgbcimipbpeoplfjcapdbebbmca" TargetMode="External"/><Relationship Id="rId768" Type="http://schemas.openxmlformats.org/officeDocument/2006/relationships/hyperlink" Target="https://chromewebstore.google.com/detail/acfmebaomboldplijdpfepofggkocgnl" TargetMode="External"/><Relationship Id="rId2680" Type="http://schemas.openxmlformats.org/officeDocument/2006/relationships/hyperlink" Target="https://chromewebstore.google.com/detail/jkaedhaeddmnmeaogfnbgmmmhlbiljme" TargetMode="External"/><Relationship Id="rId1350" Type="http://schemas.openxmlformats.org/officeDocument/2006/relationships/hyperlink" Target="https://chromewebstore.google.com/detail/ggbjpoaaoeklmpdfjcbgenmbdjhecjjp" TargetMode="External"/><Relationship Id="rId2681" Type="http://schemas.openxmlformats.org/officeDocument/2006/relationships/hyperlink" Target="https://chromewebstore.google.com/detail/jkmajpplbomebfegjjagbeoblheeehld" TargetMode="External"/><Relationship Id="rId1351" Type="http://schemas.openxmlformats.org/officeDocument/2006/relationships/hyperlink" Target="https://chromewebstore.google.com/detail/ggdcjplapccgoinblmidpkoocfafajfa" TargetMode="External"/><Relationship Id="rId2682" Type="http://schemas.openxmlformats.org/officeDocument/2006/relationships/hyperlink" Target="https://chromewebstore.google.com/detail/jmlaohefegdedjnmgpedcoococlpdida" TargetMode="External"/><Relationship Id="rId763" Type="http://schemas.openxmlformats.org/officeDocument/2006/relationships/hyperlink" Target="https://chromewebstore.google.com/detail/ahbkhnpmoamidjgbneafjipbmdfpefad" TargetMode="External"/><Relationship Id="rId1352" Type="http://schemas.openxmlformats.org/officeDocument/2006/relationships/hyperlink" Target="https://chromewebstore.google.com/detail/ggiokgahenecggcpdafpffnpelpfkjam" TargetMode="External"/><Relationship Id="rId2683" Type="http://schemas.openxmlformats.org/officeDocument/2006/relationships/hyperlink" Target="https://chromewebstore.google.com/detail/jnfofbopfpaoeojgieggflbpcblhfhka" TargetMode="External"/><Relationship Id="rId762" Type="http://schemas.openxmlformats.org/officeDocument/2006/relationships/hyperlink" Target="https://chromewebstore.google.com/detail/pmmeddaccflimcipblojlnfandenhicb" TargetMode="External"/><Relationship Id="rId1353" Type="http://schemas.openxmlformats.org/officeDocument/2006/relationships/hyperlink" Target="https://chromewebstore.google.com/detail/ggjpideecfnbipkacplkhhaflkdjagak" TargetMode="External"/><Relationship Id="rId2684" Type="http://schemas.openxmlformats.org/officeDocument/2006/relationships/hyperlink" Target="https://chromewebstore.google.com/detail/jnhibbjmekoijdjaopflcjbjieamifhh" TargetMode="External"/><Relationship Id="rId761" Type="http://schemas.openxmlformats.org/officeDocument/2006/relationships/hyperlink" Target="https://chromewebstore.google.com/detail/pjgjpabbgnnoohijnillgbckikfkbjed" TargetMode="External"/><Relationship Id="rId1354" Type="http://schemas.openxmlformats.org/officeDocument/2006/relationships/hyperlink" Target="https://chromewebstore.google.com/detail/ggmfokbjchlhboclfngkneflhkopebbh" TargetMode="External"/><Relationship Id="rId2685" Type="http://schemas.openxmlformats.org/officeDocument/2006/relationships/hyperlink" Target="https://chromewebstore.google.com/detail/jolcefamincmnepgphdiojccmfaflane" TargetMode="External"/><Relationship Id="rId760" Type="http://schemas.openxmlformats.org/officeDocument/2006/relationships/hyperlink" Target="https://chromewebstore.google.com/detail/pflgjjogbmmcmfhfcnlohagkablhbpmg" TargetMode="External"/><Relationship Id="rId1355" Type="http://schemas.openxmlformats.org/officeDocument/2006/relationships/hyperlink" Target="https://chromewebstore.google.com/detail/ghhhlhbkkchjfnnliacdpmfjjgpmkbpd" TargetMode="External"/><Relationship Id="rId2686" Type="http://schemas.openxmlformats.org/officeDocument/2006/relationships/hyperlink" Target="https://chromewebstore.google.com/detail/jpaiaplhepeiilhiegfnknedhjepknng" TargetMode="External"/><Relationship Id="rId1345" Type="http://schemas.openxmlformats.org/officeDocument/2006/relationships/hyperlink" Target="https://chromewebstore.google.com/detail/gdocmgbfkjnnpapoeobnolbbkoibbcif" TargetMode="External"/><Relationship Id="rId2676" Type="http://schemas.openxmlformats.org/officeDocument/2006/relationships/hyperlink" Target="https://chromewebstore.google.com/detail/jggibfiodonlmkjbmlooehabjldddbgn" TargetMode="External"/><Relationship Id="rId1346" Type="http://schemas.openxmlformats.org/officeDocument/2006/relationships/hyperlink" Target="https://chromewebstore.google.com/detail/gefaddaengbodpiobpbgblajdboalmgc" TargetMode="External"/><Relationship Id="rId2677" Type="http://schemas.openxmlformats.org/officeDocument/2006/relationships/hyperlink" Target="https://chromewebstore.google.com/detail/jglfkmlldmnmbgcokbaefbgcpjifhogo" TargetMode="External"/><Relationship Id="rId1347" Type="http://schemas.openxmlformats.org/officeDocument/2006/relationships/hyperlink" Target="https://chromewebstore.google.com/detail/gemdkhkmcnifpfbfnhpbbhageflibppm" TargetMode="External"/><Relationship Id="rId2678" Type="http://schemas.openxmlformats.org/officeDocument/2006/relationships/hyperlink" Target="https://chromewebstore.google.com/detail/jhfkidfnhjcjjamcbdepeohblphlamgk" TargetMode="External"/><Relationship Id="rId1348" Type="http://schemas.openxmlformats.org/officeDocument/2006/relationships/hyperlink" Target="https://chromewebstore.google.com/detail/gffjdohanhmkfbpnjlnmaeabfhghpilo" TargetMode="External"/><Relationship Id="rId2679" Type="http://schemas.openxmlformats.org/officeDocument/2006/relationships/hyperlink" Target="https://chromewebstore.google.com/detail/jjcbbdnfiapchhkemifphepfgilhdokf" TargetMode="External"/><Relationship Id="rId1349" Type="http://schemas.openxmlformats.org/officeDocument/2006/relationships/hyperlink" Target="https://chromewebstore.google.com/detail/gflgnmgilmokfhbckilljalhemjjeldl" TargetMode="External"/><Relationship Id="rId756" Type="http://schemas.openxmlformats.org/officeDocument/2006/relationships/hyperlink" Target="https://chromewebstore.google.com/detail/pdcohkhhjbifkmpakaiopnllnddofbbn" TargetMode="External"/><Relationship Id="rId755" Type="http://schemas.openxmlformats.org/officeDocument/2006/relationships/hyperlink" Target="https://chromewebstore.google.com/detail/pdblffiahfjjldpkngdpaegghhamefam" TargetMode="External"/><Relationship Id="rId754" Type="http://schemas.openxmlformats.org/officeDocument/2006/relationships/hyperlink" Target="https://chromewebstore.google.com/detail/pdadjkfkgcafgbceimcpbkalnfnepbnk" TargetMode="External"/><Relationship Id="rId753" Type="http://schemas.openxmlformats.org/officeDocument/2006/relationships/hyperlink" Target="https://chromewebstore.google.com/detail/pcnhacefkmiiaohfeomepmkakclhbgkh" TargetMode="External"/><Relationship Id="rId759" Type="http://schemas.openxmlformats.org/officeDocument/2006/relationships/hyperlink" Target="https://chromewebstore.google.com/detail/pekoadgpkajdflcemkdbjlnpjcmcdlfj" TargetMode="External"/><Relationship Id="rId758" Type="http://schemas.openxmlformats.org/officeDocument/2006/relationships/hyperlink" Target="https://chromewebstore.google.com/detail/pdknmigbbbhmllnmgdfalmedcmcefdfn" TargetMode="External"/><Relationship Id="rId757" Type="http://schemas.openxmlformats.org/officeDocument/2006/relationships/hyperlink" Target="https://chromewebstore.google.com/detail/pdebhiihcebhmcpmdncgfodomdnhbehj" TargetMode="External"/><Relationship Id="rId2670" Type="http://schemas.openxmlformats.org/officeDocument/2006/relationships/hyperlink" Target="https://chromewebstore.google.com/detail/ilhbdihflmdkeaalnjjbiclonlodghkm" TargetMode="External"/><Relationship Id="rId1340" Type="http://schemas.openxmlformats.org/officeDocument/2006/relationships/hyperlink" Target="https://chromewebstore.google.com/detail/gahikeojfodidijbfjdfigekphlkcpjm" TargetMode="External"/><Relationship Id="rId2671" Type="http://schemas.openxmlformats.org/officeDocument/2006/relationships/hyperlink" Target="https://chromewebstore.google.com/detail/imohnlganmafcmidafklgkgfgaagiohn" TargetMode="External"/><Relationship Id="rId752" Type="http://schemas.openxmlformats.org/officeDocument/2006/relationships/hyperlink" Target="https://chromewebstore.google.com/detail/oonalfdoahlmjaoloddjenihohbfodme" TargetMode="External"/><Relationship Id="rId1341" Type="http://schemas.openxmlformats.org/officeDocument/2006/relationships/hyperlink" Target="https://chromewebstore.google.com/detail/gbalmmdepliaghihofedeopaacjfcgab" TargetMode="External"/><Relationship Id="rId2672" Type="http://schemas.openxmlformats.org/officeDocument/2006/relationships/hyperlink" Target="https://chromewebstore.google.com/detail/ioomnmgjblnnolpdgdhebainmfbipjoh" TargetMode="External"/><Relationship Id="rId751" Type="http://schemas.openxmlformats.org/officeDocument/2006/relationships/hyperlink" Target="https://chromewebstore.google.com/detail/oompiimecpnflklhlnmdpddcjdmiibkf" TargetMode="External"/><Relationship Id="rId1342" Type="http://schemas.openxmlformats.org/officeDocument/2006/relationships/hyperlink" Target="https://chromewebstore.google.com/detail/gbbehmiepgfmmnifjbnknjaebgmnpbam" TargetMode="External"/><Relationship Id="rId2673" Type="http://schemas.openxmlformats.org/officeDocument/2006/relationships/hyperlink" Target="https://chromewebstore.google.com/detail/janmcneaglgklfljjcpihkkomeghljnf" TargetMode="External"/><Relationship Id="rId750" Type="http://schemas.openxmlformats.org/officeDocument/2006/relationships/hyperlink" Target="https://chromewebstore.google.com/detail/omalebghpgejjiaoknljcfmglgbpocdp" TargetMode="External"/><Relationship Id="rId1343" Type="http://schemas.openxmlformats.org/officeDocument/2006/relationships/hyperlink" Target="https://chromewebstore.google.com/detail/gbobdaaeaihkghbokihkofcbndhmbdpd" TargetMode="External"/><Relationship Id="rId2674" Type="http://schemas.openxmlformats.org/officeDocument/2006/relationships/hyperlink" Target="https://chromewebstore.google.com/detail/jdicfniianljldbajoghhnilmnghgmno" TargetMode="External"/><Relationship Id="rId1344" Type="http://schemas.openxmlformats.org/officeDocument/2006/relationships/hyperlink" Target="https://chromewebstore.google.com/detail/gdhnniabnphencplancldglaflfafmfj" TargetMode="External"/><Relationship Id="rId2675" Type="http://schemas.openxmlformats.org/officeDocument/2006/relationships/hyperlink" Target="https://chromewebstore.google.com/detail/jgapgnoonjgchibeajphaejhabcnklbn" TargetMode="External"/><Relationship Id="rId2621" Type="http://schemas.openxmlformats.org/officeDocument/2006/relationships/hyperlink" Target="https://chromewebstore.google.com/detail/giflhhbjkgabmgndepijmndnbdlpibpo" TargetMode="External"/><Relationship Id="rId3953" Type="http://schemas.openxmlformats.org/officeDocument/2006/relationships/hyperlink" Target="https://chromewebstore.google.com/detail/bggllnkbdlkiimnpkndnceeelpabcogg" TargetMode="External"/><Relationship Id="rId2622" Type="http://schemas.openxmlformats.org/officeDocument/2006/relationships/hyperlink" Target="https://chromewebstore.google.com/detail/gihkgljdimgfffabkemicpaeljmoobil" TargetMode="External"/><Relationship Id="rId3952" Type="http://schemas.openxmlformats.org/officeDocument/2006/relationships/hyperlink" Target="https://chromewebstore.google.com/detail/bgfbijeikimjmdjldemlegooghdjinmj" TargetMode="External"/><Relationship Id="rId2623" Type="http://schemas.openxmlformats.org/officeDocument/2006/relationships/hyperlink" Target="https://chromewebstore.google.com/detail/gjioaolfjcmghlcdkaocopjngkiaaifg" TargetMode="External"/><Relationship Id="rId3955" Type="http://schemas.openxmlformats.org/officeDocument/2006/relationships/hyperlink" Target="https://chromewebstore.google.com/detail/bhipgegdnofneghbmnmgbfdjfhbmejbe" TargetMode="External"/><Relationship Id="rId2624" Type="http://schemas.openxmlformats.org/officeDocument/2006/relationships/hyperlink" Target="https://chromewebstore.google.com/detail/gjnjfnghbiibhfppahonjegijjcnhllb" TargetMode="External"/><Relationship Id="rId3954" Type="http://schemas.openxmlformats.org/officeDocument/2006/relationships/hyperlink" Target="https://chromewebstore.google.com/detail/bhachhlaofmplbfnefenmlnflolelkff" TargetMode="External"/><Relationship Id="rId2625" Type="http://schemas.openxmlformats.org/officeDocument/2006/relationships/hyperlink" Target="https://chromewebstore.google.com/detail/gldldjjpgpdblaaejdfigckokakanoha" TargetMode="External"/><Relationship Id="rId3957" Type="http://schemas.openxmlformats.org/officeDocument/2006/relationships/hyperlink" Target="https://chromewebstore.google.com/detail/bhjllcbooegngfdndlcbmelgcaalkodm" TargetMode="External"/><Relationship Id="rId2626" Type="http://schemas.openxmlformats.org/officeDocument/2006/relationships/hyperlink" Target="https://chromewebstore.google.com/detail/gmhmnhjihabohahcllfgjooaoecglhpi" TargetMode="External"/><Relationship Id="rId3956" Type="http://schemas.openxmlformats.org/officeDocument/2006/relationships/hyperlink" Target="https://chromewebstore.google.com/detail/bhjioncbieblaknjjgladehifnlhdjeb" TargetMode="External"/><Relationship Id="rId2627" Type="http://schemas.openxmlformats.org/officeDocument/2006/relationships/hyperlink" Target="https://chromewebstore.google.com/detail/gmiobjealkacpdmlnanoefnolgndbdje" TargetMode="External"/><Relationship Id="rId3959" Type="http://schemas.openxmlformats.org/officeDocument/2006/relationships/hyperlink" Target="https://chromewebstore.google.com/detail/bifnofbpdbdmgopjoidbicngijjmlogj" TargetMode="External"/><Relationship Id="rId2628" Type="http://schemas.openxmlformats.org/officeDocument/2006/relationships/hyperlink" Target="https://chromewebstore.google.com/detail/gohepdenmnoijddphlfdaojicklmpckm" TargetMode="External"/><Relationship Id="rId3958" Type="http://schemas.openxmlformats.org/officeDocument/2006/relationships/hyperlink" Target="https://chromewebstore.google.com/detail/bhoodecbejheonelhikcfahgpgahffmf" TargetMode="External"/><Relationship Id="rId709" Type="http://schemas.openxmlformats.org/officeDocument/2006/relationships/hyperlink" Target="https://chromewebstore.google.com/detail/lbklnemjebnacdgfdbclbcpfocmgilgn" TargetMode="External"/><Relationship Id="rId2629" Type="http://schemas.openxmlformats.org/officeDocument/2006/relationships/hyperlink" Target="https://chromewebstore.google.com/detail/gonilfkffkiginkddoiaijmoadjifpoa" TargetMode="External"/><Relationship Id="rId708" Type="http://schemas.openxmlformats.org/officeDocument/2006/relationships/hyperlink" Target="https://chromewebstore.google.com/detail/lapbbfoohlcmlbdaakldmmallcbcbpjb" TargetMode="External"/><Relationship Id="rId707" Type="http://schemas.openxmlformats.org/officeDocument/2006/relationships/hyperlink" Target="https://chromewebstore.google.com/detail/kojjcgophkdegmmjdiccpmcnoglklamk" TargetMode="External"/><Relationship Id="rId706" Type="http://schemas.openxmlformats.org/officeDocument/2006/relationships/hyperlink" Target="https://chromewebstore.google.com/detail/knnahnemielbnanghaphjgheamgcjjcb" TargetMode="External"/><Relationship Id="rId701" Type="http://schemas.openxmlformats.org/officeDocument/2006/relationships/hyperlink" Target="https://chromewebstore.google.com/detail/kkicgcijebblepmephnfganiiochecfl" TargetMode="External"/><Relationship Id="rId700" Type="http://schemas.openxmlformats.org/officeDocument/2006/relationships/hyperlink" Target="https://chromewebstore.google.com/detail/kjgfnioibniobfkjcjjfikmhecajpcio" TargetMode="External"/><Relationship Id="rId705" Type="http://schemas.openxmlformats.org/officeDocument/2006/relationships/hyperlink" Target="https://chromewebstore.google.com/detail/knkmhklfleegnlkapphbjbjnbilijlhf" TargetMode="External"/><Relationship Id="rId704" Type="http://schemas.openxmlformats.org/officeDocument/2006/relationships/hyperlink" Target="https://chromewebstore.google.com/detail/knailkjkjcfegledhjhcfacdngnicimb" TargetMode="External"/><Relationship Id="rId703" Type="http://schemas.openxmlformats.org/officeDocument/2006/relationships/hyperlink" Target="https://chromewebstore.google.com/detail/kmjdnkpkpnjblbgbnkeedepgnomafojk" TargetMode="External"/><Relationship Id="rId702" Type="http://schemas.openxmlformats.org/officeDocument/2006/relationships/hyperlink" Target="https://chromewebstore.google.com/detail/kmbcoebcjaiiejopnadjlknjhifadnlg" TargetMode="External"/><Relationship Id="rId3951" Type="http://schemas.openxmlformats.org/officeDocument/2006/relationships/hyperlink" Target="https://chromewebstore.google.com/detail/bgdmklebbjngcmbjpbbbpgdgdhbjjlda" TargetMode="External"/><Relationship Id="rId2620" Type="http://schemas.openxmlformats.org/officeDocument/2006/relationships/hyperlink" Target="https://chromewebstore.google.com/detail/ggeaidddejpbakgafapihjbgdlbbbpob" TargetMode="External"/><Relationship Id="rId3950" Type="http://schemas.openxmlformats.org/officeDocument/2006/relationships/hyperlink" Target="https://chromewebstore.google.com/detail/bfooamdflgheadbaakfehmbdelmfogfa" TargetMode="External"/><Relationship Id="rId2610" Type="http://schemas.openxmlformats.org/officeDocument/2006/relationships/hyperlink" Target="https://chromewebstore.google.com/detail/fpgjjnkajmmmoohnenpokkacgplhkcbp" TargetMode="External"/><Relationship Id="rId3942" Type="http://schemas.openxmlformats.org/officeDocument/2006/relationships/hyperlink" Target="https://chromewebstore.google.com/detail/bdjejcobeddkhcpcemlbnoncfabmafce" TargetMode="External"/><Relationship Id="rId2611" Type="http://schemas.openxmlformats.org/officeDocument/2006/relationships/hyperlink" Target="https://chromewebstore.google.com/detail/gagmhnbbnoealbgkjikehgpglhjbdkgf" TargetMode="External"/><Relationship Id="rId3941" Type="http://schemas.openxmlformats.org/officeDocument/2006/relationships/hyperlink" Target="https://chromewebstore.google.com/detail/bdfejgnkjilbfajogjdjoelflfjjlbce" TargetMode="External"/><Relationship Id="rId2612" Type="http://schemas.openxmlformats.org/officeDocument/2006/relationships/hyperlink" Target="https://chromewebstore.google.com/detail/gamkimojcjodhglgkmeigpnakpefkkcd" TargetMode="External"/><Relationship Id="rId3944" Type="http://schemas.openxmlformats.org/officeDocument/2006/relationships/hyperlink" Target="https://chromewebstore.google.com/detail/bebjbdbgpmgdlfehkibnmgmbkcniaeij" TargetMode="External"/><Relationship Id="rId2613" Type="http://schemas.openxmlformats.org/officeDocument/2006/relationships/hyperlink" Target="https://chromewebstore.google.com/detail/gbkjjbecehodfeijbdmoieepgmfdlgle" TargetMode="External"/><Relationship Id="rId3943" Type="http://schemas.openxmlformats.org/officeDocument/2006/relationships/hyperlink" Target="https://chromewebstore.google.com/detail/beaeppehjnnnidajcmalfcajahopihcb" TargetMode="External"/><Relationship Id="rId2614" Type="http://schemas.openxmlformats.org/officeDocument/2006/relationships/hyperlink" Target="https://chromewebstore.google.com/detail/gcdaaelgdlicnnichhholnoagafangej" TargetMode="External"/><Relationship Id="rId3946" Type="http://schemas.openxmlformats.org/officeDocument/2006/relationships/hyperlink" Target="https://chromewebstore.google.com/detail/beohodjedhlnpeonfkbdafafkcndpmnk" TargetMode="External"/><Relationship Id="rId2615" Type="http://schemas.openxmlformats.org/officeDocument/2006/relationships/hyperlink" Target="https://chromewebstore.google.com/detail/gcilookdakgpccpbcjgnpaecofklimck" TargetMode="External"/><Relationship Id="rId3945" Type="http://schemas.openxmlformats.org/officeDocument/2006/relationships/hyperlink" Target="https://chromewebstore.google.com/detail/beflnephjnapefbofpgcjkncdojndodl" TargetMode="External"/><Relationship Id="rId2616" Type="http://schemas.openxmlformats.org/officeDocument/2006/relationships/hyperlink" Target="https://chromewebstore.google.com/detail/gcollagbbfbncnhmgcaedamlogdpelnp" TargetMode="External"/><Relationship Id="rId3948" Type="http://schemas.openxmlformats.org/officeDocument/2006/relationships/hyperlink" Target="https://chromewebstore.google.com/detail/bfhfbhgccalkogdpcapeiicnjbdijcjk" TargetMode="External"/><Relationship Id="rId2617" Type="http://schemas.openxmlformats.org/officeDocument/2006/relationships/hyperlink" Target="https://chromewebstore.google.com/detail/gdaialcljocaeiioennhhncfklpchflb" TargetMode="External"/><Relationship Id="rId3947" Type="http://schemas.openxmlformats.org/officeDocument/2006/relationships/hyperlink" Target="https://chromewebstore.google.com/detail/bfghbnamplhjmjgpdjohlidkmpgpfeod" TargetMode="External"/><Relationship Id="rId2618" Type="http://schemas.openxmlformats.org/officeDocument/2006/relationships/hyperlink" Target="https://chromewebstore.google.com/detail/gdekiloeocnfnochnkldpkmllmfiaeke" TargetMode="External"/><Relationship Id="rId2619" Type="http://schemas.openxmlformats.org/officeDocument/2006/relationships/hyperlink" Target="https://chromewebstore.google.com/detail/gebemkdecnlgbcanplbgdpcffpdnfdfo" TargetMode="External"/><Relationship Id="rId3949" Type="http://schemas.openxmlformats.org/officeDocument/2006/relationships/hyperlink" Target="https://chromewebstore.google.com/detail/bfjkbhnihjgbahillbebohecpgcdhfao" TargetMode="External"/><Relationship Id="rId3940" Type="http://schemas.openxmlformats.org/officeDocument/2006/relationships/hyperlink" Target="https://chromewebstore.google.com/detail/bcoiihabmfakmgppaccdhijkfgbbdjlj" TargetMode="External"/><Relationship Id="rId1312" Type="http://schemas.openxmlformats.org/officeDocument/2006/relationships/hyperlink" Target="https://chromewebstore.google.com/detail/figgekmbbegjkbppenaagmmepdgfbdif" TargetMode="External"/><Relationship Id="rId2643" Type="http://schemas.openxmlformats.org/officeDocument/2006/relationships/hyperlink" Target="https://chromewebstore.google.com/detail/hfdilejbabibpfcgmpeflocbnkeckdfn" TargetMode="External"/><Relationship Id="rId3975" Type="http://schemas.openxmlformats.org/officeDocument/2006/relationships/hyperlink" Target="https://chromewebstore.google.com/detail/bnflfnhcfikgmmcmoghhejelmefpjhek" TargetMode="External"/><Relationship Id="rId1313" Type="http://schemas.openxmlformats.org/officeDocument/2006/relationships/hyperlink" Target="https://chromewebstore.google.com/detail/fiidmaaecmjkhpfinfkdcabglcmghnaa" TargetMode="External"/><Relationship Id="rId2644" Type="http://schemas.openxmlformats.org/officeDocument/2006/relationships/hyperlink" Target="https://chromewebstore.google.com/detail/hfhlngbcdalpjiejaenfchpcajdmpeom" TargetMode="External"/><Relationship Id="rId3974" Type="http://schemas.openxmlformats.org/officeDocument/2006/relationships/hyperlink" Target="https://chromewebstore.google.com/detail/bndmmpkkilmcaoddlicjenjffkihmmle" TargetMode="External"/><Relationship Id="rId1314" Type="http://schemas.openxmlformats.org/officeDocument/2006/relationships/hyperlink" Target="https://chromewebstore.google.com/detail/filmkodmbabpfkfhoekpgfpankdlajmf" TargetMode="External"/><Relationship Id="rId2645" Type="http://schemas.openxmlformats.org/officeDocument/2006/relationships/hyperlink" Target="https://chromewebstore.google.com/detail/hhbonmijejindhnfgcdggfdbklphhloj" TargetMode="External"/><Relationship Id="rId3977" Type="http://schemas.openxmlformats.org/officeDocument/2006/relationships/hyperlink" Target="https://chromewebstore.google.com/detail/boccolgmoknhiidceemmgkoaggficcpl" TargetMode="External"/><Relationship Id="rId1315" Type="http://schemas.openxmlformats.org/officeDocument/2006/relationships/hyperlink" Target="https://chromewebstore.google.com/detail/fimgfedafeadlieiabdeeaodndnlbhid" TargetMode="External"/><Relationship Id="rId2646" Type="http://schemas.openxmlformats.org/officeDocument/2006/relationships/hyperlink" Target="https://chromewebstore.google.com/detail/hhdpibondcndkgpoobpnndbbelpidhpk" TargetMode="External"/><Relationship Id="rId3976" Type="http://schemas.openxmlformats.org/officeDocument/2006/relationships/hyperlink" Target="https://chromewebstore.google.com/detail/bnhejmehblohhaalgnnohedpijgkjeof" TargetMode="External"/><Relationship Id="rId1316" Type="http://schemas.openxmlformats.org/officeDocument/2006/relationships/hyperlink" Target="https://chromewebstore.google.com/detail/finjdnhagcdiikmofgpgkmebpmbjcdhf" TargetMode="External"/><Relationship Id="rId2647" Type="http://schemas.openxmlformats.org/officeDocument/2006/relationships/hyperlink" Target="https://chromewebstore.google.com/detail/hhhfnanaabgcafkmlplbifbhknnbmidl" TargetMode="External"/><Relationship Id="rId3979" Type="http://schemas.openxmlformats.org/officeDocument/2006/relationships/hyperlink" Target="https://chromewebstore.google.com/detail/boklbhfpcjpdgdhjeglchaigmhbipijl" TargetMode="External"/><Relationship Id="rId1317" Type="http://schemas.openxmlformats.org/officeDocument/2006/relationships/hyperlink" Target="https://chromewebstore.google.com/detail/fipdcenemkbohhdgadjflhpfneohchmj" TargetMode="External"/><Relationship Id="rId2648" Type="http://schemas.openxmlformats.org/officeDocument/2006/relationships/hyperlink" Target="https://chromewebstore.google.com/detail/hilgambgdpjgljhjdaccadahckpdiapo" TargetMode="External"/><Relationship Id="rId3978" Type="http://schemas.openxmlformats.org/officeDocument/2006/relationships/hyperlink" Target="https://chromewebstore.google.com/detail/bojlgkgcbdcldkhjjapllgncgdgalhfj" TargetMode="External"/><Relationship Id="rId1318" Type="http://schemas.openxmlformats.org/officeDocument/2006/relationships/hyperlink" Target="https://chromewebstore.google.com/detail/fjddglnphjcbiidehkejcpekajbefjka" TargetMode="External"/><Relationship Id="rId2649" Type="http://schemas.openxmlformats.org/officeDocument/2006/relationships/hyperlink" Target="https://chromewebstore.google.com/detail/himmciocmhnindiepdhcfhikjhpgabfa" TargetMode="External"/><Relationship Id="rId1319" Type="http://schemas.openxmlformats.org/officeDocument/2006/relationships/hyperlink" Target="https://chromewebstore.google.com/detail/fjfeeonbeiocojnpfboldpckcgcfknll" TargetMode="External"/><Relationship Id="rId729" Type="http://schemas.openxmlformats.org/officeDocument/2006/relationships/hyperlink" Target="https://chromewebstore.google.com/detail/nedmifdnblopopbcmdcgflboaclchebg" TargetMode="External"/><Relationship Id="rId728" Type="http://schemas.openxmlformats.org/officeDocument/2006/relationships/hyperlink" Target="https://chromewebstore.google.com/detail/nblmegnbohbagljeheaniomchelnhhka" TargetMode="External"/><Relationship Id="rId723" Type="http://schemas.openxmlformats.org/officeDocument/2006/relationships/hyperlink" Target="https://chromewebstore.google.com/detail/mgohdnfabfpfbfnjakkpibennhlcolok" TargetMode="External"/><Relationship Id="rId722" Type="http://schemas.openxmlformats.org/officeDocument/2006/relationships/hyperlink" Target="https://chromewebstore.google.com/detail/medejhbgmfcehgfpinhgnhlnljnpghge" TargetMode="External"/><Relationship Id="rId721" Type="http://schemas.openxmlformats.org/officeDocument/2006/relationships/hyperlink" Target="https://chromewebstore.google.com/detail/mdemppnhjflbejfbnlddahjbpdbeejnn" TargetMode="External"/><Relationship Id="rId720" Type="http://schemas.openxmlformats.org/officeDocument/2006/relationships/hyperlink" Target="https://chromewebstore.google.com/detail/lpkpcliecpgjbkffooidajhakoidhidh" TargetMode="External"/><Relationship Id="rId727" Type="http://schemas.openxmlformats.org/officeDocument/2006/relationships/hyperlink" Target="https://chromewebstore.google.com/detail/nagcaahojecfeopbghgihcabgiepploa" TargetMode="External"/><Relationship Id="rId726" Type="http://schemas.openxmlformats.org/officeDocument/2006/relationships/hyperlink" Target="https://chromewebstore.google.com/detail/mpbblhoepkmpgalgppdoahgeoknmjgpc" TargetMode="External"/><Relationship Id="rId725" Type="http://schemas.openxmlformats.org/officeDocument/2006/relationships/hyperlink" Target="https://chromewebstore.google.com/detail/mjddjgeghkdijejnciaefnkjmkafnnje" TargetMode="External"/><Relationship Id="rId724" Type="http://schemas.openxmlformats.org/officeDocument/2006/relationships/hyperlink" Target="https://chromewebstore.google.com/detail/mhimpmpmffogbmmkmajibklelopddmjf" TargetMode="External"/><Relationship Id="rId3971" Type="http://schemas.openxmlformats.org/officeDocument/2006/relationships/hyperlink" Target="https://chromewebstore.google.com/detail/bloclegocjpjjaandifppeocigahekjg" TargetMode="External"/><Relationship Id="rId2640" Type="http://schemas.openxmlformats.org/officeDocument/2006/relationships/hyperlink" Target="https://chromewebstore.google.com/detail/hdeoafjegchjkmadbbjlbhiooliinkja" TargetMode="External"/><Relationship Id="rId3970" Type="http://schemas.openxmlformats.org/officeDocument/2006/relationships/hyperlink" Target="https://chromewebstore.google.com/detail/bllgmdlgbbmijcoecbnmgeoekhebgmac" TargetMode="External"/><Relationship Id="rId1310" Type="http://schemas.openxmlformats.org/officeDocument/2006/relationships/hyperlink" Target="https://chromewebstore.google.com/detail/fiejnpolkeifcohdoehpckibdhgjalgo" TargetMode="External"/><Relationship Id="rId2641" Type="http://schemas.openxmlformats.org/officeDocument/2006/relationships/hyperlink" Target="https://chromewebstore.google.com/detail/hdjopnnholiccdbmnbkdkhekajephmml" TargetMode="External"/><Relationship Id="rId3973" Type="http://schemas.openxmlformats.org/officeDocument/2006/relationships/hyperlink" Target="https://chromewebstore.google.com/detail/bmadghlcpopfbnfcpmicdoafognfbhmm" TargetMode="External"/><Relationship Id="rId1311" Type="http://schemas.openxmlformats.org/officeDocument/2006/relationships/hyperlink" Target="https://chromewebstore.google.com/detail/figgbchemjpjjobkimbpkgoooifccpmg" TargetMode="External"/><Relationship Id="rId2642" Type="http://schemas.openxmlformats.org/officeDocument/2006/relationships/hyperlink" Target="https://chromewebstore.google.com/detail/heaefblpkhamkcnaihalcmdjiokdgnei" TargetMode="External"/><Relationship Id="rId3972" Type="http://schemas.openxmlformats.org/officeDocument/2006/relationships/hyperlink" Target="https://chromewebstore.google.com/detail/blonmediheekdlhdhfnfohegmhblapcb" TargetMode="External"/><Relationship Id="rId1301" Type="http://schemas.openxmlformats.org/officeDocument/2006/relationships/hyperlink" Target="https://chromewebstore.google.com/detail/ffhafkagcdhnhamiaecajogjcfgienom" TargetMode="External"/><Relationship Id="rId2632" Type="http://schemas.openxmlformats.org/officeDocument/2006/relationships/hyperlink" Target="https://chromewebstore.google.com/detail/hackfjdbiccajlckgjnkejepipjjbepm" TargetMode="External"/><Relationship Id="rId3964" Type="http://schemas.openxmlformats.org/officeDocument/2006/relationships/hyperlink" Target="https://chromewebstore.google.com/detail/bkicfdfanedgnlddinjiojphnehpjnpd" TargetMode="External"/><Relationship Id="rId1302" Type="http://schemas.openxmlformats.org/officeDocument/2006/relationships/hyperlink" Target="https://chromewebstore.google.com/detail/ffjgpapimgnmibnacmeilgjefnoofefp" TargetMode="External"/><Relationship Id="rId2633" Type="http://schemas.openxmlformats.org/officeDocument/2006/relationships/hyperlink" Target="https://chromewebstore.google.com/detail/hahklcmnfgffdlchjigehabfbiigleji" TargetMode="External"/><Relationship Id="rId3963" Type="http://schemas.openxmlformats.org/officeDocument/2006/relationships/hyperlink" Target="https://chromewebstore.google.com/detail/bjgfcfngmakkiehffenhakjpcbmcioke" TargetMode="External"/><Relationship Id="rId1303" Type="http://schemas.openxmlformats.org/officeDocument/2006/relationships/hyperlink" Target="https://chromewebstore.google.com/detail/ffoimglpkabojpaknlpodligjndnedji" TargetMode="External"/><Relationship Id="rId2634" Type="http://schemas.openxmlformats.org/officeDocument/2006/relationships/hyperlink" Target="https://chromewebstore.google.com/detail/haidhlbpihfihbjcggmffnmhgiddjcoc" TargetMode="External"/><Relationship Id="rId3966" Type="http://schemas.openxmlformats.org/officeDocument/2006/relationships/hyperlink" Target="https://chromewebstore.google.com/detail/bleeelcpenoboaoodilaaapgbgjdjdaj" TargetMode="External"/><Relationship Id="rId1304" Type="http://schemas.openxmlformats.org/officeDocument/2006/relationships/hyperlink" Target="https://chromewebstore.google.com/detail/fgfklknfijhflahngajfoagmoilakebp" TargetMode="External"/><Relationship Id="rId2635" Type="http://schemas.openxmlformats.org/officeDocument/2006/relationships/hyperlink" Target="https://chromewebstore.google.com/detail/hbdlidnbnmkmbeompcakgedghogdbbkf" TargetMode="External"/><Relationship Id="rId3965" Type="http://schemas.openxmlformats.org/officeDocument/2006/relationships/hyperlink" Target="https://chromewebstore.google.com/detail/blbpafkooanpdcdcndkcckblghjddpke" TargetMode="External"/><Relationship Id="rId1305" Type="http://schemas.openxmlformats.org/officeDocument/2006/relationships/hyperlink" Target="https://chromewebstore.google.com/detail/fgkboeogiiklpklnjgdiaghaiehcknjo" TargetMode="External"/><Relationship Id="rId2636" Type="http://schemas.openxmlformats.org/officeDocument/2006/relationships/hyperlink" Target="https://chromewebstore.google.com/detail/hbhkfnpodhdcaophahpkiflechaoddoi" TargetMode="External"/><Relationship Id="rId3968" Type="http://schemas.openxmlformats.org/officeDocument/2006/relationships/hyperlink" Target="https://chromewebstore.google.com/detail/blinbhliohhhnddefmgbaelknpjpopjh" TargetMode="External"/><Relationship Id="rId1306" Type="http://schemas.openxmlformats.org/officeDocument/2006/relationships/hyperlink" Target="https://chromewebstore.google.com/detail/fhbmbhoboahpajmphkgdmoegfoogdkkm" TargetMode="External"/><Relationship Id="rId2637" Type="http://schemas.openxmlformats.org/officeDocument/2006/relationships/hyperlink" Target="https://chromewebstore.google.com/detail/hcdeoflfbkpmebldjfkemfhjomgjipgn" TargetMode="External"/><Relationship Id="rId3967" Type="http://schemas.openxmlformats.org/officeDocument/2006/relationships/hyperlink" Target="https://chromewebstore.google.com/detail/blfpdedbdighagggfhgihcocfheicfjk" TargetMode="External"/><Relationship Id="rId1307" Type="http://schemas.openxmlformats.org/officeDocument/2006/relationships/hyperlink" Target="https://chromewebstore.google.com/detail/fhdmkhbefcbhakffdihhceaklaigdllh" TargetMode="External"/><Relationship Id="rId2638" Type="http://schemas.openxmlformats.org/officeDocument/2006/relationships/hyperlink" Target="https://chromewebstore.google.com/detail/hcdihnnnfbdeinkamogggghnmcfaebca" TargetMode="External"/><Relationship Id="rId1308" Type="http://schemas.openxmlformats.org/officeDocument/2006/relationships/hyperlink" Target="https://chromewebstore.google.com/detail/fhdoijgfljahinnpbolfdimpcfoicmnm" TargetMode="External"/><Relationship Id="rId2639" Type="http://schemas.openxmlformats.org/officeDocument/2006/relationships/hyperlink" Target="https://chromewebstore.google.com/detail/hcglieiegpckeibpgbiikpbmaofgcpaa" TargetMode="External"/><Relationship Id="rId3969" Type="http://schemas.openxmlformats.org/officeDocument/2006/relationships/hyperlink" Target="https://chromewebstore.google.com/detail/bljnhgkajocmhlflgefahihojeajhjji" TargetMode="External"/><Relationship Id="rId1309" Type="http://schemas.openxmlformats.org/officeDocument/2006/relationships/hyperlink" Target="https://chromewebstore.google.com/detail/fidkdjmpgoimefkibgbljlfkicpcpkpl" TargetMode="External"/><Relationship Id="rId719" Type="http://schemas.openxmlformats.org/officeDocument/2006/relationships/hyperlink" Target="https://chromewebstore.google.com/detail/lnplogpjijindegfgdcimondiomejhdl" TargetMode="External"/><Relationship Id="rId718" Type="http://schemas.openxmlformats.org/officeDocument/2006/relationships/hyperlink" Target="https://chromewebstore.google.com/detail/lngkbicefbnocjicnbemapilgglemjgg" TargetMode="External"/><Relationship Id="rId717" Type="http://schemas.openxmlformats.org/officeDocument/2006/relationships/hyperlink" Target="https://chromewebstore.google.com/detail/lmilalhkkdhfieeienjbiicclobibjao" TargetMode="External"/><Relationship Id="rId712" Type="http://schemas.openxmlformats.org/officeDocument/2006/relationships/hyperlink" Target="https://chromewebstore.google.com/detail/lehjhlfciaapkfnbmabkdfdaokbkjokb" TargetMode="External"/><Relationship Id="rId711" Type="http://schemas.openxmlformats.org/officeDocument/2006/relationships/hyperlink" Target="https://chromewebstore.google.com/detail/legbfeljfbjgfifnkmpoajgpgejojooj" TargetMode="External"/><Relationship Id="rId710" Type="http://schemas.openxmlformats.org/officeDocument/2006/relationships/hyperlink" Target="https://chromewebstore.google.com/detail/lcbjdhceifofjlpecfpeimnnphbcjgnc" TargetMode="External"/><Relationship Id="rId716" Type="http://schemas.openxmlformats.org/officeDocument/2006/relationships/hyperlink" Target="https://chromewebstore.google.com/detail/lkpekgkhmldknbcgjicjkomphkhhdkjj" TargetMode="External"/><Relationship Id="rId715" Type="http://schemas.openxmlformats.org/officeDocument/2006/relationships/hyperlink" Target="https://chromewebstore.google.com/detail/lkhfeoafdgbaecajkdbioenncjopbpmk" TargetMode="External"/><Relationship Id="rId714" Type="http://schemas.openxmlformats.org/officeDocument/2006/relationships/hyperlink" Target="https://chromewebstore.google.com/detail/lgpdljdpanfecnpindkbnikegohoobci" TargetMode="External"/><Relationship Id="rId713" Type="http://schemas.openxmlformats.org/officeDocument/2006/relationships/hyperlink" Target="https://chromewebstore.google.com/detail/lfffhmndpldceogndeognocbpmlgdemi" TargetMode="External"/><Relationship Id="rId3960" Type="http://schemas.openxmlformats.org/officeDocument/2006/relationships/hyperlink" Target="https://chromewebstore.google.com/detail/bijjfhgimphjklllkmbdapkfemdnhmpj" TargetMode="External"/><Relationship Id="rId2630" Type="http://schemas.openxmlformats.org/officeDocument/2006/relationships/hyperlink" Target="https://chromewebstore.google.com/detail/gpmacnieleppnogafmljbelfpkklagbi" TargetMode="External"/><Relationship Id="rId3962" Type="http://schemas.openxmlformats.org/officeDocument/2006/relationships/hyperlink" Target="https://chromewebstore.google.com/detail/bjgaobjkcmihhaiihefopfinhjaghfce" TargetMode="External"/><Relationship Id="rId1300" Type="http://schemas.openxmlformats.org/officeDocument/2006/relationships/hyperlink" Target="https://chromewebstore.google.com/detail/ffelghdomoehpceihalcnbmnodohkibj" TargetMode="External"/><Relationship Id="rId2631" Type="http://schemas.openxmlformats.org/officeDocument/2006/relationships/hyperlink" Target="https://chromewebstore.google.com/detail/gpnikbcifngfgfcgcgfahidojdpklfia" TargetMode="External"/><Relationship Id="rId3961" Type="http://schemas.openxmlformats.org/officeDocument/2006/relationships/hyperlink" Target="https://chromewebstore.google.com/detail/bimdkbbnmijmfphlbcklkijlaajjkdch" TargetMode="External"/><Relationship Id="rId8806" Type="http://schemas.openxmlformats.org/officeDocument/2006/relationships/hyperlink" Target="https://chromewebstore.google.com/detail/bldokddpppfjgaagcmmmomlmnpjmcmkg" TargetMode="External"/><Relationship Id="rId8805" Type="http://schemas.openxmlformats.org/officeDocument/2006/relationships/hyperlink" Target="https://chromewebstore.google.com/detail/bjojafcmlckaolcdpficjiohhgchcbcp" TargetMode="External"/><Relationship Id="rId8804" Type="http://schemas.openxmlformats.org/officeDocument/2006/relationships/hyperlink" Target="https://chromewebstore.google.com/detail/pplghaldkjlbeaebchaabadnigijmfbl" TargetMode="External"/><Relationship Id="rId8803" Type="http://schemas.openxmlformats.org/officeDocument/2006/relationships/hyperlink" Target="https://chromewebstore.google.com/detail/pcjdkchmolbfddhnadplafncfeccjehi" TargetMode="External"/><Relationship Id="rId8809" Type="http://schemas.openxmlformats.org/officeDocument/2006/relationships/hyperlink" Target="https://chromewebstore.google.com/detail/ocdobpohceakpmoidfhhjiiglnpgphnf" TargetMode="External"/><Relationship Id="rId8808" Type="http://schemas.openxmlformats.org/officeDocument/2006/relationships/hyperlink" Target="https://chromewebstore.google.com/detail/jfdchfmaajlngmheefmlphblannhnmlh" TargetMode="External"/><Relationship Id="rId8807" Type="http://schemas.openxmlformats.org/officeDocument/2006/relationships/hyperlink" Target="https://chromewebstore.google.com/detail/efoabjckcjahofacmgekfhjadpjlmcap" TargetMode="External"/><Relationship Id="rId8802" Type="http://schemas.openxmlformats.org/officeDocument/2006/relationships/hyperlink" Target="https://chromewebstore.google.com/detail/pakilipafnfgghkpekpnkbfgjdmodmai" TargetMode="External"/><Relationship Id="rId8801" Type="http://schemas.openxmlformats.org/officeDocument/2006/relationships/hyperlink" Target="https://chromewebstore.google.com/detail/oopiphpkgmkbppjlmhjeafmnmfgnidci" TargetMode="External"/><Relationship Id="rId8800" Type="http://schemas.openxmlformats.org/officeDocument/2006/relationships/hyperlink" Target="https://chromewebstore.google.com/detail/nclackehnjikcjeijdihkafcefjgnmmi" TargetMode="External"/><Relationship Id="rId8828" Type="http://schemas.openxmlformats.org/officeDocument/2006/relationships/hyperlink" Target="https://chromewebstore.google.com/detail/aichhaiboemcllfpjbgebagahdibmpnh" TargetMode="External"/><Relationship Id="rId8827" Type="http://schemas.openxmlformats.org/officeDocument/2006/relationships/hyperlink" Target="https://chromewebstore.google.com/detail/pajikbgjooomggbhdalmlgiimicopmdi" TargetMode="External"/><Relationship Id="rId8826" Type="http://schemas.openxmlformats.org/officeDocument/2006/relationships/hyperlink" Target="https://chromewebstore.google.com/detail/mnjnjkeobieedmmaindifdaaamnndboo" TargetMode="External"/><Relationship Id="rId8825" Type="http://schemas.openxmlformats.org/officeDocument/2006/relationships/hyperlink" Target="https://chromewebstore.google.com/detail/kdnjphofldkbdpdpcpoknpdfjighjekb" TargetMode="External"/><Relationship Id="rId8829" Type="http://schemas.openxmlformats.org/officeDocument/2006/relationships/hyperlink" Target="https://chromewebstore.google.com/detail/bmbnngnjoagodaidjcmoiadioinjhhfb" TargetMode="External"/><Relationship Id="rId8820" Type="http://schemas.openxmlformats.org/officeDocument/2006/relationships/hyperlink" Target="https://chromewebstore.google.com/detail/enlbmhdjeiioekgmgkllpacjpkfpmlpn" TargetMode="External"/><Relationship Id="rId8824" Type="http://schemas.openxmlformats.org/officeDocument/2006/relationships/hyperlink" Target="https://chromewebstore.google.com/detail/nhjpoicdffokejclclfchgbhfjcmnmic" TargetMode="External"/><Relationship Id="rId8823" Type="http://schemas.openxmlformats.org/officeDocument/2006/relationships/hyperlink" Target="https://chromewebstore.google.com/detail/mcckdcfjdoojbocjakigmogcaifofmef" TargetMode="External"/><Relationship Id="rId8822" Type="http://schemas.openxmlformats.org/officeDocument/2006/relationships/hyperlink" Target="https://chromewebstore.google.com/detail/hlalmipkolibhponfnlmlllbgaifkija" TargetMode="External"/><Relationship Id="rId8821" Type="http://schemas.openxmlformats.org/officeDocument/2006/relationships/hyperlink" Target="https://chromewebstore.google.com/detail/fkfdafnifmdahipdpcbpefhjlceippna" TargetMode="External"/><Relationship Id="rId8817" Type="http://schemas.openxmlformats.org/officeDocument/2006/relationships/hyperlink" Target="https://chromewebstore.google.com/detail/idlphppimakcgpedfjiggllfncjdhafi" TargetMode="External"/><Relationship Id="rId8816" Type="http://schemas.openxmlformats.org/officeDocument/2006/relationships/hyperlink" Target="https://chromewebstore.google.com/detail/hjngkcigmlhefidinfbdnkegocefpjap" TargetMode="External"/><Relationship Id="rId8815" Type="http://schemas.openxmlformats.org/officeDocument/2006/relationships/hyperlink" Target="https://chromewebstore.google.com/detail/epbiejjeicckcbackkiieaecponhfdbg" TargetMode="External"/><Relationship Id="rId8814" Type="http://schemas.openxmlformats.org/officeDocument/2006/relationships/hyperlink" Target="https://chromewebstore.google.com/detail/ddmncmoalbogclpicdmnhemgbhfapfhc" TargetMode="External"/><Relationship Id="rId8819" Type="http://schemas.openxmlformats.org/officeDocument/2006/relationships/hyperlink" Target="https://chromewebstore.google.com/detail/bdimdjhcpdbgdnmclfgmlapnpokafhpe" TargetMode="External"/><Relationship Id="rId8818" Type="http://schemas.openxmlformats.org/officeDocument/2006/relationships/hyperlink" Target="https://chromewebstore.google.com/detail/aggmkhbnakgocpdkcghekgnejbjobifi" TargetMode="External"/><Relationship Id="rId8813" Type="http://schemas.openxmlformats.org/officeDocument/2006/relationships/hyperlink" Target="https://chromewebstore.google.com/detail/aomkpmjejdlgpppabklnoacegopomlka" TargetMode="External"/><Relationship Id="rId8812" Type="http://schemas.openxmlformats.org/officeDocument/2006/relationships/hyperlink" Target="https://chromewebstore.google.com/detail/olifngmkabgkapkhkpancabcjmockpin" TargetMode="External"/><Relationship Id="rId8811" Type="http://schemas.openxmlformats.org/officeDocument/2006/relationships/hyperlink" Target="https://chromewebstore.google.com/detail/ojdggcahaahmpphammjempihickghipi" TargetMode="External"/><Relationship Id="rId8810" Type="http://schemas.openxmlformats.org/officeDocument/2006/relationships/hyperlink" Target="https://chromewebstore.google.com/detail/ocjjknbofcggmblgmlpfpmhccojaecnp" TargetMode="External"/><Relationship Id="rId1378" Type="http://schemas.openxmlformats.org/officeDocument/2006/relationships/hyperlink" Target="https://chromewebstore.google.com/detail/gokficnebmomagijbakglkcmhdbchbhn" TargetMode="External"/><Relationship Id="rId1379" Type="http://schemas.openxmlformats.org/officeDocument/2006/relationships/hyperlink" Target="https://chromewebstore.google.com/detail/gpcgiglobfejclglnojamoopffmcejcm" TargetMode="External"/><Relationship Id="rId789" Type="http://schemas.openxmlformats.org/officeDocument/2006/relationships/hyperlink" Target="https://chromewebstore.google.com/detail/bicfjeemoamhnnfjbhkajljimlgagiph" TargetMode="External"/><Relationship Id="rId788" Type="http://schemas.openxmlformats.org/officeDocument/2006/relationships/hyperlink" Target="https://chromewebstore.google.com/detail/bfmgdnjlifbmedglimhnbhgkefanaiep" TargetMode="External"/><Relationship Id="rId787" Type="http://schemas.openxmlformats.org/officeDocument/2006/relationships/hyperlink" Target="https://chromewebstore.google.com/detail/bflpmpggmkamcjjdjajcafkpcmjmgcfg" TargetMode="External"/><Relationship Id="rId786" Type="http://schemas.openxmlformats.org/officeDocument/2006/relationships/hyperlink" Target="https://chromewebstore.google.com/detail/beglnkgbajkhcmmdkldmgbkggoeegabe" TargetMode="External"/><Relationship Id="rId781" Type="http://schemas.openxmlformats.org/officeDocument/2006/relationships/hyperlink" Target="https://chromewebstore.google.com/detail/bblcccknbdbplgmdjnnikffefhdlobhp" TargetMode="External"/><Relationship Id="rId1370" Type="http://schemas.openxmlformats.org/officeDocument/2006/relationships/hyperlink" Target="https://chromewebstore.google.com/detail/gmcmlgfecmkefmkgbbnggmamclbmikbi" TargetMode="External"/><Relationship Id="rId780" Type="http://schemas.openxmlformats.org/officeDocument/2006/relationships/hyperlink" Target="https://chromewebstore.google.com/detail/aolnbenhahgdmbdgjdkphepifgdnphcl" TargetMode="External"/><Relationship Id="rId1371" Type="http://schemas.openxmlformats.org/officeDocument/2006/relationships/hyperlink" Target="https://chromewebstore.google.com/detail/gmcofljannieocjefhglfanemdmkafgg" TargetMode="External"/><Relationship Id="rId1372" Type="http://schemas.openxmlformats.org/officeDocument/2006/relationships/hyperlink" Target="https://chromewebstore.google.com/detail/gminfkdpejmfkjnelbapfofhkpkomcap" TargetMode="External"/><Relationship Id="rId1373" Type="http://schemas.openxmlformats.org/officeDocument/2006/relationships/hyperlink" Target="https://chromewebstore.google.com/detail/gmodihnfibbjdecbanmpmbmeffnmloel" TargetMode="External"/><Relationship Id="rId785" Type="http://schemas.openxmlformats.org/officeDocument/2006/relationships/hyperlink" Target="https://chromewebstore.google.com/detail/bdkobfnbgkbemcfgopfollaikdlknlkm" TargetMode="External"/><Relationship Id="rId1374" Type="http://schemas.openxmlformats.org/officeDocument/2006/relationships/hyperlink" Target="https://chromewebstore.google.com/detail/gmpiiinlandbgcfejoeaodgpfkdjnolm" TargetMode="External"/><Relationship Id="rId784" Type="http://schemas.openxmlformats.org/officeDocument/2006/relationships/hyperlink" Target="https://chromewebstore.google.com/detail/bdjldefoefllegplkmbmdkjibnlghinb" TargetMode="External"/><Relationship Id="rId1375" Type="http://schemas.openxmlformats.org/officeDocument/2006/relationships/hyperlink" Target="https://chromewebstore.google.com/detail/gmpnnmonpnnmnhpdldahlekfofigiffh" TargetMode="External"/><Relationship Id="rId783" Type="http://schemas.openxmlformats.org/officeDocument/2006/relationships/hyperlink" Target="https://chromewebstore.google.com/detail/bcjfhbahclaolcbkdkckdnnenfeakhbk" TargetMode="External"/><Relationship Id="rId1376" Type="http://schemas.openxmlformats.org/officeDocument/2006/relationships/hyperlink" Target="https://chromewebstore.google.com/detail/gniejkbdlpcgfmgmfbnldfjmijmklacl" TargetMode="External"/><Relationship Id="rId782" Type="http://schemas.openxmlformats.org/officeDocument/2006/relationships/hyperlink" Target="https://chromewebstore.google.com/detail/bccjgmdpenbibncpocpelfmdolmdfbci" TargetMode="External"/><Relationship Id="rId1377" Type="http://schemas.openxmlformats.org/officeDocument/2006/relationships/hyperlink" Target="https://chromewebstore.google.com/detail/gojllalahpiahalfhfjpbpfhjpaahjkc" TargetMode="External"/><Relationship Id="rId1367" Type="http://schemas.openxmlformats.org/officeDocument/2006/relationships/hyperlink" Target="https://chromewebstore.google.com/detail/glcapdcacdfkokcmicllhcjigeodacab" TargetMode="External"/><Relationship Id="rId2698" Type="http://schemas.openxmlformats.org/officeDocument/2006/relationships/hyperlink" Target="https://chromewebstore.google.com/detail/khmmaepcamdkhdikdaphneenognobngd" TargetMode="External"/><Relationship Id="rId1368" Type="http://schemas.openxmlformats.org/officeDocument/2006/relationships/hyperlink" Target="https://chromewebstore.google.com/detail/glknmaideaikkmemifbfkhnomoknepka" TargetMode="External"/><Relationship Id="rId2699" Type="http://schemas.openxmlformats.org/officeDocument/2006/relationships/hyperlink" Target="https://chromewebstore.google.com/detail/khonmmgfpdbncbianbikkhchhgleeako" TargetMode="External"/><Relationship Id="rId1369" Type="http://schemas.openxmlformats.org/officeDocument/2006/relationships/hyperlink" Target="https://chromewebstore.google.com/detail/gllmlkidgbagkcikijiljllpdloelocn" TargetMode="External"/><Relationship Id="rId778" Type="http://schemas.openxmlformats.org/officeDocument/2006/relationships/hyperlink" Target="https://chromewebstore.google.com/detail/aldijnffnfojelcpcfoekkeifffkhldo" TargetMode="External"/><Relationship Id="rId777" Type="http://schemas.openxmlformats.org/officeDocument/2006/relationships/hyperlink" Target="https://chromewebstore.google.com/detail/alakoggmijiicdlcjjeakffojoinhlpg" TargetMode="External"/><Relationship Id="rId776" Type="http://schemas.openxmlformats.org/officeDocument/2006/relationships/hyperlink" Target="https://chromewebstore.google.com/detail/akcljdkpppokdcbopdcbkokilfdddhoi" TargetMode="External"/><Relationship Id="rId775" Type="http://schemas.openxmlformats.org/officeDocument/2006/relationships/hyperlink" Target="https://chromewebstore.google.com/detail/agjiicokbioponboibkfhfgmhcacafph" TargetMode="External"/><Relationship Id="rId779" Type="http://schemas.openxmlformats.org/officeDocument/2006/relationships/hyperlink" Target="https://chromewebstore.google.com/detail/anchoacphlfbdomdlomnbbfhcmcdmjej" TargetMode="External"/><Relationship Id="rId770" Type="http://schemas.openxmlformats.org/officeDocument/2006/relationships/hyperlink" Target="https://chromewebstore.google.com/detail/aeajehgeohhgjbhhbicilpenjfcbfnpg" TargetMode="External"/><Relationship Id="rId2690" Type="http://schemas.openxmlformats.org/officeDocument/2006/relationships/hyperlink" Target="https://chromewebstore.google.com/detail/kcajglmkmpjbgmhkndelbkljpffblood" TargetMode="External"/><Relationship Id="rId1360" Type="http://schemas.openxmlformats.org/officeDocument/2006/relationships/hyperlink" Target="https://chromewebstore.google.com/detail/gjdldigdojpjlmphnogmcmhojfadfmem" TargetMode="External"/><Relationship Id="rId2691" Type="http://schemas.openxmlformats.org/officeDocument/2006/relationships/hyperlink" Target="https://chromewebstore.google.com/detail/kddmkefoecfohkbmcgkdpfhgghfnpbij" TargetMode="External"/><Relationship Id="rId1361" Type="http://schemas.openxmlformats.org/officeDocument/2006/relationships/hyperlink" Target="https://chromewebstore.google.com/detail/gjgmceajgibmifohoegfllnnbjmabije" TargetMode="External"/><Relationship Id="rId2692" Type="http://schemas.openxmlformats.org/officeDocument/2006/relationships/hyperlink" Target="https://chromewebstore.google.com/detail/kdpjfeopbjnldmeipakehahbidmjfmco" TargetMode="External"/><Relationship Id="rId1362" Type="http://schemas.openxmlformats.org/officeDocument/2006/relationships/hyperlink" Target="https://chromewebstore.google.com/detail/gkcckpoladnboalokmkldjabamjpkafo" TargetMode="External"/><Relationship Id="rId2693" Type="http://schemas.openxmlformats.org/officeDocument/2006/relationships/hyperlink" Target="https://chromewebstore.google.com/detail/keamekimefemnbgegbfkdkmbomaahfai" TargetMode="External"/><Relationship Id="rId774" Type="http://schemas.openxmlformats.org/officeDocument/2006/relationships/hyperlink" Target="https://chromewebstore.google.com/detail/ageplmjnkcjmeoolbjaclpdmknmjpmkk" TargetMode="External"/><Relationship Id="rId1363" Type="http://schemas.openxmlformats.org/officeDocument/2006/relationships/hyperlink" Target="https://chromewebstore.google.com/detail/gkcknpgdmiigoagkcoglklgaagnpojed" TargetMode="External"/><Relationship Id="rId2694" Type="http://schemas.openxmlformats.org/officeDocument/2006/relationships/hyperlink" Target="https://chromewebstore.google.com/detail/kekfokjeliilaipagomdhmlfhbmpllkk" TargetMode="External"/><Relationship Id="rId773" Type="http://schemas.openxmlformats.org/officeDocument/2006/relationships/hyperlink" Target="http://start.xyz" TargetMode="External"/><Relationship Id="rId1364" Type="http://schemas.openxmlformats.org/officeDocument/2006/relationships/hyperlink" Target="https://chromewebstore.google.com/detail/gkdcpimagggbnjdkjhbnilfeiidhdhcl" TargetMode="External"/><Relationship Id="rId2695" Type="http://schemas.openxmlformats.org/officeDocument/2006/relationships/hyperlink" Target="https://chromewebstore.google.com/detail/kepemmpmljphklmpfgfmhpjhpdlccpke" TargetMode="External"/><Relationship Id="rId772" Type="http://schemas.openxmlformats.org/officeDocument/2006/relationships/hyperlink" Target="https://chromewebstore.google.com/detail/afbphoagjpegnkpeiliacmiiggojdabo" TargetMode="External"/><Relationship Id="rId1365" Type="http://schemas.openxmlformats.org/officeDocument/2006/relationships/hyperlink" Target="https://chromewebstore.google.com/detail/gkdimpanhbihidflnpedojnljpapgmbe" TargetMode="External"/><Relationship Id="rId2696" Type="http://schemas.openxmlformats.org/officeDocument/2006/relationships/hyperlink" Target="https://chromewebstore.google.com/detail/kfiadggaijonhadndemaccnilcmnljah" TargetMode="External"/><Relationship Id="rId771" Type="http://schemas.openxmlformats.org/officeDocument/2006/relationships/hyperlink" Target="https://chromewebstore.google.com/detail/afanpgdoladoakmnkgoccdfoillpeaop" TargetMode="External"/><Relationship Id="rId1366" Type="http://schemas.openxmlformats.org/officeDocument/2006/relationships/hyperlink" Target="https://chromewebstore.google.com/detail/gkmndgjgpolmikgnipipfekglbbgjcel" TargetMode="External"/><Relationship Id="rId2697" Type="http://schemas.openxmlformats.org/officeDocument/2006/relationships/hyperlink" Target="https://chromewebstore.google.com/detail/kfjclcfpbfhdmikhohhjacgdmndneckj" TargetMode="External"/><Relationship Id="rId1390" Type="http://schemas.openxmlformats.org/officeDocument/2006/relationships/hyperlink" Target="https://chromewebstore.google.com/detail/hbojkigaehlioofejgdpelgfpeahfpga" TargetMode="External"/><Relationship Id="rId1391" Type="http://schemas.openxmlformats.org/officeDocument/2006/relationships/hyperlink" Target="https://chromewebstore.google.com/detail/hccbinpobnjcpckmcfngmdpnbnjpmcbd" TargetMode="External"/><Relationship Id="rId1392" Type="http://schemas.openxmlformats.org/officeDocument/2006/relationships/hyperlink" Target="https://chromewebstore.google.com/detail/hcfmpekcjhpfcokagmhnhldpacknikim" TargetMode="External"/><Relationship Id="rId1393" Type="http://schemas.openxmlformats.org/officeDocument/2006/relationships/hyperlink" Target="https://chromewebstore.google.com/detail/hchobocdmclopcbnibdnoafilagadion" TargetMode="External"/><Relationship Id="rId1394" Type="http://schemas.openxmlformats.org/officeDocument/2006/relationships/hyperlink" Target="https://chromewebstore.google.com/detail/hcnjemngcihnhncobgdgkkfkhmleapah" TargetMode="External"/><Relationship Id="rId1395" Type="http://schemas.openxmlformats.org/officeDocument/2006/relationships/hyperlink" Target="https://chromewebstore.google.com/detail/hdhblphcdjcicefneapkhmleapfaocih" TargetMode="External"/><Relationship Id="rId1396" Type="http://schemas.openxmlformats.org/officeDocument/2006/relationships/hyperlink" Target="https://chromewebstore.google.com/detail/hdifnhiliocdiomkphonngpedadhinof" TargetMode="External"/><Relationship Id="rId1397" Type="http://schemas.openxmlformats.org/officeDocument/2006/relationships/hyperlink" Target="https://chromewebstore.google.com/detail/heolgpojkkeacaokbpolhalhlaidpkkc" TargetMode="External"/><Relationship Id="rId1398" Type="http://schemas.openxmlformats.org/officeDocument/2006/relationships/hyperlink" Target="https://chromewebstore.google.com/detail/hfaapeomffgpemdlpgcjlgcogkiecjjn" TargetMode="External"/><Relationship Id="rId1399" Type="http://schemas.openxmlformats.org/officeDocument/2006/relationships/hyperlink" Target="https://chromewebstore.google.com/detail/hffgmamoeadcoibgfoabbnnmlcpjoonj" TargetMode="External"/><Relationship Id="rId1389" Type="http://schemas.openxmlformats.org/officeDocument/2006/relationships/hyperlink" Target="https://chromewebstore.google.com/detail/hbkdeaccegiikknckeoppkblopjnljhf" TargetMode="External"/><Relationship Id="rId799" Type="http://schemas.openxmlformats.org/officeDocument/2006/relationships/hyperlink" Target="https://chromewebstore.google.com/detail/cdpobfbhbdlpbloccjokjgekjnmifbng" TargetMode="External"/><Relationship Id="rId798" Type="http://schemas.openxmlformats.org/officeDocument/2006/relationships/hyperlink" Target="https://chromewebstore.google.com/detail/cceilgmnkeijahkehfcgfalepihfbcag" TargetMode="External"/><Relationship Id="rId797" Type="http://schemas.openxmlformats.org/officeDocument/2006/relationships/hyperlink" Target="https://chromewebstore.google.com/detail/cbcbkhdmedgianpaifchdaddpnmgnknn" TargetMode="External"/><Relationship Id="rId1380" Type="http://schemas.openxmlformats.org/officeDocument/2006/relationships/hyperlink" Target="https://chromewebstore.google.com/detail/gpdpldlbafdmhlmcdllcjgoigmpjonfc" TargetMode="External"/><Relationship Id="rId792" Type="http://schemas.openxmlformats.org/officeDocument/2006/relationships/hyperlink" Target="https://chromewebstore.google.com/detail/blbeajekbphoogbcoomlkenjbklkoofc" TargetMode="External"/><Relationship Id="rId1381" Type="http://schemas.openxmlformats.org/officeDocument/2006/relationships/hyperlink" Target="https://chromewebstore.google.com/detail/gpgjofmpmjjopcogjgdldidobhmjmdbm" TargetMode="External"/><Relationship Id="rId791" Type="http://schemas.openxmlformats.org/officeDocument/2006/relationships/hyperlink" Target="https://chromewebstore.google.com/detail/bjjgbdlbgjeoankjijbmheneoekbghcg" TargetMode="External"/><Relationship Id="rId1382" Type="http://schemas.openxmlformats.org/officeDocument/2006/relationships/hyperlink" Target="https://chromewebstore.google.com/detail/gpnamfpkffldfnlkofbbebcndfdkclpc" TargetMode="External"/><Relationship Id="rId790" Type="http://schemas.openxmlformats.org/officeDocument/2006/relationships/hyperlink" Target="https://chromewebstore.google.com/detail/bjdhcabjnhhifipbnopnfpfidkafanjf" TargetMode="External"/><Relationship Id="rId1383" Type="http://schemas.openxmlformats.org/officeDocument/2006/relationships/hyperlink" Target="https://chromewebstore.google.com/detail/gponajbpomilcmbmfoipobkikeopjjhp" TargetMode="External"/><Relationship Id="rId1384" Type="http://schemas.openxmlformats.org/officeDocument/2006/relationships/hyperlink" Target="https://chromewebstore.google.com/detail/haaplkpoiimngbppjihnegfmpejdnffj" TargetMode="External"/><Relationship Id="rId796" Type="http://schemas.openxmlformats.org/officeDocument/2006/relationships/hyperlink" Target="https://chromewebstore.google.com/detail/bpfbbngccefbbndginomofgpagkjckik" TargetMode="External"/><Relationship Id="rId1385" Type="http://schemas.openxmlformats.org/officeDocument/2006/relationships/hyperlink" Target="https://chromewebstore.google.com/detail/hacigcgfiefikmkmmmncaiaijoffndpl" TargetMode="External"/><Relationship Id="rId795" Type="http://schemas.openxmlformats.org/officeDocument/2006/relationships/hyperlink" Target="https://chromewebstore.google.com/detail/bpbdbiickajcfeoilijnjlgchjjlfakj" TargetMode="External"/><Relationship Id="rId1386" Type="http://schemas.openxmlformats.org/officeDocument/2006/relationships/hyperlink" Target="https://chromewebstore.google.com/detail/hapfgfdkleiggjjpfpenajgdnfckjpaj" TargetMode="External"/><Relationship Id="rId794" Type="http://schemas.openxmlformats.org/officeDocument/2006/relationships/hyperlink" Target="https://chromewebstore.google.com/detail/bomhdjeadceaggdgfoefmpeafkjhegbo" TargetMode="External"/><Relationship Id="rId1387" Type="http://schemas.openxmlformats.org/officeDocument/2006/relationships/hyperlink" Target="https://chromewebstore.google.com/detail/hapgiopokcmcnjmakciaeaocceodcjdn" TargetMode="External"/><Relationship Id="rId793" Type="http://schemas.openxmlformats.org/officeDocument/2006/relationships/hyperlink" Target="https://chromewebstore.google.com/detail/bodeglehbhhophjohjfpddflimmhilod" TargetMode="External"/><Relationship Id="rId1388" Type="http://schemas.openxmlformats.org/officeDocument/2006/relationships/hyperlink" Target="https://chromewebstore.google.com/detail/hbcennhacfaagdopikcegfcobcadeocj" TargetMode="External"/><Relationship Id="rId6229" Type="http://schemas.openxmlformats.org/officeDocument/2006/relationships/hyperlink" Target="https://chromewebstore.google.com/detail/kfaocdjigbgfjbmbbodglgoomooblail" TargetMode="External"/><Relationship Id="rId7551" Type="http://schemas.openxmlformats.org/officeDocument/2006/relationships/hyperlink" Target="https://chromewebstore.google.com/detail/nikcbpbhlpdkbfekbiojeppjfiajfmmm" TargetMode="External"/><Relationship Id="rId8882" Type="http://schemas.openxmlformats.org/officeDocument/2006/relationships/hyperlink" Target="https://chromewebstore.google.com/detail/gaddempjlhhmknkhnhepmpfngekbjleg" TargetMode="External"/><Relationship Id="rId6220" Type="http://schemas.openxmlformats.org/officeDocument/2006/relationships/hyperlink" Target="https://chromewebstore.google.com/detail/kdmdbahkimnclcmnppaagnnnpdjfggbb" TargetMode="External"/><Relationship Id="rId7550" Type="http://schemas.openxmlformats.org/officeDocument/2006/relationships/hyperlink" Target="https://chromewebstore.google.com/detail/nblmoonpiilkcfcckhhdaijolankohkj" TargetMode="External"/><Relationship Id="rId8881" Type="http://schemas.openxmlformats.org/officeDocument/2006/relationships/hyperlink" Target="https://chromewebstore.google.com/detail/fahdkaomhohfakdnjdcbidacihnhdpag" TargetMode="External"/><Relationship Id="rId8880" Type="http://schemas.openxmlformats.org/officeDocument/2006/relationships/hyperlink" Target="https://chromewebstore.google.com/detail/embpahkgankomlgihkjdjklnfmoablmb" TargetMode="External"/><Relationship Id="rId6223" Type="http://schemas.openxmlformats.org/officeDocument/2006/relationships/hyperlink" Target="https://chromewebstore.google.com/detail/kedfgkphpfhibddhgnehpaoibogdklfa" TargetMode="External"/><Relationship Id="rId7555" Type="http://schemas.openxmlformats.org/officeDocument/2006/relationships/hyperlink" Target="https://chromewebstore.google.com/detail/olphnbmahbbaiicbjalinblhmppmhafn" TargetMode="External"/><Relationship Id="rId8886" Type="http://schemas.openxmlformats.org/officeDocument/2006/relationships/hyperlink" Target="https://chromewebstore.google.com/detail/nckchkccbhcbbcheiegddadiipoekkah" TargetMode="External"/><Relationship Id="rId6224" Type="http://schemas.openxmlformats.org/officeDocument/2006/relationships/hyperlink" Target="https://chromewebstore.google.com/detail/keempgcbhfoekmolbpdkcoimnnejjaeh" TargetMode="External"/><Relationship Id="rId7554" Type="http://schemas.openxmlformats.org/officeDocument/2006/relationships/hyperlink" Target="https://chromewebstore.google.com/detail/nnmmefgfonjgeppijgkgnnibbmcbpedp" TargetMode="External"/><Relationship Id="rId8885" Type="http://schemas.openxmlformats.org/officeDocument/2006/relationships/hyperlink" Target="https://chromewebstore.google.com/detail/mlmdmhbnfmhkpkkheagddlgpbncbinap" TargetMode="External"/><Relationship Id="rId6221" Type="http://schemas.openxmlformats.org/officeDocument/2006/relationships/hyperlink" Target="https://chromewebstore.google.com/detail/kdmokpidjlppgcpeeojhpaknidhehkle" TargetMode="External"/><Relationship Id="rId7553" Type="http://schemas.openxmlformats.org/officeDocument/2006/relationships/hyperlink" Target="https://chromewebstore.google.com/detail/hffobopnjnagddkmcebaoamdfkijphhj" TargetMode="External"/><Relationship Id="rId8884" Type="http://schemas.openxmlformats.org/officeDocument/2006/relationships/hyperlink" Target="https://chromewebstore.google.com/detail/ljeoadpijoacanhinddngndcalkggkmf" TargetMode="External"/><Relationship Id="rId6222" Type="http://schemas.openxmlformats.org/officeDocument/2006/relationships/hyperlink" Target="https://chromewebstore.google.com/detail/kdnnjmhhabnalhbpppkocnplmmebmobh" TargetMode="External"/><Relationship Id="rId7552" Type="http://schemas.openxmlformats.org/officeDocument/2006/relationships/hyperlink" Target="https://chromewebstore.google.com/detail/gbpliecdabaekbhmncopnbkfpdippdnl" TargetMode="External"/><Relationship Id="rId8883" Type="http://schemas.openxmlformats.org/officeDocument/2006/relationships/hyperlink" Target="https://chromewebstore.google.com/detail/kjipmmmmhgfalpbcpdegkooibbceaejg" TargetMode="External"/><Relationship Id="rId6227" Type="http://schemas.openxmlformats.org/officeDocument/2006/relationships/hyperlink" Target="https://chromewebstore.google.com/detail/kenncghfghgolcbmckhiljgaabnpcaaa" TargetMode="External"/><Relationship Id="rId7559" Type="http://schemas.openxmlformats.org/officeDocument/2006/relationships/hyperlink" Target="https://chromewebstore.google.com/detail/fnamipcehfmjomamkpgibdidlnlaobgf" TargetMode="External"/><Relationship Id="rId6228" Type="http://schemas.openxmlformats.org/officeDocument/2006/relationships/hyperlink" Target="https://chromewebstore.google.com/detail/kfaknphcidikmjhmmfmphghhlcoknflj" TargetMode="External"/><Relationship Id="rId7558" Type="http://schemas.openxmlformats.org/officeDocument/2006/relationships/hyperlink" Target="https://chromewebstore.google.com/detail/ejnancobllppofpnnlenepgacncofooi" TargetMode="External"/><Relationship Id="rId8889" Type="http://schemas.openxmlformats.org/officeDocument/2006/relationships/hyperlink" Target="https://chromewebstore.google.com/detail/iheckgdalcgijkcgcdfcpifpphodepnn" TargetMode="External"/><Relationship Id="rId6225" Type="http://schemas.openxmlformats.org/officeDocument/2006/relationships/hyperlink" Target="https://chromewebstore.google.com/detail/keimggighiknpiiloncafdmhopgccbbk" TargetMode="External"/><Relationship Id="rId7557" Type="http://schemas.openxmlformats.org/officeDocument/2006/relationships/hyperlink" Target="https://chromewebstore.google.com/detail/ahpnencomoimdlbgceinogcjpglcgnfh" TargetMode="External"/><Relationship Id="rId8888" Type="http://schemas.openxmlformats.org/officeDocument/2006/relationships/hyperlink" Target="https://chromewebstore.google.com/detail/gncnccgkhldnjnmhlmgcghhgbckeobph" TargetMode="External"/><Relationship Id="rId6226" Type="http://schemas.openxmlformats.org/officeDocument/2006/relationships/hyperlink" Target="https://chromewebstore.google.com/detail/kemhkjedapfedmoaliehjgdllceafeng" TargetMode="External"/><Relationship Id="rId7556" Type="http://schemas.openxmlformats.org/officeDocument/2006/relationships/hyperlink" Target="https://chromewebstore.google.com/detail/pnjdaiogafolcpacbpfblaificeideab" TargetMode="External"/><Relationship Id="rId8887" Type="http://schemas.openxmlformats.org/officeDocument/2006/relationships/hyperlink" Target="https://chromewebstore.google.com/detail/ncpekhjjckjhhilnglgjcgpgapgiggbp" TargetMode="External"/><Relationship Id="rId6218" Type="http://schemas.openxmlformats.org/officeDocument/2006/relationships/hyperlink" Target="https://chromewebstore.google.com/detail/kdhlaeknchfnilfnkhlbbjenjealmome" TargetMode="External"/><Relationship Id="rId6219" Type="http://schemas.openxmlformats.org/officeDocument/2006/relationships/hyperlink" Target="https://chromewebstore.google.com/detail/kdkdfjfadjdgonjjkkfjimiachohndeb" TargetMode="External"/><Relationship Id="rId7549" Type="http://schemas.openxmlformats.org/officeDocument/2006/relationships/hyperlink" Target="https://chromewebstore.google.com/detail/ipaflcbenfmebafanoplpnieoaaiieon" TargetMode="External"/><Relationship Id="rId7540" Type="http://schemas.openxmlformats.org/officeDocument/2006/relationships/hyperlink" Target="https://chromewebstore.google.com/detail/nlbdfajoolkacbicncknldfoikncjdhb" TargetMode="External"/><Relationship Id="rId8871" Type="http://schemas.openxmlformats.org/officeDocument/2006/relationships/hyperlink" Target="https://chromewebstore.google.com/detail/dajjempcbjhhdgbkepjmbbbfcaiehmmd" TargetMode="External"/><Relationship Id="rId8870" Type="http://schemas.openxmlformats.org/officeDocument/2006/relationships/hyperlink" Target="https://chromewebstore.google.com/detail/pieialbeacphlakbcihifblpinjpdhlb" TargetMode="External"/><Relationship Id="rId6212" Type="http://schemas.openxmlformats.org/officeDocument/2006/relationships/hyperlink" Target="https://chromewebstore.google.com/detail/kckodmjikeoncekpplppkkcjolofmacc" TargetMode="External"/><Relationship Id="rId7544" Type="http://schemas.openxmlformats.org/officeDocument/2006/relationships/hyperlink" Target="https://chromewebstore.google.com/detail/lhfgjcfhkmijfeppjjokleldddlklpoc" TargetMode="External"/><Relationship Id="rId8875" Type="http://schemas.openxmlformats.org/officeDocument/2006/relationships/hyperlink" Target="https://chromewebstore.google.com/detail/nalkpgbfaadkpckoadhlkihofnbhfhek" TargetMode="External"/><Relationship Id="rId6213" Type="http://schemas.openxmlformats.org/officeDocument/2006/relationships/hyperlink" Target="https://chromewebstore.google.com/detail/kcmegnpfeomalodkclmmaihphoekfhgi" TargetMode="External"/><Relationship Id="rId7543" Type="http://schemas.openxmlformats.org/officeDocument/2006/relationships/hyperlink" Target="https://chromewebstore.google.com/detail/gkamnoiedmidgolhlihkamjpfccohilb" TargetMode="External"/><Relationship Id="rId8874" Type="http://schemas.openxmlformats.org/officeDocument/2006/relationships/hyperlink" Target="https://chromewebstore.google.com/detail/mlibmgejgeafgacoflmnkekjigookhhl" TargetMode="External"/><Relationship Id="rId6210" Type="http://schemas.openxmlformats.org/officeDocument/2006/relationships/hyperlink" Target="https://chromewebstore.google.com/detail/kchhfcpcokkcenicaepbnnilldheogni" TargetMode="External"/><Relationship Id="rId7542" Type="http://schemas.openxmlformats.org/officeDocument/2006/relationships/hyperlink" Target="https://chromewebstore.google.com/detail/cdeocdbeomkaegbihhleiikgkkmacgek" TargetMode="External"/><Relationship Id="rId8873" Type="http://schemas.openxmlformats.org/officeDocument/2006/relationships/hyperlink" Target="https://chromewebstore.google.com/detail/jeiiokmlakmkkdkoenhffpnmbajippge" TargetMode="External"/><Relationship Id="rId6211" Type="http://schemas.openxmlformats.org/officeDocument/2006/relationships/hyperlink" Target="https://chromewebstore.google.com/detail/kchpoagchdfclplfdofdapfggbcpplda" TargetMode="External"/><Relationship Id="rId7541" Type="http://schemas.openxmlformats.org/officeDocument/2006/relationships/hyperlink" Target="https://chromewebstore.google.com/detail/pggofmblkmahcmaafhcnppgcdhmejbci" TargetMode="External"/><Relationship Id="rId8872" Type="http://schemas.openxmlformats.org/officeDocument/2006/relationships/hyperlink" Target="https://chromewebstore.google.com/detail/dmlflpmehdclkhdpmfajmonhhcdlhibh" TargetMode="External"/><Relationship Id="rId6216" Type="http://schemas.openxmlformats.org/officeDocument/2006/relationships/hyperlink" Target="https://chromewebstore.google.com/detail/kdbibdpnfpcddocjlollcjkblilhkkno" TargetMode="External"/><Relationship Id="rId7548" Type="http://schemas.openxmlformats.org/officeDocument/2006/relationships/hyperlink" Target="https://chromewebstore.google.com/detail/ahjhijiiemjbhbpnmmhdkgjbhahjbnjj" TargetMode="External"/><Relationship Id="rId8879" Type="http://schemas.openxmlformats.org/officeDocument/2006/relationships/hyperlink" Target="https://chromewebstore.google.com/detail/dompoccllcaliphengbfbjihlnjnohae" TargetMode="External"/><Relationship Id="rId6217" Type="http://schemas.openxmlformats.org/officeDocument/2006/relationships/hyperlink" Target="https://chromewebstore.google.com/detail/kdfndclcljglfldoackkhjncbkcpjchb" TargetMode="External"/><Relationship Id="rId7547" Type="http://schemas.openxmlformats.org/officeDocument/2006/relationships/hyperlink" Target="https://chromewebstore.google.com/detail/onglbhicnlbbljbhkilnnkbokcgoheej" TargetMode="External"/><Relationship Id="rId8878" Type="http://schemas.openxmlformats.org/officeDocument/2006/relationships/hyperlink" Target="https://chromewebstore.google.com/detail/aonhigbncjadkdiafahcmaodemkipfpj" TargetMode="External"/><Relationship Id="rId6214" Type="http://schemas.openxmlformats.org/officeDocument/2006/relationships/hyperlink" Target="https://chromewebstore.google.com/detail/kcmipkbnmndcdhmlhpdampbfkdbkdjib" TargetMode="External"/><Relationship Id="rId7546" Type="http://schemas.openxmlformats.org/officeDocument/2006/relationships/hyperlink" Target="https://chromewebstore.google.com/detail/bjjpnhdlhpfdebcbhdlmecafnokpjpce" TargetMode="External"/><Relationship Id="rId8877" Type="http://schemas.openxmlformats.org/officeDocument/2006/relationships/hyperlink" Target="https://chromewebstore.google.com/detail/aniaallgmlgdlefladlfhadglocahllm" TargetMode="External"/><Relationship Id="rId6215" Type="http://schemas.openxmlformats.org/officeDocument/2006/relationships/hyperlink" Target="https://chromewebstore.google.com/detail/kdailohlmkahclogmhefpbhfhdgodafa" TargetMode="External"/><Relationship Id="rId7545" Type="http://schemas.openxmlformats.org/officeDocument/2006/relationships/hyperlink" Target="https://chromewebstore.google.com/detail/neadealkfeligebmmolcibhbcdfplhhg" TargetMode="External"/><Relationship Id="rId8876" Type="http://schemas.openxmlformats.org/officeDocument/2006/relationships/hyperlink" Target="https://chromewebstore.google.com/detail/pcbkeahacgjckcikibohfhlofpbaegdo" TargetMode="External"/><Relationship Id="rId6241" Type="http://schemas.openxmlformats.org/officeDocument/2006/relationships/hyperlink" Target="https://chromewebstore.google.com/detail/kgoaldgnannoebilojgnheicbkfbebjg" TargetMode="External"/><Relationship Id="rId7573" Type="http://schemas.openxmlformats.org/officeDocument/2006/relationships/hyperlink" Target="https://chromewebstore.google.com/detail/pclpbjpadbmgjnblbjfepihmkmnkpagj" TargetMode="External"/><Relationship Id="rId6242" Type="http://schemas.openxmlformats.org/officeDocument/2006/relationships/hyperlink" Target="https://chromewebstore.google.com/detail/khaaaofbfbkijpiepkfcamahnafeljem" TargetMode="External"/><Relationship Id="rId7572" Type="http://schemas.openxmlformats.org/officeDocument/2006/relationships/hyperlink" Target="https://chromewebstore.google.com/detail/oljmaangfgmmokjpnojhfblppgeijikp" TargetMode="External"/><Relationship Id="rId7571" Type="http://schemas.openxmlformats.org/officeDocument/2006/relationships/hyperlink" Target="https://chromewebstore.google.com/detail/hdenpcfifhgoabfkmikpfbgoldfnddjk" TargetMode="External"/><Relationship Id="rId6240" Type="http://schemas.openxmlformats.org/officeDocument/2006/relationships/hyperlink" Target="https://chromewebstore.google.com/detail/kgmboamhkokidammpgdilgpnonibiipa" TargetMode="External"/><Relationship Id="rId7570" Type="http://schemas.openxmlformats.org/officeDocument/2006/relationships/hyperlink" Target="https://chromewebstore.google.com/detail/offphobpedohkenckinejacpjodchgmn" TargetMode="External"/><Relationship Id="rId6245" Type="http://schemas.openxmlformats.org/officeDocument/2006/relationships/hyperlink" Target="https://chromewebstore.google.com/detail/khgmenamfnkjenlfaijkjhhdaehemhhf" TargetMode="External"/><Relationship Id="rId7577" Type="http://schemas.openxmlformats.org/officeDocument/2006/relationships/hyperlink" Target="https://chromewebstore.google.com/detail/kgdgengffgmikoloefhbcphnalpicjkg" TargetMode="External"/><Relationship Id="rId6246" Type="http://schemas.openxmlformats.org/officeDocument/2006/relationships/hyperlink" Target="https://chromewebstore.google.com/detail/khjidjdpidalladedmkjibjkklanhcnc" TargetMode="External"/><Relationship Id="rId7576" Type="http://schemas.openxmlformats.org/officeDocument/2006/relationships/hyperlink" Target="https://chromewebstore.google.com/detail/iomnmncpnhloilggeiefebaokegohhdl" TargetMode="External"/><Relationship Id="rId6243" Type="http://schemas.openxmlformats.org/officeDocument/2006/relationships/hyperlink" Target="https://chromewebstore.google.com/detail/khcenbpnhbeplojhaolbpldmoppicold" TargetMode="External"/><Relationship Id="rId7575" Type="http://schemas.openxmlformats.org/officeDocument/2006/relationships/hyperlink" Target="https://chromewebstore.google.com/detail/gbhlckmcjkpdhgkpbmkabcedbhjjpmbo" TargetMode="External"/><Relationship Id="rId6244" Type="http://schemas.openxmlformats.org/officeDocument/2006/relationships/hyperlink" Target="https://chromewebstore.google.com/detail/khdkihdjbcgglfdjpbamhoahejlddkdj" TargetMode="External"/><Relationship Id="rId7574" Type="http://schemas.openxmlformats.org/officeDocument/2006/relationships/hyperlink" Target="https://chromewebstore.google.com/detail/pfiamephhdcbgkifdeejcjbhmolpjenj" TargetMode="External"/><Relationship Id="rId6249" Type="http://schemas.openxmlformats.org/officeDocument/2006/relationships/hyperlink" Target="https://chromewebstore.google.com/detail/khobgoemenoleeedfbilehnpoelmkbko" TargetMode="External"/><Relationship Id="rId6247" Type="http://schemas.openxmlformats.org/officeDocument/2006/relationships/hyperlink" Target="https://chromewebstore.google.com/detail/khkbfocobajjjkojjgpmnhdgbmlnlnef" TargetMode="External"/><Relationship Id="rId7579" Type="http://schemas.openxmlformats.org/officeDocument/2006/relationships/hyperlink" Target="https://chromewebstore.google.com/detail/cpocpfccehgaoaefhgfgimjicohiecje" TargetMode="External"/><Relationship Id="rId6248" Type="http://schemas.openxmlformats.org/officeDocument/2006/relationships/hyperlink" Target="https://chromewebstore.google.com/detail/khnhpkjhoogpgnbhagabcnamppfohhjd" TargetMode="External"/><Relationship Id="rId7578" Type="http://schemas.openxmlformats.org/officeDocument/2006/relationships/hyperlink" Target="https://chromewebstore.google.com/detail/ceofcicakflonbbmbdbdkbmmhnnfahli" TargetMode="External"/><Relationship Id="rId6230" Type="http://schemas.openxmlformats.org/officeDocument/2006/relationships/hyperlink" Target="https://chromewebstore.google.com/detail/kfbkjmofblefhdbabmjfecidcglggoaa" TargetMode="External"/><Relationship Id="rId7562" Type="http://schemas.openxmlformats.org/officeDocument/2006/relationships/hyperlink" Target="https://chromewebstore.google.com/detail/dnglcfmkeagcfmjnhgboabkbjkdnkija" TargetMode="External"/><Relationship Id="rId8893" Type="http://schemas.openxmlformats.org/officeDocument/2006/relationships/hyperlink" Target="https://chromewebstore.google.com/detail/kagabgbcemdhfgefjnnpfnhfpednebbk" TargetMode="External"/><Relationship Id="rId6231" Type="http://schemas.openxmlformats.org/officeDocument/2006/relationships/hyperlink" Target="https://chromewebstore.google.com/detail/kfehlfaeeefnnbponboooacmenececcb" TargetMode="External"/><Relationship Id="rId7561" Type="http://schemas.openxmlformats.org/officeDocument/2006/relationships/hyperlink" Target="https://chromewebstore.google.com/detail/jonopcgchkfmoimjbajihfkiobolimpm" TargetMode="External"/><Relationship Id="rId8892" Type="http://schemas.openxmlformats.org/officeDocument/2006/relationships/hyperlink" Target="https://chromewebstore.google.com/detail/jmbpbefdpfhenpmkomolgmnhnpnbbchj" TargetMode="External"/><Relationship Id="rId7560" Type="http://schemas.openxmlformats.org/officeDocument/2006/relationships/hyperlink" Target="https://chromewebstore.google.com/detail/ifdokboipgdinjaiokegelppjdchgehf" TargetMode="External"/><Relationship Id="rId8891" Type="http://schemas.openxmlformats.org/officeDocument/2006/relationships/hyperlink" Target="https://chromewebstore.google.com/detail/fajipgpjjoingnglmfndnookaiebecop" TargetMode="External"/><Relationship Id="rId8890" Type="http://schemas.openxmlformats.org/officeDocument/2006/relationships/hyperlink" Target="https://chromewebstore.google.com/detail/ccmdndlnhcdglijejfihecppioenfpmh" TargetMode="External"/><Relationship Id="rId6234" Type="http://schemas.openxmlformats.org/officeDocument/2006/relationships/hyperlink" Target="https://chromewebstore.google.com/detail/kfmecbejcnepbfdcdbbhfcjmdmmcmoah" TargetMode="External"/><Relationship Id="rId7566" Type="http://schemas.openxmlformats.org/officeDocument/2006/relationships/hyperlink" Target="https://chromewebstore.google.com/detail/kojnddpihdfgebnbpanjhnhpjaiiekkf" TargetMode="External"/><Relationship Id="rId8897" Type="http://schemas.openxmlformats.org/officeDocument/2006/relationships/hyperlink" Target="https://chromewebstore.google.com/detail/plpdigadhhbhmljndnmeipfjfohhcjad" TargetMode="External"/><Relationship Id="rId6235" Type="http://schemas.openxmlformats.org/officeDocument/2006/relationships/hyperlink" Target="https://chromewebstore.google.com/detail/kgghjfabpkpodeancnenkndklnomjpbf" TargetMode="External"/><Relationship Id="rId7565" Type="http://schemas.openxmlformats.org/officeDocument/2006/relationships/hyperlink" Target="https://chromewebstore.google.com/detail/ocnmfcnkkcpojobfhhpokjccbjbbmplb" TargetMode="External"/><Relationship Id="rId8896" Type="http://schemas.openxmlformats.org/officeDocument/2006/relationships/hyperlink" Target="https://chromewebstore.google.com/detail/mipgaapolfgfbonecakhhacpmafffogo" TargetMode="External"/><Relationship Id="rId6232" Type="http://schemas.openxmlformats.org/officeDocument/2006/relationships/hyperlink" Target="https://chromewebstore.google.com/detail/kffhfpfmcgbogjmmhcogadccojfcaofk" TargetMode="External"/><Relationship Id="rId7564" Type="http://schemas.openxmlformats.org/officeDocument/2006/relationships/hyperlink" Target="https://chromewebstore.google.com/detail/jcildekmhnmopplgcncdohaffhiobimo" TargetMode="External"/><Relationship Id="rId8895" Type="http://schemas.openxmlformats.org/officeDocument/2006/relationships/hyperlink" Target="https://chromewebstore.google.com/detail/mahdbdckklbgglbaoniollkkcacmmdea" TargetMode="External"/><Relationship Id="rId6233" Type="http://schemas.openxmlformats.org/officeDocument/2006/relationships/hyperlink" Target="https://chromewebstore.google.com/detail/kfjldbhohfkdglbnlahhnalakilgjije" TargetMode="External"/><Relationship Id="rId7563" Type="http://schemas.openxmlformats.org/officeDocument/2006/relationships/hyperlink" Target="https://chromewebstore.google.com/detail/fdkjiocjncdhpmienmepiodnpbnedlmj" TargetMode="External"/><Relationship Id="rId8894" Type="http://schemas.openxmlformats.org/officeDocument/2006/relationships/hyperlink" Target="https://chromewebstore.google.com/detail/komfkgoihfgcnnklcajfojdjjcfigdom" TargetMode="External"/><Relationship Id="rId6238" Type="http://schemas.openxmlformats.org/officeDocument/2006/relationships/hyperlink" Target="https://chromewebstore.google.com/detail/kgkmjbhbdakcdfkkgmmihcceekcdmefe" TargetMode="External"/><Relationship Id="rId6239" Type="http://schemas.openxmlformats.org/officeDocument/2006/relationships/hyperlink" Target="https://chromewebstore.google.com/detail/kgllgjbdbkempofinoadnlleigmgppfm" TargetMode="External"/><Relationship Id="rId7569" Type="http://schemas.openxmlformats.org/officeDocument/2006/relationships/hyperlink" Target="https://chromewebstore.google.com/detail/hiejfnfnpmajcbgpcnkaldmomchgnlln" TargetMode="External"/><Relationship Id="rId6236" Type="http://schemas.openxmlformats.org/officeDocument/2006/relationships/hyperlink" Target="https://chromewebstore.google.com/detail/kgicdngjllamjgijagdkoalhkpplipnd" TargetMode="External"/><Relationship Id="rId7568" Type="http://schemas.openxmlformats.org/officeDocument/2006/relationships/hyperlink" Target="https://chromewebstore.google.com/detail/fflaolblljkfjjigfpbokbkjnpeggcke" TargetMode="External"/><Relationship Id="rId8899" Type="http://schemas.openxmlformats.org/officeDocument/2006/relationships/hyperlink" Target="https://chromewebstore.google.com/detail/kcacjknamjmflfkgibhnidhhddiaidao" TargetMode="External"/><Relationship Id="rId6237" Type="http://schemas.openxmlformats.org/officeDocument/2006/relationships/hyperlink" Target="https://chromewebstore.google.com/detail/kgkjmljnaneinhnbbdhigejjffonhffb" TargetMode="External"/><Relationship Id="rId7567" Type="http://schemas.openxmlformats.org/officeDocument/2006/relationships/hyperlink" Target="https://chromewebstore.google.com/detail/enefdmpkcjnemklamnmpdlafceaiogdf" TargetMode="External"/><Relationship Id="rId8898" Type="http://schemas.openxmlformats.org/officeDocument/2006/relationships/hyperlink" Target="https://chromewebstore.google.com/detail/gpghflbiabfangjnelpihcokfmanppgi" TargetMode="External"/><Relationship Id="rId7519" Type="http://schemas.openxmlformats.org/officeDocument/2006/relationships/hyperlink" Target="https://chromewebstore.google.com/detail/cfihjphppakcdhnkbnjboipgblbjapha" TargetMode="External"/><Relationship Id="rId7518" Type="http://schemas.openxmlformats.org/officeDocument/2006/relationships/hyperlink" Target="https://chromewebstore.google.com/detail/agdeebidnlidokgnnkhiiccefldilcjp" TargetMode="External"/><Relationship Id="rId8849" Type="http://schemas.openxmlformats.org/officeDocument/2006/relationships/hyperlink" Target="https://chromewebstore.google.com/detail/kkmcklhlchnalgaeahleegkgodhiflgm" TargetMode="External"/><Relationship Id="rId7517" Type="http://schemas.openxmlformats.org/officeDocument/2006/relationships/hyperlink" Target="https://chromewebstore.google.com/detail/abpidkpcnhcdhahombmgajglihkdgoeh" TargetMode="External"/><Relationship Id="rId8848" Type="http://schemas.openxmlformats.org/officeDocument/2006/relationships/hyperlink" Target="https://chromewebstore.google.com/detail/cchbgnifmhlbmkekmchaaonbhbhigjjd" TargetMode="External"/><Relationship Id="rId7516" Type="http://schemas.openxmlformats.org/officeDocument/2006/relationships/hyperlink" Target="https://chromewebstore.google.com/detail/jhaegbojocomemkcnmnpmoobbmnkijik" TargetMode="External"/><Relationship Id="rId8847" Type="http://schemas.openxmlformats.org/officeDocument/2006/relationships/hyperlink" Target="https://chromewebstore.google.com/detail/bchomhcdomfcemjjfkagijhcinpbffan" TargetMode="External"/><Relationship Id="rId7511" Type="http://schemas.openxmlformats.org/officeDocument/2006/relationships/hyperlink" Target="https://chromewebstore.google.com/detail/klcijojgndghhnmkifealgnjgmclghio" TargetMode="External"/><Relationship Id="rId8842" Type="http://schemas.openxmlformats.org/officeDocument/2006/relationships/hyperlink" Target="https://chromewebstore.google.com/detail/hcnpikjdiaedadmfkflhilndgailpogj" TargetMode="External"/><Relationship Id="rId7510" Type="http://schemas.openxmlformats.org/officeDocument/2006/relationships/hyperlink" Target="https://chromewebstore.google.com/detail/jnpnmkjloegflknlbahemlbodogklned" TargetMode="External"/><Relationship Id="rId8841" Type="http://schemas.openxmlformats.org/officeDocument/2006/relationships/hyperlink" Target="https://chromewebstore.google.com/detail/gbhdnhlcnhgahhodfhipjigebhddgjke" TargetMode="External"/><Relationship Id="rId8840" Type="http://schemas.openxmlformats.org/officeDocument/2006/relationships/hyperlink" Target="https://chromewebstore.google.com/detail/fgapjjkffggllllignindphnioliplok" TargetMode="External"/><Relationship Id="rId7515" Type="http://schemas.openxmlformats.org/officeDocument/2006/relationships/hyperlink" Target="https://chromewebstore.google.com/detail/gcfbekmogelpbhgcepghlkdbmhpbaaig" TargetMode="External"/><Relationship Id="rId8846" Type="http://schemas.openxmlformats.org/officeDocument/2006/relationships/hyperlink" Target="https://chromewebstore.google.com/detail/abbppfcokpiknbdhocmbjnngkkkckepp" TargetMode="External"/><Relationship Id="rId7514" Type="http://schemas.openxmlformats.org/officeDocument/2006/relationships/hyperlink" Target="https://chromewebstore.google.com/detail/ckclfldnjoefbibhhbdklbddhnehdgol" TargetMode="External"/><Relationship Id="rId8845" Type="http://schemas.openxmlformats.org/officeDocument/2006/relationships/hyperlink" Target="https://chromewebstore.google.com/detail/lkhkeilhpkjliofkappbgdicjlmbgbkn" TargetMode="External"/><Relationship Id="rId7513" Type="http://schemas.openxmlformats.org/officeDocument/2006/relationships/hyperlink" Target="https://chromewebstore.google.com/detail/biefkddpeaninjbkipkgnncpdlbddkfl" TargetMode="External"/><Relationship Id="rId8844" Type="http://schemas.openxmlformats.org/officeDocument/2006/relationships/hyperlink" Target="https://chromewebstore.google.com/detail/kjfbefcenipnnpbcbbklcidpjiamlcpl" TargetMode="External"/><Relationship Id="rId7512" Type="http://schemas.openxmlformats.org/officeDocument/2006/relationships/hyperlink" Target="https://chromewebstore.google.com/detail/aklgphppnaannfmmijfggcckafbkbihi" TargetMode="External"/><Relationship Id="rId8843" Type="http://schemas.openxmlformats.org/officeDocument/2006/relationships/hyperlink" Target="https://chromewebstore.google.com/detail/jhfngpbbcdllkebjmllijaefmejolgpk" TargetMode="External"/><Relationship Id="rId7508" Type="http://schemas.openxmlformats.org/officeDocument/2006/relationships/hyperlink" Target="https://chromewebstore.google.com/detail/jfjnfhfeibkcokofbeipmehclfdojpaa" TargetMode="External"/><Relationship Id="rId8839" Type="http://schemas.openxmlformats.org/officeDocument/2006/relationships/hyperlink" Target="https://chromewebstore.google.com/detail/emepkgfiamgdjilgkacpciojagbolepb" TargetMode="External"/><Relationship Id="rId7507" Type="http://schemas.openxmlformats.org/officeDocument/2006/relationships/hyperlink" Target="https://chromewebstore.google.com/detail/iiacjfkjpjmnapncgppmjijgmjlgldha" TargetMode="External"/><Relationship Id="rId8838" Type="http://schemas.openxmlformats.org/officeDocument/2006/relationships/hyperlink" Target="https://chromewebstore.google.com/detail/ejimgebkedeogomfckpbkbmoikpcdnce" TargetMode="External"/><Relationship Id="rId7506" Type="http://schemas.openxmlformats.org/officeDocument/2006/relationships/hyperlink" Target="https://chromewebstore.google.com/detail/hkeeobejbgjnpeceekbppnafmmnjllkn" TargetMode="External"/><Relationship Id="rId8837" Type="http://schemas.openxmlformats.org/officeDocument/2006/relationships/hyperlink" Target="https://chromewebstore.google.com/detail/cgmagalnhglnafodhkkojjiaejpdkbho" TargetMode="External"/><Relationship Id="rId7505" Type="http://schemas.openxmlformats.org/officeDocument/2006/relationships/hyperlink" Target="https://chromewebstore.google.com/detail/fgmiachbppgmenhaghkcmhhfipjanjpk" TargetMode="External"/><Relationship Id="rId8836" Type="http://schemas.openxmlformats.org/officeDocument/2006/relationships/hyperlink" Target="https://chromewebstore.google.com/detail/cfcckljlaljpfphabeilbhgilmmeafbg" TargetMode="External"/><Relationship Id="rId7509" Type="http://schemas.openxmlformats.org/officeDocument/2006/relationships/hyperlink" Target="https://chromewebstore.google.com/detail/jnepdmcgobemcmfcdobmiajiigncnmlc" TargetMode="External"/><Relationship Id="rId7500" Type="http://schemas.openxmlformats.org/officeDocument/2006/relationships/hyperlink" Target="https://chromewebstore.google.com/detail/ibakhgbldoealibhbnggdlhjalbceclj" TargetMode="External"/><Relationship Id="rId8831" Type="http://schemas.openxmlformats.org/officeDocument/2006/relationships/hyperlink" Target="https://chromewebstore.google.com/detail/ildbinpaafbhmjbafifhpglifncjhmdp" TargetMode="External"/><Relationship Id="rId8830" Type="http://schemas.openxmlformats.org/officeDocument/2006/relationships/hyperlink" Target="https://chromewebstore.google.com/detail/ghpadgbcphnomjfjjpockklhcgahebji" TargetMode="External"/><Relationship Id="rId7504" Type="http://schemas.openxmlformats.org/officeDocument/2006/relationships/hyperlink" Target="https://chromewebstore.google.com/detail/pnnifppadimmgfkjhfiifmadbmoaamnk" TargetMode="External"/><Relationship Id="rId8835" Type="http://schemas.openxmlformats.org/officeDocument/2006/relationships/hyperlink" Target="https://chromewebstore.google.com/detail/bhoelabkohelcbnfmnmcljiahdkefdli" TargetMode="External"/><Relationship Id="rId7503" Type="http://schemas.openxmlformats.org/officeDocument/2006/relationships/hyperlink" Target="https://chromewebstore.google.com/detail/oejnidpeffnbdfgienfmebepolhicmgh" TargetMode="External"/><Relationship Id="rId8834" Type="http://schemas.openxmlformats.org/officeDocument/2006/relationships/hyperlink" Target="https://chromewebstore.google.com/detail/npafeekdijcbdmpgkelijopcbnhmhglo" TargetMode="External"/><Relationship Id="rId7502" Type="http://schemas.openxmlformats.org/officeDocument/2006/relationships/hyperlink" Target="https://chromewebstore.google.com/detail/mnflenlaoedijiilhimgcgndofcaofkh" TargetMode="External"/><Relationship Id="rId8833" Type="http://schemas.openxmlformats.org/officeDocument/2006/relationships/hyperlink" Target="https://chromewebstore.google.com/detail/kgdbcilceliahlggkengiekkhdjkfgmd" TargetMode="External"/><Relationship Id="rId7501" Type="http://schemas.openxmlformats.org/officeDocument/2006/relationships/hyperlink" Target="https://chromewebstore.google.com/detail/jbbiglmmnldnajjcnglcbaflpmkjlenh" TargetMode="External"/><Relationship Id="rId8832" Type="http://schemas.openxmlformats.org/officeDocument/2006/relationships/hyperlink" Target="https://chromewebstore.google.com/detail/ipjappobohplmfjhjcaidnkndoodgjpk" TargetMode="External"/><Relationship Id="rId6209" Type="http://schemas.openxmlformats.org/officeDocument/2006/relationships/hyperlink" Target="https://chromewebstore.google.com/detail/kcgjbeioogggiicmjanbjnejedppncnn" TargetMode="External"/><Relationship Id="rId6207" Type="http://schemas.openxmlformats.org/officeDocument/2006/relationships/hyperlink" Target="https://chromewebstore.google.com/detail/kcdfmdmdogpfcmbdgafnphllmkloopkd" TargetMode="External"/><Relationship Id="rId7539" Type="http://schemas.openxmlformats.org/officeDocument/2006/relationships/hyperlink" Target="https://chromewebstore.google.com/detail/fjhhmciiekplggcfcmibkkahegdlmbln" TargetMode="External"/><Relationship Id="rId6208" Type="http://schemas.openxmlformats.org/officeDocument/2006/relationships/hyperlink" Target="https://chromewebstore.google.com/detail/kcdolhjbipnfgefpjaopfbjbannphidh" TargetMode="External"/><Relationship Id="rId7538" Type="http://schemas.openxmlformats.org/officeDocument/2006/relationships/hyperlink" Target="https://chromewebstore.google.com/detail/blljhfopgephjiocmoddmjbpggogkfch" TargetMode="External"/><Relationship Id="rId8869" Type="http://schemas.openxmlformats.org/officeDocument/2006/relationships/hyperlink" Target="https://chromewebstore.google.com/detail/palkjjlphmcnghoohihjdlhmpkoclidm" TargetMode="External"/><Relationship Id="rId8860" Type="http://schemas.openxmlformats.org/officeDocument/2006/relationships/hyperlink" Target="https://chromewebstore.google.com/detail/afcmlpnpmdljjlcpmlcnlokilglejfga" TargetMode="External"/><Relationship Id="rId6201" Type="http://schemas.openxmlformats.org/officeDocument/2006/relationships/hyperlink" Target="https://chromewebstore.google.com/detail/kbobnagbmjmpcpioklajkgafggfdcafe" TargetMode="External"/><Relationship Id="rId7533" Type="http://schemas.openxmlformats.org/officeDocument/2006/relationships/hyperlink" Target="https://chromewebstore.google.com/detail/pfipgkbjbojfdhhidcomjfgaakehpfdk" TargetMode="External"/><Relationship Id="rId8864" Type="http://schemas.openxmlformats.org/officeDocument/2006/relationships/hyperlink" Target="https://chromewebstore.google.com/detail/knbajhliaffgmfpjaogiapomekbioehf" TargetMode="External"/><Relationship Id="rId6202" Type="http://schemas.openxmlformats.org/officeDocument/2006/relationships/hyperlink" Target="https://chromewebstore.google.com/detail/kbomichpahnfklembajcficjediaphpm" TargetMode="External"/><Relationship Id="rId7532" Type="http://schemas.openxmlformats.org/officeDocument/2006/relationships/hyperlink" Target="https://chromewebstore.google.com/detail/nbofjmabmdnnjalpphahghiiblcpfloh" TargetMode="External"/><Relationship Id="rId8863" Type="http://schemas.openxmlformats.org/officeDocument/2006/relationships/hyperlink" Target="https://chromewebstore.google.com/detail/ibmblmkjihglholefminaiddohamopnn" TargetMode="External"/><Relationship Id="rId7531" Type="http://schemas.openxmlformats.org/officeDocument/2006/relationships/hyperlink" Target="https://chromewebstore.google.com/detail/epkgcgdkdcihbmiapdajdhnkccaggbam" TargetMode="External"/><Relationship Id="rId8862" Type="http://schemas.openxmlformats.org/officeDocument/2006/relationships/hyperlink" Target="https://chromewebstore.google.com/detail/hpcpiffhohmgadgjlejekipdgnahkmhn" TargetMode="External"/><Relationship Id="rId6200" Type="http://schemas.openxmlformats.org/officeDocument/2006/relationships/hyperlink" Target="https://chromewebstore.google.com/detail/kbnbkogeeackdjiibllebnpdccbmepil" TargetMode="External"/><Relationship Id="rId7530" Type="http://schemas.openxmlformats.org/officeDocument/2006/relationships/hyperlink" Target="https://chromewebstore.google.com/detail/bbkebkkkocmacciojigkliggadljbmai" TargetMode="External"/><Relationship Id="rId8861" Type="http://schemas.openxmlformats.org/officeDocument/2006/relationships/hyperlink" Target="https://chromewebstore.google.com/detail/aojpcmmnjojlfbkhgaefchagcballmdj" TargetMode="External"/><Relationship Id="rId6205" Type="http://schemas.openxmlformats.org/officeDocument/2006/relationships/hyperlink" Target="https://chromewebstore.google.com/detail/kcameajjpbgnncnadcilkmfocpabkihh" TargetMode="External"/><Relationship Id="rId7537" Type="http://schemas.openxmlformats.org/officeDocument/2006/relationships/hyperlink" Target="https://chromewebstore.google.com/detail/jejdbiedgkidmmbbnkekdlfkkklckbdd" TargetMode="External"/><Relationship Id="rId8868" Type="http://schemas.openxmlformats.org/officeDocument/2006/relationships/hyperlink" Target="https://chromewebstore.google.com/detail/mfhniokedjnpbjfhjdnfhiljnidmebjc" TargetMode="External"/><Relationship Id="rId6206" Type="http://schemas.openxmlformats.org/officeDocument/2006/relationships/hyperlink" Target="https://chromewebstore.google.com/detail/kcamgdjiikgoglpfomjikmdonhfaplod" TargetMode="External"/><Relationship Id="rId7536" Type="http://schemas.openxmlformats.org/officeDocument/2006/relationships/hyperlink" Target="https://chromewebstore.google.com/detail/ggonllaomlopoinanbapoaamhomlflao" TargetMode="External"/><Relationship Id="rId8867" Type="http://schemas.openxmlformats.org/officeDocument/2006/relationships/hyperlink" Target="https://chromewebstore.google.com/detail/hfimahjdppepinpohicfibpbgeamlmhh" TargetMode="External"/><Relationship Id="rId6203" Type="http://schemas.openxmlformats.org/officeDocument/2006/relationships/hyperlink" Target="https://chromewebstore.google.com/detail/kbpjikgngikhhpbjddnenemoonpbfikm" TargetMode="External"/><Relationship Id="rId7535" Type="http://schemas.openxmlformats.org/officeDocument/2006/relationships/hyperlink" Target="https://chromewebstore.google.com/detail/ddphaphiplikhjbjlfbnkkmppbfjgdah" TargetMode="External"/><Relationship Id="rId8866" Type="http://schemas.openxmlformats.org/officeDocument/2006/relationships/hyperlink" Target="https://chromewebstore.google.com/detail/dlkkhffefpkmobphiphbghhhilhoopma" TargetMode="External"/><Relationship Id="rId6204" Type="http://schemas.openxmlformats.org/officeDocument/2006/relationships/hyperlink" Target="https://chromewebstore.google.com/detail/kcacgelamniaacjfbmekoagkkmdjlfib" TargetMode="External"/><Relationship Id="rId7534" Type="http://schemas.openxmlformats.org/officeDocument/2006/relationships/hyperlink" Target="https://chromewebstore.google.com/detail/dpcbdbpeiafniipmiedlceedbffiejek" TargetMode="External"/><Relationship Id="rId8865" Type="http://schemas.openxmlformats.org/officeDocument/2006/relationships/hyperlink" Target="https://chromewebstore.google.com/detail/ocbfkejiiffdfjjlhldhmooennlokpnp" TargetMode="External"/><Relationship Id="rId7529" Type="http://schemas.openxmlformats.org/officeDocument/2006/relationships/hyperlink" Target="https://chromewebstore.google.com/detail/phbjaiacjbplfmapmlljdoacomhbpfoe" TargetMode="External"/><Relationship Id="rId7528" Type="http://schemas.openxmlformats.org/officeDocument/2006/relationships/hyperlink" Target="https://chromewebstore.google.com/detail/ndjabeeahhkdpcihameofbojdhhgemdb" TargetMode="External"/><Relationship Id="rId8859" Type="http://schemas.openxmlformats.org/officeDocument/2006/relationships/hyperlink" Target="https://chromewebstore.google.com/detail/aeohigfgkmgceofpjhmfmeiembnpobme" TargetMode="External"/><Relationship Id="rId7527" Type="http://schemas.openxmlformats.org/officeDocument/2006/relationships/hyperlink" Target="https://chromewebstore.google.com/detail/fcliafhfhbkfdeknlpdpojgajcknhecf" TargetMode="External"/><Relationship Id="rId8858" Type="http://schemas.openxmlformats.org/officeDocument/2006/relationships/hyperlink" Target="https://chromewebstore.google.com/detail/oaaobdcikfoafpadmjngnamnoecmpppg" TargetMode="External"/><Relationship Id="rId7522" Type="http://schemas.openxmlformats.org/officeDocument/2006/relationships/hyperlink" Target="https://chromewebstore.google.com/detail/cefbdpiapcpjjjdghhofmnfcpgdhcpec" TargetMode="External"/><Relationship Id="rId8853" Type="http://schemas.openxmlformats.org/officeDocument/2006/relationships/hyperlink" Target="https://chromewebstore.google.com/detail/ianoicddkdmdkamjaepdhgjlaonlodhd" TargetMode="External"/><Relationship Id="rId7521" Type="http://schemas.openxmlformats.org/officeDocument/2006/relationships/hyperlink" Target="https://chromewebstore.google.com/detail/mnbkepgphamgbkiigedbddhfdbdmmahg" TargetMode="External"/><Relationship Id="rId8852" Type="http://schemas.openxmlformats.org/officeDocument/2006/relationships/hyperlink" Target="https://chromewebstore.google.com/detail/epcobhhlenfbjlmooebphgjcgdmbjgnb" TargetMode="External"/><Relationship Id="rId7520" Type="http://schemas.openxmlformats.org/officeDocument/2006/relationships/hyperlink" Target="https://chromewebstore.google.com/detail/jhfokplgdpcnopapfoandlhmbhdolefb" TargetMode="External"/><Relationship Id="rId8851" Type="http://schemas.openxmlformats.org/officeDocument/2006/relationships/hyperlink" Target="https://chromewebstore.google.com/detail/eincngenkhohbbfpkohipekcmnkfamjp" TargetMode="External"/><Relationship Id="rId8850" Type="http://schemas.openxmlformats.org/officeDocument/2006/relationships/hyperlink" Target="https://chromewebstore.google.com/detail/cogjjhnhjoiaopmcfmmckpiaeiinocco" TargetMode="External"/><Relationship Id="rId7526" Type="http://schemas.openxmlformats.org/officeDocument/2006/relationships/hyperlink" Target="https://chromewebstore.google.com/detail/eeddchiaakhophnaemblfgjcjifiahea" TargetMode="External"/><Relationship Id="rId8857" Type="http://schemas.openxmlformats.org/officeDocument/2006/relationships/hyperlink" Target="https://chromewebstore.google.com/detail/hkilghidhmepkcebjphfhdcacbbhjcha" TargetMode="External"/><Relationship Id="rId7525" Type="http://schemas.openxmlformats.org/officeDocument/2006/relationships/hyperlink" Target="https://chromewebstore.google.com/detail/cheajkjbaknihaobmnjmbphjphoahhlp" TargetMode="External"/><Relationship Id="rId8856" Type="http://schemas.openxmlformats.org/officeDocument/2006/relationships/hyperlink" Target="https://chromewebstore.google.com/detail/ghcmfikimieoeehcbgbdeegkgmpaihgg" TargetMode="External"/><Relationship Id="rId7524" Type="http://schemas.openxmlformats.org/officeDocument/2006/relationships/hyperlink" Target="https://chromewebstore.google.com/detail/chajkagpcfnnjhcggboigcmbfmgeijin" TargetMode="External"/><Relationship Id="rId8855" Type="http://schemas.openxmlformats.org/officeDocument/2006/relationships/hyperlink" Target="https://chromewebstore.google.com/detail/dgkpokkbhpejphcgfmmmcfiedkhikfgh" TargetMode="External"/><Relationship Id="rId7523" Type="http://schemas.openxmlformats.org/officeDocument/2006/relationships/hyperlink" Target="https://chromewebstore.google.com/detail/gbemhpiepdmmhiahaeijenpbbflafbha" TargetMode="External"/><Relationship Id="rId8854" Type="http://schemas.openxmlformats.org/officeDocument/2006/relationships/hyperlink" Target="https://chromewebstore.google.com/detail/phenknepgmgjafkipebllabgcjjnnkbg" TargetMode="External"/><Relationship Id="rId2700" Type="http://schemas.openxmlformats.org/officeDocument/2006/relationships/hyperlink" Target="https://chromewebstore.google.com/detail/kieflbdkopabcodmbpibhafnjalkpkod" TargetMode="External"/><Relationship Id="rId2701" Type="http://schemas.openxmlformats.org/officeDocument/2006/relationships/hyperlink" Target="https://chromewebstore.google.com/detail/kjejboahkcobalmgldloeinebmbomgog" TargetMode="External"/><Relationship Id="rId2702" Type="http://schemas.openxmlformats.org/officeDocument/2006/relationships/hyperlink" Target="https://chromewebstore.google.com/detail/kkcbifggchajpkagcpagenpfghbplghc" TargetMode="External"/><Relationship Id="rId2703" Type="http://schemas.openxmlformats.org/officeDocument/2006/relationships/hyperlink" Target="https://chromewebstore.google.com/detail/kkgfomhpbhjbhlkealickgjbfpjdpbmf" TargetMode="External"/><Relationship Id="rId2704" Type="http://schemas.openxmlformats.org/officeDocument/2006/relationships/hyperlink" Target="https://chromewebstore.google.com/detail/kkhcdbdhbmegbbhgmdhhpfmjhlhjlghp" TargetMode="External"/><Relationship Id="rId2705" Type="http://schemas.openxmlformats.org/officeDocument/2006/relationships/hyperlink" Target="https://chromewebstore.google.com/detail/kkhmpnfekpgmeljnlcfnabmpanhdmfjg" TargetMode="External"/><Relationship Id="rId2706" Type="http://schemas.openxmlformats.org/officeDocument/2006/relationships/hyperlink" Target="https://chromewebstore.google.com/detail/kkocalmbfnplecdmbadaapgapdioecfm" TargetMode="External"/><Relationship Id="rId2707" Type="http://schemas.openxmlformats.org/officeDocument/2006/relationships/hyperlink" Target="https://chromewebstore.google.com/detail/klmeolbcejnhefkapdchfhlhhjgobhmo" TargetMode="External"/><Relationship Id="rId2708" Type="http://schemas.openxmlformats.org/officeDocument/2006/relationships/hyperlink" Target="https://chromewebstore.google.com/detail/kmafmhimenmmjnpkodojnacmlabacmid" TargetMode="External"/><Relationship Id="rId2709" Type="http://schemas.openxmlformats.org/officeDocument/2006/relationships/hyperlink" Target="https://chromewebstore.google.com/detail/kmghfpaenbmakjffjhjncacmhagadgbg" TargetMode="External"/><Relationship Id="rId6292" Type="http://schemas.openxmlformats.org/officeDocument/2006/relationships/hyperlink" Target="https://chromewebstore.google.com/detail/klomjfcgakppceibbbgkbdklmhiiidkl" TargetMode="External"/><Relationship Id="rId6293" Type="http://schemas.openxmlformats.org/officeDocument/2006/relationships/hyperlink" Target="https://chromewebstore.google.com/detail/kmblidjbanodooeajaadfhknhmliklpm" TargetMode="External"/><Relationship Id="rId6290" Type="http://schemas.openxmlformats.org/officeDocument/2006/relationships/hyperlink" Target="https://chromewebstore.google.com/detail/klmjhmebmifmdombbdecdeeannafjofd" TargetMode="External"/><Relationship Id="rId6291" Type="http://schemas.openxmlformats.org/officeDocument/2006/relationships/hyperlink" Target="https://chromewebstore.google.com/detail/klnimjpfkfcfdllnbmmhjjomcmciepkk" TargetMode="External"/><Relationship Id="rId6296" Type="http://schemas.openxmlformats.org/officeDocument/2006/relationships/hyperlink" Target="https://chromewebstore.google.com/detail/kmjljfbdjnjbjhfadcnmldhnkklbldng" TargetMode="External"/><Relationship Id="rId6297" Type="http://schemas.openxmlformats.org/officeDocument/2006/relationships/hyperlink" Target="https://chromewebstore.google.com/detail/kmonkhbnghcmlhgbmlpagpapfomioidg" TargetMode="External"/><Relationship Id="rId6294" Type="http://schemas.openxmlformats.org/officeDocument/2006/relationships/hyperlink" Target="https://chromewebstore.google.com/detail/kmclnkpagjmledigbephoecmpihidbla" TargetMode="External"/><Relationship Id="rId6295" Type="http://schemas.openxmlformats.org/officeDocument/2006/relationships/hyperlink" Target="https://chromewebstore.google.com/detail/kmgakknaioncidlchblnmelihakjeald" TargetMode="External"/><Relationship Id="rId6298" Type="http://schemas.openxmlformats.org/officeDocument/2006/relationships/hyperlink" Target="https://chromewebstore.google.com/detail/knambdkfjgjcfnnackejjepjnilcpeeh" TargetMode="External"/><Relationship Id="rId6299" Type="http://schemas.openxmlformats.org/officeDocument/2006/relationships/hyperlink" Target="https://chromewebstore.google.com/detail/knbllidkibplcobilanhbpldlioffbak" TargetMode="External"/><Relationship Id="rId2720" Type="http://schemas.openxmlformats.org/officeDocument/2006/relationships/hyperlink" Target="https://chromewebstore.google.com/detail/lcbmijabmhohpnmdjbioodhdlaimbdcf" TargetMode="External"/><Relationship Id="rId2721" Type="http://schemas.openxmlformats.org/officeDocument/2006/relationships/hyperlink" Target="https://chromewebstore.google.com/detail/lcdmdikpgdjoagalpngockiddgkbdaig" TargetMode="External"/><Relationship Id="rId2722" Type="http://schemas.openxmlformats.org/officeDocument/2006/relationships/hyperlink" Target="https://chromewebstore.google.com/detail/ldnhgfghebflgcndlbppfanbchpgmkna" TargetMode="External"/><Relationship Id="rId2723" Type="http://schemas.openxmlformats.org/officeDocument/2006/relationships/hyperlink" Target="https://chromewebstore.google.com/detail/ledmjlnkdlappilhaaihfhanlpdjjalm" TargetMode="External"/><Relationship Id="rId2724" Type="http://schemas.openxmlformats.org/officeDocument/2006/relationships/hyperlink" Target="https://chromewebstore.google.com/detail/leheoeognmlgfdljnhckphighdlpnpnd" TargetMode="External"/><Relationship Id="rId2725" Type="http://schemas.openxmlformats.org/officeDocument/2006/relationships/hyperlink" Target="https://chromewebstore.google.com/detail/lfaifjhjdolnpnlgeohohaalbeidhlpj" TargetMode="External"/><Relationship Id="rId2726" Type="http://schemas.openxmlformats.org/officeDocument/2006/relationships/hyperlink" Target="https://chromewebstore.google.com/detail/lfeddhgiaaieipgnknjamalgeclhkamo" TargetMode="External"/><Relationship Id="rId2727" Type="http://schemas.openxmlformats.org/officeDocument/2006/relationships/hyperlink" Target="https://chromewebstore.google.com/detail/lfmbbdekdhbhclbdocgadegfcdjmagal" TargetMode="External"/><Relationship Id="rId2728" Type="http://schemas.openxmlformats.org/officeDocument/2006/relationships/hyperlink" Target="https://chromewebstore.google.com/detail/lhapaogdadehkjdlhmlfdnpmncdcojcn" TargetMode="External"/><Relationship Id="rId2729" Type="http://schemas.openxmlformats.org/officeDocument/2006/relationships/hyperlink" Target="https://chromewebstore.google.com/detail/lheaanfghanpnholfnckoompcbdandjk" TargetMode="External"/><Relationship Id="rId2710" Type="http://schemas.openxmlformats.org/officeDocument/2006/relationships/hyperlink" Target="https://chromewebstore.google.com/detail/kngneeakgdidggilaidebghjjkbkglkb" TargetMode="External"/><Relationship Id="rId2711" Type="http://schemas.openxmlformats.org/officeDocument/2006/relationships/hyperlink" Target="https://chromewebstore.google.com/detail/knngjajhgkigjgiblkjjfoenpkcokngl" TargetMode="External"/><Relationship Id="rId2712" Type="http://schemas.openxmlformats.org/officeDocument/2006/relationships/hyperlink" Target="https://chromewebstore.google.com/detail/knonchlbnkaddhihddlejfchjjnadmeh" TargetMode="External"/><Relationship Id="rId2713" Type="http://schemas.openxmlformats.org/officeDocument/2006/relationships/hyperlink" Target="https://chromewebstore.google.com/detail/komolablmhfobefcfiianchnmggpmpmd" TargetMode="External"/><Relationship Id="rId2714" Type="http://schemas.openxmlformats.org/officeDocument/2006/relationships/hyperlink" Target="https://chromewebstore.google.com/detail/kopamahnjkchmgjkoejfconipkclhibf" TargetMode="External"/><Relationship Id="rId2715" Type="http://schemas.openxmlformats.org/officeDocument/2006/relationships/hyperlink" Target="https://chromewebstore.google.com/detail/kpcjjapfjdgjlmoehhliomplgjnbdcpc" TargetMode="External"/><Relationship Id="rId2716" Type="http://schemas.openxmlformats.org/officeDocument/2006/relationships/hyperlink" Target="https://chromewebstore.google.com/detail/kpdblbepjhhdilfanfgmkdnmllgefife" TargetMode="External"/><Relationship Id="rId2717" Type="http://schemas.openxmlformats.org/officeDocument/2006/relationships/hyperlink" Target="https://chromewebstore.google.com/detail/kpkcofgbohgcpjkeidodnmaokbjlnmac" TargetMode="External"/><Relationship Id="rId2718" Type="http://schemas.openxmlformats.org/officeDocument/2006/relationships/hyperlink" Target="https://chromewebstore.google.com/detail/kpniicpnanbaopgkcagaphglbeaejnph" TargetMode="External"/><Relationship Id="rId2719" Type="http://schemas.openxmlformats.org/officeDocument/2006/relationships/hyperlink" Target="https://chromewebstore.google.com/detail/lbnooplepikajpiphjgfoniaakpclemh" TargetMode="External"/><Relationship Id="rId7591" Type="http://schemas.openxmlformats.org/officeDocument/2006/relationships/hyperlink" Target="https://chromewebstore.google.com/detail/eaoefmgbepkgdmgnbhnpjfkfjdmpepcb" TargetMode="External"/><Relationship Id="rId6260" Type="http://schemas.openxmlformats.org/officeDocument/2006/relationships/hyperlink" Target="https://chromewebstore.google.com/detail/kiiiimadnhijggeambdbmdckeigicmfd" TargetMode="External"/><Relationship Id="rId7590" Type="http://schemas.openxmlformats.org/officeDocument/2006/relationships/hyperlink" Target="https://chromewebstore.google.com/detail/pkbdojddadoogfnjcblknggopgcbdnhn" TargetMode="External"/><Relationship Id="rId6263" Type="http://schemas.openxmlformats.org/officeDocument/2006/relationships/hyperlink" Target="https://chromewebstore.google.com/detail/kiokldggbjmigpcljejjeaemehoeobob" TargetMode="External"/><Relationship Id="rId7595" Type="http://schemas.openxmlformats.org/officeDocument/2006/relationships/hyperlink" Target="https://chromewebstore.google.com/detail/mbiacbhbjhoimiiplminicfnmnolmgih" TargetMode="External"/><Relationship Id="rId6264" Type="http://schemas.openxmlformats.org/officeDocument/2006/relationships/hyperlink" Target="https://chromewebstore.google.com/detail/kjahobcipmkpakkhlmdhklemnmccmmll" TargetMode="External"/><Relationship Id="rId7594" Type="http://schemas.openxmlformats.org/officeDocument/2006/relationships/hyperlink" Target="https://chromewebstore.google.com/detail/gcngciildkejiapchdgpcniflijoiadf" TargetMode="External"/><Relationship Id="rId6261" Type="http://schemas.openxmlformats.org/officeDocument/2006/relationships/hyperlink" Target="https://chromewebstore.google.com/detail/kilgdoafhhpkloidoajmlfienjndfbfo" TargetMode="External"/><Relationship Id="rId7593" Type="http://schemas.openxmlformats.org/officeDocument/2006/relationships/hyperlink" Target="https://chromewebstore.google.com/detail/fidgoheifbbkckobaaabdjnjhacnioee" TargetMode="External"/><Relationship Id="rId6262" Type="http://schemas.openxmlformats.org/officeDocument/2006/relationships/hyperlink" Target="https://chromewebstore.google.com/detail/kiogkahifhldimpknnnhdiemepmebnhe" TargetMode="External"/><Relationship Id="rId7592" Type="http://schemas.openxmlformats.org/officeDocument/2006/relationships/hyperlink" Target="https://chromewebstore.google.com/detail/backnpjeemenlgpdbdoddnlcofcjpcfj" TargetMode="External"/><Relationship Id="rId6267" Type="http://schemas.openxmlformats.org/officeDocument/2006/relationships/hyperlink" Target="https://chromewebstore.google.com/detail/kjjgifdfplpegljdfnpmbjmkngdilmkd" TargetMode="External"/><Relationship Id="rId7599" Type="http://schemas.openxmlformats.org/officeDocument/2006/relationships/hyperlink" Target="https://chromewebstore.google.com/detail/lpnpppcjhpdppibdojpmopaejakilljp" TargetMode="External"/><Relationship Id="rId6268" Type="http://schemas.openxmlformats.org/officeDocument/2006/relationships/hyperlink" Target="https://chromewebstore.google.com/detail/kjlmmjnmmlfamgddfglhaoklpjjplbhc" TargetMode="External"/><Relationship Id="rId7598" Type="http://schemas.openxmlformats.org/officeDocument/2006/relationships/hyperlink" Target="https://chromewebstore.google.com/detail/kjgfkjidgcfgbabbhjephchohcghcdkf" TargetMode="External"/><Relationship Id="rId6265" Type="http://schemas.openxmlformats.org/officeDocument/2006/relationships/hyperlink" Target="https://chromewebstore.google.com/detail/kjeacdeffkhbcaoobelkgnnlfpaifaoc" TargetMode="External"/><Relationship Id="rId7597" Type="http://schemas.openxmlformats.org/officeDocument/2006/relationships/hyperlink" Target="https://chromewebstore.google.com/detail/eeponikjeljlngckgbekknkoncmljfbf" TargetMode="External"/><Relationship Id="rId6266" Type="http://schemas.openxmlformats.org/officeDocument/2006/relationships/hyperlink" Target="https://chromewebstore.google.com/detail/kjiappjpfpaekdfeioanaphpihpojemc" TargetMode="External"/><Relationship Id="rId7596" Type="http://schemas.openxmlformats.org/officeDocument/2006/relationships/hyperlink" Target="https://chromewebstore.google.com/detail/nkclhplcadlpidaenlcbhlmjfhihinno" TargetMode="External"/><Relationship Id="rId6269" Type="http://schemas.openxmlformats.org/officeDocument/2006/relationships/hyperlink" Target="https://chromewebstore.google.com/detail/kjmjbefknmdpnikmlmcimdpnhlopbjac" TargetMode="External"/><Relationship Id="rId7580" Type="http://schemas.openxmlformats.org/officeDocument/2006/relationships/hyperlink" Target="https://chromewebstore.google.com/detail/jklkkahfncohfjgacjojgjhipioljjoh" TargetMode="External"/><Relationship Id="rId6252" Type="http://schemas.openxmlformats.org/officeDocument/2006/relationships/hyperlink" Target="https://chromewebstore.google.com/detail/kiaflfdgfekdlghbhkimfmgdkmccoekm" TargetMode="External"/><Relationship Id="rId7584" Type="http://schemas.openxmlformats.org/officeDocument/2006/relationships/hyperlink" Target="https://chromewebstore.google.com/detail/cdedcjjdfckjnageanlcifalkpnjdbpg" TargetMode="External"/><Relationship Id="rId6253" Type="http://schemas.openxmlformats.org/officeDocument/2006/relationships/hyperlink" Target="https://chromewebstore.google.com/detail/kibhmcdemphikjllndhmdjfailnllbjo" TargetMode="External"/><Relationship Id="rId7583" Type="http://schemas.openxmlformats.org/officeDocument/2006/relationships/hyperlink" Target="https://chromewebstore.google.com/detail/memnkhinbiilklahnhcpkpflpoplldng" TargetMode="External"/><Relationship Id="rId6250" Type="http://schemas.openxmlformats.org/officeDocument/2006/relationships/hyperlink" Target="http://utubehits.com" TargetMode="External"/><Relationship Id="rId7582" Type="http://schemas.openxmlformats.org/officeDocument/2006/relationships/hyperlink" Target="https://chromewebstore.google.com/detail/lcaimjohajcgfkapahpkfpiijkaegccn" TargetMode="External"/><Relationship Id="rId6251" Type="http://schemas.openxmlformats.org/officeDocument/2006/relationships/hyperlink" Target="https://chromewebstore.google.com/detail/khpcbjppaikkkfnpgbbkjgnbponddmbe" TargetMode="External"/><Relationship Id="rId7581" Type="http://schemas.openxmlformats.org/officeDocument/2006/relationships/hyperlink" Target="https://chromewebstore.google.com/detail/jlpfglbpgpbeiihgkelneefpmoedjjop" TargetMode="External"/><Relationship Id="rId6256" Type="http://schemas.openxmlformats.org/officeDocument/2006/relationships/hyperlink" Target="https://chromewebstore.google.com/detail/kieamojhioogghoffgonpaggajnnbffd" TargetMode="External"/><Relationship Id="rId7588" Type="http://schemas.openxmlformats.org/officeDocument/2006/relationships/hyperlink" Target="https://chromewebstore.google.com/detail/meeijplnfjcihnhkpanepcaffklobaal" TargetMode="External"/><Relationship Id="rId6257" Type="http://schemas.openxmlformats.org/officeDocument/2006/relationships/hyperlink" Target="https://chromewebstore.google.com/detail/kifnljdeoikhjhjbkkjhoaehfbaldbmb" TargetMode="External"/><Relationship Id="rId7587" Type="http://schemas.openxmlformats.org/officeDocument/2006/relationships/hyperlink" Target="https://chromewebstore.google.com/detail/hmjkeajnlfhbjabboakcgimcnejnnbjj" TargetMode="External"/><Relationship Id="rId6254" Type="http://schemas.openxmlformats.org/officeDocument/2006/relationships/hyperlink" Target="https://chromewebstore.google.com/detail/kibiiafandkfafennedegfppdgdacedj" TargetMode="External"/><Relationship Id="rId7586" Type="http://schemas.openxmlformats.org/officeDocument/2006/relationships/hyperlink" Target="https://chromewebstore.google.com/detail/hgklcaodfmndpkajdmcmlpihhoenhpbp" TargetMode="External"/><Relationship Id="rId6255" Type="http://schemas.openxmlformats.org/officeDocument/2006/relationships/hyperlink" Target="https://chromewebstore.google.com/detail/kicncbplfjgjlliddogifpohdhkbjogm" TargetMode="External"/><Relationship Id="rId7585" Type="http://schemas.openxmlformats.org/officeDocument/2006/relationships/hyperlink" Target="https://chromewebstore.google.com/detail/eaajehefbnkjhdbbolahieolfdnpnogm" TargetMode="External"/><Relationship Id="rId6258" Type="http://schemas.openxmlformats.org/officeDocument/2006/relationships/hyperlink" Target="https://chromewebstore.google.com/detail/kighofmokniilkbmlpapdlheiecbmccg" TargetMode="External"/><Relationship Id="rId6259" Type="http://schemas.openxmlformats.org/officeDocument/2006/relationships/hyperlink" Target="https://chromewebstore.google.com/detail/kiiegggcednbhfjegeipfllkihlobdhn" TargetMode="External"/><Relationship Id="rId7589" Type="http://schemas.openxmlformats.org/officeDocument/2006/relationships/hyperlink" Target="https://chromewebstore.google.com/detail/nlhdbldmdhcccholgnpaodephaaghoje" TargetMode="External"/><Relationship Id="rId6281" Type="http://schemas.openxmlformats.org/officeDocument/2006/relationships/hyperlink" Target="https://chromewebstore.google.com/detail/kkppmdakhdcgoidhmoegcnbmboljojom" TargetMode="External"/><Relationship Id="rId6282" Type="http://schemas.openxmlformats.org/officeDocument/2006/relationships/hyperlink" Target="https://chromewebstore.google.com/detail/klbfleninpbmppkdafkdclidomgphcde" TargetMode="External"/><Relationship Id="rId6280" Type="http://schemas.openxmlformats.org/officeDocument/2006/relationships/hyperlink" Target="https://chromewebstore.google.com/detail/kknnkgpbclaljhfcknhbebhppmkmoaml" TargetMode="External"/><Relationship Id="rId6285" Type="http://schemas.openxmlformats.org/officeDocument/2006/relationships/hyperlink" Target="https://chromewebstore.google.com/detail/klioagabdlbmbhomedhkfkjggelmfclg" TargetMode="External"/><Relationship Id="rId6286" Type="http://schemas.openxmlformats.org/officeDocument/2006/relationships/hyperlink" Target="https://chromewebstore.google.com/detail/kljnlapeephekihcbjnphhfjlipefbld" TargetMode="External"/><Relationship Id="rId6283" Type="http://schemas.openxmlformats.org/officeDocument/2006/relationships/hyperlink" Target="https://chromewebstore.google.com/detail/klhlhobihlonchbicbgkjdapbbolmmaj" TargetMode="External"/><Relationship Id="rId6284" Type="http://schemas.openxmlformats.org/officeDocument/2006/relationships/hyperlink" Target="https://chromewebstore.google.com/detail/klimjjoolmemiionkhfgaligdiioehkg" TargetMode="External"/><Relationship Id="rId6289" Type="http://schemas.openxmlformats.org/officeDocument/2006/relationships/hyperlink" Target="https://chromewebstore.google.com/detail/klmjgkkbknbcllohenhldfgbbkjafmgc" TargetMode="External"/><Relationship Id="rId6287" Type="http://schemas.openxmlformats.org/officeDocument/2006/relationships/hyperlink" Target="https://chromewebstore.google.com/detail/klkanhjnfcfokmmlgjfhkblhjgfaefal" TargetMode="External"/><Relationship Id="rId6288" Type="http://schemas.openxmlformats.org/officeDocument/2006/relationships/hyperlink" Target="https://chromewebstore.google.com/detail/klmapenfmenbohghcdlilacfhckhcbnn" TargetMode="External"/><Relationship Id="rId6270" Type="http://schemas.openxmlformats.org/officeDocument/2006/relationships/hyperlink" Target="https://chromewebstore.google.com/detail/kjncpaiejgkgpgiiibmnjnkahokdgfap" TargetMode="External"/><Relationship Id="rId6271" Type="http://schemas.openxmlformats.org/officeDocument/2006/relationships/hyperlink" Target="https://chromewebstore.google.com/detail/kjofnodheplpcpbognpfnbaopmjgbfdg" TargetMode="External"/><Relationship Id="rId6274" Type="http://schemas.openxmlformats.org/officeDocument/2006/relationships/hyperlink" Target="https://chromewebstore.google.com/detail/kkbmcejbjlhkmljcafiaofajcbgkobcd" TargetMode="External"/><Relationship Id="rId6275" Type="http://schemas.openxmlformats.org/officeDocument/2006/relationships/hyperlink" Target="https://chromewebstore.google.com/detail/kkcgngoblmeffmdfpkgolbcmlimhlini" TargetMode="External"/><Relationship Id="rId6272" Type="http://schemas.openxmlformats.org/officeDocument/2006/relationships/hyperlink" Target="https://chromewebstore.google.com/detail/kkaegklhgkhfdhanhalpjhfbpmlomlhc" TargetMode="External"/><Relationship Id="rId6273" Type="http://schemas.openxmlformats.org/officeDocument/2006/relationships/hyperlink" Target="https://chromewebstore.google.com/detail/kkblboamlobgcnhgfbjpfmomcdceagjf" TargetMode="External"/><Relationship Id="rId6278" Type="http://schemas.openxmlformats.org/officeDocument/2006/relationships/hyperlink" Target="https://chromewebstore.google.com/detail/kkmbdnidlbkkhhdgchkagbdicfbfjahe" TargetMode="External"/><Relationship Id="rId6279" Type="http://schemas.openxmlformats.org/officeDocument/2006/relationships/hyperlink" Target="https://chromewebstore.google.com/detail/kknifeoedmemmngpjcdbpnmebnhgodcl" TargetMode="External"/><Relationship Id="rId6276" Type="http://schemas.openxmlformats.org/officeDocument/2006/relationships/hyperlink" Target="https://chromewebstore.google.com/detail/kkkjlfejijcjgjllecmnejhogpbcigdc" TargetMode="External"/><Relationship Id="rId6277" Type="http://schemas.openxmlformats.org/officeDocument/2006/relationships/hyperlink" Target="https://chromewebstore.google.com/detail/kklllkcmelfeigbckbcmfpbdcnhifbec" TargetMode="External"/><Relationship Id="rId1455" Type="http://schemas.openxmlformats.org/officeDocument/2006/relationships/hyperlink" Target="https://chromewebstore.google.com/detail/ijppgifnllaehojnpbphigenojfjnhml" TargetMode="External"/><Relationship Id="rId2786" Type="http://schemas.openxmlformats.org/officeDocument/2006/relationships/hyperlink" Target="https://chromewebstore.google.com/detail/okkobeojihghldlofbhjoenijjblmiag" TargetMode="External"/><Relationship Id="rId1456" Type="http://schemas.openxmlformats.org/officeDocument/2006/relationships/hyperlink" Target="https://chromewebstore.google.com/detail/ikkeapgomkpbcpaiompapjdlhmafgkpg" TargetMode="External"/><Relationship Id="rId2787" Type="http://schemas.openxmlformats.org/officeDocument/2006/relationships/hyperlink" Target="https://chromewebstore.google.com/detail/omnmfbjgmackkcedkabbpdpcijahechl" TargetMode="External"/><Relationship Id="rId1457" Type="http://schemas.openxmlformats.org/officeDocument/2006/relationships/hyperlink" Target="https://chromewebstore.google.com/detail/ikkpgihagilojnkmkkfcbhlainmnkicp" TargetMode="External"/><Relationship Id="rId2788" Type="http://schemas.openxmlformats.org/officeDocument/2006/relationships/hyperlink" Target="https://chromewebstore.google.com/detail/onnbmgmepodkilcbdodhfepllfmafmlj" TargetMode="External"/><Relationship Id="rId1458" Type="http://schemas.openxmlformats.org/officeDocument/2006/relationships/hyperlink" Target="https://chromewebstore.google.com/detail/iknjhcclpcildaklifghhjblmbjpkole" TargetMode="External"/><Relationship Id="rId2789" Type="http://schemas.openxmlformats.org/officeDocument/2006/relationships/hyperlink" Target="https://chromewebstore.google.com/detail/ooajenhhhbdbcolenhmmkgmkcocfdahd" TargetMode="External"/><Relationship Id="rId1459" Type="http://schemas.openxmlformats.org/officeDocument/2006/relationships/hyperlink" Target="https://chromewebstore.google.com/detail/ilbhikianmkphlgecmpjhjkdneknehap" TargetMode="External"/><Relationship Id="rId629" Type="http://schemas.openxmlformats.org/officeDocument/2006/relationships/hyperlink" Target="https://chromewebstore.google.com/detail/ddippghibegbgpjcaaijbacfhjjeafjh" TargetMode="External"/><Relationship Id="rId624" Type="http://schemas.openxmlformats.org/officeDocument/2006/relationships/hyperlink" Target="https://chromewebstore.google.com/detail/cfmcghennfbpmhemnnfjhkdmnbidpanb" TargetMode="External"/><Relationship Id="rId623" Type="http://schemas.openxmlformats.org/officeDocument/2006/relationships/hyperlink" Target="https://chromewebstore.google.com/detail/cfbpcgmafclgfmpoelldpmiolgblgbel" TargetMode="External"/><Relationship Id="rId622" Type="http://schemas.openxmlformats.org/officeDocument/2006/relationships/hyperlink" Target="https://chromewebstore.google.com/detail/cenipjndcfljmplhjhcnfajnkmbjmppi" TargetMode="External"/><Relationship Id="rId621" Type="http://schemas.openxmlformats.org/officeDocument/2006/relationships/hyperlink" Target="https://chromewebstore.google.com/detail/cdgadiikjdgddgfhacgjbacflhoimogn" TargetMode="External"/><Relationship Id="rId628" Type="http://schemas.openxmlformats.org/officeDocument/2006/relationships/hyperlink" Target="https://chromewebstore.google.com/detail/dbmjjcmdhfjbgkgigdndfnfddminlpgb" TargetMode="External"/><Relationship Id="rId627" Type="http://schemas.openxmlformats.org/officeDocument/2006/relationships/hyperlink" Target="https://chromewebstore.google.com/detail/dacmeeeegjoaddfondbeaaafohldgfof" TargetMode="External"/><Relationship Id="rId626" Type="http://schemas.openxmlformats.org/officeDocument/2006/relationships/hyperlink" Target="https://chromewebstore.google.com/detail/cnijaadaiajakknmlhoffefpoadaedam" TargetMode="External"/><Relationship Id="rId625" Type="http://schemas.openxmlformats.org/officeDocument/2006/relationships/hyperlink" Target="https://chromewebstore.google.com/detail/cmpcofplgblhofbilhpjbgabfmignpdh" TargetMode="External"/><Relationship Id="rId2780" Type="http://schemas.openxmlformats.org/officeDocument/2006/relationships/hyperlink" Target="https://chromewebstore.google.com/detail/ogdpmndhefljkmmfchnekenfamicgepf" TargetMode="External"/><Relationship Id="rId1450" Type="http://schemas.openxmlformats.org/officeDocument/2006/relationships/hyperlink" Target="https://chromewebstore.google.com/detail/igmilfmbmkmpkjjgoabaagaoohhhbjde" TargetMode="External"/><Relationship Id="rId2781" Type="http://schemas.openxmlformats.org/officeDocument/2006/relationships/hyperlink" Target="https://chromewebstore.google.com/detail/ohndmfaecddmecehfdidjhncfdajjeed" TargetMode="External"/><Relationship Id="rId620" Type="http://schemas.openxmlformats.org/officeDocument/2006/relationships/hyperlink" Target="https://chromewebstore.google.com/detail/cafckninonjkogajnihihlnnimmkndgf" TargetMode="External"/><Relationship Id="rId1451" Type="http://schemas.openxmlformats.org/officeDocument/2006/relationships/hyperlink" Target="https://chromewebstore.google.com/detail/ihoeijmddigankehfpepcfopnoegkjpb" TargetMode="External"/><Relationship Id="rId2782" Type="http://schemas.openxmlformats.org/officeDocument/2006/relationships/hyperlink" Target="https://chromewebstore.google.com/detail/oiiohfpnbijbgdidjfcpcljcfbmkaooi" TargetMode="External"/><Relationship Id="rId1452" Type="http://schemas.openxmlformats.org/officeDocument/2006/relationships/hyperlink" Target="https://chromewebstore.google.com/detail/iiihoahkpncaheicjfemhjkkfamcahcd" TargetMode="External"/><Relationship Id="rId2783" Type="http://schemas.openxmlformats.org/officeDocument/2006/relationships/hyperlink" Target="https://chromewebstore.google.com/detail/oinopeelpidbddmdhhllmpifaohjdkom" TargetMode="External"/><Relationship Id="rId1453" Type="http://schemas.openxmlformats.org/officeDocument/2006/relationships/hyperlink" Target="https://chromewebstore.google.com/detail/iijdllfdmhbmlmnbcohgbfagfibpbgba" TargetMode="External"/><Relationship Id="rId2784" Type="http://schemas.openxmlformats.org/officeDocument/2006/relationships/hyperlink" Target="https://chromewebstore.google.com/detail/okecofhlheppfglpgakbmhhohicoikcm" TargetMode="External"/><Relationship Id="rId1454" Type="http://schemas.openxmlformats.org/officeDocument/2006/relationships/hyperlink" Target="https://chromewebstore.google.com/detail/ijfolchflbmnfopmpmodilcelmdakbfl" TargetMode="External"/><Relationship Id="rId2785" Type="http://schemas.openxmlformats.org/officeDocument/2006/relationships/hyperlink" Target="https://chromewebstore.google.com/detail/okfdckomkajiaeejefanbonnhppmplpo" TargetMode="External"/><Relationship Id="rId1444" Type="http://schemas.openxmlformats.org/officeDocument/2006/relationships/hyperlink" Target="https://chromewebstore.google.com/detail/ifbchccfedjkkhlnffjckaghjdpchhmo" TargetMode="External"/><Relationship Id="rId2775" Type="http://schemas.openxmlformats.org/officeDocument/2006/relationships/hyperlink" Target="https://chromewebstore.google.com/detail/oakhnpcgdembaopakdnfkejfcaeipeik" TargetMode="External"/><Relationship Id="rId1445" Type="http://schemas.openxmlformats.org/officeDocument/2006/relationships/hyperlink" Target="https://chromewebstore.google.com/detail/ifbdckgghfmehefajfoichlhcdiibkoc" TargetMode="External"/><Relationship Id="rId2776" Type="http://schemas.openxmlformats.org/officeDocument/2006/relationships/hyperlink" Target="https://chromewebstore.google.com/detail/obghclocpdgcekcognpkblghkedcpdgd" TargetMode="External"/><Relationship Id="rId1446" Type="http://schemas.openxmlformats.org/officeDocument/2006/relationships/hyperlink" Target="https://chromewebstore.google.com/detail/ifekbbngjjcachfekcpeejphmkeckged" TargetMode="External"/><Relationship Id="rId2777" Type="http://schemas.openxmlformats.org/officeDocument/2006/relationships/hyperlink" Target="https://chromewebstore.google.com/detail/oceapojkdgeophkjdijkpbjifdnfimdh" TargetMode="External"/><Relationship Id="rId1447" Type="http://schemas.openxmlformats.org/officeDocument/2006/relationships/hyperlink" Target="https://chromewebstore.google.com/detail/iffmfknpimppjfoionhiffohdljiedai" TargetMode="External"/><Relationship Id="rId2778" Type="http://schemas.openxmlformats.org/officeDocument/2006/relationships/hyperlink" Target="https://chromewebstore.google.com/detail/oclhidoialnpdfmfcebdehleffhjkafm" TargetMode="External"/><Relationship Id="rId1448" Type="http://schemas.openxmlformats.org/officeDocument/2006/relationships/hyperlink" Target="https://chromewebstore.google.com/detail/ifgkgjaofnkgalclccdmlenkfffdgcdb" TargetMode="External"/><Relationship Id="rId2779" Type="http://schemas.openxmlformats.org/officeDocument/2006/relationships/hyperlink" Target="https://chromewebstore.google.com/detail/ofjegoecgdcdjepdijahaimjmkemeghj" TargetMode="External"/><Relationship Id="rId1449" Type="http://schemas.openxmlformats.org/officeDocument/2006/relationships/hyperlink" Target="https://chromewebstore.google.com/detail/igjeajmonjofckmiheidpmebpmdbbiam" TargetMode="External"/><Relationship Id="rId619" Type="http://schemas.openxmlformats.org/officeDocument/2006/relationships/hyperlink" Target="https://chromewebstore.google.com/detail/bpcagekijmfcocgjlnnhpdogbplajjfn" TargetMode="External"/><Relationship Id="rId618" Type="http://schemas.openxmlformats.org/officeDocument/2006/relationships/hyperlink" Target="https://chromewebstore.google.com/detail/bnijmipndnicefcdbhgcjoognndbgkep" TargetMode="External"/><Relationship Id="rId613" Type="http://schemas.openxmlformats.org/officeDocument/2006/relationships/hyperlink" Target="https://chromewebstore.google.com/detail/aldklnbenbdgfgfbflalmlddkkndgnlc" TargetMode="External"/><Relationship Id="rId612" Type="http://schemas.openxmlformats.org/officeDocument/2006/relationships/hyperlink" Target="https://chromewebstore.google.com/detail/akipcefbjlmpbcejgdaopmmidpnjlhnb" TargetMode="External"/><Relationship Id="rId611" Type="http://schemas.openxmlformats.org/officeDocument/2006/relationships/hyperlink" Target="https://chromewebstore.google.com/detail/ajjfnbkfaofifbiflcicanlgaiafcamj" TargetMode="External"/><Relationship Id="rId610" Type="http://schemas.openxmlformats.org/officeDocument/2006/relationships/hyperlink" Target="https://chromewebstore.google.com/detail/aimihpobjpagjiakhcpijibnaafdniol" TargetMode="External"/><Relationship Id="rId617" Type="http://schemas.openxmlformats.org/officeDocument/2006/relationships/hyperlink" Target="https://chromewebstore.google.com/detail/bngfikljchleddkelnfgohdfcobkggin" TargetMode="External"/><Relationship Id="rId616" Type="http://schemas.openxmlformats.org/officeDocument/2006/relationships/hyperlink" Target="https://chromewebstore.google.com/detail/bcebepcbopnpbdhimpgfbbdkbimaoafn" TargetMode="External"/><Relationship Id="rId615" Type="http://schemas.openxmlformats.org/officeDocument/2006/relationships/hyperlink" Target="https://chromewebstore.google.com/detail/bbicmjjbohdfglopkidebfccilipgeif" TargetMode="External"/><Relationship Id="rId614" Type="http://schemas.openxmlformats.org/officeDocument/2006/relationships/hyperlink" Target="https://chromewebstore.google.com/detail/aognaapdfnnldnjglanfbbklaakbpejm" TargetMode="External"/><Relationship Id="rId2770" Type="http://schemas.openxmlformats.org/officeDocument/2006/relationships/hyperlink" Target="https://chromewebstore.google.com/detail/njodpoefbejllnijefababpjlkhologo" TargetMode="External"/><Relationship Id="rId1440" Type="http://schemas.openxmlformats.org/officeDocument/2006/relationships/hyperlink" Target="https://chromewebstore.google.com/detail/iedeabfpifpbmbjpbmijmagjenkmkkmi" TargetMode="External"/><Relationship Id="rId2771" Type="http://schemas.openxmlformats.org/officeDocument/2006/relationships/hyperlink" Target="https://chromewebstore.google.com/detail/nkoipdagfegeelgahfaakgpkekhnlnme" TargetMode="External"/><Relationship Id="rId1441" Type="http://schemas.openxmlformats.org/officeDocument/2006/relationships/hyperlink" Target="https://chromewebstore.google.com/detail/ieelbggiidmnfbkjcjceknbhjgnhkjnf" TargetMode="External"/><Relationship Id="rId2772" Type="http://schemas.openxmlformats.org/officeDocument/2006/relationships/hyperlink" Target="https://chromewebstore.google.com/detail/nlbogimjpbkdemejcldggipfglbcflmn" TargetMode="External"/><Relationship Id="rId1442" Type="http://schemas.openxmlformats.org/officeDocument/2006/relationships/hyperlink" Target="https://chromewebstore.google.com/detail/ieembbfomodpbmahphkjgippbjeackga" TargetMode="External"/><Relationship Id="rId2773" Type="http://schemas.openxmlformats.org/officeDocument/2006/relationships/hyperlink" Target="https://chromewebstore.google.com/detail/nolbmjhicibknokpnbdaleabonbmioil" TargetMode="External"/><Relationship Id="rId1443" Type="http://schemas.openxmlformats.org/officeDocument/2006/relationships/hyperlink" Target="https://chromewebstore.google.com/detail/iefhhfhadhcgefikmjdpclgpmmlaodfc" TargetMode="External"/><Relationship Id="rId2774" Type="http://schemas.openxmlformats.org/officeDocument/2006/relationships/hyperlink" Target="https://chromewebstore.google.com/detail/nonbdfmekapigdafeajhmhbkbnfibfhg" TargetMode="External"/><Relationship Id="rId1477" Type="http://schemas.openxmlformats.org/officeDocument/2006/relationships/hyperlink" Target="https://chromewebstore.google.com/detail/ippnbhhbamibfpljlfmgogaondodicgi" TargetMode="External"/><Relationship Id="rId1478" Type="http://schemas.openxmlformats.org/officeDocument/2006/relationships/hyperlink" Target="https://chromewebstore.google.com/detail/jaicfjhjlblbkhejmkfimkafjchdnafm" TargetMode="External"/><Relationship Id="rId1479" Type="http://schemas.openxmlformats.org/officeDocument/2006/relationships/hyperlink" Target="https://chromewebstore.google.com/detail/jajoopnifcliapcngocgiidifkmboemc" TargetMode="External"/><Relationship Id="rId646" Type="http://schemas.openxmlformats.org/officeDocument/2006/relationships/hyperlink" Target="https://chromewebstore.google.com/detail/fhcmhglnohogibbbpbodmjeggpdlboop" TargetMode="External"/><Relationship Id="rId645" Type="http://schemas.openxmlformats.org/officeDocument/2006/relationships/hyperlink" Target="https://chromewebstore.google.com/detail/fefdcjabloofphhfcinhfbinmehfcojm" TargetMode="External"/><Relationship Id="rId644" Type="http://schemas.openxmlformats.org/officeDocument/2006/relationships/hyperlink" Target="https://chromewebstore.google.com/detail/fblbeibikalffoohjpiojmpmmndpkeii" TargetMode="External"/><Relationship Id="rId643" Type="http://schemas.openxmlformats.org/officeDocument/2006/relationships/hyperlink" Target="https://chromewebstore.google.com/detail/fbknefhkjhbolemlchjhacbgckdjggod" TargetMode="External"/><Relationship Id="rId649" Type="http://schemas.openxmlformats.org/officeDocument/2006/relationships/hyperlink" Target="https://chromewebstore.google.com/detail/flpiciilemghbmfalicajoolhkkenfel" TargetMode="External"/><Relationship Id="rId648" Type="http://schemas.openxmlformats.org/officeDocument/2006/relationships/hyperlink" Target="https://chromewebstore.google.com/detail/flejfacjooompmliegamfbpjjdlhokhj" TargetMode="External"/><Relationship Id="rId647" Type="http://schemas.openxmlformats.org/officeDocument/2006/relationships/hyperlink" Target="https://chromewebstore.google.com/detail/fkfkjailjcijmghkonghlclbjkopjbgh" TargetMode="External"/><Relationship Id="rId1470" Type="http://schemas.openxmlformats.org/officeDocument/2006/relationships/hyperlink" Target="https://chromewebstore.google.com/detail/ioiijepglemgcpdkjjefkchhdcofebpl" TargetMode="External"/><Relationship Id="rId1471" Type="http://schemas.openxmlformats.org/officeDocument/2006/relationships/hyperlink" Target="https://chromewebstore.google.com/detail/ioncgheockjakdmpighekmfhdljboimf" TargetMode="External"/><Relationship Id="rId1472" Type="http://schemas.openxmlformats.org/officeDocument/2006/relationships/hyperlink" Target="https://chromewebstore.google.com/detail/ipbhneeanpgkaleihlknhjiaamobkceh" TargetMode="External"/><Relationship Id="rId642" Type="http://schemas.openxmlformats.org/officeDocument/2006/relationships/hyperlink" Target="https://chromewebstore.google.com/detail/epejoicbhllgiimigokgjdoijnpaphdp" TargetMode="External"/><Relationship Id="rId1473" Type="http://schemas.openxmlformats.org/officeDocument/2006/relationships/hyperlink" Target="https://chromewebstore.google.com/detail/ipfcebkfhpkjeikaammlkcnalknjahmh" TargetMode="External"/><Relationship Id="rId641" Type="http://schemas.openxmlformats.org/officeDocument/2006/relationships/hyperlink" Target="https://chromewebstore.google.com/detail/eonffnnfmbfnmjpaiigdclmfelolemah" TargetMode="External"/><Relationship Id="rId1474" Type="http://schemas.openxmlformats.org/officeDocument/2006/relationships/hyperlink" Target="https://chromewebstore.google.com/detail/ipldiafffkbheamaoepjlncolocdlojd" TargetMode="External"/><Relationship Id="rId640" Type="http://schemas.openxmlformats.org/officeDocument/2006/relationships/hyperlink" Target="https://chromewebstore.google.com/detail/eoloebjcighkdkhdcbgooioeigbedihj" TargetMode="External"/><Relationship Id="rId1475" Type="http://schemas.openxmlformats.org/officeDocument/2006/relationships/hyperlink" Target="https://chromewebstore.google.com/detail/ipmfkhoihjbbohnfecpmhekhippaplnh" TargetMode="External"/><Relationship Id="rId1476" Type="http://schemas.openxmlformats.org/officeDocument/2006/relationships/hyperlink" Target="https://chromewebstore.google.com/detail/ipocdfgahhjaigldllakopnkofpcpahn" TargetMode="External"/><Relationship Id="rId1466" Type="http://schemas.openxmlformats.org/officeDocument/2006/relationships/hyperlink" Target="https://chromewebstore.google.com/detail/impiikfnffjblkkefnplfonianmboaam" TargetMode="External"/><Relationship Id="rId2797" Type="http://schemas.openxmlformats.org/officeDocument/2006/relationships/hyperlink" Target="https://chromewebstore.google.com/detail/peoapnglceoafojobbkpohnojniabmkd" TargetMode="External"/><Relationship Id="rId1467" Type="http://schemas.openxmlformats.org/officeDocument/2006/relationships/hyperlink" Target="https://chromewebstore.google.com/detail/inaaldjpdbkaodlmdcplgpoibohcmmlj" TargetMode="External"/><Relationship Id="rId2798" Type="http://schemas.openxmlformats.org/officeDocument/2006/relationships/hyperlink" Target="https://chromewebstore.google.com/detail/peoodjkcnljekllfedckepfejklfomed" TargetMode="External"/><Relationship Id="rId1468" Type="http://schemas.openxmlformats.org/officeDocument/2006/relationships/hyperlink" Target="https://chromewebstore.google.com/detail/ingbigompaecaefaoihaicmkgepkmkeg" TargetMode="External"/><Relationship Id="rId2799" Type="http://schemas.openxmlformats.org/officeDocument/2006/relationships/hyperlink" Target="https://chromewebstore.google.com/detail/pfkpgccmeafapmchhknifkncoehlnnfj" TargetMode="External"/><Relationship Id="rId1469" Type="http://schemas.openxmlformats.org/officeDocument/2006/relationships/hyperlink" Target="https://chromewebstore.google.com/detail/inmkmihphgjhmeabggdcokmkjhbnmdml" TargetMode="External"/><Relationship Id="rId635" Type="http://schemas.openxmlformats.org/officeDocument/2006/relationships/hyperlink" Target="https://chromewebstore.google.com/detail/ebbdbdmhegaoooipfnjikefdpeoaidml" TargetMode="External"/><Relationship Id="rId634" Type="http://schemas.openxmlformats.org/officeDocument/2006/relationships/hyperlink" Target="https://chromewebstore.google.com/detail/dkpiobpcinjhhemgobhjghkakdabddmg" TargetMode="External"/><Relationship Id="rId633" Type="http://schemas.openxmlformats.org/officeDocument/2006/relationships/hyperlink" Target="https://chromewebstore.google.com/detail/djgfmlohefpomchfabngccpbaflcahjf" TargetMode="External"/><Relationship Id="rId632" Type="http://schemas.openxmlformats.org/officeDocument/2006/relationships/hyperlink" Target="https://chromewebstore.google.com/detail/djcobamaplcmhmaocomnkfdbcoiggepo" TargetMode="External"/><Relationship Id="rId639" Type="http://schemas.openxmlformats.org/officeDocument/2006/relationships/hyperlink" Target="https://chromewebstore.google.com/detail/elbamfklmdfhbighpndmfdidofdonigb" TargetMode="External"/><Relationship Id="rId638" Type="http://schemas.openxmlformats.org/officeDocument/2006/relationships/hyperlink" Target="https://chromewebstore.google.com/detail/eejfoncpjfgmeleakejdcanedmefagga" TargetMode="External"/><Relationship Id="rId637" Type="http://schemas.openxmlformats.org/officeDocument/2006/relationships/hyperlink" Target="https://chromewebstore.google.com/detail/eeebgnfjhfdbjeiimmofopakfbmoiemo" TargetMode="External"/><Relationship Id="rId636" Type="http://schemas.openxmlformats.org/officeDocument/2006/relationships/hyperlink" Target="https://chromewebstore.google.com/detail/ecldhagehndokdmaiaigoaecbmbnmfkc" TargetMode="External"/><Relationship Id="rId2790" Type="http://schemas.openxmlformats.org/officeDocument/2006/relationships/hyperlink" Target="https://chromewebstore.google.com/detail/ooakmpmnagdmgngeicgmaopeiknckopn" TargetMode="External"/><Relationship Id="rId1460" Type="http://schemas.openxmlformats.org/officeDocument/2006/relationships/hyperlink" Target="https://chromewebstore.google.com/detail/ilcoelkkcokgeeijnopjnolmmighnppp" TargetMode="External"/><Relationship Id="rId2791" Type="http://schemas.openxmlformats.org/officeDocument/2006/relationships/hyperlink" Target="https://chromewebstore.google.com/detail/paojnnpimjmgppnibpnphlkoeomcfffn" TargetMode="External"/><Relationship Id="rId1461" Type="http://schemas.openxmlformats.org/officeDocument/2006/relationships/hyperlink" Target="https://chromewebstore.google.com/detail/iljnangbjcpnopeaebpckiljkapfcakl" TargetMode="External"/><Relationship Id="rId2792" Type="http://schemas.openxmlformats.org/officeDocument/2006/relationships/hyperlink" Target="https://chromewebstore.google.com/detail/pbdkaekoljplbgncigpmddkjlfoomkha" TargetMode="External"/><Relationship Id="rId631" Type="http://schemas.openxmlformats.org/officeDocument/2006/relationships/hyperlink" Target="https://chromewebstore.google.com/detail/dhjjibbeddglobeoapgppnlnmijajfbb" TargetMode="External"/><Relationship Id="rId1462" Type="http://schemas.openxmlformats.org/officeDocument/2006/relationships/hyperlink" Target="https://chromewebstore.google.com/detail/ilkkiealjmbagkfjepkicpdgeclkeold" TargetMode="External"/><Relationship Id="rId2793" Type="http://schemas.openxmlformats.org/officeDocument/2006/relationships/hyperlink" Target="https://chromewebstore.google.com/detail/pbhldkcipcaeniadfnhhdaealdfjgbpj" TargetMode="External"/><Relationship Id="rId630" Type="http://schemas.openxmlformats.org/officeDocument/2006/relationships/hyperlink" Target="https://chromewebstore.google.com/detail/dfngkocjobhcdlknaffekkiafkboehkn" TargetMode="External"/><Relationship Id="rId1463" Type="http://schemas.openxmlformats.org/officeDocument/2006/relationships/hyperlink" Target="https://chromewebstore.google.com/detail/imcjibojeokeogfofjgaajlobobagbeg" TargetMode="External"/><Relationship Id="rId2794" Type="http://schemas.openxmlformats.org/officeDocument/2006/relationships/hyperlink" Target="https://chromewebstore.google.com/detail/pcgmedbmchghfgikplcimdmfldfnecec" TargetMode="External"/><Relationship Id="rId1464" Type="http://schemas.openxmlformats.org/officeDocument/2006/relationships/hyperlink" Target="https://chromewebstore.google.com/detail/imimolldggofidcmfdkcffpjcgaggoaf" TargetMode="External"/><Relationship Id="rId2795" Type="http://schemas.openxmlformats.org/officeDocument/2006/relationships/hyperlink" Target="https://chromewebstore.google.com/detail/pcofajehbfbjnloomppmdfcjpoaemhmd" TargetMode="External"/><Relationship Id="rId1465" Type="http://schemas.openxmlformats.org/officeDocument/2006/relationships/hyperlink" Target="https://chromewebstore.google.com/detail/imldfcloildiapnfjoocfpdmoajnjelf" TargetMode="External"/><Relationship Id="rId2796" Type="http://schemas.openxmlformats.org/officeDocument/2006/relationships/hyperlink" Target="https://chromewebstore.google.com/detail/pcpddmeglhedjeedfglodbfkcagcnjfb" TargetMode="External"/><Relationship Id="rId1411" Type="http://schemas.openxmlformats.org/officeDocument/2006/relationships/hyperlink" Target="https://chromewebstore.google.com/detail/hkodokikbjolckghdnljbkbhacbhpnkb" TargetMode="External"/><Relationship Id="rId2742" Type="http://schemas.openxmlformats.org/officeDocument/2006/relationships/hyperlink" Target="https://chromewebstore.google.com/detail/medbfmklifghknhgfajeaepbnhcimpjk" TargetMode="External"/><Relationship Id="rId1412" Type="http://schemas.openxmlformats.org/officeDocument/2006/relationships/hyperlink" Target="https://chromewebstore.google.com/detail/hlhgkeikggdbhfhlmkapkmaogoohepml" TargetMode="External"/><Relationship Id="rId2743" Type="http://schemas.openxmlformats.org/officeDocument/2006/relationships/hyperlink" Target="https://chromewebstore.google.com/detail/meebenkoljjgogkbnlabbmdbbhpeifck" TargetMode="External"/><Relationship Id="rId1413" Type="http://schemas.openxmlformats.org/officeDocument/2006/relationships/hyperlink" Target="https://chromewebstore.google.com/detail/hlkagghgnlpbocljaclinmklnlgppemp" TargetMode="External"/><Relationship Id="rId2744" Type="http://schemas.openxmlformats.org/officeDocument/2006/relationships/hyperlink" Target="https://chromewebstore.google.com/detail/meefekdbnfknopenfokiacipalgnkdee" TargetMode="External"/><Relationship Id="rId1414" Type="http://schemas.openxmlformats.org/officeDocument/2006/relationships/hyperlink" Target="https://chromewebstore.google.com/detail/hlledchhaimjmakjdmjpldfanefbhikj" TargetMode="External"/><Relationship Id="rId2745" Type="http://schemas.openxmlformats.org/officeDocument/2006/relationships/hyperlink" Target="https://chromewebstore.google.com/detail/memijejgibaodndkimcclfapfladdchj" TargetMode="External"/><Relationship Id="rId1415" Type="http://schemas.openxmlformats.org/officeDocument/2006/relationships/hyperlink" Target="https://chromewebstore.google.com/detail/hlpleilenpafkhjjfoncggfjgimfplhg" TargetMode="External"/><Relationship Id="rId2746" Type="http://schemas.openxmlformats.org/officeDocument/2006/relationships/hyperlink" Target="https://chromewebstore.google.com/detail/mfdbhfpaedhhgglcahhmhgannefehicb" TargetMode="External"/><Relationship Id="rId1416" Type="http://schemas.openxmlformats.org/officeDocument/2006/relationships/hyperlink" Target="https://chromewebstore.google.com/detail/hlppincnifijeogfbjgekmkckcmlkonn" TargetMode="External"/><Relationship Id="rId2747" Type="http://schemas.openxmlformats.org/officeDocument/2006/relationships/hyperlink" Target="https://chromewebstore.google.com/detail/mfdnhgjejhhnfnpjhndlpibhbfmdcbch" TargetMode="External"/><Relationship Id="rId1417" Type="http://schemas.openxmlformats.org/officeDocument/2006/relationships/hyperlink" Target="https://chromewebstore.google.com/detail/hmafjphdklmdjfcnljjeonfpgafanjjc" TargetMode="External"/><Relationship Id="rId2748" Type="http://schemas.openxmlformats.org/officeDocument/2006/relationships/hyperlink" Target="https://chromewebstore.google.com/detail/mhgiefelomcdfcdbknkkohpibdpbdhmo" TargetMode="External"/><Relationship Id="rId1418" Type="http://schemas.openxmlformats.org/officeDocument/2006/relationships/hyperlink" Target="https://chromewebstore.google.com/detail/hmlhdgjmjlkeffphmlpfbbhmnlmdcnha" TargetMode="External"/><Relationship Id="rId2749" Type="http://schemas.openxmlformats.org/officeDocument/2006/relationships/hyperlink" Target="https://chromewebstore.google.com/detail/migmknbcmbejjmalfbmkieiamadapdmo" TargetMode="External"/><Relationship Id="rId1419" Type="http://schemas.openxmlformats.org/officeDocument/2006/relationships/hyperlink" Target="http://socpublic.com" TargetMode="External"/><Relationship Id="rId2740" Type="http://schemas.openxmlformats.org/officeDocument/2006/relationships/hyperlink" Target="https://chromewebstore.google.com/detail/mbmniljdacmobchkdodbbimnnfemgjda" TargetMode="External"/><Relationship Id="rId1410" Type="http://schemas.openxmlformats.org/officeDocument/2006/relationships/hyperlink" Target="https://chromewebstore.google.com/detail/hjkajeglckopdkbggdiajobpilgccgnj" TargetMode="External"/><Relationship Id="rId2741" Type="http://schemas.openxmlformats.org/officeDocument/2006/relationships/hyperlink" Target="https://chromewebstore.google.com/detail/mdpfkohgfpidohkakdbpmnngaocglmhl" TargetMode="External"/><Relationship Id="rId1400" Type="http://schemas.openxmlformats.org/officeDocument/2006/relationships/hyperlink" Target="https://chromewebstore.google.com/detail/hfpcmmccnlhkdbaailjllkmfkebmckeo" TargetMode="External"/><Relationship Id="rId2731" Type="http://schemas.openxmlformats.org/officeDocument/2006/relationships/hyperlink" Target="https://chromewebstore.google.com/detail/lifnhhhbkmkobgokokejfjnfpgcnappe" TargetMode="External"/><Relationship Id="rId1401" Type="http://schemas.openxmlformats.org/officeDocument/2006/relationships/hyperlink" Target="https://chromewebstore.google.com/detail/hgkofcnfkalomcloglekemngljnndhfa" TargetMode="External"/><Relationship Id="rId2732" Type="http://schemas.openxmlformats.org/officeDocument/2006/relationships/hyperlink" Target="https://chromewebstore.google.com/detail/lijeilcglmadpkbengpkfnkpmcehecfe" TargetMode="External"/><Relationship Id="rId1402" Type="http://schemas.openxmlformats.org/officeDocument/2006/relationships/hyperlink" Target="https://chromewebstore.google.com/detail/hglnindfakmbhhkldompfjeknfapaceh" TargetMode="External"/><Relationship Id="rId2733" Type="http://schemas.openxmlformats.org/officeDocument/2006/relationships/hyperlink" Target="https://chromewebstore.google.com/detail/lipgmjpepegfmijhpkoedhckijlelkgl" TargetMode="External"/><Relationship Id="rId1403" Type="http://schemas.openxmlformats.org/officeDocument/2006/relationships/hyperlink" Target="https://chromewebstore.google.com/detail/hgmhphfbdfbkokcfajipbmkcakmmepeb" TargetMode="External"/><Relationship Id="rId2734" Type="http://schemas.openxmlformats.org/officeDocument/2006/relationships/hyperlink" Target="https://chromewebstore.google.com/detail/lkfbpmilmogbplanpheiejbofpeafbof" TargetMode="External"/><Relationship Id="rId1404" Type="http://schemas.openxmlformats.org/officeDocument/2006/relationships/hyperlink" Target="https://chromewebstore.google.com/detail/hhcddohiohbojnfdmfpbbhiaompeiemo" TargetMode="External"/><Relationship Id="rId2735" Type="http://schemas.openxmlformats.org/officeDocument/2006/relationships/hyperlink" Target="https://chromewebstore.google.com/detail/llbdehgkjokeodpffneagciojeegphdc" TargetMode="External"/><Relationship Id="rId1405" Type="http://schemas.openxmlformats.org/officeDocument/2006/relationships/hyperlink" Target="https://chromewebstore.google.com/detail/hipgmnlpnimedfepbfbfiaobohhffcfc" TargetMode="External"/><Relationship Id="rId2736" Type="http://schemas.openxmlformats.org/officeDocument/2006/relationships/hyperlink" Target="https://chromewebstore.google.com/detail/lljgneahfmgjmpglpbhmkangancgdgeb" TargetMode="External"/><Relationship Id="rId1406" Type="http://schemas.openxmlformats.org/officeDocument/2006/relationships/hyperlink" Target="https://chromewebstore.google.com/detail/hipojknikpmpknnpbgpondgpeepppbjk" TargetMode="External"/><Relationship Id="rId2737" Type="http://schemas.openxmlformats.org/officeDocument/2006/relationships/hyperlink" Target="https://chromewebstore.google.com/detail/lnkcbfimmmgcemkbgfghlpoamhoakdif" TargetMode="External"/><Relationship Id="rId1407" Type="http://schemas.openxmlformats.org/officeDocument/2006/relationships/hyperlink" Target="https://chromewebstore.google.com/detail/hjamchbafpmgdbgohhplicknmcppnmgm" TargetMode="External"/><Relationship Id="rId2738" Type="http://schemas.openxmlformats.org/officeDocument/2006/relationships/hyperlink" Target="https://chromewebstore.google.com/detail/loeapdhmokmdkoklhijjmpgjdcieebgj" TargetMode="External"/><Relationship Id="rId1408" Type="http://schemas.openxmlformats.org/officeDocument/2006/relationships/hyperlink" Target="https://chromewebstore.google.com/detail/hjgibfcoeomknakfhedjmlkakgelnecf" TargetMode="External"/><Relationship Id="rId2739" Type="http://schemas.openxmlformats.org/officeDocument/2006/relationships/hyperlink" Target="https://chromewebstore.google.com/detail/lpcccgcdjibejkgiaeijbmkpbnbkglkb" TargetMode="External"/><Relationship Id="rId1409" Type="http://schemas.openxmlformats.org/officeDocument/2006/relationships/hyperlink" Target="https://chromewebstore.google.com/detail/hjjlnpghgkgmnpjimgbblhggmbjlbmld" TargetMode="External"/><Relationship Id="rId2730" Type="http://schemas.openxmlformats.org/officeDocument/2006/relationships/hyperlink" Target="https://chromewebstore.google.com/detail/lhhocifdmhogpekeppdjamkelohahbop" TargetMode="External"/><Relationship Id="rId1433" Type="http://schemas.openxmlformats.org/officeDocument/2006/relationships/hyperlink" Target="https://chromewebstore.google.com/detail/ibkkdnfblcekolaagnljieekcaccfpjo" TargetMode="External"/><Relationship Id="rId2764" Type="http://schemas.openxmlformats.org/officeDocument/2006/relationships/hyperlink" Target="https://chromewebstore.google.com/detail/nehbekcijblfffffinpjfoicfcjbcjen" TargetMode="External"/><Relationship Id="rId1434" Type="http://schemas.openxmlformats.org/officeDocument/2006/relationships/hyperlink" Target="https://chromewebstore.google.com/detail/ibpdcnicnlmnknjnjhelkigdpapfjcbn" TargetMode="External"/><Relationship Id="rId2765" Type="http://schemas.openxmlformats.org/officeDocument/2006/relationships/hyperlink" Target="https://chromewebstore.google.com/detail/nggnllipjhjadjehkjcfgcomahomninl" TargetMode="External"/><Relationship Id="rId1435" Type="http://schemas.openxmlformats.org/officeDocument/2006/relationships/hyperlink" Target="https://chromewebstore.google.com/detail/icagkiolfkmndbggheneeamfbnobcdma" TargetMode="External"/><Relationship Id="rId2766" Type="http://schemas.openxmlformats.org/officeDocument/2006/relationships/hyperlink" Target="https://chromewebstore.google.com/detail/nhhdkapljemlnpbdhjnbmacblgbnkebe" TargetMode="External"/><Relationship Id="rId1436" Type="http://schemas.openxmlformats.org/officeDocument/2006/relationships/hyperlink" Target="https://chromewebstore.google.com/detail/iccmimianhoklepafpckijcpclgcfblm" TargetMode="External"/><Relationship Id="rId2767" Type="http://schemas.openxmlformats.org/officeDocument/2006/relationships/hyperlink" Target="https://chromewebstore.google.com/detail/nhmckipmafnikgjnaeadpngccggobaej" TargetMode="External"/><Relationship Id="rId1437" Type="http://schemas.openxmlformats.org/officeDocument/2006/relationships/hyperlink" Target="https://chromewebstore.google.com/detail/idbejgmlldkhoiogoknpihhhbimbikdo" TargetMode="External"/><Relationship Id="rId2768" Type="http://schemas.openxmlformats.org/officeDocument/2006/relationships/hyperlink" Target="https://chromewebstore.google.com/detail/niifcleepdmiglkgdbjddeilclfdella" TargetMode="External"/><Relationship Id="rId1438" Type="http://schemas.openxmlformats.org/officeDocument/2006/relationships/hyperlink" Target="https://chromewebstore.google.com/detail/idmefaajmbkeajdiafefcleiaihkahnm" TargetMode="External"/><Relationship Id="rId2769" Type="http://schemas.openxmlformats.org/officeDocument/2006/relationships/hyperlink" Target="https://chromewebstore.google.com/detail/niooegglpelonkgbeejcplccleadcfdc" TargetMode="External"/><Relationship Id="rId1439" Type="http://schemas.openxmlformats.org/officeDocument/2006/relationships/hyperlink" Target="https://chromewebstore.google.com/detail/idolchmmfhdnihfikidaobnplmkalkbd" TargetMode="External"/><Relationship Id="rId609" Type="http://schemas.openxmlformats.org/officeDocument/2006/relationships/hyperlink" Target="https://chromewebstore.google.com/detail/adaepfiocmagdimjecpifghcgfjlfmkh" TargetMode="External"/><Relationship Id="rId608" Type="http://schemas.openxmlformats.org/officeDocument/2006/relationships/hyperlink" Target="https://chromewebstore.google.com/detail/acdablfhjbhkjbcifldncdkmlophfgda" TargetMode="External"/><Relationship Id="rId607" Type="http://schemas.openxmlformats.org/officeDocument/2006/relationships/hyperlink" Target="https://chromewebstore.google.com/detail/pojaolkbbklmcifckclknpolncdmbaph" TargetMode="External"/><Relationship Id="rId602" Type="http://schemas.openxmlformats.org/officeDocument/2006/relationships/hyperlink" Target="https://chromewebstore.google.com/detail/phimhnckkaofkllcoledjilakgbeohli" TargetMode="External"/><Relationship Id="rId601" Type="http://schemas.openxmlformats.org/officeDocument/2006/relationships/hyperlink" Target="https://chromewebstore.google.com/detail/pfmeokkodfbbeckenogobokoaiahclmp" TargetMode="External"/><Relationship Id="rId600" Type="http://schemas.openxmlformats.org/officeDocument/2006/relationships/hyperlink" Target="https://chromewebstore.google.com/detail/pdiefgmeejbkamgippdjdchpgkdnelbl" TargetMode="External"/><Relationship Id="rId606" Type="http://schemas.openxmlformats.org/officeDocument/2006/relationships/hyperlink" Target="https://chromewebstore.google.com/detail/pocmplpaccanhmnllbbkpgfliimjljgo" TargetMode="External"/><Relationship Id="rId605" Type="http://schemas.openxmlformats.org/officeDocument/2006/relationships/hyperlink" Target="https://chromewebstore.google.com/detail/plkplgmhfkkhokgkdkblfcnfeccpippe" TargetMode="External"/><Relationship Id="rId604" Type="http://schemas.openxmlformats.org/officeDocument/2006/relationships/hyperlink" Target="https://chromewebstore.google.com/detail/pkdaplneajgbalnnmaoflooakgijjkhc" TargetMode="External"/><Relationship Id="rId603" Type="http://schemas.openxmlformats.org/officeDocument/2006/relationships/hyperlink" Target="https://chromewebstore.google.com/detail/pifalnbglchfojkfmechjalgbjoodlpg" TargetMode="External"/><Relationship Id="rId2760" Type="http://schemas.openxmlformats.org/officeDocument/2006/relationships/hyperlink" Target="https://chromewebstore.google.com/detail/ncdifkcipeniikkbckejmnbbcofdheig" TargetMode="External"/><Relationship Id="rId1430" Type="http://schemas.openxmlformats.org/officeDocument/2006/relationships/hyperlink" Target="https://chromewebstore.google.com/detail/ibenjnichpcnealnjfifbidmpgodkfnn" TargetMode="External"/><Relationship Id="rId2761" Type="http://schemas.openxmlformats.org/officeDocument/2006/relationships/hyperlink" Target="https://chromewebstore.google.com/detail/ncedobpgnmkhcmnnkcimnobpfepidadl" TargetMode="External"/><Relationship Id="rId1431" Type="http://schemas.openxmlformats.org/officeDocument/2006/relationships/hyperlink" Target="https://chromewebstore.google.com/detail/ibfjkeafbnhjoedpihdjgaapmhnkhape" TargetMode="External"/><Relationship Id="rId2762" Type="http://schemas.openxmlformats.org/officeDocument/2006/relationships/hyperlink" Target="https://chromewebstore.google.com/detail/ncopbeadajoekpedjllcakdmbmgnfgph" TargetMode="External"/><Relationship Id="rId1432" Type="http://schemas.openxmlformats.org/officeDocument/2006/relationships/hyperlink" Target="https://chromewebstore.google.com/detail/ibgkfepjabgnmpjojcnbcjfgeoklfdfk" TargetMode="External"/><Relationship Id="rId2763" Type="http://schemas.openxmlformats.org/officeDocument/2006/relationships/hyperlink" Target="https://chromewebstore.google.com/detail/ndjhbhcchlkpdgpnekdhmeoogmoakidf" TargetMode="External"/><Relationship Id="rId1422" Type="http://schemas.openxmlformats.org/officeDocument/2006/relationships/hyperlink" Target="https://chromewebstore.google.com/detail/hpihdokfdmmghaclaojfpmbckkhjgebc" TargetMode="External"/><Relationship Id="rId2753" Type="http://schemas.openxmlformats.org/officeDocument/2006/relationships/hyperlink" Target="https://chromewebstore.google.com/detail/mohaicophfnifehkkkdbcejkflmgfkof" TargetMode="External"/><Relationship Id="rId1423" Type="http://schemas.openxmlformats.org/officeDocument/2006/relationships/hyperlink" Target="https://chromewebstore.google.com/detail/iaalpfgpbocpdfblpnhhgllgbdbchmia" TargetMode="External"/><Relationship Id="rId2754" Type="http://schemas.openxmlformats.org/officeDocument/2006/relationships/hyperlink" Target="https://chromewebstore.google.com/detail/mojbfofholnnfgdkcgabcfkjelblkgmh" TargetMode="External"/><Relationship Id="rId1424" Type="http://schemas.openxmlformats.org/officeDocument/2006/relationships/hyperlink" Target="https://chromewebstore.google.com/detail/iaanigfbldakklgdfcnbjonbehpbpecl" TargetMode="External"/><Relationship Id="rId2755" Type="http://schemas.openxmlformats.org/officeDocument/2006/relationships/hyperlink" Target="https://chromewebstore.google.com/detail/mpejfoghnejnbfkpbiafklkmlhebkapb" TargetMode="External"/><Relationship Id="rId1425" Type="http://schemas.openxmlformats.org/officeDocument/2006/relationships/hyperlink" Target="https://chromewebstore.google.com/detail/iabnnjcfonfnjhpmdgapgemfmgjlbjem" TargetMode="External"/><Relationship Id="rId2756" Type="http://schemas.openxmlformats.org/officeDocument/2006/relationships/hyperlink" Target="https://chromewebstore.google.com/detail/mphdppdgoagghpmmhodmfajjlloijnbd" TargetMode="External"/><Relationship Id="rId1426" Type="http://schemas.openxmlformats.org/officeDocument/2006/relationships/hyperlink" Target="https://chromewebstore.google.com/detail/iaddbcgfmhnpdmpaocehjdjkcddjojel" TargetMode="External"/><Relationship Id="rId2757" Type="http://schemas.openxmlformats.org/officeDocument/2006/relationships/hyperlink" Target="https://chromewebstore.google.com/detail/nadpbbdaaifbaebnniobcfpiifbfokij" TargetMode="External"/><Relationship Id="rId1427" Type="http://schemas.openxmlformats.org/officeDocument/2006/relationships/hyperlink" Target="https://chromewebstore.google.com/detail/iadhcoaabobddcebhmheikmbcjcigjhc" TargetMode="External"/><Relationship Id="rId2758" Type="http://schemas.openxmlformats.org/officeDocument/2006/relationships/hyperlink" Target="https://chromewebstore.google.com/detail/nbcbmhabgcajfdcfdkmoibecllfpijcj" TargetMode="External"/><Relationship Id="rId1428" Type="http://schemas.openxmlformats.org/officeDocument/2006/relationships/hyperlink" Target="https://chromewebstore.google.com/detail/iapjjopjejpelnfdonefbffahmcndfbm" TargetMode="External"/><Relationship Id="rId2759" Type="http://schemas.openxmlformats.org/officeDocument/2006/relationships/hyperlink" Target="https://chromewebstore.google.com/detail/nbjajjpleonofjhcholjhjakpdmgfgga" TargetMode="External"/><Relationship Id="rId1429" Type="http://schemas.openxmlformats.org/officeDocument/2006/relationships/hyperlink" Target="https://chromewebstore.google.com/detail/ibcdapcpgpofknnfbggcaikbggahcdfi" TargetMode="External"/><Relationship Id="rId2750" Type="http://schemas.openxmlformats.org/officeDocument/2006/relationships/hyperlink" Target="https://chromewebstore.google.com/detail/mjcffemmfdpcjekgonelgmphacdhhbod" TargetMode="External"/><Relationship Id="rId1420" Type="http://schemas.openxmlformats.org/officeDocument/2006/relationships/hyperlink" Target="https://chromewebstore.google.com/detail/hnikdbjffkapiacedidjkigkpglncnlk" TargetMode="External"/><Relationship Id="rId2751" Type="http://schemas.openxmlformats.org/officeDocument/2006/relationships/hyperlink" Target="https://chromewebstore.google.com/detail/mkhmkjcbidkifopffebieonhhkondlfe" TargetMode="External"/><Relationship Id="rId1421" Type="http://schemas.openxmlformats.org/officeDocument/2006/relationships/hyperlink" Target="https://chromewebstore.google.com/detail/hpcipbhehomfgjbgnajdhiahhdeeffbg" TargetMode="External"/><Relationship Id="rId2752" Type="http://schemas.openxmlformats.org/officeDocument/2006/relationships/hyperlink" Target="https://chromewebstore.google.com/detail/mmifbbohghecjloeklpbinkjpbplfalb" TargetMode="External"/><Relationship Id="rId8927" Type="http://schemas.openxmlformats.org/officeDocument/2006/relationships/hyperlink" Target="https://chromewebstore.google.com/detail/iiejoaicifeelebkogojhminengkecao" TargetMode="External"/><Relationship Id="rId8926" Type="http://schemas.openxmlformats.org/officeDocument/2006/relationships/hyperlink" Target="https://chromewebstore.google.com/detail/ghkkenepdhmbnphekgoccdbmgknkljeb" TargetMode="External"/><Relationship Id="rId8925" Type="http://schemas.openxmlformats.org/officeDocument/2006/relationships/hyperlink" Target="https://chromewebstore.google.com/detail/ffapagmeaendpngophdffbjjcobilago" TargetMode="External"/><Relationship Id="rId8924" Type="http://schemas.openxmlformats.org/officeDocument/2006/relationships/hyperlink" Target="https://chromewebstore.google.com/detail/bndclkkabaajpgnfimggpjkjbocchjco" TargetMode="External"/><Relationship Id="rId8929" Type="http://schemas.openxmlformats.org/officeDocument/2006/relationships/hyperlink" Target="https://chromewebstore.google.com/detail/ljcfldklachdgiohiobmmcfaogcdohlj" TargetMode="External"/><Relationship Id="rId8928" Type="http://schemas.openxmlformats.org/officeDocument/2006/relationships/hyperlink" Target="https://chromewebstore.google.com/detail/iinbdidfpllkdmibmbhfgkdooollcfep" TargetMode="External"/><Relationship Id="rId8923" Type="http://schemas.openxmlformats.org/officeDocument/2006/relationships/hyperlink" Target="https://chromewebstore.google.com/detail/ahdbpipoojeoedkjhjmfflbgnlhpheoa" TargetMode="External"/><Relationship Id="rId8922" Type="http://schemas.openxmlformats.org/officeDocument/2006/relationships/hyperlink" Target="https://chromewebstore.google.com/detail/acidanpljleklgoiogphejmiiiakhnel" TargetMode="External"/><Relationship Id="rId8921" Type="http://schemas.openxmlformats.org/officeDocument/2006/relationships/hyperlink" Target="https://chromewebstore.google.com/detail/ojekneoedmekheoagiblbpdanchcoaoo" TargetMode="External"/><Relationship Id="rId8920" Type="http://schemas.openxmlformats.org/officeDocument/2006/relationships/hyperlink" Target="https://chromewebstore.google.com/detail/odppiocdkdolfcmkjkdjaogdbkahcfck" TargetMode="External"/><Relationship Id="rId8916" Type="http://schemas.openxmlformats.org/officeDocument/2006/relationships/hyperlink" Target="https://chromewebstore.google.com/detail/mlcfcepfmnjphcdkfbfgokkjodlkmemo" TargetMode="External"/><Relationship Id="rId8915" Type="http://schemas.openxmlformats.org/officeDocument/2006/relationships/hyperlink" Target="https://chromewebstore.google.com/detail/mdkoanlgchgnkbfjcecafkadgneapali" TargetMode="External"/><Relationship Id="rId8914" Type="http://schemas.openxmlformats.org/officeDocument/2006/relationships/hyperlink" Target="https://chromewebstore.google.com/detail/lbhcpjpfnaflkbnabhnpppjokidnpbih" TargetMode="External"/><Relationship Id="rId8913" Type="http://schemas.openxmlformats.org/officeDocument/2006/relationships/hyperlink" Target="https://chromewebstore.google.com/detail/kmnlfjgamfnhcmpfnmgpiapacncdipad" TargetMode="External"/><Relationship Id="rId8919" Type="http://schemas.openxmlformats.org/officeDocument/2006/relationships/hyperlink" Target="https://chromewebstore.google.com/detail/fbnblgfdjledfgkfbbcddejlopemmhcn" TargetMode="External"/><Relationship Id="rId8918" Type="http://schemas.openxmlformats.org/officeDocument/2006/relationships/hyperlink" Target="https://chromewebstore.google.com/detail/bdabfmaodlcecidafckneiiaodjakoho" TargetMode="External"/><Relationship Id="rId8917" Type="http://schemas.openxmlformats.org/officeDocument/2006/relationships/hyperlink" Target="https://chromewebstore.google.com/detail/pppjpgngihocgpbiofdhconpbfinimnn" TargetMode="External"/><Relationship Id="rId699" Type="http://schemas.openxmlformats.org/officeDocument/2006/relationships/hyperlink" Target="https://chromewebstore.google.com/detail/kinpgphmiekapnpbmobneleaiemkefag" TargetMode="External"/><Relationship Id="rId698" Type="http://schemas.openxmlformats.org/officeDocument/2006/relationships/hyperlink" Target="https://chromewebstore.google.com/detail/kibbnopaghnmdlmocibfmnljlihmlgip" TargetMode="External"/><Relationship Id="rId693" Type="http://schemas.openxmlformats.org/officeDocument/2006/relationships/hyperlink" Target="https://chromewebstore.google.com/detail/kbmhekonnnamchnjelhooeagiabhggfo" TargetMode="External"/><Relationship Id="rId692" Type="http://schemas.openxmlformats.org/officeDocument/2006/relationships/hyperlink" Target="https://chromewebstore.google.com/detail/kapmnckpnjhbdggcdkggkkfkkmjehhmb" TargetMode="External"/><Relationship Id="rId691" Type="http://schemas.openxmlformats.org/officeDocument/2006/relationships/hyperlink" Target="https://chromewebstore.google.com/detail/kajfghlhfkcocafkcjlajldicbikpgnp" TargetMode="External"/><Relationship Id="rId690" Type="http://schemas.openxmlformats.org/officeDocument/2006/relationships/hyperlink" Target="https://chromewebstore.google.com/detail/kaajoficamnjijhkeomgfljpicifbkaf" TargetMode="External"/><Relationship Id="rId697" Type="http://schemas.openxmlformats.org/officeDocument/2006/relationships/hyperlink" Target="https://chromewebstore.google.com/detail/khllaogjfcmonmmklkjpjapolbaapcdc" TargetMode="External"/><Relationship Id="rId8912" Type="http://schemas.openxmlformats.org/officeDocument/2006/relationships/hyperlink" Target="https://chromewebstore.google.com/detail/gldgceachgdhbcdjanalgkkibnjohapa" TargetMode="External"/><Relationship Id="rId696" Type="http://schemas.openxmlformats.org/officeDocument/2006/relationships/hyperlink" Target="https://chromewebstore.google.com/detail/kccajphaffpdfjhgcbccfmcpbgogbknh" TargetMode="External"/><Relationship Id="rId8911" Type="http://schemas.openxmlformats.org/officeDocument/2006/relationships/hyperlink" Target="https://chromewebstore.google.com/detail/djjcljbdcefigahiaaoinifennidmapi" TargetMode="External"/><Relationship Id="rId695" Type="http://schemas.openxmlformats.org/officeDocument/2006/relationships/hyperlink" Target="https://chromewebstore.google.com/detail/kbohbdnooimgjlohmicjmoagppjdcbam" TargetMode="External"/><Relationship Id="rId8910" Type="http://schemas.openxmlformats.org/officeDocument/2006/relationships/hyperlink" Target="https://chromewebstore.google.com/detail/oonojkdagfgjmempbfipokgjjigkoocj" TargetMode="External"/><Relationship Id="rId694" Type="http://schemas.openxmlformats.org/officeDocument/2006/relationships/hyperlink" Target="https://chromewebstore.google.com/detail/kbmipnjdeifmobkhgogdnomkihhgojep" TargetMode="External"/><Relationship Id="rId7618" Type="http://schemas.openxmlformats.org/officeDocument/2006/relationships/hyperlink" Target="https://chromewebstore.google.com/detail/kllohiclobgoaffphlofnjdlabflpgha" TargetMode="External"/><Relationship Id="rId8949" Type="http://schemas.openxmlformats.org/officeDocument/2006/relationships/hyperlink" Target="https://chromewebstore.google.com/detail/kibbhpioncdhmamhflnnmfonadknnoan" TargetMode="External"/><Relationship Id="rId7617" Type="http://schemas.openxmlformats.org/officeDocument/2006/relationships/hyperlink" Target="https://chromewebstore.google.com/detail/homgaeandhcohhcfbfdeohljedelgijc" TargetMode="External"/><Relationship Id="rId8948" Type="http://schemas.openxmlformats.org/officeDocument/2006/relationships/hyperlink" Target="https://chromewebstore.google.com/detail/jopifgpfoeeeodfdpbmibkidoldcpeco" TargetMode="External"/><Relationship Id="rId7616" Type="http://schemas.openxmlformats.org/officeDocument/2006/relationships/hyperlink" Target="https://chromewebstore.google.com/detail/bdhgcfmghkbbdmejdaadfdhhdjphogkp" TargetMode="External"/><Relationship Id="rId8947" Type="http://schemas.openxmlformats.org/officeDocument/2006/relationships/hyperlink" Target="https://chromewebstore.google.com/detail/icifceekaomdahfoiipifbhbkgbnmicj" TargetMode="External"/><Relationship Id="rId7615" Type="http://schemas.openxmlformats.org/officeDocument/2006/relationships/hyperlink" Target="https://chromewebstore.google.com/detail/podpddhcepkggomgplkpkdhehckkllab" TargetMode="External"/><Relationship Id="rId8946" Type="http://schemas.openxmlformats.org/officeDocument/2006/relationships/hyperlink" Target="https://chromewebstore.google.com/detail/bieeiojdjdkkacfckmaamnbinloppgjf" TargetMode="External"/><Relationship Id="rId7619" Type="http://schemas.openxmlformats.org/officeDocument/2006/relationships/hyperlink" Target="https://chromewebstore.google.com/detail/aphjepidficfgphkbggojoemgpmianhi" TargetMode="External"/><Relationship Id="rId7610" Type="http://schemas.openxmlformats.org/officeDocument/2006/relationships/hyperlink" Target="https://chromewebstore.google.com/detail/ngfbfmhhkpknjodmiklpkipnlmolabee" TargetMode="External"/><Relationship Id="rId8941" Type="http://schemas.openxmlformats.org/officeDocument/2006/relationships/hyperlink" Target="https://chromewebstore.google.com/detail/plbdiohbpbliejbjhdndgcimcepgjnpm" TargetMode="External"/><Relationship Id="rId8940" Type="http://schemas.openxmlformats.org/officeDocument/2006/relationships/hyperlink" Target="https://chromewebstore.google.com/detail/phlcknmppnmpgnjhjncggkidgkbilndd" TargetMode="External"/><Relationship Id="rId7614" Type="http://schemas.openxmlformats.org/officeDocument/2006/relationships/hyperlink" Target="https://chromewebstore.google.com/detail/immpookfmnhkhekgapcepemkdehdlgbb" TargetMode="External"/><Relationship Id="rId8945" Type="http://schemas.openxmlformats.org/officeDocument/2006/relationships/hyperlink" Target="https://chromewebstore.google.com/detail/bdinnahhocpbhaolpffbceckdfiafffn" TargetMode="External"/><Relationship Id="rId7613" Type="http://schemas.openxmlformats.org/officeDocument/2006/relationships/hyperlink" Target="https://chromewebstore.google.com/detail/haplbihlmhnffbihdfjhgnickameiphd" TargetMode="External"/><Relationship Id="rId8944" Type="http://schemas.openxmlformats.org/officeDocument/2006/relationships/hyperlink" Target="https://chromewebstore.google.com/detail/akmeopjagninifebigecedjdmmbfmibn" TargetMode="External"/><Relationship Id="rId7612" Type="http://schemas.openxmlformats.org/officeDocument/2006/relationships/hyperlink" Target="https://chromewebstore.google.com/detail/epakcpjignfmdgmeifpallcnkiggbegd" TargetMode="External"/><Relationship Id="rId8943" Type="http://schemas.openxmlformats.org/officeDocument/2006/relationships/hyperlink" Target="https://chromewebstore.google.com/detail/poilkhacfacheblaajlfkdclgbpjolmd" TargetMode="External"/><Relationship Id="rId7611" Type="http://schemas.openxmlformats.org/officeDocument/2006/relationships/hyperlink" Target="https://chromewebstore.google.com/detail/acieclflijheaejbikfnkpeikogkkgio" TargetMode="External"/><Relationship Id="rId8942" Type="http://schemas.openxmlformats.org/officeDocument/2006/relationships/hyperlink" Target="https://chromewebstore.google.com/detail/plfomeoohioccimoghmbgpnihfbeekak" TargetMode="External"/><Relationship Id="rId7607" Type="http://schemas.openxmlformats.org/officeDocument/2006/relationships/hyperlink" Target="https://chromewebstore.google.com/detail/bkpcjokmnekbnkjldkiechmphnadngoj" TargetMode="External"/><Relationship Id="rId8938" Type="http://schemas.openxmlformats.org/officeDocument/2006/relationships/hyperlink" Target="https://chromewebstore.google.com/detail/ijlbjmbbhgpceiplhgfngkplbbpfpdge" TargetMode="External"/><Relationship Id="rId7606" Type="http://schemas.openxmlformats.org/officeDocument/2006/relationships/hyperlink" Target="https://chromewebstore.google.com/detail/jggjjeenacnfoklccefmpfkkjdocgkod" TargetMode="External"/><Relationship Id="rId8937" Type="http://schemas.openxmlformats.org/officeDocument/2006/relationships/hyperlink" Target="https://chromewebstore.google.com/detail/hihimkdiejoifppkbeflopmfkgnbdiec" TargetMode="External"/><Relationship Id="rId7605" Type="http://schemas.openxmlformats.org/officeDocument/2006/relationships/hyperlink" Target="https://chromewebstore.google.com/detail/ibfmipfionldjoeidndeefcnnpdohhkh" TargetMode="External"/><Relationship Id="rId8936" Type="http://schemas.openxmlformats.org/officeDocument/2006/relationships/hyperlink" Target="https://chromewebstore.google.com/detail/adbhljgcighanpkeebnecodhpnidhgfg" TargetMode="External"/><Relationship Id="rId7604" Type="http://schemas.openxmlformats.org/officeDocument/2006/relationships/hyperlink" Target="https://chromewebstore.google.com/detail/cdjkehgklopnffaenjgmbmckkeiaengi" TargetMode="External"/><Relationship Id="rId8935" Type="http://schemas.openxmlformats.org/officeDocument/2006/relationships/hyperlink" Target="https://chromewebstore.google.com/detail/pbjaladifincbflhpknphchnapmemgnm" TargetMode="External"/><Relationship Id="rId7609" Type="http://schemas.openxmlformats.org/officeDocument/2006/relationships/hyperlink" Target="https://chromewebstore.google.com/detail/mpkooepgeekidcfpajdigolkggpidijn" TargetMode="External"/><Relationship Id="rId7608" Type="http://schemas.openxmlformats.org/officeDocument/2006/relationships/hyperlink" Target="https://chromewebstore.google.com/detail/jcmmnlmlpjkccjpdkjnjnglhhcnfbajd" TargetMode="External"/><Relationship Id="rId8939" Type="http://schemas.openxmlformats.org/officeDocument/2006/relationships/hyperlink" Target="https://chromewebstore.google.com/detail/oihjnlgmlpagpafdmegndjahnbkhcfge" TargetMode="External"/><Relationship Id="rId8930" Type="http://schemas.openxmlformats.org/officeDocument/2006/relationships/hyperlink" Target="https://chromewebstore.google.com/detail/mapcabglfimcakpljgnfikciblinngha" TargetMode="External"/><Relationship Id="rId7603" Type="http://schemas.openxmlformats.org/officeDocument/2006/relationships/hyperlink" Target="https://chromewebstore.google.com/detail/cdlcnnandndjkbbdcbpnjoimphmifkfn" TargetMode="External"/><Relationship Id="rId8934" Type="http://schemas.openxmlformats.org/officeDocument/2006/relationships/hyperlink" Target="https://chromewebstore.google.com/detail/dleebjeddgmiegbcpkfpcmamfiblbijm" TargetMode="External"/><Relationship Id="rId7602" Type="http://schemas.openxmlformats.org/officeDocument/2006/relationships/hyperlink" Target="https://chromewebstore.google.com/detail/bmpakblggjlmlahmhagoeocgllfikalp" TargetMode="External"/><Relationship Id="rId8933" Type="http://schemas.openxmlformats.org/officeDocument/2006/relationships/hyperlink" Target="https://chromewebstore.google.com/detail/pljgdilmpnfcjmfmnfdlpjodmhiglmlb" TargetMode="External"/><Relationship Id="rId7601" Type="http://schemas.openxmlformats.org/officeDocument/2006/relationships/hyperlink" Target="https://chromewebstore.google.com/detail/bfcanpejffolidoommjpiioaakhhofch" TargetMode="External"/><Relationship Id="rId8932" Type="http://schemas.openxmlformats.org/officeDocument/2006/relationships/hyperlink" Target="https://chromewebstore.google.com/detail/ojpmgjhofceebfifeajnjojpokebkkji" TargetMode="External"/><Relationship Id="rId7600" Type="http://schemas.openxmlformats.org/officeDocument/2006/relationships/hyperlink" Target="https://chromewebstore.google.com/detail/beibjfkkheopnkifcgomndochmiilfda" TargetMode="External"/><Relationship Id="rId8931" Type="http://schemas.openxmlformats.org/officeDocument/2006/relationships/hyperlink" Target="https://chromewebstore.google.com/detail/mgahkababiglakgnlbhcalcfagfmbiij" TargetMode="External"/><Relationship Id="rId1499" Type="http://schemas.openxmlformats.org/officeDocument/2006/relationships/hyperlink" Target="https://chromewebstore.google.com/detail/jhdoobfdaejmldnpihidjemjcbpfmbkm" TargetMode="External"/><Relationship Id="rId668" Type="http://schemas.openxmlformats.org/officeDocument/2006/relationships/hyperlink" Target="https://chromewebstore.google.com/detail/hnabfegkopljkfaaibjjfkmjefhdenee" TargetMode="External"/><Relationship Id="rId667" Type="http://schemas.openxmlformats.org/officeDocument/2006/relationships/hyperlink" Target="https://chromewebstore.google.com/detail/hmnaobgeiojplphcldmeiklgllchflpp" TargetMode="External"/><Relationship Id="rId666" Type="http://schemas.openxmlformats.org/officeDocument/2006/relationships/hyperlink" Target="https://chromewebstore.google.com/detail/heidajcpkemganilmhockdniaknoojih" TargetMode="External"/><Relationship Id="rId665" Type="http://schemas.openxmlformats.org/officeDocument/2006/relationships/hyperlink" Target="https://chromewebstore.google.com/detail/hechlhgpdpfdikhmacjfnpphbbpcjpek" TargetMode="External"/><Relationship Id="rId669" Type="http://schemas.openxmlformats.org/officeDocument/2006/relationships/hyperlink" Target="https://chromewebstore.google.com/detail/hokofmgcicpnjchllaccgedmmmbbnbmf" TargetMode="External"/><Relationship Id="rId1490" Type="http://schemas.openxmlformats.org/officeDocument/2006/relationships/hyperlink" Target="https://chromewebstore.google.com/detail/jebhapofoimonkedeijcmgpcgecnapaa" TargetMode="External"/><Relationship Id="rId660" Type="http://schemas.openxmlformats.org/officeDocument/2006/relationships/hyperlink" Target="https://chromewebstore.google.com/detail/hblfkbdoflbakoblaknbjjhjbgfoofog" TargetMode="External"/><Relationship Id="rId1491" Type="http://schemas.openxmlformats.org/officeDocument/2006/relationships/hyperlink" Target="https://chromewebstore.google.com/detail/jebmdjgdkkijogdnalmimaofgpdmhigh" TargetMode="External"/><Relationship Id="rId1492" Type="http://schemas.openxmlformats.org/officeDocument/2006/relationships/hyperlink" Target="https://chromewebstore.google.com/detail/jfbklmjfigbohkochoomiljpcddghibm" TargetMode="External"/><Relationship Id="rId1493" Type="http://schemas.openxmlformats.org/officeDocument/2006/relationships/hyperlink" Target="https://chromewebstore.google.com/detail/jfemlmedfkiadfaihdcdkcoooleihhfn" TargetMode="External"/><Relationship Id="rId1494" Type="http://schemas.openxmlformats.org/officeDocument/2006/relationships/hyperlink" Target="https://chromewebstore.google.com/detail/jfiabcklnnhkmkcdjjpmgghiimjkaeio" TargetMode="External"/><Relationship Id="rId664" Type="http://schemas.openxmlformats.org/officeDocument/2006/relationships/hyperlink" Target="https://chromewebstore.google.com/detail/hdbenfgeoomkaiddadkoammkpeofpfkj" TargetMode="External"/><Relationship Id="rId1495" Type="http://schemas.openxmlformats.org/officeDocument/2006/relationships/hyperlink" Target="https://chromewebstore.google.com/detail/jfiakckbklmccchjegnnojbalafebakb" TargetMode="External"/><Relationship Id="rId663" Type="http://schemas.openxmlformats.org/officeDocument/2006/relationships/hyperlink" Target="https://chromewebstore.google.com/detail/hcpidejphgpcgfnpiehkcckkkemgneif" TargetMode="External"/><Relationship Id="rId1496" Type="http://schemas.openxmlformats.org/officeDocument/2006/relationships/hyperlink" Target="https://chromewebstore.google.com/detail/jgbfpjledahoajcppakbgilmojkaghgm" TargetMode="External"/><Relationship Id="rId662" Type="http://schemas.openxmlformats.org/officeDocument/2006/relationships/hyperlink" Target="https://chromewebstore.google.com/detail/hckjchjpkmbihoocajjpjajkggbccgee" TargetMode="External"/><Relationship Id="rId1497" Type="http://schemas.openxmlformats.org/officeDocument/2006/relationships/hyperlink" Target="https://chromewebstore.google.com/detail/jgbkfdjdcbohgenpccfgldadaofnfknl" TargetMode="External"/><Relationship Id="rId661" Type="http://schemas.openxmlformats.org/officeDocument/2006/relationships/hyperlink" Target="https://chromewebstore.google.com/detail/hcdjknjpbnhdoabbngpmfekaecnpajba" TargetMode="External"/><Relationship Id="rId1498" Type="http://schemas.openxmlformats.org/officeDocument/2006/relationships/hyperlink" Target="https://chromewebstore.google.com/detail/jgikoaeeblnfkapogeidnehipojlbkoe" TargetMode="External"/><Relationship Id="rId1488" Type="http://schemas.openxmlformats.org/officeDocument/2006/relationships/hyperlink" Target="https://chromewebstore.google.com/detail/jchjhafjjekdocejbpeiopmngbbpcfoh" TargetMode="External"/><Relationship Id="rId1489" Type="http://schemas.openxmlformats.org/officeDocument/2006/relationships/hyperlink" Target="https://chromewebstore.google.com/detail/jdolgjncmhmboklhmacpknglmiibbldg" TargetMode="External"/><Relationship Id="rId657" Type="http://schemas.openxmlformats.org/officeDocument/2006/relationships/hyperlink" Target="https://chromewebstore.google.com/detail/ghkclpkmplddbagagffmmcmdbgjecbbj" TargetMode="External"/><Relationship Id="rId656" Type="http://schemas.openxmlformats.org/officeDocument/2006/relationships/hyperlink" Target="https://chromewebstore.google.com/detail/ghcbncfgnbhdcjmhpoakkjojgekcejdf" TargetMode="External"/><Relationship Id="rId655" Type="http://schemas.openxmlformats.org/officeDocument/2006/relationships/hyperlink" Target="https://chromewebstore.google.com/detail/ghahcnmfjfckcedfajbhekgknjdplfcl" TargetMode="External"/><Relationship Id="rId654" Type="http://schemas.openxmlformats.org/officeDocument/2006/relationships/hyperlink" Target="https://chromewebstore.google.com/detail/ggmdpepbjljkkkdaklfihhngmmgmpggp" TargetMode="External"/><Relationship Id="rId659" Type="http://schemas.openxmlformats.org/officeDocument/2006/relationships/hyperlink" Target="https://chromewebstore.google.com/detail/hbijmiokbffalbolieapplfhmmnioeao" TargetMode="External"/><Relationship Id="rId658" Type="http://schemas.openxmlformats.org/officeDocument/2006/relationships/hyperlink" Target="https://chromewebstore.google.com/detail/goppbgmjnldonmjemebdmcjfefbgoloh" TargetMode="External"/><Relationship Id="rId1480" Type="http://schemas.openxmlformats.org/officeDocument/2006/relationships/hyperlink" Target="https://chromewebstore.google.com/detail/jaknphafiecgijhicofjhlgmpkcfmgdo" TargetMode="External"/><Relationship Id="rId1481" Type="http://schemas.openxmlformats.org/officeDocument/2006/relationships/hyperlink" Target="https://chromewebstore.google.com/detail/jamhfhbppcmkgghlkeieococonlbppjg" TargetMode="External"/><Relationship Id="rId1482" Type="http://schemas.openxmlformats.org/officeDocument/2006/relationships/hyperlink" Target="https://chromewebstore.google.com/detail/jamphegminpokpnalkjiecfoobdnlmfb" TargetMode="External"/><Relationship Id="rId1483" Type="http://schemas.openxmlformats.org/officeDocument/2006/relationships/hyperlink" Target="https://chromewebstore.google.com/detail/jbbbdkjinkiabcimkipdcmaggnkkjoid" TargetMode="External"/><Relationship Id="rId653" Type="http://schemas.openxmlformats.org/officeDocument/2006/relationships/hyperlink" Target="https://chromewebstore.google.com/detail/gbkjddnnlgmahpnjjkiolhoophlpibfn" TargetMode="External"/><Relationship Id="rId1484" Type="http://schemas.openxmlformats.org/officeDocument/2006/relationships/hyperlink" Target="https://chromewebstore.google.com/detail/jbcicjicbelpcebckoppnkoomhkndfhb" TargetMode="External"/><Relationship Id="rId652" Type="http://schemas.openxmlformats.org/officeDocument/2006/relationships/hyperlink" Target="https://chromewebstore.google.com/detail/gbagmkohmhcjgbepncmehejaljoclpil" TargetMode="External"/><Relationship Id="rId1485" Type="http://schemas.openxmlformats.org/officeDocument/2006/relationships/hyperlink" Target="https://chromewebstore.google.com/detail/jbckknmhjbidbilcinjpllehfjeggcch" TargetMode="External"/><Relationship Id="rId651" Type="http://schemas.openxmlformats.org/officeDocument/2006/relationships/hyperlink" Target="https://chromewebstore.google.com/detail/fnmgbgbidhadiadgcnfmamimcepijdkm" TargetMode="External"/><Relationship Id="rId1486" Type="http://schemas.openxmlformats.org/officeDocument/2006/relationships/hyperlink" Target="https://chromewebstore.google.com/detail/jbfnadandganeodogcmcigfmmpkamhif" TargetMode="External"/><Relationship Id="rId650" Type="http://schemas.openxmlformats.org/officeDocument/2006/relationships/hyperlink" Target="https://chromewebstore.google.com/detail/fndnankcflemoafdeboboehphmiijkgp" TargetMode="External"/><Relationship Id="rId1487" Type="http://schemas.openxmlformats.org/officeDocument/2006/relationships/hyperlink" Target="https://chromewebstore.google.com/detail/jblojdkgpamepmiammlgkkhknojnlmai" TargetMode="External"/><Relationship Id="rId8905" Type="http://schemas.openxmlformats.org/officeDocument/2006/relationships/hyperlink" Target="https://chromewebstore.google.com/detail/jobcfphcbjegddipbcennpjnofgpkjfe" TargetMode="External"/><Relationship Id="rId8904" Type="http://schemas.openxmlformats.org/officeDocument/2006/relationships/hyperlink" Target="https://chromewebstore.google.com/detail/incoejagnokjhlkjkgpbdbooagggckdg" TargetMode="External"/><Relationship Id="rId8903" Type="http://schemas.openxmlformats.org/officeDocument/2006/relationships/hyperlink" Target="https://chromewebstore.google.com/detail/hcjcddodebcglcolmmcnnpcbhbbgchpk" TargetMode="External"/><Relationship Id="rId8902" Type="http://schemas.openxmlformats.org/officeDocument/2006/relationships/hyperlink" Target="https://chromewebstore.google.com/detail/cppldildcdnknnlhamcokaigkpaopdbe" TargetMode="External"/><Relationship Id="rId8909" Type="http://schemas.openxmlformats.org/officeDocument/2006/relationships/hyperlink" Target="https://chromewebstore.google.com/detail/oilpcbohncpdjdadofhbldfmojneciop" TargetMode="External"/><Relationship Id="rId8908" Type="http://schemas.openxmlformats.org/officeDocument/2006/relationships/hyperlink" Target="https://chromewebstore.google.com/detail/mchdhakjpgbgfcecgihfggmdmlclkgib" TargetMode="External"/><Relationship Id="rId8907" Type="http://schemas.openxmlformats.org/officeDocument/2006/relationships/hyperlink" Target="https://chromewebstore.google.com/detail/llkmokplhmmidnailmlnfcoilkhmkiki" TargetMode="External"/><Relationship Id="rId8906" Type="http://schemas.openxmlformats.org/officeDocument/2006/relationships/hyperlink" Target="https://chromewebstore.google.com/detail/ldjhogknogpdklogdocbicnlpljekejl" TargetMode="External"/><Relationship Id="rId689" Type="http://schemas.openxmlformats.org/officeDocument/2006/relationships/hyperlink" Target="https://chromewebstore.google.com/detail/jphoeefokmhkfljjhlpbndhikhjpencm" TargetMode="External"/><Relationship Id="rId688" Type="http://schemas.openxmlformats.org/officeDocument/2006/relationships/hyperlink" Target="https://chromewebstore.google.com/detail/jonckgamcbbnkkoagphccopgcjocaggf" TargetMode="External"/><Relationship Id="rId687" Type="http://schemas.openxmlformats.org/officeDocument/2006/relationships/hyperlink" Target="https://chromewebstore.google.com/detail/jlelpggiclkhdadagnbdjblokcnnhanl" TargetMode="External"/><Relationship Id="rId682" Type="http://schemas.openxmlformats.org/officeDocument/2006/relationships/hyperlink" Target="https://chromewebstore.google.com/detail/jfkjbfhcfaoldhgbnkekkoheganchiea" TargetMode="External"/><Relationship Id="rId681" Type="http://schemas.openxmlformats.org/officeDocument/2006/relationships/hyperlink" Target="https://chromewebstore.google.com/detail/jepjhbfaflooeafdniebnnjfdpcdkejd" TargetMode="External"/><Relationship Id="rId680" Type="http://schemas.openxmlformats.org/officeDocument/2006/relationships/hyperlink" Target="https://chromewebstore.google.com/detail/jdifegpjomjhfmicjemdadmbihdbcljg" TargetMode="External"/><Relationship Id="rId686" Type="http://schemas.openxmlformats.org/officeDocument/2006/relationships/hyperlink" Target="https://chromewebstore.google.com/detail/jldbdlmljpigglecmeclifcdhgbjbakk" TargetMode="External"/><Relationship Id="rId8901" Type="http://schemas.openxmlformats.org/officeDocument/2006/relationships/hyperlink" Target="https://chromewebstore.google.com/detail/bjooleocnlcahbnfieoojeijeddfdnfe" TargetMode="External"/><Relationship Id="rId685" Type="http://schemas.openxmlformats.org/officeDocument/2006/relationships/hyperlink" Target="https://chromewebstore.google.com/detail/jiokjpcfnipnicblkgdklknjjeohnfln" TargetMode="External"/><Relationship Id="rId8900" Type="http://schemas.openxmlformats.org/officeDocument/2006/relationships/hyperlink" Target="https://chromewebstore.google.com/detail/acceemkibcpgddpfjefmgjiaccmcdpdb" TargetMode="External"/><Relationship Id="rId684" Type="http://schemas.openxmlformats.org/officeDocument/2006/relationships/hyperlink" Target="https://chromewebstore.google.com/detail/jifeafcpcjjgnlcnkffmeegehmnmkefl" TargetMode="External"/><Relationship Id="rId683" Type="http://schemas.openxmlformats.org/officeDocument/2006/relationships/hyperlink" Target="https://chromewebstore.google.com/detail/jgmngefpkkgnhkgffnldnpinipphceob" TargetMode="External"/><Relationship Id="rId679" Type="http://schemas.openxmlformats.org/officeDocument/2006/relationships/hyperlink" Target="https://chromewebstore.google.com/detail/jbbmdehmiclndmeedcocofcjlpgjnmea" TargetMode="External"/><Relationship Id="rId678" Type="http://schemas.openxmlformats.org/officeDocument/2006/relationships/hyperlink" Target="https://chromewebstore.google.com/detail/jbanhionoclikdjnjlcmefiofgjimgca" TargetMode="External"/><Relationship Id="rId677" Type="http://schemas.openxmlformats.org/officeDocument/2006/relationships/hyperlink" Target="https://chromewebstore.google.com/detail/ipfjnikpccdpgjelgomppkdgiokfkjeg" TargetMode="External"/><Relationship Id="rId676" Type="http://schemas.openxmlformats.org/officeDocument/2006/relationships/hyperlink" Target="https://chromewebstore.google.com/detail/innfmeekncjandlanpgdmmogkcimekgo" TargetMode="External"/><Relationship Id="rId671" Type="http://schemas.openxmlformats.org/officeDocument/2006/relationships/hyperlink" Target="https://chromewebstore.google.com/detail/hpioniioecjjbhbnnbhcifmgmoiibalo" TargetMode="External"/><Relationship Id="rId670" Type="http://schemas.openxmlformats.org/officeDocument/2006/relationships/hyperlink" Target="https://chromewebstore.google.com/detail/hpahaceigpcebiefmijneimenbgbcjcn" TargetMode="External"/><Relationship Id="rId675" Type="http://schemas.openxmlformats.org/officeDocument/2006/relationships/hyperlink" Target="https://chromewebstore.google.com/detail/igldobfphppodifdnpealajhijnpaohf" TargetMode="External"/><Relationship Id="rId674" Type="http://schemas.openxmlformats.org/officeDocument/2006/relationships/hyperlink" Target="https://chromewebstore.google.com/detail/idpiheecdknamfcfipinpnmmofehpdbm" TargetMode="External"/><Relationship Id="rId673" Type="http://schemas.openxmlformats.org/officeDocument/2006/relationships/hyperlink" Target="https://chromewebstore.google.com/detail/icbddibgmpdonpogkcnambimgncliipl" TargetMode="External"/><Relationship Id="rId672" Type="http://schemas.openxmlformats.org/officeDocument/2006/relationships/hyperlink" Target="https://chromewebstore.google.com/detail/ibpjepoimpcdofeoalokgpjafnjonkpc" TargetMode="External"/><Relationship Id="rId5019" Type="http://schemas.openxmlformats.org/officeDocument/2006/relationships/hyperlink" Target="https://chromewebstore.google.com/detail/anccajidinkdncpkhbbmgljhfjdgmhcb" TargetMode="External"/><Relationship Id="rId6340" Type="http://schemas.openxmlformats.org/officeDocument/2006/relationships/hyperlink" Target="https://chromewebstore.google.com/detail/lapkjkaafhlddmpbjpeenaafgmndaaap" TargetMode="External"/><Relationship Id="rId7672" Type="http://schemas.openxmlformats.org/officeDocument/2006/relationships/hyperlink" Target="https://chromewebstore.google.com/detail/hmdacajmldpieoadpgloddgkeamdhoka" TargetMode="External"/><Relationship Id="rId5010" Type="http://schemas.openxmlformats.org/officeDocument/2006/relationships/hyperlink" Target="https://chromewebstore.google.com/detail/amdjnhbhdjpkbnjkmnpooebpfcgejahe" TargetMode="External"/><Relationship Id="rId6341" Type="http://schemas.openxmlformats.org/officeDocument/2006/relationships/hyperlink" Target="https://chromewebstore.google.com/detail/lbbbhedjbckmeifebijaidgiccifohfd" TargetMode="External"/><Relationship Id="rId7671" Type="http://schemas.openxmlformats.org/officeDocument/2006/relationships/hyperlink" Target="https://chromewebstore.google.com/detail/ccijmcaojoicndalnhngocagddcnpdln" TargetMode="External"/><Relationship Id="rId7670" Type="http://schemas.openxmlformats.org/officeDocument/2006/relationships/hyperlink" Target="https://chromewebstore.google.com/detail/meknbncbeioaffkoibipojfjibmfbnld" TargetMode="External"/><Relationship Id="rId5013" Type="http://schemas.openxmlformats.org/officeDocument/2006/relationships/hyperlink" Target="https://chromewebstore.google.com/detail/amimeafgcnfidkeknebnfdblmmekifem" TargetMode="External"/><Relationship Id="rId6344" Type="http://schemas.openxmlformats.org/officeDocument/2006/relationships/hyperlink" Target="https://chromewebstore.google.com/detail/lbdmdckajccnmklminnmlcabkilmhfel" TargetMode="External"/><Relationship Id="rId7676" Type="http://schemas.openxmlformats.org/officeDocument/2006/relationships/hyperlink" Target="https://chromewebstore.google.com/detail/lfjbbgdkogjkmkhdcnjeipnmceenjjhi" TargetMode="External"/><Relationship Id="rId5014" Type="http://schemas.openxmlformats.org/officeDocument/2006/relationships/hyperlink" Target="https://chromewebstore.google.com/detail/amkiimcdjebnagigfjakcbhfkflphpbc" TargetMode="External"/><Relationship Id="rId6345" Type="http://schemas.openxmlformats.org/officeDocument/2006/relationships/hyperlink" Target="https://chromewebstore.google.com/detail/lbepbkiknibiobnbanhggglkmpkbdiim" TargetMode="External"/><Relationship Id="rId7675" Type="http://schemas.openxmlformats.org/officeDocument/2006/relationships/hyperlink" Target="https://chromewebstore.google.com/detail/kknoembcnnnhefehcmegppchcmggaafo" TargetMode="External"/><Relationship Id="rId5011" Type="http://schemas.openxmlformats.org/officeDocument/2006/relationships/hyperlink" Target="https://chromewebstore.google.com/detail/amemccpljobdbgofeleoapbbdomodhpp" TargetMode="External"/><Relationship Id="rId6342" Type="http://schemas.openxmlformats.org/officeDocument/2006/relationships/hyperlink" Target="https://chromewebstore.google.com/detail/lbbkdcdfpgdbgfceieeicbpfhpcemppn" TargetMode="External"/><Relationship Id="rId7674" Type="http://schemas.openxmlformats.org/officeDocument/2006/relationships/hyperlink" Target="https://chromewebstore.google.com/detail/khjjlmjkpgmabocimfcbkbpecnpiocae" TargetMode="External"/><Relationship Id="rId5012" Type="http://schemas.openxmlformats.org/officeDocument/2006/relationships/hyperlink" Target="https://chromewebstore.google.com/detail/amhmjfflodkgpefconmdnmconkfhfjmd" TargetMode="External"/><Relationship Id="rId6343" Type="http://schemas.openxmlformats.org/officeDocument/2006/relationships/hyperlink" Target="https://chromewebstore.google.com/detail/lbdbhhafhkdkmhicidaofeojoahjjgio" TargetMode="External"/><Relationship Id="rId7673" Type="http://schemas.openxmlformats.org/officeDocument/2006/relationships/hyperlink" Target="https://chromewebstore.google.com/detail/imhafmhikkdannadmlekonhplfmfdddf" TargetMode="External"/><Relationship Id="rId5017" Type="http://schemas.openxmlformats.org/officeDocument/2006/relationships/hyperlink" Target="https://chromewebstore.google.com/detail/ampcbcmhaphljheimlmgdodfhlmenmda" TargetMode="External"/><Relationship Id="rId6348" Type="http://schemas.openxmlformats.org/officeDocument/2006/relationships/hyperlink" Target="https://chromewebstore.google.com/detail/lbjpcnebnhkjdiniplihldngdbdmgici" TargetMode="External"/><Relationship Id="rId5018" Type="http://schemas.openxmlformats.org/officeDocument/2006/relationships/hyperlink" Target="https://chromewebstore.google.com/detail/anbgfmfcapconfkbmdplihbaedmfapak" TargetMode="External"/><Relationship Id="rId6349" Type="http://schemas.openxmlformats.org/officeDocument/2006/relationships/hyperlink" Target="https://chromewebstore.google.com/detail/lbnaaiagjdnialejpejfbiofmdceakjd" TargetMode="External"/><Relationship Id="rId7679" Type="http://schemas.openxmlformats.org/officeDocument/2006/relationships/hyperlink" Target="https://chromewebstore.google.com/detail/iekjfdepgjlgmcpcdcnndbhlohplepag" TargetMode="External"/><Relationship Id="rId5015" Type="http://schemas.openxmlformats.org/officeDocument/2006/relationships/hyperlink" Target="https://chromewebstore.google.com/detail/amnikpekgoejcpelejppemiglnhknhoe" TargetMode="External"/><Relationship Id="rId6346" Type="http://schemas.openxmlformats.org/officeDocument/2006/relationships/hyperlink" Target="https://chromewebstore.google.com/detail/lbhdjpmomigdcfkidmimojhnoacaffcg" TargetMode="External"/><Relationship Id="rId7678" Type="http://schemas.openxmlformats.org/officeDocument/2006/relationships/hyperlink" Target="https://chromewebstore.google.com/detail/dmgpiodabbkeicgkhpokecnlpjddjmah" TargetMode="External"/><Relationship Id="rId5016" Type="http://schemas.openxmlformats.org/officeDocument/2006/relationships/hyperlink" Target="https://chromewebstore.google.com/detail/amojmegbfaaookabgifgaiblfdlgapoj" TargetMode="External"/><Relationship Id="rId6347" Type="http://schemas.openxmlformats.org/officeDocument/2006/relationships/hyperlink" Target="https://chromewebstore.google.com/detail/lbifpcpomdegljfpfhgfcjdabbeallhk" TargetMode="External"/><Relationship Id="rId7677" Type="http://schemas.openxmlformats.org/officeDocument/2006/relationships/hyperlink" Target="https://chromewebstore.google.com/detail/lgldfljbefcgfallmeiflghmgoklamnp" TargetMode="External"/><Relationship Id="rId5008" Type="http://schemas.openxmlformats.org/officeDocument/2006/relationships/hyperlink" Target="https://chromewebstore.google.com/detail/amcoamjdplaalnjkcbildpnjpfjeiddb" TargetMode="External"/><Relationship Id="rId6339" Type="http://schemas.openxmlformats.org/officeDocument/2006/relationships/hyperlink" Target="https://chromewebstore.google.com/detail/lanmkhlbcjehkkgpbplhijiggoilhnpl" TargetMode="External"/><Relationship Id="rId5009" Type="http://schemas.openxmlformats.org/officeDocument/2006/relationships/hyperlink" Target="https://chromewebstore.google.com/detail/amdamgkgchnbaopmphhjapmjcdghdphi" TargetMode="External"/><Relationship Id="rId7661" Type="http://schemas.openxmlformats.org/officeDocument/2006/relationships/hyperlink" Target="https://chromewebstore.google.com/detail/cpaihklfamokgdbpnkkmeihednbefmom" TargetMode="External"/><Relationship Id="rId8992" Type="http://schemas.openxmlformats.org/officeDocument/2006/relationships/hyperlink" Target="https://chromewebstore.google.com/detail/dbcojchbgnoapagipaamdjfdkcmdgjek" TargetMode="External"/><Relationship Id="rId6330" Type="http://schemas.openxmlformats.org/officeDocument/2006/relationships/hyperlink" Target="https://chromewebstore.google.com/detail/labcnlicceloglidikcjbfglhnjibcbd" TargetMode="External"/><Relationship Id="rId7660" Type="http://schemas.openxmlformats.org/officeDocument/2006/relationships/hyperlink" Target="https://chromewebstore.google.com/detail/bokmadidlcdmkcjpobcknkojgfjdhjpl" TargetMode="External"/><Relationship Id="rId8991" Type="http://schemas.openxmlformats.org/officeDocument/2006/relationships/hyperlink" Target="https://chromewebstore.google.com/detail/mjehakjobcplgegfdicpmagplbkaineo" TargetMode="External"/><Relationship Id="rId8990" Type="http://schemas.openxmlformats.org/officeDocument/2006/relationships/hyperlink" Target="https://chromewebstore.google.com/detail/lfoiccenjgkalnhcgbfganoapdfeaeib" TargetMode="External"/><Relationship Id="rId5002" Type="http://schemas.openxmlformats.org/officeDocument/2006/relationships/hyperlink" Target="https://chromewebstore.google.com/detail/allahbfbjenjbgjihmjnjcafiebdjgck" TargetMode="External"/><Relationship Id="rId6333" Type="http://schemas.openxmlformats.org/officeDocument/2006/relationships/hyperlink" Target="https://chromewebstore.google.com/detail/ladodfifhhcaabnbbcfnaejkjincffke" TargetMode="External"/><Relationship Id="rId7665" Type="http://schemas.openxmlformats.org/officeDocument/2006/relationships/hyperlink" Target="https://chromewebstore.google.com/detail/pjoibejadaddgagcjlibeacpnngdhlhi" TargetMode="External"/><Relationship Id="rId8996" Type="http://schemas.openxmlformats.org/officeDocument/2006/relationships/hyperlink" Target="https://chromewebstore.google.com/detail/hikodglhajlfmnanaiegolkfdjbencnk" TargetMode="External"/><Relationship Id="rId5003" Type="http://schemas.openxmlformats.org/officeDocument/2006/relationships/hyperlink" Target="https://chromewebstore.google.com/detail/alnoiokdjddbeifhpfifmlgmdpgapmaj" TargetMode="External"/><Relationship Id="rId6334" Type="http://schemas.openxmlformats.org/officeDocument/2006/relationships/hyperlink" Target="https://chromewebstore.google.com/detail/lafejnfjocpobabckpeeikppdmmfckld" TargetMode="External"/><Relationship Id="rId7664" Type="http://schemas.openxmlformats.org/officeDocument/2006/relationships/hyperlink" Target="https://chromewebstore.google.com/detail/ogdgigafmglfomohcijjjopobmenabed" TargetMode="External"/><Relationship Id="rId8995" Type="http://schemas.openxmlformats.org/officeDocument/2006/relationships/hyperlink" Target="https://chromewebstore.google.com/detail/fjdnbfpmonlaapmkboaihnaecphjjakd" TargetMode="External"/><Relationship Id="rId5000" Type="http://schemas.openxmlformats.org/officeDocument/2006/relationships/hyperlink" Target="https://chromewebstore.google.com/detail/alkncbflgoakllhkhkjpdabnbebejidl" TargetMode="External"/><Relationship Id="rId6331" Type="http://schemas.openxmlformats.org/officeDocument/2006/relationships/hyperlink" Target="https://chromewebstore.google.com/detail/labnmfcoccnijgoofjgonodfklfcgiik" TargetMode="External"/><Relationship Id="rId7663" Type="http://schemas.openxmlformats.org/officeDocument/2006/relationships/hyperlink" Target="https://chromewebstore.google.com/detail/ddnipedkkjbiclaomlalefpeljjamhma" TargetMode="External"/><Relationship Id="rId8994" Type="http://schemas.openxmlformats.org/officeDocument/2006/relationships/hyperlink" Target="https://chromewebstore.google.com/detail/dpcjebpeapbinnkjcogooeedeebgoido" TargetMode="External"/><Relationship Id="rId5001" Type="http://schemas.openxmlformats.org/officeDocument/2006/relationships/hyperlink" Target="https://chromewebstore.google.com/detail/alkonpgilhahbbhihdjnamkmckfajmjo" TargetMode="External"/><Relationship Id="rId6332" Type="http://schemas.openxmlformats.org/officeDocument/2006/relationships/hyperlink" Target="https://chromewebstore.google.com/detail/ladmledjhealdebhgmioccepgopekgii" TargetMode="External"/><Relationship Id="rId7662" Type="http://schemas.openxmlformats.org/officeDocument/2006/relationships/hyperlink" Target="https://chromewebstore.google.com/detail/iapmmomaihcdpgkblagkodelfkijckfn" TargetMode="External"/><Relationship Id="rId8993" Type="http://schemas.openxmlformats.org/officeDocument/2006/relationships/hyperlink" Target="https://chromewebstore.google.com/detail/dfnlhmckmnmlabejbjjfmodjmfoimnii" TargetMode="External"/><Relationship Id="rId5006" Type="http://schemas.openxmlformats.org/officeDocument/2006/relationships/hyperlink" Target="https://chromewebstore.google.com/detail/amaobfendgcolppeioeageanmillkmkc" TargetMode="External"/><Relationship Id="rId6337" Type="http://schemas.openxmlformats.org/officeDocument/2006/relationships/hyperlink" Target="https://chromewebstore.google.com/detail/lalmcicfakajjbjcafbfgldckpgodclf" TargetMode="External"/><Relationship Id="rId7669" Type="http://schemas.openxmlformats.org/officeDocument/2006/relationships/hyperlink" Target="https://chromewebstore.google.com/detail/kppeghgjfhkpgbnjoacjjmicedhdmfmb" TargetMode="External"/><Relationship Id="rId5007" Type="http://schemas.openxmlformats.org/officeDocument/2006/relationships/hyperlink" Target="https://chromewebstore.google.com/detail/amcdmclnhlmfbbljeaahhbckaieobhmf" TargetMode="External"/><Relationship Id="rId6338" Type="http://schemas.openxmlformats.org/officeDocument/2006/relationships/hyperlink" Target="https://chromewebstore.google.com/detail/lalnbaaeaipofapafgocoakbhlpbnocl" TargetMode="External"/><Relationship Id="rId7668" Type="http://schemas.openxmlformats.org/officeDocument/2006/relationships/hyperlink" Target="https://chromewebstore.google.com/detail/kdnkcnookmaakjnlggihmijapnjonbng" TargetMode="External"/><Relationship Id="rId8999" Type="http://schemas.openxmlformats.org/officeDocument/2006/relationships/hyperlink" Target="https://chromewebstore.google.com/detail/iobkgicmookonkhaijnhoodijfhiljha" TargetMode="External"/><Relationship Id="rId5004" Type="http://schemas.openxmlformats.org/officeDocument/2006/relationships/hyperlink" Target="https://chromewebstore.google.com/detail/alpkcgejnhlhbolgiedbcfaklbmnicgk" TargetMode="External"/><Relationship Id="rId6335" Type="http://schemas.openxmlformats.org/officeDocument/2006/relationships/hyperlink" Target="https://chromewebstore.google.com/detail/lafmglpipgongjmbbjngmboifpaodemk" TargetMode="External"/><Relationship Id="rId7667" Type="http://schemas.openxmlformats.org/officeDocument/2006/relationships/hyperlink" Target="https://chromewebstore.google.com/detail/jphpicdnjkfdblcdbjklpeananfcodha" TargetMode="External"/><Relationship Id="rId8998" Type="http://schemas.openxmlformats.org/officeDocument/2006/relationships/hyperlink" Target="https://chromewebstore.google.com/detail/ioanfgolggheljoabjhdjnpigeieipol" TargetMode="External"/><Relationship Id="rId5005" Type="http://schemas.openxmlformats.org/officeDocument/2006/relationships/hyperlink" Target="https://chromewebstore.google.com/detail/amaegjccccajmhnbcbeagblpdccimoeh" TargetMode="External"/><Relationship Id="rId6336" Type="http://schemas.openxmlformats.org/officeDocument/2006/relationships/hyperlink" Target="https://chromewebstore.google.com/detail/laljmhioiddblffiklfmfaohahagloej" TargetMode="External"/><Relationship Id="rId7666" Type="http://schemas.openxmlformats.org/officeDocument/2006/relationships/hyperlink" Target="https://chromewebstore.google.com/detail/bcmbdjphemaclhjbkaejcaffeddkmjco" TargetMode="External"/><Relationship Id="rId8997" Type="http://schemas.openxmlformats.org/officeDocument/2006/relationships/hyperlink" Target="https://chromewebstore.google.com/detail/hogpngcijkfmbfijfkaapeejhijipddp" TargetMode="External"/><Relationship Id="rId7690" Type="http://schemas.openxmlformats.org/officeDocument/2006/relationships/hyperlink" Target="https://chromewebstore.google.com/detail/hodmmnlcinpkhnkkmfdbblcdnfffakgk" TargetMode="External"/><Relationship Id="rId5031" Type="http://schemas.openxmlformats.org/officeDocument/2006/relationships/hyperlink" Target="https://chromewebstore.google.com/detail/aoecgfchadicbnhkhcjlijknmjkbkcng" TargetMode="External"/><Relationship Id="rId6362" Type="http://schemas.openxmlformats.org/officeDocument/2006/relationships/hyperlink" Target="https://chromewebstore.google.com/detail/ldicakfacemocnhjhpaoandheikdpcap" TargetMode="External"/><Relationship Id="rId7694" Type="http://schemas.openxmlformats.org/officeDocument/2006/relationships/hyperlink" Target="https://chromewebstore.google.com/detail/lmhpcmdjibbhkebfmbomehkfccllefnd" TargetMode="External"/><Relationship Id="rId5032" Type="http://schemas.openxmlformats.org/officeDocument/2006/relationships/hyperlink" Target="https://chromewebstore.google.com/detail/aoffgjejcepnijgahpckhajchahfpojo" TargetMode="External"/><Relationship Id="rId6363" Type="http://schemas.openxmlformats.org/officeDocument/2006/relationships/hyperlink" Target="https://chromewebstore.google.com/detail/ldoiggfbcanafkogpeclahfbdfdgedfe" TargetMode="External"/><Relationship Id="rId7693" Type="http://schemas.openxmlformats.org/officeDocument/2006/relationships/hyperlink" Target="https://chromewebstore.google.com/detail/jdebomfefkcmclmmdcjjifflngionnaj" TargetMode="External"/><Relationship Id="rId6360" Type="http://schemas.openxmlformats.org/officeDocument/2006/relationships/hyperlink" Target="https://chromewebstore.google.com/detail/ldfiakhikkhfamppgkcdhihdpfcelold" TargetMode="External"/><Relationship Id="rId7692" Type="http://schemas.openxmlformats.org/officeDocument/2006/relationships/hyperlink" Target="https://chromewebstore.google.com/detail/jbdmdkcjhnceacdkahhpfpijcohplgaj" TargetMode="External"/><Relationship Id="rId5030" Type="http://schemas.openxmlformats.org/officeDocument/2006/relationships/hyperlink" Target="https://chromewebstore.google.com/detail/aocpbgdpicmnhplofeepiklfcpjdenbe" TargetMode="External"/><Relationship Id="rId6361" Type="http://schemas.openxmlformats.org/officeDocument/2006/relationships/hyperlink" Target="https://chromewebstore.google.com/detail/ldhhhikjpbplhjfblngcbpdlhkgehifl" TargetMode="External"/><Relationship Id="rId7691" Type="http://schemas.openxmlformats.org/officeDocument/2006/relationships/hyperlink" Target="https://chromewebstore.google.com/detail/ihflmpjhkokbfgcjcamhpbibpccepmgp" TargetMode="External"/><Relationship Id="rId5035" Type="http://schemas.openxmlformats.org/officeDocument/2006/relationships/hyperlink" Target="https://chromewebstore.google.com/detail/aohofenjhojnoploandaecgkfejilimm" TargetMode="External"/><Relationship Id="rId6366" Type="http://schemas.openxmlformats.org/officeDocument/2006/relationships/hyperlink" Target="https://chromewebstore.google.com/detail/leehlkhnniaiaaophmaadjkagedefbag" TargetMode="External"/><Relationship Id="rId7698" Type="http://schemas.openxmlformats.org/officeDocument/2006/relationships/hyperlink" Target="https://chromewebstore.google.com/detail/dmfabgipdbmkdcijifjdegkilbckjcdn" TargetMode="External"/><Relationship Id="rId5036" Type="http://schemas.openxmlformats.org/officeDocument/2006/relationships/hyperlink" Target="https://chromewebstore.google.com/detail/aoiefhmcmanhakljccjnpcplcbejmflo" TargetMode="External"/><Relationship Id="rId6367" Type="http://schemas.openxmlformats.org/officeDocument/2006/relationships/hyperlink" Target="https://chromewebstore.google.com/detail/lekjlgffkaencjnlcmbgibodhechofdb" TargetMode="External"/><Relationship Id="rId7697" Type="http://schemas.openxmlformats.org/officeDocument/2006/relationships/hyperlink" Target="https://chromewebstore.google.com/detail/hmfmlgccdmgkcpegeljdiffgaemhopmi" TargetMode="External"/><Relationship Id="rId5033" Type="http://schemas.openxmlformats.org/officeDocument/2006/relationships/hyperlink" Target="https://chromewebstore.google.com/detail/aofnmlfiomopkmgdngoehlndjcinbhfb" TargetMode="External"/><Relationship Id="rId6364" Type="http://schemas.openxmlformats.org/officeDocument/2006/relationships/hyperlink" Target="https://chromewebstore.google.com/detail/ledpaehpcpagpfagafnmdjededjcdccl" TargetMode="External"/><Relationship Id="rId7696" Type="http://schemas.openxmlformats.org/officeDocument/2006/relationships/hyperlink" Target="https://chromewebstore.google.com/detail/cmdfdklimdbgkakbnplpohmekimalljl" TargetMode="External"/><Relationship Id="rId5034" Type="http://schemas.openxmlformats.org/officeDocument/2006/relationships/hyperlink" Target="https://chromewebstore.google.com/detail/aohkhnpidgppmajhhkldcdelanphdmhp" TargetMode="External"/><Relationship Id="rId6365" Type="http://schemas.openxmlformats.org/officeDocument/2006/relationships/hyperlink" Target="https://chromewebstore.google.com/detail/leebgfjiljadmconbpkhlfambnlcchai" TargetMode="External"/><Relationship Id="rId7695" Type="http://schemas.openxmlformats.org/officeDocument/2006/relationships/hyperlink" Target="https://chromewebstore.google.com/detail/bapegenmjdffnjoccdfmcpbacdcngnkj" TargetMode="External"/><Relationship Id="rId5039" Type="http://schemas.openxmlformats.org/officeDocument/2006/relationships/hyperlink" Target="https://chromewebstore.google.com/detail/aomnlmcemihejgfkeplljkcelfpneakg" TargetMode="External"/><Relationship Id="rId5037" Type="http://schemas.openxmlformats.org/officeDocument/2006/relationships/hyperlink" Target="https://chromewebstore.google.com/detail/aomgehfnddilfkjooooihdnjeabknepl" TargetMode="External"/><Relationship Id="rId6368" Type="http://schemas.openxmlformats.org/officeDocument/2006/relationships/hyperlink" Target="https://chromewebstore.google.com/detail/lemgijjifkaldmklohlmjaplmfobgich" TargetMode="External"/><Relationship Id="rId5038" Type="http://schemas.openxmlformats.org/officeDocument/2006/relationships/hyperlink" Target="https://chromewebstore.google.com/detail/aomlalciknfklfplgkpfehlfnnokafaa" TargetMode="External"/><Relationship Id="rId6369" Type="http://schemas.openxmlformats.org/officeDocument/2006/relationships/hyperlink" Target="https://chromewebstore.google.com/detail/lemhigfdmamodohbdpedpbbjjblijabg" TargetMode="External"/><Relationship Id="rId7699" Type="http://schemas.openxmlformats.org/officeDocument/2006/relationships/hyperlink" Target="https://chromewebstore.google.com/detail/ebhiafmjpcihakkaafdbcdclonondkkp" TargetMode="External"/><Relationship Id="rId5020" Type="http://schemas.openxmlformats.org/officeDocument/2006/relationships/hyperlink" Target="https://chromewebstore.google.com/detail/andfnelfgfdifognepabogfledhdijhn" TargetMode="External"/><Relationship Id="rId6351" Type="http://schemas.openxmlformats.org/officeDocument/2006/relationships/hyperlink" Target="https://chromewebstore.google.com/detail/lcekjafcocnndfjnomgjjaajpkbcigfa" TargetMode="External"/><Relationship Id="rId7683" Type="http://schemas.openxmlformats.org/officeDocument/2006/relationships/hyperlink" Target="https://chromewebstore.google.com/detail/enfbeenkpdphfmgngblcghfndcnpopmf" TargetMode="External"/><Relationship Id="rId5021" Type="http://schemas.openxmlformats.org/officeDocument/2006/relationships/hyperlink" Target="https://chromewebstore.google.com/detail/andkmlcecgmdmbjjjdhifnmjphndgmik" TargetMode="External"/><Relationship Id="rId6352" Type="http://schemas.openxmlformats.org/officeDocument/2006/relationships/hyperlink" Target="https://chromewebstore.google.com/detail/lcgmpehgdiaghhhhkaljhamggnbdgdig" TargetMode="External"/><Relationship Id="rId7682" Type="http://schemas.openxmlformats.org/officeDocument/2006/relationships/hyperlink" Target="https://chromewebstore.google.com/detail/oaihjfifleeodajknhocogepkoomgecm" TargetMode="External"/><Relationship Id="rId7681" Type="http://schemas.openxmlformats.org/officeDocument/2006/relationships/hyperlink" Target="https://chromewebstore.google.com/detail/ljbnpeeemagmenbfmdodgflmdgdmcfhk" TargetMode="External"/><Relationship Id="rId6350" Type="http://schemas.openxmlformats.org/officeDocument/2006/relationships/hyperlink" Target="https://chromewebstore.google.com/detail/lcceflmmgfbjffkiihpmnjjkgklonbmj" TargetMode="External"/><Relationship Id="rId7680" Type="http://schemas.openxmlformats.org/officeDocument/2006/relationships/hyperlink" Target="https://chromewebstore.google.com/detail/ikcamkknjfdplkdjjncobgmpciklohjg" TargetMode="External"/><Relationship Id="rId5024" Type="http://schemas.openxmlformats.org/officeDocument/2006/relationships/hyperlink" Target="https://chromewebstore.google.com/detail/anjdemaoejlpgmnmkijdemoiebcddhkc" TargetMode="External"/><Relationship Id="rId6355" Type="http://schemas.openxmlformats.org/officeDocument/2006/relationships/hyperlink" Target="https://chromewebstore.google.com/detail/lclghadialdhbgaglccgbaipohilhbph" TargetMode="External"/><Relationship Id="rId7687" Type="http://schemas.openxmlformats.org/officeDocument/2006/relationships/hyperlink" Target="https://chromewebstore.google.com/detail/pdmkbfmeeijoafnndpcldheaimcibdln" TargetMode="External"/><Relationship Id="rId5025" Type="http://schemas.openxmlformats.org/officeDocument/2006/relationships/hyperlink" Target="https://chromewebstore.google.com/detail/anoeoicpaambkpaglbpghmjkhellkgld" TargetMode="External"/><Relationship Id="rId6356" Type="http://schemas.openxmlformats.org/officeDocument/2006/relationships/hyperlink" Target="https://chromewebstore.google.com/detail/lcljfjceikhjcnkfneencpmcpkcknabm" TargetMode="External"/><Relationship Id="rId7686" Type="http://schemas.openxmlformats.org/officeDocument/2006/relationships/hyperlink" Target="https://chromewebstore.google.com/detail/nddpfgkpjnclmibmhoonganoagoccoeo" TargetMode="External"/><Relationship Id="rId5022" Type="http://schemas.openxmlformats.org/officeDocument/2006/relationships/hyperlink" Target="https://chromewebstore.google.com/detail/andlmjmbnlaamloflnelcafcnkiplhkc" TargetMode="External"/><Relationship Id="rId6353" Type="http://schemas.openxmlformats.org/officeDocument/2006/relationships/hyperlink" Target="https://chromewebstore.google.com/detail/lchlicjgphiemnihicjkgfjddjmlgcdl" TargetMode="External"/><Relationship Id="rId7685" Type="http://schemas.openxmlformats.org/officeDocument/2006/relationships/hyperlink" Target="https://chromewebstore.google.com/detail/kbglaobalcgfdgbbjinnnfmnfafomdcl" TargetMode="External"/><Relationship Id="rId5023" Type="http://schemas.openxmlformats.org/officeDocument/2006/relationships/hyperlink" Target="https://chromewebstore.google.com/detail/anicnllbmigahjhkajnbjanfjdlofcof" TargetMode="External"/><Relationship Id="rId6354" Type="http://schemas.openxmlformats.org/officeDocument/2006/relationships/hyperlink" Target="https://chromewebstore.google.com/detail/lchnjmjklognlfocknklbbmpdbfidahj" TargetMode="External"/><Relationship Id="rId7684" Type="http://schemas.openxmlformats.org/officeDocument/2006/relationships/hyperlink" Target="https://chromewebstore.google.com/detail/ifhenecelemoiingiaipaicpnmkhiohn" TargetMode="External"/><Relationship Id="rId5028" Type="http://schemas.openxmlformats.org/officeDocument/2006/relationships/hyperlink" Target="https://chromewebstore.google.com/detail/aobclpbhnodnafnndcfgfecfeloganfm" TargetMode="External"/><Relationship Id="rId6359" Type="http://schemas.openxmlformats.org/officeDocument/2006/relationships/hyperlink" Target="https://chromewebstore.google.com/detail/ldfahoabcdgljodjddijjiknleolbcmh" TargetMode="External"/><Relationship Id="rId5029" Type="http://schemas.openxmlformats.org/officeDocument/2006/relationships/hyperlink" Target="https://chromewebstore.google.com/detail/aoccnobecmopgekhnaaoepdggjonjpka" TargetMode="External"/><Relationship Id="rId5026" Type="http://schemas.openxmlformats.org/officeDocument/2006/relationships/hyperlink" Target="https://chromewebstore.google.com/detail/aoaahllfacofmpgcecdinikdmpkbnhhf" TargetMode="External"/><Relationship Id="rId6357" Type="http://schemas.openxmlformats.org/officeDocument/2006/relationships/hyperlink" Target="https://chromewebstore.google.com/detail/ldaliobcgcbdpfhmdpcbighahcmpaebm" TargetMode="External"/><Relationship Id="rId7689" Type="http://schemas.openxmlformats.org/officeDocument/2006/relationships/hyperlink" Target="https://chromewebstore.google.com/detail/aikmakbdhkfnfjhjbhakiipegcminlco" TargetMode="External"/><Relationship Id="rId5027" Type="http://schemas.openxmlformats.org/officeDocument/2006/relationships/hyperlink" Target="https://chromewebstore.google.com/detail/aoakbimfnggbhoplpfcpeifgbigmpepl" TargetMode="External"/><Relationship Id="rId6358" Type="http://schemas.openxmlformats.org/officeDocument/2006/relationships/hyperlink" Target="https://chromewebstore.google.com/detail/ldbflapfegfcoipoeophhjbgfcllmjip" TargetMode="External"/><Relationship Id="rId7688" Type="http://schemas.openxmlformats.org/officeDocument/2006/relationships/hyperlink" Target="https://chromewebstore.google.com/detail/phoocmemlibnehglfgjfhogfohjmglgh" TargetMode="External"/><Relationship Id="rId6308" Type="http://schemas.openxmlformats.org/officeDocument/2006/relationships/hyperlink" Target="https://chromewebstore.google.com/detail/kofepkkfbdobmjpjighopoggdjiehfop" TargetMode="External"/><Relationship Id="rId6309" Type="http://schemas.openxmlformats.org/officeDocument/2006/relationships/hyperlink" Target="https://chromewebstore.google.com/detail/kofhipaohlfniimaglmhoimcjlgbokmh" TargetMode="External"/><Relationship Id="rId7639" Type="http://schemas.openxmlformats.org/officeDocument/2006/relationships/hyperlink" Target="https://chromewebstore.google.com/detail/nfefoppdjaidappikcjaeapgdkdjlngp" TargetMode="External"/><Relationship Id="rId6306" Type="http://schemas.openxmlformats.org/officeDocument/2006/relationships/hyperlink" Target="https://chromewebstore.google.com/detail/knoccgahmcfhngbjhdbcodajdioedgdo" TargetMode="External"/><Relationship Id="rId7638" Type="http://schemas.openxmlformats.org/officeDocument/2006/relationships/hyperlink" Target="https://chromewebstore.google.com/detail/eblobdnhbollnjjnfigjobhldpfeiejd" TargetMode="External"/><Relationship Id="rId8969" Type="http://schemas.openxmlformats.org/officeDocument/2006/relationships/hyperlink" Target="https://chromewebstore.google.com/detail/jdpnokacamibfikmngoeoiaadfhlhaea" TargetMode="External"/><Relationship Id="rId6307" Type="http://schemas.openxmlformats.org/officeDocument/2006/relationships/hyperlink" Target="https://chromewebstore.google.com/detail/kobehciphdhcbmhcpklcphbaomcjhojo" TargetMode="External"/><Relationship Id="rId7637" Type="http://schemas.openxmlformats.org/officeDocument/2006/relationships/hyperlink" Target="https://chromewebstore.google.com/detail/dnjgjckjnbdecolmjdooahpcmihdmked" TargetMode="External"/><Relationship Id="rId8968" Type="http://schemas.openxmlformats.org/officeDocument/2006/relationships/hyperlink" Target="https://chromewebstore.google.com/detail/ilhmkkocekbajiikponcokjdabiipecj" TargetMode="External"/><Relationship Id="rId6300" Type="http://schemas.openxmlformats.org/officeDocument/2006/relationships/hyperlink" Target="https://chromewebstore.google.com/detail/knfpmclhohfhanmiilcahnlcndejlldk" TargetMode="External"/><Relationship Id="rId7632" Type="http://schemas.openxmlformats.org/officeDocument/2006/relationships/hyperlink" Target="https://chromewebstore.google.com/detail/okccjaoedfffkchmkcpphgkodojghdkp" TargetMode="External"/><Relationship Id="rId8963" Type="http://schemas.openxmlformats.org/officeDocument/2006/relationships/hyperlink" Target="https://chromewebstore.google.com/detail/hkpikghhilldnolmkpcikajpjdcfgcop" TargetMode="External"/><Relationship Id="rId6301" Type="http://schemas.openxmlformats.org/officeDocument/2006/relationships/hyperlink" Target="https://chromewebstore.google.com/detail/kngfclmodcalgnlafnjgplnoamboaala" TargetMode="External"/><Relationship Id="rId7631" Type="http://schemas.openxmlformats.org/officeDocument/2006/relationships/hyperlink" Target="https://chromewebstore.google.com/detail/ehnmlbcepecoioeocjbdmmjggoanhpea" TargetMode="External"/><Relationship Id="rId8962" Type="http://schemas.openxmlformats.org/officeDocument/2006/relationships/hyperlink" Target="https://chromewebstore.google.com/detail/gllkphpjfmmfknhhiakefhnmklbnmhdm" TargetMode="External"/><Relationship Id="rId7630" Type="http://schemas.openxmlformats.org/officeDocument/2006/relationships/hyperlink" Target="https://chromewebstore.google.com/detail/oghohpnngiiaffelalcbfionkobcganp" TargetMode="External"/><Relationship Id="rId8961" Type="http://schemas.openxmlformats.org/officeDocument/2006/relationships/hyperlink" Target="https://chromewebstore.google.com/detail/cijfoobajnpgpphocpkdcplfphadeaea" TargetMode="External"/><Relationship Id="rId8960" Type="http://schemas.openxmlformats.org/officeDocument/2006/relationships/hyperlink" Target="https://chromewebstore.google.com/detail/pmdfibcbflleichjmjllkklkpkgildkh" TargetMode="External"/><Relationship Id="rId6304" Type="http://schemas.openxmlformats.org/officeDocument/2006/relationships/hyperlink" Target="https://chromewebstore.google.com/detail/knmnaaoafogkenfjbgmhkjpiabopnibg" TargetMode="External"/><Relationship Id="rId7636" Type="http://schemas.openxmlformats.org/officeDocument/2006/relationships/hyperlink" Target="https://chromewebstore.google.com/detail/dmoidpfmmhnchjngdjcbkpdjfmhkpnjg" TargetMode="External"/><Relationship Id="rId8967" Type="http://schemas.openxmlformats.org/officeDocument/2006/relationships/hyperlink" Target="https://chromewebstore.google.com/detail/gnnkbfjpmnmnclphplfogchgeaeildlc" TargetMode="External"/><Relationship Id="rId6305" Type="http://schemas.openxmlformats.org/officeDocument/2006/relationships/hyperlink" Target="https://chromewebstore.google.com/detail/knmpiompbjhokccdbgpbhpkafjkdlkbl" TargetMode="External"/><Relationship Id="rId7635" Type="http://schemas.openxmlformats.org/officeDocument/2006/relationships/hyperlink" Target="https://chromewebstore.google.com/detail/bejidemagjhbekdamhdfcgdaaiagmbdl" TargetMode="External"/><Relationship Id="rId8966" Type="http://schemas.openxmlformats.org/officeDocument/2006/relationships/hyperlink" Target="https://chromewebstore.google.com/detail/fffpcpifbaimmmmclpmfhjgbiokbhnea" TargetMode="External"/><Relationship Id="rId6302" Type="http://schemas.openxmlformats.org/officeDocument/2006/relationships/hyperlink" Target="https://chromewebstore.google.com/detail/knkkmemihnkkehhkkdonlnfgajbjpadc" TargetMode="External"/><Relationship Id="rId7634" Type="http://schemas.openxmlformats.org/officeDocument/2006/relationships/hyperlink" Target="https://chromewebstore.google.com/detail/aeflneddfelkgikdfnmgiabepophecje" TargetMode="External"/><Relationship Id="rId8965" Type="http://schemas.openxmlformats.org/officeDocument/2006/relationships/hyperlink" Target="https://chromewebstore.google.com/detail/dpkcmpfeohfppbgflelbkemojphgjdhf" TargetMode="External"/><Relationship Id="rId6303" Type="http://schemas.openxmlformats.org/officeDocument/2006/relationships/hyperlink" Target="https://chromewebstore.google.com/detail/knmkalnmhkhjpojmnlfkmfbdagpcommg" TargetMode="External"/><Relationship Id="rId7633" Type="http://schemas.openxmlformats.org/officeDocument/2006/relationships/hyperlink" Target="https://chromewebstore.google.com/detail/oifnhalickiahlaoacabfafjaibhhimo" TargetMode="External"/><Relationship Id="rId8964" Type="http://schemas.openxmlformats.org/officeDocument/2006/relationships/hyperlink" Target="https://chromewebstore.google.com/detail/nmcploolhdjnilphpifheagcogmojdpd" TargetMode="External"/><Relationship Id="rId7629" Type="http://schemas.openxmlformats.org/officeDocument/2006/relationships/hyperlink" Target="https://chromewebstore.google.com/detail/lcdgeiifbconcoiiinhednkdhoeafjjl" TargetMode="External"/><Relationship Id="rId7628" Type="http://schemas.openxmlformats.org/officeDocument/2006/relationships/hyperlink" Target="https://chromewebstore.google.com/detail/jekgocfoijmbgcjejohdgmojaejofdpo" TargetMode="External"/><Relationship Id="rId8959" Type="http://schemas.openxmlformats.org/officeDocument/2006/relationships/hyperlink" Target="https://chromewebstore.google.com/detail/odimgloihnchgmijalnlkanefghommpp" TargetMode="External"/><Relationship Id="rId7627" Type="http://schemas.openxmlformats.org/officeDocument/2006/relationships/hyperlink" Target="https://chromewebstore.google.com/detail/ifjngfpepgmgongpllodfdndmemnjgoc" TargetMode="External"/><Relationship Id="rId8958" Type="http://schemas.openxmlformats.org/officeDocument/2006/relationships/hyperlink" Target="https://chromewebstore.google.com/detail/jialeippmpkpbljcfhglaakoknfiojof" TargetMode="External"/><Relationship Id="rId7626" Type="http://schemas.openxmlformats.org/officeDocument/2006/relationships/hyperlink" Target="https://chromewebstore.google.com/detail/fgjkdpncbpnlhbdbmelbhmapblgaamkl" TargetMode="External"/><Relationship Id="rId8957" Type="http://schemas.openxmlformats.org/officeDocument/2006/relationships/hyperlink" Target="https://chromewebstore.google.com/detail/jfcmmaflpnmfpdpfpbklhkhdgimkiogh" TargetMode="External"/><Relationship Id="rId7621" Type="http://schemas.openxmlformats.org/officeDocument/2006/relationships/hyperlink" Target="https://chromewebstore.google.com/detail/ahaclkcdfdcebbegimadgdlkccjdkmca" TargetMode="External"/><Relationship Id="rId8952" Type="http://schemas.openxmlformats.org/officeDocument/2006/relationships/hyperlink" Target="https://chromewebstore.google.com/detail/npmecoflnofnegeagppimmobngmfdhhl" TargetMode="External"/><Relationship Id="rId7620" Type="http://schemas.openxmlformats.org/officeDocument/2006/relationships/hyperlink" Target="https://chromewebstore.google.com/detail/naojedmfkkciajbfcehknfbcmimcjbhg" TargetMode="External"/><Relationship Id="rId8951" Type="http://schemas.openxmlformats.org/officeDocument/2006/relationships/hyperlink" Target="https://chromewebstore.google.com/detail/lohmkcogbijdfgphbioenppfnjfdjebp" TargetMode="External"/><Relationship Id="rId8950" Type="http://schemas.openxmlformats.org/officeDocument/2006/relationships/hyperlink" Target="https://chromewebstore.google.com/detail/kpnomjccnbnihhpembhgccdlcofhjibb" TargetMode="External"/><Relationship Id="rId7625" Type="http://schemas.openxmlformats.org/officeDocument/2006/relationships/hyperlink" Target="https://chromewebstore.google.com/detail/ebbkpmchomacmdjaoffadojmkinafemn" TargetMode="External"/><Relationship Id="rId8956" Type="http://schemas.openxmlformats.org/officeDocument/2006/relationships/hyperlink" Target="https://chromewebstore.google.com/detail/dobommehlbkjcjnbmhnnbcphncncjpid" TargetMode="External"/><Relationship Id="rId7624" Type="http://schemas.openxmlformats.org/officeDocument/2006/relationships/hyperlink" Target="https://chromewebstore.google.com/detail/ahiipffmcifaempjoeecollondfinbik" TargetMode="External"/><Relationship Id="rId8955" Type="http://schemas.openxmlformats.org/officeDocument/2006/relationships/hyperlink" Target="https://chromewebstore.google.com/detail/cjpnlmdbmlefonmfkobjpfpmpbaijldn" TargetMode="External"/><Relationship Id="rId7623" Type="http://schemas.openxmlformats.org/officeDocument/2006/relationships/hyperlink" Target="https://chromewebstore.google.com/detail/lhjaemlbbmojcmfcljjmbamecahgdlkp" TargetMode="External"/><Relationship Id="rId8954" Type="http://schemas.openxmlformats.org/officeDocument/2006/relationships/hyperlink" Target="https://chromewebstore.google.com/detail/cfjoidodkheihhbijaddfhglagcdhchp" TargetMode="External"/><Relationship Id="rId7622" Type="http://schemas.openxmlformats.org/officeDocument/2006/relationships/hyperlink" Target="https://chromewebstore.google.com/detail/gdjcjcbjnaelafcijbnceapahcgkpjkl" TargetMode="External"/><Relationship Id="rId8953" Type="http://schemas.openxmlformats.org/officeDocument/2006/relationships/hyperlink" Target="https://chromewebstore.google.com/detail/pneldbfhblmldbhmkolclpkijgnjcmng" TargetMode="External"/><Relationship Id="rId6328" Type="http://schemas.openxmlformats.org/officeDocument/2006/relationships/hyperlink" Target="https://chromewebstore.google.com/detail/kppjocagmdpaankmegehmdkcchkhcjil" TargetMode="External"/><Relationship Id="rId6329" Type="http://schemas.openxmlformats.org/officeDocument/2006/relationships/hyperlink" Target="https://chromewebstore.google.com/detail/laafmimmfoigfibljpeaohdehdnlbddg" TargetMode="External"/><Relationship Id="rId7659" Type="http://schemas.openxmlformats.org/officeDocument/2006/relationships/hyperlink" Target="https://chromewebstore.google.com/detail/okielmjkemkemnliimmofopifejnbjel" TargetMode="External"/><Relationship Id="rId7650" Type="http://schemas.openxmlformats.org/officeDocument/2006/relationships/hyperlink" Target="https://chromewebstore.google.com/detail/cmpcfkahodbaemmenjllgkhhcihhinmk" TargetMode="External"/><Relationship Id="rId8981" Type="http://schemas.openxmlformats.org/officeDocument/2006/relationships/hyperlink" Target="https://chromewebstore.google.com/detail/fdaifolckhmjnlkapifnkphgdolgabfb" TargetMode="External"/><Relationship Id="rId8980" Type="http://schemas.openxmlformats.org/officeDocument/2006/relationships/hyperlink" Target="https://chromewebstore.google.com/detail/dlnepfckckhaaehhcgkakkgnnkhdlhma" TargetMode="External"/><Relationship Id="rId6322" Type="http://schemas.openxmlformats.org/officeDocument/2006/relationships/hyperlink" Target="https://chromewebstore.google.com/detail/kpcelfaheoikimakaonbfipkijodnmmd" TargetMode="External"/><Relationship Id="rId7654" Type="http://schemas.openxmlformats.org/officeDocument/2006/relationships/hyperlink" Target="https://chromewebstore.google.com/detail/kplmddgdeigcadlfohcelfefiinfghpi" TargetMode="External"/><Relationship Id="rId8985" Type="http://schemas.openxmlformats.org/officeDocument/2006/relationships/hyperlink" Target="https://chromewebstore.google.com/detail/bledfcibpogbpmaijpcohjdkoifeciak" TargetMode="External"/><Relationship Id="rId6323" Type="http://schemas.openxmlformats.org/officeDocument/2006/relationships/hyperlink" Target="https://chromewebstore.google.com/detail/kpfmidcdnfpaamdaobjiiamaihdigaoj" TargetMode="External"/><Relationship Id="rId7653" Type="http://schemas.openxmlformats.org/officeDocument/2006/relationships/hyperlink" Target="https://chromewebstore.google.com/detail/kghegibponmiflnifgdcgjbmkbjpibhc" TargetMode="External"/><Relationship Id="rId8984" Type="http://schemas.openxmlformats.org/officeDocument/2006/relationships/hyperlink" Target="https://chromewebstore.google.com/detail/pkjmppjgkieeognifhdpkmcgkiaiioem" TargetMode="External"/><Relationship Id="rId6320" Type="http://schemas.openxmlformats.org/officeDocument/2006/relationships/hyperlink" Target="https://chromewebstore.google.com/detail/koompliecfdggdekbckngldibgmgehkn" TargetMode="External"/><Relationship Id="rId7652" Type="http://schemas.openxmlformats.org/officeDocument/2006/relationships/hyperlink" Target="https://chromewebstore.google.com/detail/jpdfbendalpmcbdekkmldlkcklpcafma" TargetMode="External"/><Relationship Id="rId8983" Type="http://schemas.openxmlformats.org/officeDocument/2006/relationships/hyperlink" Target="https://chromewebstore.google.com/detail/lenbalkolcmmgpoiegdplhkfjljaiiag" TargetMode="External"/><Relationship Id="rId6321" Type="http://schemas.openxmlformats.org/officeDocument/2006/relationships/hyperlink" Target="https://chromewebstore.google.com/detail/kopedjkmmeahidobhhkboollaabepmmb" TargetMode="External"/><Relationship Id="rId7651" Type="http://schemas.openxmlformats.org/officeDocument/2006/relationships/hyperlink" Target="https://chromewebstore.google.com/detail/ddbjabcmjjifognjcopebcllgpbdjlbm" TargetMode="External"/><Relationship Id="rId8982" Type="http://schemas.openxmlformats.org/officeDocument/2006/relationships/hyperlink" Target="https://chromewebstore.google.com/detail/iiaadipohcenaagngllohhjehohdcehp" TargetMode="External"/><Relationship Id="rId6326" Type="http://schemas.openxmlformats.org/officeDocument/2006/relationships/hyperlink" Target="https://chromewebstore.google.com/detail/kpjdlhnmjhjnbeigfilbaiklikbopbca" TargetMode="External"/><Relationship Id="rId7658" Type="http://schemas.openxmlformats.org/officeDocument/2006/relationships/hyperlink" Target="https://chromewebstore.google.com/detail/lmgidnfcnjmijbmphpellnclmgahadjn" TargetMode="External"/><Relationship Id="rId8989" Type="http://schemas.openxmlformats.org/officeDocument/2006/relationships/hyperlink" Target="https://chromewebstore.google.com/detail/lfofpannpmmeeicgiiacjghmcfgnebbi" TargetMode="External"/><Relationship Id="rId6327" Type="http://schemas.openxmlformats.org/officeDocument/2006/relationships/hyperlink" Target="https://chromewebstore.google.com/detail/kpogandfndblomniegfaeakkjchmiedi" TargetMode="External"/><Relationship Id="rId7657" Type="http://schemas.openxmlformats.org/officeDocument/2006/relationships/hyperlink" Target="https://chromewebstore.google.com/detail/lcdbbcnacdhighpoilpfbccjjgjknjpg" TargetMode="External"/><Relationship Id="rId8988" Type="http://schemas.openxmlformats.org/officeDocument/2006/relationships/hyperlink" Target="https://chromewebstore.google.com/detail/kgohcolckgjlahpbhoocahejhpcbbdnj" TargetMode="External"/><Relationship Id="rId6324" Type="http://schemas.openxmlformats.org/officeDocument/2006/relationships/hyperlink" Target="https://chromewebstore.google.com/detail/kpgbjmdhihjamofekoagnilikhbekpoc" TargetMode="External"/><Relationship Id="rId7656" Type="http://schemas.openxmlformats.org/officeDocument/2006/relationships/hyperlink" Target="https://chromewebstore.google.com/detail/gbeoaipiglfibhkgiodjkbgcfhjgiekd" TargetMode="External"/><Relationship Id="rId8987" Type="http://schemas.openxmlformats.org/officeDocument/2006/relationships/hyperlink" Target="https://chromewebstore.google.com/detail/iemijfhdlipdpcjfnphcdalpccnkfedb" TargetMode="External"/><Relationship Id="rId6325" Type="http://schemas.openxmlformats.org/officeDocument/2006/relationships/hyperlink" Target="https://chromewebstore.google.com/detail/kpheonghihdcmoolfckjjjnelppbfbhj" TargetMode="External"/><Relationship Id="rId7655" Type="http://schemas.openxmlformats.org/officeDocument/2006/relationships/hyperlink" Target="https://chromewebstore.google.com/detail/lljiafmnknbhhffbiglmibneedmlkahl" TargetMode="External"/><Relationship Id="rId8986" Type="http://schemas.openxmlformats.org/officeDocument/2006/relationships/hyperlink" Target="https://chromewebstore.google.com/detail/efceaemlnabjahlebbmejdafdmpofgop" TargetMode="External"/><Relationship Id="rId6319" Type="http://schemas.openxmlformats.org/officeDocument/2006/relationships/hyperlink" Target="https://chromewebstore.google.com/detail/konhnfjdepjkihlnodbnphpplfjgofki" TargetMode="External"/><Relationship Id="rId6317" Type="http://schemas.openxmlformats.org/officeDocument/2006/relationships/hyperlink" Target="https://chromewebstore.google.com/detail/kokpckgbhcmeobdddflajfcpmmfhkekn" TargetMode="External"/><Relationship Id="rId7649" Type="http://schemas.openxmlformats.org/officeDocument/2006/relationships/hyperlink" Target="https://chromewebstore.google.com/detail/bjlhicepbkpkkejkaekdbdlanioklnlh" TargetMode="External"/><Relationship Id="rId6318" Type="http://schemas.openxmlformats.org/officeDocument/2006/relationships/hyperlink" Target="https://chromewebstore.google.com/detail/komagngbpbibhkndkibpgjdfbgeeodlh" TargetMode="External"/><Relationship Id="rId7648" Type="http://schemas.openxmlformats.org/officeDocument/2006/relationships/hyperlink" Target="https://chromewebstore.google.com/detail/akoiagmmfbjephlbkncmnpdakfklipjd" TargetMode="External"/><Relationship Id="rId8979" Type="http://schemas.openxmlformats.org/officeDocument/2006/relationships/hyperlink" Target="https://chromewebstore.google.com/detail/cifbgbbgjlehgddmhdognpncdjpiepgn" TargetMode="External"/><Relationship Id="rId8970" Type="http://schemas.openxmlformats.org/officeDocument/2006/relationships/hyperlink" Target="https://chromewebstore.google.com/detail/onkejpdhplmfiiafhkjjfalenddohccb" TargetMode="External"/><Relationship Id="rId6311" Type="http://schemas.openxmlformats.org/officeDocument/2006/relationships/hyperlink" Target="https://chromewebstore.google.com/detail/kohddgnpofoogkkjejnmcgleamcfbhhc" TargetMode="External"/><Relationship Id="rId7643" Type="http://schemas.openxmlformats.org/officeDocument/2006/relationships/hyperlink" Target="https://chromewebstore.google.com/detail/alannkadjimikdglagjkfdnmcdjkahhc" TargetMode="External"/><Relationship Id="rId8974" Type="http://schemas.openxmlformats.org/officeDocument/2006/relationships/hyperlink" Target="https://chromewebstore.google.com/detail/nmffepbfehaggnekgkookagkcklaieji" TargetMode="External"/><Relationship Id="rId6312" Type="http://schemas.openxmlformats.org/officeDocument/2006/relationships/hyperlink" Target="https://chromewebstore.google.com/detail/koiiicglkbcomcplnggedapdhafigbje" TargetMode="External"/><Relationship Id="rId7642" Type="http://schemas.openxmlformats.org/officeDocument/2006/relationships/hyperlink" Target="https://chromewebstore.google.com/detail/ooaiehbfngcjjeaiedpffeajkeleikpl" TargetMode="External"/><Relationship Id="rId8973" Type="http://schemas.openxmlformats.org/officeDocument/2006/relationships/hyperlink" Target="https://chromewebstore.google.com/detail/nfepmeogoknijeenahgdfobjfemdahmo" TargetMode="External"/><Relationship Id="rId7641" Type="http://schemas.openxmlformats.org/officeDocument/2006/relationships/hyperlink" Target="https://chromewebstore.google.com/detail/bjcbfemjpjpoiefolemocadinijjdmgd" TargetMode="External"/><Relationship Id="rId8972" Type="http://schemas.openxmlformats.org/officeDocument/2006/relationships/hyperlink" Target="https://chromewebstore.google.com/detail/acmoiaipblimhfnjejofmmfjkgpedcpd" TargetMode="External"/><Relationship Id="rId6310" Type="http://schemas.openxmlformats.org/officeDocument/2006/relationships/hyperlink" Target="https://chromewebstore.google.com/detail/kohbgdkncdbkjnnaobcndbghiaggepfa" TargetMode="External"/><Relationship Id="rId7640" Type="http://schemas.openxmlformats.org/officeDocument/2006/relationships/hyperlink" Target="https://chromewebstore.google.com/detail/ocndcadaneceimkfpidpepichhfgonem" TargetMode="External"/><Relationship Id="rId8971" Type="http://schemas.openxmlformats.org/officeDocument/2006/relationships/hyperlink" Target="https://chromewebstore.google.com/detail/pddlbiopkcimgjfkjlfkophopecpdbai" TargetMode="External"/><Relationship Id="rId6315" Type="http://schemas.openxmlformats.org/officeDocument/2006/relationships/hyperlink" Target="https://chromewebstore.google.com/detail/kojpdadnbbicdfgfadonheclfpcjpiah" TargetMode="External"/><Relationship Id="rId7647" Type="http://schemas.openxmlformats.org/officeDocument/2006/relationships/hyperlink" Target="https://chromewebstore.google.com/detail/piechbhjioolbecaioglhamjjjkmbchj" TargetMode="External"/><Relationship Id="rId8978" Type="http://schemas.openxmlformats.org/officeDocument/2006/relationships/hyperlink" Target="https://chromewebstore.google.com/detail/cidibllgamjkhlpkchjnfhanabejnecl" TargetMode="External"/><Relationship Id="rId6316" Type="http://schemas.openxmlformats.org/officeDocument/2006/relationships/hyperlink" Target="https://chromewebstore.google.com/detail/kokkcakjpobjcccjgkfjdhhnlieppmje" TargetMode="External"/><Relationship Id="rId7646" Type="http://schemas.openxmlformats.org/officeDocument/2006/relationships/hyperlink" Target="https://chromewebstore.google.com/detail/nkldpaeekcifioadclceajbacngjippj" TargetMode="External"/><Relationship Id="rId8977" Type="http://schemas.openxmlformats.org/officeDocument/2006/relationships/hyperlink" Target="https://chromewebstore.google.com/detail/bnekaigbnpcpfdlmmdehkkjbedfpbadj" TargetMode="External"/><Relationship Id="rId6313" Type="http://schemas.openxmlformats.org/officeDocument/2006/relationships/hyperlink" Target="https://chromewebstore.google.com/detail/kojjjjdojafbbpmhlmknbglempljhlke" TargetMode="External"/><Relationship Id="rId7645" Type="http://schemas.openxmlformats.org/officeDocument/2006/relationships/hyperlink" Target="https://chromewebstore.google.com/detail/chgmjmpmfefgaiogdnnjbfcbgcflofgi" TargetMode="External"/><Relationship Id="rId8976" Type="http://schemas.openxmlformats.org/officeDocument/2006/relationships/hyperlink" Target="https://chromewebstore.google.com/detail/bmemoakjblaajdlfbgmlplpbddjpjecc" TargetMode="External"/><Relationship Id="rId6314" Type="http://schemas.openxmlformats.org/officeDocument/2006/relationships/hyperlink" Target="https://chromewebstore.google.com/detail/kojnadkkdladdokoildmmkncmakbkioh" TargetMode="External"/><Relationship Id="rId7644" Type="http://schemas.openxmlformats.org/officeDocument/2006/relationships/hyperlink" Target="https://chromewebstore.google.com/detail/bnbaljnenddkjfkifdlkjjobccebnone" TargetMode="External"/><Relationship Id="rId8975" Type="http://schemas.openxmlformats.org/officeDocument/2006/relationships/hyperlink" Target="https://chromewebstore.google.com/detail/ooaojgckeodgdnbfdlecfgkbgaahegle" TargetMode="External"/><Relationship Id="rId2820" Type="http://schemas.openxmlformats.org/officeDocument/2006/relationships/hyperlink" Target="https://chromewebstore.google.com/detail/afmhfdkkjmddchbkdlhgejiclbbpgfbf" TargetMode="External"/><Relationship Id="rId2821" Type="http://schemas.openxmlformats.org/officeDocument/2006/relationships/hyperlink" Target="https://chromewebstore.google.com/detail/afppminkfnfngihdocacbgeajbbdklkf" TargetMode="External"/><Relationship Id="rId2822" Type="http://schemas.openxmlformats.org/officeDocument/2006/relationships/hyperlink" Target="https://chromewebstore.google.com/detail/agddlcilhjaiekablhdnaojfagkpnnjg" TargetMode="External"/><Relationship Id="rId2823" Type="http://schemas.openxmlformats.org/officeDocument/2006/relationships/hyperlink" Target="https://chromewebstore.google.com/detail/aihjpkojknmkmmpeceojgaeccoeeaddo" TargetMode="External"/><Relationship Id="rId2824" Type="http://schemas.openxmlformats.org/officeDocument/2006/relationships/hyperlink" Target="https://chromewebstore.google.com/detail/aiocpnokjcmpelmlmekbjjblcompckhe" TargetMode="External"/><Relationship Id="rId2825" Type="http://schemas.openxmlformats.org/officeDocument/2006/relationships/hyperlink" Target="https://chromewebstore.google.com/detail/ajfbflclpnpbjkfibijekgcombcgehbi" TargetMode="External"/><Relationship Id="rId2826" Type="http://schemas.openxmlformats.org/officeDocument/2006/relationships/hyperlink" Target="https://chromewebstore.google.com/detail/akbdooghbmenilbdgkpapgliaplhgjeb" TargetMode="External"/><Relationship Id="rId2827" Type="http://schemas.openxmlformats.org/officeDocument/2006/relationships/hyperlink" Target="https://chromewebstore.google.com/detail/akgbekdpgegfglbmldaljbeihfcgbofl" TargetMode="External"/><Relationship Id="rId2828" Type="http://schemas.openxmlformats.org/officeDocument/2006/relationships/hyperlink" Target="https://chromewebstore.google.com/detail/aknnfmghapkdmlimhhdgbpkbiefombni" TargetMode="External"/><Relationship Id="rId2829" Type="http://schemas.openxmlformats.org/officeDocument/2006/relationships/hyperlink" Target="https://chromewebstore.google.com/detail/amajpgnakbemacnkmnjbkoacbaephjfd" TargetMode="External"/><Relationship Id="rId5093" Type="http://schemas.openxmlformats.org/officeDocument/2006/relationships/hyperlink" Target="https://chromewebstore.google.com/detail/begomjapoppkfcdcaindehabfglbfkcn" TargetMode="External"/><Relationship Id="rId5094" Type="http://schemas.openxmlformats.org/officeDocument/2006/relationships/hyperlink" Target="https://chromewebstore.google.com/detail/behokagbldghpoanekmlepofbokepphm" TargetMode="External"/><Relationship Id="rId5091" Type="http://schemas.openxmlformats.org/officeDocument/2006/relationships/hyperlink" Target="https://chromewebstore.google.com/detail/bdnobddpgjhaenonjkngfhcknndajiia" TargetMode="External"/><Relationship Id="rId5092" Type="http://schemas.openxmlformats.org/officeDocument/2006/relationships/hyperlink" Target="https://chromewebstore.google.com/detail/bedffgjloddeglbafbmjannpnhfhpgll" TargetMode="External"/><Relationship Id="rId5097" Type="http://schemas.openxmlformats.org/officeDocument/2006/relationships/hyperlink" Target="https://chromewebstore.google.com/detail/beoijgamapnimhdbmhllmkdpggneedim" TargetMode="External"/><Relationship Id="rId5098" Type="http://schemas.openxmlformats.org/officeDocument/2006/relationships/hyperlink" Target="https://chromewebstore.google.com/detail/bfaggngoidfpnenahcenhandihppjcae" TargetMode="External"/><Relationship Id="rId5095" Type="http://schemas.openxmlformats.org/officeDocument/2006/relationships/hyperlink" Target="https://chromewebstore.google.com/detail/beiebnelcljchfoehaogncobmpelndgh" TargetMode="External"/><Relationship Id="rId5096" Type="http://schemas.openxmlformats.org/officeDocument/2006/relationships/hyperlink" Target="https://chromewebstore.google.com/detail/bejfcabcmhackmcaaclgiocgfpmpnaml" TargetMode="External"/><Relationship Id="rId5099" Type="http://schemas.openxmlformats.org/officeDocument/2006/relationships/hyperlink" Target="https://chromewebstore.google.com/detail/bfanioaedpipgmkmmikpgpcgloipdfmh" TargetMode="External"/><Relationship Id="rId2810" Type="http://schemas.openxmlformats.org/officeDocument/2006/relationships/hyperlink" Target="https://chromewebstore.google.com/detail/aacnakggjhpkobmgcbngbljobfaejaoi" TargetMode="External"/><Relationship Id="rId2811" Type="http://schemas.openxmlformats.org/officeDocument/2006/relationships/hyperlink" Target="https://chromewebstore.google.com/detail/aaloejogbofkmmonaddiaogjjjdjlpcd" TargetMode="External"/><Relationship Id="rId2812" Type="http://schemas.openxmlformats.org/officeDocument/2006/relationships/hyperlink" Target="https://chromewebstore.google.com/detail/aaoedoanmdcohhdbadkgjjfdmbbmiffe" TargetMode="External"/><Relationship Id="rId2813" Type="http://schemas.openxmlformats.org/officeDocument/2006/relationships/hyperlink" Target="https://chromewebstore.google.com/detail/aaompibpddahnlhaklkapjkgiajbfkhm" TargetMode="External"/><Relationship Id="rId2814" Type="http://schemas.openxmlformats.org/officeDocument/2006/relationships/hyperlink" Target="https://chromewebstore.google.com/detail/abbjgieefhoknlhpjjbbejhhjfgjeife" TargetMode="External"/><Relationship Id="rId2815" Type="http://schemas.openxmlformats.org/officeDocument/2006/relationships/hyperlink" Target="https://chromewebstore.google.com/detail/aboenfjacedibonlehnlmonjibinfcgl" TargetMode="External"/><Relationship Id="rId2816" Type="http://schemas.openxmlformats.org/officeDocument/2006/relationships/hyperlink" Target="https://chromewebstore.google.com/detail/acdfkjjfbghehjbojgnmjijpbgahmhee" TargetMode="External"/><Relationship Id="rId2817" Type="http://schemas.openxmlformats.org/officeDocument/2006/relationships/hyperlink" Target="https://chromewebstore.google.com/detail/acgecdfblegjbbejckcbldclahcdpgdp" TargetMode="External"/><Relationship Id="rId2818" Type="http://schemas.openxmlformats.org/officeDocument/2006/relationships/hyperlink" Target="https://chromewebstore.google.com/detail/admokidfeboogldpfhheflggdligklpl" TargetMode="External"/><Relationship Id="rId2819" Type="http://schemas.openxmlformats.org/officeDocument/2006/relationships/hyperlink" Target="https://chromewebstore.google.com/detail/aecddkbjfdcefeiagnimheencdkmkefm" TargetMode="External"/><Relationship Id="rId5090" Type="http://schemas.openxmlformats.org/officeDocument/2006/relationships/hyperlink" Target="https://chromewebstore.google.com/detail/bdnlfnchnkjeempadnmcgbbkbacffobl" TargetMode="External"/><Relationship Id="rId5082" Type="http://schemas.openxmlformats.org/officeDocument/2006/relationships/hyperlink" Target="https://chromewebstore.google.com/detail/bcpojjdknociedamabgdfhnlhnggkpao" TargetMode="External"/><Relationship Id="rId5083" Type="http://schemas.openxmlformats.org/officeDocument/2006/relationships/hyperlink" Target="https://chromewebstore.google.com/detail/bdbcimadaoejfgjpfjbddaficolnbndi" TargetMode="External"/><Relationship Id="rId5080" Type="http://schemas.openxmlformats.org/officeDocument/2006/relationships/hyperlink" Target="https://chromewebstore.google.com/detail/bcomnokcdhnbgdfkmfeccgllodflglpm" TargetMode="External"/><Relationship Id="rId5081" Type="http://schemas.openxmlformats.org/officeDocument/2006/relationships/hyperlink" Target="https://chromewebstore.google.com/detail/bcopgchhojmggmffilplmbdicgaihlkp" TargetMode="External"/><Relationship Id="rId5086" Type="http://schemas.openxmlformats.org/officeDocument/2006/relationships/hyperlink" Target="https://chromewebstore.google.com/detail/bdihekkpnckbmgafgoedabbebpafgfci" TargetMode="External"/><Relationship Id="rId5087" Type="http://schemas.openxmlformats.org/officeDocument/2006/relationships/hyperlink" Target="https://chromewebstore.google.com/detail/bdjfffmkdkcodfjlghbhcdfolilafbfh" TargetMode="External"/><Relationship Id="rId5084" Type="http://schemas.openxmlformats.org/officeDocument/2006/relationships/hyperlink" Target="https://chromewebstore.google.com/detail/bdfpcaniedneocakpdjdpilpeinifnni" TargetMode="External"/><Relationship Id="rId5085" Type="http://schemas.openxmlformats.org/officeDocument/2006/relationships/hyperlink" Target="https://chromewebstore.google.com/detail/bdhobnomngglhoajcbpihfkcgkehooco" TargetMode="External"/><Relationship Id="rId5088" Type="http://schemas.openxmlformats.org/officeDocument/2006/relationships/hyperlink" Target="https://chromewebstore.google.com/detail/bdjlkpmifpfahoefpjkmaiggmpbelfdi" TargetMode="External"/><Relationship Id="rId5089" Type="http://schemas.openxmlformats.org/officeDocument/2006/relationships/hyperlink" Target="https://chromewebstore.google.com/detail/bdkphnndaejdmmbohpejmlfejfdbepap" TargetMode="External"/><Relationship Id="rId1510" Type="http://schemas.openxmlformats.org/officeDocument/2006/relationships/hyperlink" Target="https://chromewebstore.google.com/detail/jknhnffcaenjjlneglfcihapfklmefob" TargetMode="External"/><Relationship Id="rId2841" Type="http://schemas.openxmlformats.org/officeDocument/2006/relationships/hyperlink" Target="https://chromewebstore.google.com/detail/bflolmfdngaflefhmapdbbjmclioljck" TargetMode="External"/><Relationship Id="rId1511" Type="http://schemas.openxmlformats.org/officeDocument/2006/relationships/hyperlink" Target="https://chromewebstore.google.com/detail/jkpglfaifjkpnbfephoenfbaejdgnjii" TargetMode="External"/><Relationship Id="rId2842" Type="http://schemas.openxmlformats.org/officeDocument/2006/relationships/hyperlink" Target="https://chromewebstore.google.com/detail/bgafccceonganlcmcojjacanoadnhmac" TargetMode="External"/><Relationship Id="rId1512" Type="http://schemas.openxmlformats.org/officeDocument/2006/relationships/hyperlink" Target="https://chromewebstore.google.com/detail/jlgejeheelddbpdieihdpmnlodbpljnc" TargetMode="External"/><Relationship Id="rId2843" Type="http://schemas.openxmlformats.org/officeDocument/2006/relationships/hyperlink" Target="https://chromewebstore.google.com/detail/bgcfdodiekfhjfdcamaelkanbbifepib" TargetMode="External"/><Relationship Id="rId1513" Type="http://schemas.openxmlformats.org/officeDocument/2006/relationships/hyperlink" Target="https://chromewebstore.google.com/detail/jmdcpkpoebniclenaegfhbmlaadkgdhm" TargetMode="External"/><Relationship Id="rId2844" Type="http://schemas.openxmlformats.org/officeDocument/2006/relationships/hyperlink" Target="https://chromewebstore.google.com/detail/bhdnlmmgiplmbcdmkkdfplenecpegfno" TargetMode="External"/><Relationship Id="rId1514" Type="http://schemas.openxmlformats.org/officeDocument/2006/relationships/hyperlink" Target="https://chromewebstore.google.com/detail/jmdookpkgalopfpehgmddjcodfeocffl" TargetMode="External"/><Relationship Id="rId2845" Type="http://schemas.openxmlformats.org/officeDocument/2006/relationships/hyperlink" Target="https://chromewebstore.google.com/detail/bhhijgglehlaflknjkgjbhbjhbfgnpjm" TargetMode="External"/><Relationship Id="rId1515" Type="http://schemas.openxmlformats.org/officeDocument/2006/relationships/hyperlink" Target="https://chromewebstore.google.com/detail/jmjbmlfmmendpkpiggcfpjcpbbpedhha" TargetMode="External"/><Relationship Id="rId2846" Type="http://schemas.openxmlformats.org/officeDocument/2006/relationships/hyperlink" Target="https://chromewebstore.google.com/detail/bhnfbnhpmnfacebccnjjoeecgmnbhjam" TargetMode="External"/><Relationship Id="rId1516" Type="http://schemas.openxmlformats.org/officeDocument/2006/relationships/hyperlink" Target="https://chromewebstore.google.com/detail/jobnchpmiiemlgonhemhkeilihimaghg" TargetMode="External"/><Relationship Id="rId2847" Type="http://schemas.openxmlformats.org/officeDocument/2006/relationships/hyperlink" Target="https://chromewebstore.google.com/detail/bjbnpbcfdafpkplddacjlfiiimdhpkhd" TargetMode="External"/><Relationship Id="rId1517" Type="http://schemas.openxmlformats.org/officeDocument/2006/relationships/hyperlink" Target="https://chromewebstore.google.com/detail/johjcheghocokbkhacbfbhojoangkpcb" TargetMode="External"/><Relationship Id="rId2848" Type="http://schemas.openxmlformats.org/officeDocument/2006/relationships/hyperlink" Target="https://chromewebstore.google.com/detail/bjhigladkmnpmglhcnpeiplekpanekpi" TargetMode="External"/><Relationship Id="rId1518" Type="http://schemas.openxmlformats.org/officeDocument/2006/relationships/hyperlink" Target="https://chromewebstore.google.com/detail/jojbobbpjflbaekncckdbanjoakgpbbc" TargetMode="External"/><Relationship Id="rId2849" Type="http://schemas.openxmlformats.org/officeDocument/2006/relationships/hyperlink" Target="https://chromewebstore.google.com/detail/bjkpenmobbeedaclipgbebdkkhdcndka" TargetMode="External"/><Relationship Id="rId1519" Type="http://schemas.openxmlformats.org/officeDocument/2006/relationships/hyperlink" Target="https://chromewebstore.google.com/detail/joldejophkhmeajgjenfnfdpfjkalckn" TargetMode="External"/><Relationship Id="rId2840" Type="http://schemas.openxmlformats.org/officeDocument/2006/relationships/hyperlink" Target="https://chromewebstore.google.com/detail/bfbobdlagdgbknpjoeidaefbhjcengjg" TargetMode="External"/><Relationship Id="rId2830" Type="http://schemas.openxmlformats.org/officeDocument/2006/relationships/hyperlink" Target="https://chromewebstore.google.com/detail/amdginnpaflghjbbdkfenpekaeifnpee" TargetMode="External"/><Relationship Id="rId1500" Type="http://schemas.openxmlformats.org/officeDocument/2006/relationships/hyperlink" Target="https://chromewebstore.google.com/detail/jhggpmcfjkkaeonckilhekpkfcalgank" TargetMode="External"/><Relationship Id="rId2831" Type="http://schemas.openxmlformats.org/officeDocument/2006/relationships/hyperlink" Target="https://chromewebstore.google.com/detail/amkdnibbgekpljlononmmglfppeihpdn" TargetMode="External"/><Relationship Id="rId1501" Type="http://schemas.openxmlformats.org/officeDocument/2006/relationships/hyperlink" Target="https://chromewebstore.google.com/detail/jhninijcbcniklnjbohdmoglogfjbglh" TargetMode="External"/><Relationship Id="rId2832" Type="http://schemas.openxmlformats.org/officeDocument/2006/relationships/hyperlink" Target="https://chromewebstore.google.com/detail/amoojkmllfodlpgmdnclkgdnejgpeada" TargetMode="External"/><Relationship Id="rId1502" Type="http://schemas.openxmlformats.org/officeDocument/2006/relationships/hyperlink" Target="https://chromewebstore.google.com/detail/jhphiidjkooiaollfiknkokgodbaddcj" TargetMode="External"/><Relationship Id="rId2833" Type="http://schemas.openxmlformats.org/officeDocument/2006/relationships/hyperlink" Target="https://chromewebstore.google.com/detail/annlhfjgbkfmbbejkbdpgbmpbcjnehbb" TargetMode="External"/><Relationship Id="rId1503" Type="http://schemas.openxmlformats.org/officeDocument/2006/relationships/hyperlink" Target="https://chromewebstore.google.com/detail/jjdpdpackpoaaccjmnkmgloibjgpklmm" TargetMode="External"/><Relationship Id="rId2834" Type="http://schemas.openxmlformats.org/officeDocument/2006/relationships/hyperlink" Target="https://chromewebstore.google.com/detail/apkmkeppocbbebomnhdmhfenfifkhjfd" TargetMode="External"/><Relationship Id="rId1504" Type="http://schemas.openxmlformats.org/officeDocument/2006/relationships/hyperlink" Target="https://chromewebstore.google.com/detail/jjfknbejnpjndceceeefmofphphjiamb" TargetMode="External"/><Relationship Id="rId2835" Type="http://schemas.openxmlformats.org/officeDocument/2006/relationships/hyperlink" Target="https://chromewebstore.google.com/detail/bacddgiookhgfeeaiioiiifimomoknmj" TargetMode="External"/><Relationship Id="rId1505" Type="http://schemas.openxmlformats.org/officeDocument/2006/relationships/hyperlink" Target="https://chromewebstore.google.com/detail/jjpdebaihkangkfpbgefmnnlafkahebn" TargetMode="External"/><Relationship Id="rId2836" Type="http://schemas.openxmlformats.org/officeDocument/2006/relationships/hyperlink" Target="https://chromewebstore.google.com/detail/bcjkhhgcjlhfbkamaabehklnnnnneifi" TargetMode="External"/><Relationship Id="rId1506" Type="http://schemas.openxmlformats.org/officeDocument/2006/relationships/hyperlink" Target="https://chromewebstore.google.com/detail/jkaoodobipmplhdhbdckclkmhpiekaee" TargetMode="External"/><Relationship Id="rId2837" Type="http://schemas.openxmlformats.org/officeDocument/2006/relationships/hyperlink" Target="https://chromewebstore.google.com/detail/bcobmoggclhhpkdckmnmhejleeihgmgk" TargetMode="External"/><Relationship Id="rId1507" Type="http://schemas.openxmlformats.org/officeDocument/2006/relationships/hyperlink" Target="https://chromewebstore.google.com/detail/jkeciloajjlchlmbjjogifpdkljppbei" TargetMode="External"/><Relationship Id="rId2838" Type="http://schemas.openxmlformats.org/officeDocument/2006/relationships/hyperlink" Target="https://chromewebstore.google.com/detail/beafekehjfhnkpnnjegadfdncaipnljp" TargetMode="External"/><Relationship Id="rId1508" Type="http://schemas.openxmlformats.org/officeDocument/2006/relationships/hyperlink" Target="https://chromewebstore.google.com/detail/jkiblcnjkgohckbbjpedihcfjanbfoif" TargetMode="External"/><Relationship Id="rId2839" Type="http://schemas.openxmlformats.org/officeDocument/2006/relationships/hyperlink" Target="https://chromewebstore.google.com/detail/bfbkaicljfncoidecpbgdjefionbahlp" TargetMode="External"/><Relationship Id="rId1509" Type="http://schemas.openxmlformats.org/officeDocument/2006/relationships/hyperlink" Target="https://chromewebstore.google.com/detail/jknaiemmajopmpcpmmheafgjbhpjnedk" TargetMode="External"/><Relationship Id="rId6380" Type="http://schemas.openxmlformats.org/officeDocument/2006/relationships/hyperlink" Target="https://chromewebstore.google.com/detail/lgffjphcglhjodndldapdedaemkkkcbo" TargetMode="External"/><Relationship Id="rId5050" Type="http://schemas.openxmlformats.org/officeDocument/2006/relationships/hyperlink" Target="https://chromewebstore.google.com/detail/apijflpiliibpaeafcafebcedpolhnnf" TargetMode="External"/><Relationship Id="rId6381" Type="http://schemas.openxmlformats.org/officeDocument/2006/relationships/hyperlink" Target="https://chromewebstore.google.com/detail/lgfnpmbjnooaonfkdendjpkgcmgfjcgc" TargetMode="External"/><Relationship Id="rId5053" Type="http://schemas.openxmlformats.org/officeDocument/2006/relationships/hyperlink" Target="https://chromewebstore.google.com/detail/appdlcdpfallkkdchdeipbhpenmkegmo" TargetMode="External"/><Relationship Id="rId6384" Type="http://schemas.openxmlformats.org/officeDocument/2006/relationships/hyperlink" Target="https://chromewebstore.google.com/detail/lglnebacjkielbdldlkppfdcmfpbgofo" TargetMode="External"/><Relationship Id="rId5054" Type="http://schemas.openxmlformats.org/officeDocument/2006/relationships/hyperlink" Target="https://chromewebstore.google.com/detail/apphiaafegobpghejnfcgehkffmllmkf" TargetMode="External"/><Relationship Id="rId6385" Type="http://schemas.openxmlformats.org/officeDocument/2006/relationships/hyperlink" Target="https://chromewebstore.google.com/detail/lgmojgokdalobakogpaililfoboigkal" TargetMode="External"/><Relationship Id="rId5051" Type="http://schemas.openxmlformats.org/officeDocument/2006/relationships/hyperlink" Target="https://chromewebstore.google.com/detail/apmihaoaadgaodjcbipfjbbiaokopfli" TargetMode="External"/><Relationship Id="rId6382" Type="http://schemas.openxmlformats.org/officeDocument/2006/relationships/hyperlink" Target="https://chromewebstore.google.com/detail/lgiheljjcjhcndglbbgonfcichelpejp" TargetMode="External"/><Relationship Id="rId5052" Type="http://schemas.openxmlformats.org/officeDocument/2006/relationships/hyperlink" Target="https://chromewebstore.google.com/detail/apnehcjmnengpnmccpaibjmhhoadaico" TargetMode="External"/><Relationship Id="rId6383" Type="http://schemas.openxmlformats.org/officeDocument/2006/relationships/hyperlink" Target="https://chromewebstore.google.com/detail/lgldclhgkdgddiopgbjkiememjlhjlng" TargetMode="External"/><Relationship Id="rId5057" Type="http://schemas.openxmlformats.org/officeDocument/2006/relationships/hyperlink" Target="https://chromewebstore.google.com/detail/baabmfbgjcnooapabhjehpakihoihmin" TargetMode="External"/><Relationship Id="rId6388" Type="http://schemas.openxmlformats.org/officeDocument/2006/relationships/hyperlink" Target="https://chromewebstore.google.com/detail/lhdifindchogekmjooeiolmjdlheilae" TargetMode="External"/><Relationship Id="rId5058" Type="http://schemas.openxmlformats.org/officeDocument/2006/relationships/hyperlink" Target="https://chromewebstore.google.com/detail/baacpbikplogpeecclpnajnlghmcldkb" TargetMode="External"/><Relationship Id="rId6389" Type="http://schemas.openxmlformats.org/officeDocument/2006/relationships/hyperlink" Target="https://chromewebstore.google.com/detail/lhgkahejgiidfalcmnpbgfmpkepmpdlf" TargetMode="External"/><Relationship Id="rId5055" Type="http://schemas.openxmlformats.org/officeDocument/2006/relationships/hyperlink" Target="https://chromewebstore.google.com/detail/appmfmkomidhmcnkdkjcnhdonjppnajo" TargetMode="External"/><Relationship Id="rId6386" Type="http://schemas.openxmlformats.org/officeDocument/2006/relationships/hyperlink" Target="https://chromewebstore.google.com/detail/lgoghlndihpmbbgmbpjohilcphbfhddd" TargetMode="External"/><Relationship Id="rId5056" Type="http://schemas.openxmlformats.org/officeDocument/2006/relationships/hyperlink" Target="https://chromewebstore.google.com/detail/baabbccjecolffbbbikjcmdnpfdnpimi" TargetMode="External"/><Relationship Id="rId6387" Type="http://schemas.openxmlformats.org/officeDocument/2006/relationships/hyperlink" Target="https://chromewebstore.google.com/detail/lhdccommkdbadfgjhlccfmcpdhmepjik" TargetMode="External"/><Relationship Id="rId5059" Type="http://schemas.openxmlformats.org/officeDocument/2006/relationships/hyperlink" Target="https://chromewebstore.google.com/detail/baahcllkjamainfhhdimbnipdlaeappd" TargetMode="External"/><Relationship Id="rId6370" Type="http://schemas.openxmlformats.org/officeDocument/2006/relationships/hyperlink" Target="https://chromewebstore.google.com/detail/leojoakcmcfpoaojibhkepbglljbjjjp" TargetMode="External"/><Relationship Id="rId5042" Type="http://schemas.openxmlformats.org/officeDocument/2006/relationships/hyperlink" Target="https://chromewebstore.google.com/detail/aoodnpmllpdgcfcgdnminmifngcppaln" TargetMode="External"/><Relationship Id="rId6373" Type="http://schemas.openxmlformats.org/officeDocument/2006/relationships/hyperlink" Target="https://chromewebstore.google.com/detail/lfgnadfkaiepombekpbccllpbkiealal" TargetMode="External"/><Relationship Id="rId5043" Type="http://schemas.openxmlformats.org/officeDocument/2006/relationships/hyperlink" Target="https://chromewebstore.google.com/detail/aoofnmlljjgifabglpelnbmipdfnfflk" TargetMode="External"/><Relationship Id="rId6374" Type="http://schemas.openxmlformats.org/officeDocument/2006/relationships/hyperlink" Target="https://chromewebstore.google.com/detail/lfhnennfegaileldmoghidoondeealai" TargetMode="External"/><Relationship Id="rId5040" Type="http://schemas.openxmlformats.org/officeDocument/2006/relationships/hyperlink" Target="https://chromewebstore.google.com/detail/aonddenfffjaplkipofnfeaikmkajhmj" TargetMode="External"/><Relationship Id="rId6371" Type="http://schemas.openxmlformats.org/officeDocument/2006/relationships/hyperlink" Target="https://chromewebstore.google.com/detail/lfckfngaeoheoppemkocjjebloiamfdc" TargetMode="External"/><Relationship Id="rId5041" Type="http://schemas.openxmlformats.org/officeDocument/2006/relationships/hyperlink" Target="https://chromewebstore.google.com/detail/aonhflmdemlehgbnfmhpdmoeeolokelm" TargetMode="External"/><Relationship Id="rId6372" Type="http://schemas.openxmlformats.org/officeDocument/2006/relationships/hyperlink" Target="https://chromewebstore.google.com/detail/lfekjajdgncmkajdpiadkkhhpblngnlc" TargetMode="External"/><Relationship Id="rId5046" Type="http://schemas.openxmlformats.org/officeDocument/2006/relationships/hyperlink" Target="https://chromewebstore.google.com/detail/apchbjkblfhmkohghpnhidldebmpmjnn" TargetMode="External"/><Relationship Id="rId6377" Type="http://schemas.openxmlformats.org/officeDocument/2006/relationships/hyperlink" Target="https://chromewebstore.google.com/detail/lgbokmfkipeecaegndnhbdpdkmiobnfj" TargetMode="External"/><Relationship Id="rId5047" Type="http://schemas.openxmlformats.org/officeDocument/2006/relationships/hyperlink" Target="https://chromewebstore.google.com/detail/apdmmebfdjlefbomdafjgbfjipjocdof" TargetMode="External"/><Relationship Id="rId6378" Type="http://schemas.openxmlformats.org/officeDocument/2006/relationships/hyperlink" Target="https://chromewebstore.google.com/detail/lgccchgfobnafomjndanbkhjgkgocdob" TargetMode="External"/><Relationship Id="rId5044" Type="http://schemas.openxmlformats.org/officeDocument/2006/relationships/hyperlink" Target="https://chromewebstore.google.com/detail/apbbkgiadnodlonfadecfkpjkfakklnf" TargetMode="External"/><Relationship Id="rId6375" Type="http://schemas.openxmlformats.org/officeDocument/2006/relationships/hyperlink" Target="https://chromewebstore.google.com/detail/lfkaepdpjgnonpodbgalgkbcbmahegap" TargetMode="External"/><Relationship Id="rId5045" Type="http://schemas.openxmlformats.org/officeDocument/2006/relationships/hyperlink" Target="https://chromewebstore.google.com/detail/apbdfongpgacifbamjfogfncjjhkaeih" TargetMode="External"/><Relationship Id="rId6376" Type="http://schemas.openxmlformats.org/officeDocument/2006/relationships/hyperlink" Target="https://chromewebstore.google.com/detail/lgajamomkbjmlfajpfhahdocjkcpienh" TargetMode="External"/><Relationship Id="rId5048" Type="http://schemas.openxmlformats.org/officeDocument/2006/relationships/hyperlink" Target="https://chromewebstore.google.com/detail/apfgghagliglfkgbfebfaedpdcnkhofd" TargetMode="External"/><Relationship Id="rId6379" Type="http://schemas.openxmlformats.org/officeDocument/2006/relationships/hyperlink" Target="https://chromewebstore.google.com/detail/lgdgnbneilgfnleamjohjimadmjgjfdg" TargetMode="External"/><Relationship Id="rId5049" Type="http://schemas.openxmlformats.org/officeDocument/2006/relationships/hyperlink" Target="https://chromewebstore.google.com/detail/apgeooocopnncglmnlngfpgggkmlcldf" TargetMode="External"/><Relationship Id="rId2800" Type="http://schemas.openxmlformats.org/officeDocument/2006/relationships/hyperlink" Target="https://chromewebstore.google.com/detail/pflcdcelbkdhfjglfpgiodfknhpdcmjl" TargetMode="External"/><Relationship Id="rId2801" Type="http://schemas.openxmlformats.org/officeDocument/2006/relationships/hyperlink" Target="https://chromewebstore.google.com/detail/pgdjbeehbeajkcaflkboflehcdbidode" TargetMode="External"/><Relationship Id="rId2802" Type="http://schemas.openxmlformats.org/officeDocument/2006/relationships/hyperlink" Target="https://chromewebstore.google.com/detail/pgkfdknjaidahdoiodilffcnafbfffjo" TargetMode="External"/><Relationship Id="rId2803" Type="http://schemas.openxmlformats.org/officeDocument/2006/relationships/hyperlink" Target="https://chromewebstore.google.com/detail/pihneiihahcfmjfegfjodnbiienlbpkm" TargetMode="External"/><Relationship Id="rId2804" Type="http://schemas.openxmlformats.org/officeDocument/2006/relationships/hyperlink" Target="https://chromewebstore.google.com/detail/plcnnpdmhobdfbponjpedobekiogmbco" TargetMode="External"/><Relationship Id="rId2805" Type="http://schemas.openxmlformats.org/officeDocument/2006/relationships/hyperlink" Target="https://chromewebstore.google.com/detail/pmebbadefknbmnhkkagaleehhoijfdhh" TargetMode="External"/><Relationship Id="rId2806" Type="http://schemas.openxmlformats.org/officeDocument/2006/relationships/hyperlink" Target="https://chromewebstore.google.com/detail/pmihmdfpaajgmbdggejokbhkabhopnmd" TargetMode="External"/><Relationship Id="rId2807" Type="http://schemas.openxmlformats.org/officeDocument/2006/relationships/hyperlink" Target="https://chromewebstore.google.com/detail/pnkdnemmobffmkgcmnbndclmcjobmlpf" TargetMode="External"/><Relationship Id="rId2808" Type="http://schemas.openxmlformats.org/officeDocument/2006/relationships/hyperlink" Target="https://chromewebstore.google.com/detail/pnocmgimjhoepacoohdlhmhhmphnbgoc" TargetMode="External"/><Relationship Id="rId2809" Type="http://schemas.openxmlformats.org/officeDocument/2006/relationships/hyperlink" Target="https://chromewebstore.google.com/detail/poplnlhpljnfdfgbnahmffgcgafflopj" TargetMode="External"/><Relationship Id="rId5071" Type="http://schemas.openxmlformats.org/officeDocument/2006/relationships/hyperlink" Target="https://chromewebstore.google.com/detail/bbmdccojdbpcpmoadenplnoncfcijgkn" TargetMode="External"/><Relationship Id="rId5072" Type="http://schemas.openxmlformats.org/officeDocument/2006/relationships/hyperlink" Target="https://chromewebstore.google.com/detail/bbompmbliibpeaaloikpoahdokhjdmeg" TargetMode="External"/><Relationship Id="rId5070" Type="http://schemas.openxmlformats.org/officeDocument/2006/relationships/hyperlink" Target="https://chromewebstore.google.com/detail/bbleianliopbinjkpnmnhikiplblaifl" TargetMode="External"/><Relationship Id="rId5075" Type="http://schemas.openxmlformats.org/officeDocument/2006/relationships/hyperlink" Target="https://chromewebstore.google.com/detail/bcbgcioblphgimgphgmjnkjcioagnppe" TargetMode="External"/><Relationship Id="rId5076" Type="http://schemas.openxmlformats.org/officeDocument/2006/relationships/hyperlink" Target="https://chromewebstore.google.com/detail/bcfgcokeemmbilmcfepjpfelbjfbnkpa" TargetMode="External"/><Relationship Id="rId5073" Type="http://schemas.openxmlformats.org/officeDocument/2006/relationships/hyperlink" Target="https://chromewebstore.google.com/detail/bbonbhlfjgpahljegfaibcgpchflglnl" TargetMode="External"/><Relationship Id="rId5074" Type="http://schemas.openxmlformats.org/officeDocument/2006/relationships/hyperlink" Target="https://chromewebstore.google.com/detail/bcabhalplnnjfbmnhbcdbphgcehcapme" TargetMode="External"/><Relationship Id="rId5079" Type="http://schemas.openxmlformats.org/officeDocument/2006/relationships/hyperlink" Target="https://chromewebstore.google.com/detail/bcnniocfbnmaiakhpgpeicghfogdjfhe" TargetMode="External"/><Relationship Id="rId5077" Type="http://schemas.openxmlformats.org/officeDocument/2006/relationships/hyperlink" Target="https://chromewebstore.google.com/detail/bcgjilfclghcobokbhdfphmpjkbbjlli" TargetMode="External"/><Relationship Id="rId5078" Type="http://schemas.openxmlformats.org/officeDocument/2006/relationships/hyperlink" Target="https://chromewebstore.google.com/detail/bcmfandagknmpnambbppcpgclkccgigb" TargetMode="External"/><Relationship Id="rId5060" Type="http://schemas.openxmlformats.org/officeDocument/2006/relationships/hyperlink" Target="https://chromewebstore.google.com/detail/babkffilagdlhoeopgfnhfnomhicjodj" TargetMode="External"/><Relationship Id="rId6391" Type="http://schemas.openxmlformats.org/officeDocument/2006/relationships/hyperlink" Target="https://chromewebstore.google.com/detail/lhlomndaijcefbhdohcdmnobkliikklh" TargetMode="External"/><Relationship Id="rId5061" Type="http://schemas.openxmlformats.org/officeDocument/2006/relationships/hyperlink" Target="https://chromewebstore.google.com/detail/badmdnllifhdfanpmjmcmijnbecncncl" TargetMode="External"/><Relationship Id="rId6392" Type="http://schemas.openxmlformats.org/officeDocument/2006/relationships/hyperlink" Target="https://chromewebstore.google.com/detail/lhnilmmbjipfingcjmghmdnenpcnaece" TargetMode="External"/><Relationship Id="rId6390" Type="http://schemas.openxmlformats.org/officeDocument/2006/relationships/hyperlink" Target="https://chromewebstore.google.com/detail/lhiklbgjcblimmjjflobpncgihagcmbj" TargetMode="External"/><Relationship Id="rId5064" Type="http://schemas.openxmlformats.org/officeDocument/2006/relationships/hyperlink" Target="https://chromewebstore.google.com/detail/baijfcmfhpidbpgdhjoicghmodpklhel" TargetMode="External"/><Relationship Id="rId6395" Type="http://schemas.openxmlformats.org/officeDocument/2006/relationships/hyperlink" Target="https://chromewebstore.google.com/detail/licmmkfmcfjcclhdhkehlceggfjfanen" TargetMode="External"/><Relationship Id="rId5065" Type="http://schemas.openxmlformats.org/officeDocument/2006/relationships/hyperlink" Target="https://chromewebstore.google.com/detail/bajifjohhghngljcfhkbpcggafpiajdo" TargetMode="External"/><Relationship Id="rId6396" Type="http://schemas.openxmlformats.org/officeDocument/2006/relationships/hyperlink" Target="https://chromewebstore.google.com/detail/lijmhhnjbcpfldhmdacjdmhhgfinmfib" TargetMode="External"/><Relationship Id="rId5062" Type="http://schemas.openxmlformats.org/officeDocument/2006/relationships/hyperlink" Target="https://chromewebstore.google.com/detail/bafffofgkhnjkbhlbbofconbfecknejm" TargetMode="External"/><Relationship Id="rId6393" Type="http://schemas.openxmlformats.org/officeDocument/2006/relationships/hyperlink" Target="https://chromewebstore.google.com/detail/lhpjnkehoohajalccbikeheodknofokd" TargetMode="External"/><Relationship Id="rId5063" Type="http://schemas.openxmlformats.org/officeDocument/2006/relationships/hyperlink" Target="https://chromewebstore.google.com/detail/bahejodllcomogcpgnidcdaiidfmhomh" TargetMode="External"/><Relationship Id="rId6394" Type="http://schemas.openxmlformats.org/officeDocument/2006/relationships/hyperlink" Target="https://chromewebstore.google.com/detail/lhpooekbhchbjkodlebdmapmmjpoophn" TargetMode="External"/><Relationship Id="rId5068" Type="http://schemas.openxmlformats.org/officeDocument/2006/relationships/hyperlink" Target="https://chromewebstore.google.com/detail/bbakonnkdadhgdlcnkfefpepeiabaacp" TargetMode="External"/><Relationship Id="rId6399" Type="http://schemas.openxmlformats.org/officeDocument/2006/relationships/hyperlink" Target="https://chromewebstore.google.com/detail/ljbjgmahddhnccggldafiaemkgacmmld" TargetMode="External"/><Relationship Id="rId5069" Type="http://schemas.openxmlformats.org/officeDocument/2006/relationships/hyperlink" Target="https://chromewebstore.google.com/detail/bbgoecbaifekpocglagjffnlbdmnlkmn" TargetMode="External"/><Relationship Id="rId5066" Type="http://schemas.openxmlformats.org/officeDocument/2006/relationships/hyperlink" Target="https://chromewebstore.google.com/detail/bajpeikcdohkooafedafajhfkacihiod" TargetMode="External"/><Relationship Id="rId6397" Type="http://schemas.openxmlformats.org/officeDocument/2006/relationships/hyperlink" Target="https://chromewebstore.google.com/detail/linpadcckihaambejadlidhkmnjipfnd" TargetMode="External"/><Relationship Id="rId5067" Type="http://schemas.openxmlformats.org/officeDocument/2006/relationships/hyperlink" Target="https://chromewebstore.google.com/detail/bbahpklmeonhcijijenbnjecpdokmaeg" TargetMode="External"/><Relationship Id="rId6398" Type="http://schemas.openxmlformats.org/officeDocument/2006/relationships/hyperlink" Target="https://chromewebstore.google.com/detail/liodijdhpofhickfkapkdifofgkeppad" TargetMode="External"/><Relationship Id="rId1576" Type="http://schemas.openxmlformats.org/officeDocument/2006/relationships/hyperlink" Target="https://chromewebstore.google.com/detail/lebddibgdgkjheglmfpannlomiobdbhm" TargetMode="External"/><Relationship Id="rId1577" Type="http://schemas.openxmlformats.org/officeDocument/2006/relationships/hyperlink" Target="https://chromewebstore.google.com/detail/lflgnjghielcddlkdjdcjalabpakebng" TargetMode="External"/><Relationship Id="rId1578" Type="http://schemas.openxmlformats.org/officeDocument/2006/relationships/hyperlink" Target="https://chromewebstore.google.com/detail/lfmanfkmmgfigbnjibfemdnnfjboficn" TargetMode="External"/><Relationship Id="rId1579" Type="http://schemas.openxmlformats.org/officeDocument/2006/relationships/hyperlink" Target="https://chromewebstore.google.com/detail/lgblkllcjgihfnlefhnnpppndbbjallh" TargetMode="External"/><Relationship Id="rId987" Type="http://schemas.openxmlformats.org/officeDocument/2006/relationships/hyperlink" Target="https://chromewebstore.google.com/detail/mgbhenpklhdajfgdgmaflahjckifacki" TargetMode="External"/><Relationship Id="rId986" Type="http://schemas.openxmlformats.org/officeDocument/2006/relationships/hyperlink" Target="https://chromewebstore.google.com/detail/mdnkjehfdplfnomhcbhinllojmfbncfk" TargetMode="External"/><Relationship Id="rId985" Type="http://schemas.openxmlformats.org/officeDocument/2006/relationships/hyperlink" Target="https://chromewebstore.google.com/detail/mcmknapfancdcboaebbfhadibffomkjk" TargetMode="External"/><Relationship Id="rId984" Type="http://schemas.openxmlformats.org/officeDocument/2006/relationships/hyperlink" Target="https://chromewebstore.google.com/detail/mccffpojdcohdkefnbfhfdcklpcagdlc" TargetMode="External"/><Relationship Id="rId989" Type="http://schemas.openxmlformats.org/officeDocument/2006/relationships/hyperlink" Target="https://chromewebstore.google.com/detail/milkbiaeapddfnpenedfgbfdacpbcbam" TargetMode="External"/><Relationship Id="rId988" Type="http://schemas.openxmlformats.org/officeDocument/2006/relationships/hyperlink" Target="https://chromewebstore.google.com/detail/mgjhkhhbkkldiihlajcnlfchfcmhipmn" TargetMode="External"/><Relationship Id="rId1570" Type="http://schemas.openxmlformats.org/officeDocument/2006/relationships/hyperlink" Target="https://chromewebstore.google.com/detail/lboblnfejcmcaplhnbkkfcienhlhpnni" TargetMode="External"/><Relationship Id="rId1571" Type="http://schemas.openxmlformats.org/officeDocument/2006/relationships/hyperlink" Target="https://chromewebstore.google.com/detail/lcdbjchkmflblionihdahffmfpbomdgn" TargetMode="External"/><Relationship Id="rId983" Type="http://schemas.openxmlformats.org/officeDocument/2006/relationships/hyperlink" Target="https://chromewebstore.google.com/detail/mbfblhpconbgpgmphhlonlcbnmebdeme" TargetMode="External"/><Relationship Id="rId1572" Type="http://schemas.openxmlformats.org/officeDocument/2006/relationships/hyperlink" Target="https://chromewebstore.google.com/detail/lcfphdldglgaodelggpckakfficpeefj" TargetMode="External"/><Relationship Id="rId982" Type="http://schemas.openxmlformats.org/officeDocument/2006/relationships/hyperlink" Target="https://chromewebstore.google.com/detail/malcldkhojjdohmhhnognefoafofdaek" TargetMode="External"/><Relationship Id="rId1573" Type="http://schemas.openxmlformats.org/officeDocument/2006/relationships/hyperlink" Target="https://chromewebstore.google.com/detail/lcmgcbgahjfokkiniknnafmeoaolkfab" TargetMode="External"/><Relationship Id="rId981" Type="http://schemas.openxmlformats.org/officeDocument/2006/relationships/hyperlink" Target="https://chromewebstore.google.com/detail/mafpfjnpmblneioebkpdjlledcopckld" TargetMode="External"/><Relationship Id="rId1574" Type="http://schemas.openxmlformats.org/officeDocument/2006/relationships/hyperlink" Target="https://chromewebstore.google.com/detail/ldegpcdakhgalgehkaegdcmmgnneiekh" TargetMode="External"/><Relationship Id="rId980" Type="http://schemas.openxmlformats.org/officeDocument/2006/relationships/hyperlink" Target="https://chromewebstore.google.com/detail/maejjihldgmkjlfmgpgoebepjchengka" TargetMode="External"/><Relationship Id="rId1575" Type="http://schemas.openxmlformats.org/officeDocument/2006/relationships/hyperlink" Target="https://chromewebstore.google.com/detail/ldibmiofagdkgiphkcokpooepankmacl" TargetMode="External"/><Relationship Id="rId1565" Type="http://schemas.openxmlformats.org/officeDocument/2006/relationships/hyperlink" Target="https://chromewebstore.google.com/detail/laoeehanpnodehnejiknhgghinngkhha" TargetMode="External"/><Relationship Id="rId2896" Type="http://schemas.openxmlformats.org/officeDocument/2006/relationships/hyperlink" Target="https://chromewebstore.google.com/detail/dcjnfaoifoefmnbhhlbppaebgnccfddf" TargetMode="External"/><Relationship Id="rId1566" Type="http://schemas.openxmlformats.org/officeDocument/2006/relationships/hyperlink" Target="https://chromewebstore.google.com/detail/laohhcnmipbidhjomikgbmdgckopbgnb" TargetMode="External"/><Relationship Id="rId2897" Type="http://schemas.openxmlformats.org/officeDocument/2006/relationships/hyperlink" Target="https://chromewebstore.google.com/detail/dgogifpkoilgiofhhhodbodcfgomelhe" TargetMode="External"/><Relationship Id="rId1567" Type="http://schemas.openxmlformats.org/officeDocument/2006/relationships/hyperlink" Target="https://chromewebstore.google.com/detail/lbadmllalinlpflkajgkkmjohckpnahm" TargetMode="External"/><Relationship Id="rId2898" Type="http://schemas.openxmlformats.org/officeDocument/2006/relationships/hyperlink" Target="https://chromewebstore.google.com/detail/dhapdlckafkgfpdmiehjdmhnpjkaobfn" TargetMode="External"/><Relationship Id="rId1568" Type="http://schemas.openxmlformats.org/officeDocument/2006/relationships/hyperlink" Target="https://chromewebstore.google.com/detail/lbcabedlbpobhpongobnfkbfceedgdjk" TargetMode="External"/><Relationship Id="rId2899" Type="http://schemas.openxmlformats.org/officeDocument/2006/relationships/hyperlink" Target="https://chromewebstore.google.com/detail/dhhnfhlnfcmnamjbaljhahcklhajihln" TargetMode="External"/><Relationship Id="rId1569" Type="http://schemas.openxmlformats.org/officeDocument/2006/relationships/hyperlink" Target="https://chromewebstore.google.com/detail/lbgoadondhcaigdkciejdegkgambbkne" TargetMode="External"/><Relationship Id="rId976" Type="http://schemas.openxmlformats.org/officeDocument/2006/relationships/hyperlink" Target="https://chromewebstore.google.com/detail/lomkpheldlbkkfiifcbfifipaofnmnkn" TargetMode="External"/><Relationship Id="rId975" Type="http://schemas.openxmlformats.org/officeDocument/2006/relationships/hyperlink" Target="https://chromewebstore.google.com/detail/lmjkddpocmpfpfelefmjeikplccmchaj" TargetMode="External"/><Relationship Id="rId974" Type="http://schemas.openxmlformats.org/officeDocument/2006/relationships/hyperlink" Target="https://chromewebstore.google.com/detail/lknpoadjjkjcmjhbjpcljdednccbldeb" TargetMode="External"/><Relationship Id="rId973" Type="http://schemas.openxmlformats.org/officeDocument/2006/relationships/hyperlink" Target="https://chromewebstore.google.com/detail/lkmjmficaoifggpfapbffkggecbleang" TargetMode="External"/><Relationship Id="rId979" Type="http://schemas.openxmlformats.org/officeDocument/2006/relationships/hyperlink" Target="https://chromewebstore.google.com/detail/lppjdajkacanlmpbbcdkccjkdbpllajb" TargetMode="External"/><Relationship Id="rId978" Type="http://schemas.openxmlformats.org/officeDocument/2006/relationships/hyperlink" Target="https://chromewebstore.google.com/detail/lpmoaclacdaofhlijejogfldmgkdlglj" TargetMode="External"/><Relationship Id="rId977" Type="http://schemas.openxmlformats.org/officeDocument/2006/relationships/hyperlink" Target="https://chromewebstore.google.com/detail/lpgjbchlhnpodjjnemfpfajibnclknam" TargetMode="External"/><Relationship Id="rId2890" Type="http://schemas.openxmlformats.org/officeDocument/2006/relationships/hyperlink" Target="https://chromewebstore.google.com/detail/cpgoncheakfjhldfbebekijoeaabnfeb" TargetMode="External"/><Relationship Id="rId1560" Type="http://schemas.openxmlformats.org/officeDocument/2006/relationships/hyperlink" Target="https://chromewebstore.google.com/detail/kpejegeplfmfcdaelkmmjlnijkejigpg" TargetMode="External"/><Relationship Id="rId2891" Type="http://schemas.openxmlformats.org/officeDocument/2006/relationships/hyperlink" Target="https://chromewebstore.google.com/detail/damoaceajjhenadgpppcccgmanobikjh" TargetMode="External"/><Relationship Id="rId972" Type="http://schemas.openxmlformats.org/officeDocument/2006/relationships/hyperlink" Target="https://chromewebstore.google.com/detail/lkcihiljgncclejgncmkfgdaljifeedk" TargetMode="External"/><Relationship Id="rId1561" Type="http://schemas.openxmlformats.org/officeDocument/2006/relationships/hyperlink" Target="https://chromewebstore.google.com/detail/kpipjgdapccmpkgipfikeajoopjbcgam" TargetMode="External"/><Relationship Id="rId2892" Type="http://schemas.openxmlformats.org/officeDocument/2006/relationships/hyperlink" Target="https://chromewebstore.google.com/detail/dannllckdimllhkiplchkcaoheibealk" TargetMode="External"/><Relationship Id="rId971" Type="http://schemas.openxmlformats.org/officeDocument/2006/relationships/hyperlink" Target="https://chromewebstore.google.com/detail/ljmkpdhploeaohmnljbbkohmmfkikklj" TargetMode="External"/><Relationship Id="rId1562" Type="http://schemas.openxmlformats.org/officeDocument/2006/relationships/hyperlink" Target="https://chromewebstore.google.com/detail/kpkeghonflnkockcnaegmphgdldfnden" TargetMode="External"/><Relationship Id="rId2893" Type="http://schemas.openxmlformats.org/officeDocument/2006/relationships/hyperlink" Target="https://chromewebstore.google.com/detail/dcccjojljijikdpgfollhdhfnmcedkkg" TargetMode="External"/><Relationship Id="rId970" Type="http://schemas.openxmlformats.org/officeDocument/2006/relationships/hyperlink" Target="https://chromewebstore.google.com/detail/lihjlachbdicbhpalgegcgknkbmjhicl" TargetMode="External"/><Relationship Id="rId1563" Type="http://schemas.openxmlformats.org/officeDocument/2006/relationships/hyperlink" Target="https://chromewebstore.google.com/detail/ladomjdmipndjikefjafgemmlnhkhagc" TargetMode="External"/><Relationship Id="rId2894" Type="http://schemas.openxmlformats.org/officeDocument/2006/relationships/hyperlink" Target="https://chromewebstore.google.com/detail/dcemlmncjcljhjfbijimcamijgfdgieb" TargetMode="External"/><Relationship Id="rId1564" Type="http://schemas.openxmlformats.org/officeDocument/2006/relationships/hyperlink" Target="https://chromewebstore.google.com/detail/lajmdphbfjlbhgibfifhjcblodepejnj" TargetMode="External"/><Relationship Id="rId2895" Type="http://schemas.openxmlformats.org/officeDocument/2006/relationships/hyperlink" Target="https://chromewebstore.google.com/detail/dcfcbchldhelnhnohooelmmfdkkemnal" TargetMode="External"/><Relationship Id="rId1598" Type="http://schemas.openxmlformats.org/officeDocument/2006/relationships/hyperlink" Target="https://chromewebstore.google.com/detail/loojjnjjfmnmaefhinlahhaegaffjahc" TargetMode="External"/><Relationship Id="rId1599" Type="http://schemas.openxmlformats.org/officeDocument/2006/relationships/hyperlink" Target="https://chromewebstore.google.com/detail/mbfjokpccbakbnnpklkcginkalkijkan" TargetMode="External"/><Relationship Id="rId1590" Type="http://schemas.openxmlformats.org/officeDocument/2006/relationships/hyperlink" Target="https://chromewebstore.google.com/detail/llpepekkleeoeiloijhcafgpjdnhhcbl" TargetMode="External"/><Relationship Id="rId1591" Type="http://schemas.openxmlformats.org/officeDocument/2006/relationships/hyperlink" Target="https://chromewebstore.google.com/detail/lmcaacacgcdhhodchambiananlcdpbai" TargetMode="External"/><Relationship Id="rId1592" Type="http://schemas.openxmlformats.org/officeDocument/2006/relationships/hyperlink" Target="https://chromewebstore.google.com/detail/lmcaegdggcafolpgdikbahmnbbpdccgm" TargetMode="External"/><Relationship Id="rId1593" Type="http://schemas.openxmlformats.org/officeDocument/2006/relationships/hyperlink" Target="https://chromewebstore.google.com/detail/lmhacemfmaapnkiehojbhmclmdnhjhfn" TargetMode="External"/><Relationship Id="rId1594" Type="http://schemas.openxmlformats.org/officeDocument/2006/relationships/hyperlink" Target="https://chromewebstore.google.com/detail/lmheddkblpkjlenfibgjpfheabbjemgd" TargetMode="External"/><Relationship Id="rId1595" Type="http://schemas.openxmlformats.org/officeDocument/2006/relationships/hyperlink" Target="https://chromewebstore.google.com/detail/lncoipkfcckgfhbmkjmfkfenoonmnjcd" TargetMode="External"/><Relationship Id="rId1596" Type="http://schemas.openxmlformats.org/officeDocument/2006/relationships/hyperlink" Target="https://chromewebstore.google.com/detail/lofpffjefackjdfaacfkjdbfhfnkdgfl" TargetMode="External"/><Relationship Id="rId1597" Type="http://schemas.openxmlformats.org/officeDocument/2006/relationships/hyperlink" Target="https://chromewebstore.google.com/detail/lonbpbajbkhgnpdmiooklflmcnmlmbna" TargetMode="External"/><Relationship Id="rId1587" Type="http://schemas.openxmlformats.org/officeDocument/2006/relationships/hyperlink" Target="https://chromewebstore.google.com/detail/lkkpfhgjmocgneajknedjhodkjkkclod" TargetMode="External"/><Relationship Id="rId1588" Type="http://schemas.openxmlformats.org/officeDocument/2006/relationships/hyperlink" Target="https://chromewebstore.google.com/detail/llbdoljkknpjgfcnbnoiehjcgancpjmd" TargetMode="External"/><Relationship Id="rId1589" Type="http://schemas.openxmlformats.org/officeDocument/2006/relationships/hyperlink" Target="https://chromewebstore.google.com/detail/lljpgahbeilaecaaiecghpmfajfeclge" TargetMode="External"/><Relationship Id="rId998" Type="http://schemas.openxmlformats.org/officeDocument/2006/relationships/hyperlink" Target="https://chromewebstore.google.com/detail/mpfbkohdhhgacfeehcmplcfggmeeajdg" TargetMode="External"/><Relationship Id="rId997" Type="http://schemas.openxmlformats.org/officeDocument/2006/relationships/hyperlink" Target="https://chromewebstore.google.com/detail/moibopkbhjceeedibkbkbchbjnkadmom" TargetMode="External"/><Relationship Id="rId996" Type="http://schemas.openxmlformats.org/officeDocument/2006/relationships/hyperlink" Target="https://chromewebstore.google.com/detail/mofhjibbjkonpgnejododmahilkbconf" TargetMode="External"/><Relationship Id="rId995" Type="http://schemas.openxmlformats.org/officeDocument/2006/relationships/hyperlink" Target="https://chromewebstore.google.com/detail/mmjmmaebgpkepeokbpeljabjhbmepodi" TargetMode="External"/><Relationship Id="rId999" Type="http://schemas.openxmlformats.org/officeDocument/2006/relationships/hyperlink" Target="https://chromewebstore.google.com/detail/mpnfndnehgmmonhfcfdnaemdeokofgaf" TargetMode="External"/><Relationship Id="rId990" Type="http://schemas.openxmlformats.org/officeDocument/2006/relationships/hyperlink" Target="https://chromewebstore.google.com/detail/mjcecbpccklceljomllkhilglcdcncbh" TargetMode="External"/><Relationship Id="rId1580" Type="http://schemas.openxmlformats.org/officeDocument/2006/relationships/hyperlink" Target="https://chromewebstore.google.com/detail/lggmmceliiaoddfnbaccgpfnpoifilic" TargetMode="External"/><Relationship Id="rId1581" Type="http://schemas.openxmlformats.org/officeDocument/2006/relationships/hyperlink" Target="https://chromewebstore.google.com/detail/lhjanpmhcanjknkcfjiikkjdecjkmngn" TargetMode="External"/><Relationship Id="rId1582" Type="http://schemas.openxmlformats.org/officeDocument/2006/relationships/hyperlink" Target="https://chromewebstore.google.com/detail/lhkeofanobfbjmfbfjjmibanddfkgobc" TargetMode="External"/><Relationship Id="rId994" Type="http://schemas.openxmlformats.org/officeDocument/2006/relationships/hyperlink" Target="https://chromewebstore.google.com/detail/mmiolkcfamcbpoandjpnefiegkcpeoan" TargetMode="External"/><Relationship Id="rId1583" Type="http://schemas.openxmlformats.org/officeDocument/2006/relationships/hyperlink" Target="https://chromewebstore.google.com/detail/liiikhhbkpmpomjmdofandjmdgapiahi" TargetMode="External"/><Relationship Id="rId993" Type="http://schemas.openxmlformats.org/officeDocument/2006/relationships/hyperlink" Target="https://chromewebstore.google.com/detail/mlbgnlemejoeocmncpolejmdbimkoiol" TargetMode="External"/><Relationship Id="rId1584" Type="http://schemas.openxmlformats.org/officeDocument/2006/relationships/hyperlink" Target="https://chromewebstore.google.com/detail/ljbpakpmiimdmblcjjhhbfabbkmcgmdp" TargetMode="External"/><Relationship Id="rId992" Type="http://schemas.openxmlformats.org/officeDocument/2006/relationships/hyperlink" Target="https://chromewebstore.google.com/detail/mkgjficalhplaenklhejcbmlkonbakjj" TargetMode="External"/><Relationship Id="rId1585" Type="http://schemas.openxmlformats.org/officeDocument/2006/relationships/hyperlink" Target="https://chromewebstore.google.com/detail/ljkhgacfcnhpfafpcdpaadgklajibdak" TargetMode="External"/><Relationship Id="rId991" Type="http://schemas.openxmlformats.org/officeDocument/2006/relationships/hyperlink" Target="https://chromewebstore.google.com/detail/mjmdefoccnioblaeicpedekiigfoghbb" TargetMode="External"/><Relationship Id="rId1586" Type="http://schemas.openxmlformats.org/officeDocument/2006/relationships/hyperlink" Target="https://chromewebstore.google.com/detail/lkgmjkgknefdgjjclddkhndgljlbgmhc" TargetMode="External"/><Relationship Id="rId1532" Type="http://schemas.openxmlformats.org/officeDocument/2006/relationships/hyperlink" Target="https://chromewebstore.google.com/detail/kfbocdnicmioodheiciijiegbmfoliim" TargetMode="External"/><Relationship Id="rId2863" Type="http://schemas.openxmlformats.org/officeDocument/2006/relationships/hyperlink" Target="https://chromewebstore.google.com/detail/ceffohncmfdlkdjbnojpdbmnfnigonba" TargetMode="External"/><Relationship Id="rId1533" Type="http://schemas.openxmlformats.org/officeDocument/2006/relationships/hyperlink" Target="https://chromewebstore.google.com/detail/kfdghhdnlfeencnfpbpddbceglaamobk" TargetMode="External"/><Relationship Id="rId2864" Type="http://schemas.openxmlformats.org/officeDocument/2006/relationships/hyperlink" Target="https://chromewebstore.google.com/detail/ceiihmdnpjglaoolchdmncoffhhbgodj" TargetMode="External"/><Relationship Id="rId1534" Type="http://schemas.openxmlformats.org/officeDocument/2006/relationships/hyperlink" Target="https://chromewebstore.google.com/detail/kfdocpnoiimdgjglhkbbbfholbibhgmh" TargetMode="External"/><Relationship Id="rId2865" Type="http://schemas.openxmlformats.org/officeDocument/2006/relationships/hyperlink" Target="https://chromewebstore.google.com/detail/cempkcjhopkkdjbhdcmogacchkllmkoi" TargetMode="External"/><Relationship Id="rId1535" Type="http://schemas.openxmlformats.org/officeDocument/2006/relationships/hyperlink" Target="https://chromewebstore.google.com/detail/kfieapkahkkhclonobinbonddbfkpbck" TargetMode="External"/><Relationship Id="rId2866" Type="http://schemas.openxmlformats.org/officeDocument/2006/relationships/hyperlink" Target="https://chromewebstore.google.com/detail/cfifjihfoegnccifkcdomdookdckhaah" TargetMode="External"/><Relationship Id="rId1536" Type="http://schemas.openxmlformats.org/officeDocument/2006/relationships/hyperlink" Target="https://chromewebstore.google.com/detail/kfnogdokhemdbbclknmmjpcnmjmpjknc" TargetMode="External"/><Relationship Id="rId2867" Type="http://schemas.openxmlformats.org/officeDocument/2006/relationships/hyperlink" Target="https://chromewebstore.google.com/detail/cfioaajkjmmdpnebpkjanmpaffnahaai" TargetMode="External"/><Relationship Id="rId1537" Type="http://schemas.openxmlformats.org/officeDocument/2006/relationships/hyperlink" Target="https://chromewebstore.google.com/detail/khglpdagpjepfkjnnjcpiciekjoailhf" TargetMode="External"/><Relationship Id="rId2868" Type="http://schemas.openxmlformats.org/officeDocument/2006/relationships/hyperlink" Target="https://chromewebstore.google.com/detail/cfpodbpbpcaccakppfhhmocmjleehngd" TargetMode="External"/><Relationship Id="rId1538" Type="http://schemas.openxmlformats.org/officeDocument/2006/relationships/hyperlink" Target="https://chromewebstore.google.com/detail/khigmghadjljgjpamimgjjmpmlbgmekj" TargetMode="External"/><Relationship Id="rId2869" Type="http://schemas.openxmlformats.org/officeDocument/2006/relationships/hyperlink" Target="https://chromewebstore.google.com/detail/cgkmhlnbmfjmlplmcdnannneiplmjiba" TargetMode="External"/><Relationship Id="rId1539" Type="http://schemas.openxmlformats.org/officeDocument/2006/relationships/hyperlink" Target="https://chromewebstore.google.com/detail/khpbaggebmegoocfoapahhdgjepfinok" TargetMode="External"/><Relationship Id="rId949" Type="http://schemas.openxmlformats.org/officeDocument/2006/relationships/hyperlink" Target="https://chromewebstore.google.com/detail/jmgffnfpmjbignenkflohmgagidjcomp" TargetMode="External"/><Relationship Id="rId948" Type="http://schemas.openxmlformats.org/officeDocument/2006/relationships/hyperlink" Target="https://chromewebstore.google.com/detail/jlmafbaeoofdegohdhinkhilhclaklkp" TargetMode="External"/><Relationship Id="rId943" Type="http://schemas.openxmlformats.org/officeDocument/2006/relationships/hyperlink" Target="https://chromewebstore.google.com/detail/jfnifeihccihocjbfcfhicmmgpjicaec" TargetMode="External"/><Relationship Id="rId942" Type="http://schemas.openxmlformats.org/officeDocument/2006/relationships/hyperlink" Target="https://chromewebstore.google.com/detail/jfeiiafdlajdfijkagdncomkjjpadogg" TargetMode="External"/><Relationship Id="rId941" Type="http://schemas.openxmlformats.org/officeDocument/2006/relationships/hyperlink" Target="https://chromewebstore.google.com/detail/jfanfpmalehkemdiiebjljddhgojhfab" TargetMode="External"/><Relationship Id="rId940" Type="http://schemas.openxmlformats.org/officeDocument/2006/relationships/hyperlink" Target="https://chromewebstore.google.com/detail/jeddnlnhbnhbpojpebckcgongkiijobk" TargetMode="External"/><Relationship Id="rId947" Type="http://schemas.openxmlformats.org/officeDocument/2006/relationships/hyperlink" Target="https://chromewebstore.google.com/detail/jkdogkallbmmdhpdjdpmoejkehfeefnb" TargetMode="External"/><Relationship Id="rId946" Type="http://schemas.openxmlformats.org/officeDocument/2006/relationships/hyperlink" Target="https://chromewebstore.google.com/detail/jimdhomgkpmmhhcegiebdajlkmjgikaf" TargetMode="External"/><Relationship Id="rId945" Type="http://schemas.openxmlformats.org/officeDocument/2006/relationships/hyperlink" Target="https://chromewebstore.google.com/detail/jhlbghechidndabckcpalkdkdckloceo" TargetMode="External"/><Relationship Id="rId944" Type="http://schemas.openxmlformats.org/officeDocument/2006/relationships/hyperlink" Target="http://horiz.io" TargetMode="External"/><Relationship Id="rId2860" Type="http://schemas.openxmlformats.org/officeDocument/2006/relationships/hyperlink" Target="https://chromewebstore.google.com/detail/ccilmbdijoknlfpepncnebjkiclplhig" TargetMode="External"/><Relationship Id="rId1530" Type="http://schemas.openxmlformats.org/officeDocument/2006/relationships/hyperlink" Target="https://chromewebstore.google.com/detail/kekdllcidamgebonidegjekidhdihdli" TargetMode="External"/><Relationship Id="rId2861" Type="http://schemas.openxmlformats.org/officeDocument/2006/relationships/hyperlink" Target="https://chromewebstore.google.com/detail/ccpijdhjamhdeljmaepelipackhmiepd" TargetMode="External"/><Relationship Id="rId1531" Type="http://schemas.openxmlformats.org/officeDocument/2006/relationships/hyperlink" Target="https://chromewebstore.google.com/detail/kemkenbgbgodoglfkkejbdcpojnodnkg" TargetMode="External"/><Relationship Id="rId2862" Type="http://schemas.openxmlformats.org/officeDocument/2006/relationships/hyperlink" Target="https://chromewebstore.google.com/detail/cdfideipbjhenjiijgmifpfgkhoneaic" TargetMode="External"/><Relationship Id="rId1521" Type="http://schemas.openxmlformats.org/officeDocument/2006/relationships/hyperlink" Target="https://chromewebstore.google.com/detail/jpjkaekegnficmcdgicgdbnpnjiaeldi" TargetMode="External"/><Relationship Id="rId2852" Type="http://schemas.openxmlformats.org/officeDocument/2006/relationships/hyperlink" Target="https://chromewebstore.google.com/detail/blabaldcgjcicckhojgankkjjfcjjefh" TargetMode="External"/><Relationship Id="rId1522" Type="http://schemas.openxmlformats.org/officeDocument/2006/relationships/hyperlink" Target="https://chromewebstore.google.com/detail/kbbbldgkhcpkmmjbjelmkjkchibeklng" TargetMode="External"/><Relationship Id="rId2853" Type="http://schemas.openxmlformats.org/officeDocument/2006/relationships/hyperlink" Target="https://chromewebstore.google.com/detail/blbiaonjllllhnnblbddfhncokpmogjh" TargetMode="External"/><Relationship Id="rId1523" Type="http://schemas.openxmlformats.org/officeDocument/2006/relationships/hyperlink" Target="https://chromewebstore.google.com/detail/kbkglbhikjonodlofbcomogfcbfjipog" TargetMode="External"/><Relationship Id="rId2854" Type="http://schemas.openxmlformats.org/officeDocument/2006/relationships/hyperlink" Target="https://chromewebstore.google.com/detail/bmjdeaihnngnnnaldgakphcaanioohgn" TargetMode="External"/><Relationship Id="rId1524" Type="http://schemas.openxmlformats.org/officeDocument/2006/relationships/hyperlink" Target="https://chromewebstore.google.com/detail/kcijjmomofpdcpeiagibojhjifhegepj" TargetMode="External"/><Relationship Id="rId2855" Type="http://schemas.openxmlformats.org/officeDocument/2006/relationships/hyperlink" Target="https://chromewebstore.google.com/detail/boobfniiepghnbeplehgjjmjnfehmnba" TargetMode="External"/><Relationship Id="rId1525" Type="http://schemas.openxmlformats.org/officeDocument/2006/relationships/hyperlink" Target="https://chromewebstore.google.com/detail/kcpnkledgcbobhkgimpbmejgockkplob" TargetMode="External"/><Relationship Id="rId2856" Type="http://schemas.openxmlformats.org/officeDocument/2006/relationships/hyperlink" Target="https://chromewebstore.google.com/detail/cabpifjghnpgidgabhhcglnmabpggcem" TargetMode="External"/><Relationship Id="rId1526" Type="http://schemas.openxmlformats.org/officeDocument/2006/relationships/hyperlink" Target="https://chromewebstore.google.com/detail/kdapmdimgdebpgolimjnmcdlkbkddoif" TargetMode="External"/><Relationship Id="rId2857" Type="http://schemas.openxmlformats.org/officeDocument/2006/relationships/hyperlink" Target="https://chromewebstore.google.com/detail/cagjnmggjoldimomobkioelipinmoddn" TargetMode="External"/><Relationship Id="rId1527" Type="http://schemas.openxmlformats.org/officeDocument/2006/relationships/hyperlink" Target="https://chromewebstore.google.com/detail/kdebapklkojiiipmkbhcnbbhbanopdfk" TargetMode="External"/><Relationship Id="rId2858" Type="http://schemas.openxmlformats.org/officeDocument/2006/relationships/hyperlink" Target="https://chromewebstore.google.com/detail/cbcmjpjgkjebibnojeedgapogoohckae" TargetMode="External"/><Relationship Id="rId1528" Type="http://schemas.openxmlformats.org/officeDocument/2006/relationships/hyperlink" Target="https://chromewebstore.google.com/detail/kdejdkdjdoabfihpcjmgjebcpfbhepmh" TargetMode="External"/><Relationship Id="rId2859" Type="http://schemas.openxmlformats.org/officeDocument/2006/relationships/hyperlink" Target="https://chromewebstore.google.com/detail/cbjgpemimjmpbldgimfocbanmmkoefbi" TargetMode="External"/><Relationship Id="rId1529" Type="http://schemas.openxmlformats.org/officeDocument/2006/relationships/hyperlink" Target="https://chromewebstore.google.com/detail/kdmchalhobbejlbnkgkldeblaeijamhb" TargetMode="External"/><Relationship Id="rId939" Type="http://schemas.openxmlformats.org/officeDocument/2006/relationships/hyperlink" Target="https://chromewebstore.google.com/detail/jcidaaakdmdpepcgdgjklecfhebbmjjk" TargetMode="External"/><Relationship Id="rId938" Type="http://schemas.openxmlformats.org/officeDocument/2006/relationships/hyperlink" Target="https://chromewebstore.google.com/detail/jcgoegpgdgklohplpnopagfbipaaddcl" TargetMode="External"/><Relationship Id="rId937" Type="http://schemas.openxmlformats.org/officeDocument/2006/relationships/hyperlink" Target="https://chromewebstore.google.com/detail/jalmmnpclgbgcphkbnglcnlobgcbhkki" TargetMode="External"/><Relationship Id="rId932" Type="http://schemas.openxmlformats.org/officeDocument/2006/relationships/hyperlink" Target="https://chromewebstore.google.com/detail/inailacfginaoeoaalimoleipnedabga" TargetMode="External"/><Relationship Id="rId931" Type="http://schemas.openxmlformats.org/officeDocument/2006/relationships/hyperlink" Target="https://chromewebstore.google.com/detail/ijnjlojbdhgpamjiflocklhfeciokfdl" TargetMode="External"/><Relationship Id="rId930" Type="http://schemas.openxmlformats.org/officeDocument/2006/relationships/hyperlink" Target="https://chromewebstore.google.com/detail/ijaabbaphikljkkcbgpbaljfjpflpeoo" TargetMode="External"/><Relationship Id="rId936" Type="http://schemas.openxmlformats.org/officeDocument/2006/relationships/hyperlink" Target="https://chromewebstore.google.com/detail/ipgcdnbeeiajinajlafjcdfhckglcopd" TargetMode="External"/><Relationship Id="rId935" Type="http://schemas.openxmlformats.org/officeDocument/2006/relationships/hyperlink" Target="https://chromewebstore.google.com/detail/ipdjaafajlfiopcppipdinmcjbcpofhd" TargetMode="External"/><Relationship Id="rId934" Type="http://schemas.openxmlformats.org/officeDocument/2006/relationships/hyperlink" Target="https://chromewebstore.google.com/detail/ioemnmodlmafdkllaclgeombjnmnbima" TargetMode="External"/><Relationship Id="rId933" Type="http://schemas.openxmlformats.org/officeDocument/2006/relationships/hyperlink" Target="https://chromewebstore.google.com/detail/ioaplpondpicpdlfoccpaenbdinbdbpi" TargetMode="External"/><Relationship Id="rId2850" Type="http://schemas.openxmlformats.org/officeDocument/2006/relationships/hyperlink" Target="https://chromewebstore.google.com/detail/bjmlgmafibinjaenlecblghckooofkma" TargetMode="External"/><Relationship Id="rId1520" Type="http://schemas.openxmlformats.org/officeDocument/2006/relationships/hyperlink" Target="https://chromewebstore.google.com/detail/jpakadanffilpnjijlmmkljogkfaognd" TargetMode="External"/><Relationship Id="rId2851" Type="http://schemas.openxmlformats.org/officeDocument/2006/relationships/hyperlink" Target="https://chromewebstore.google.com/detail/bkbofjphmlieeijckncaopohipgminhc" TargetMode="External"/><Relationship Id="rId1554" Type="http://schemas.openxmlformats.org/officeDocument/2006/relationships/hyperlink" Target="https://chromewebstore.google.com/detail/knahjdfbilnkfipggnnhojmjpjcgjkmg" TargetMode="External"/><Relationship Id="rId2885" Type="http://schemas.openxmlformats.org/officeDocument/2006/relationships/hyperlink" Target="https://chromewebstore.google.com/detail/clkkocmhcpfginlphpgjmgpdffihcbmm" TargetMode="External"/><Relationship Id="rId1555" Type="http://schemas.openxmlformats.org/officeDocument/2006/relationships/hyperlink" Target="https://chromewebstore.google.com/detail/kncchdigobghenbbaddojjnnaogfppfj" TargetMode="External"/><Relationship Id="rId2886" Type="http://schemas.openxmlformats.org/officeDocument/2006/relationships/hyperlink" Target="https://chromewebstore.google.com/detail/cnbelooiikkmhknahgkckaikndlmlhfd" TargetMode="External"/><Relationship Id="rId1556" Type="http://schemas.openxmlformats.org/officeDocument/2006/relationships/hyperlink" Target="https://chromewebstore.google.com/detail/knjpopecjigkkaddmoahjcfpbgedkibf" TargetMode="External"/><Relationship Id="rId2887" Type="http://schemas.openxmlformats.org/officeDocument/2006/relationships/hyperlink" Target="https://chromewebstore.google.com/detail/cnkgefjeknjodlkfmfmjelgbmfbnkmma" TargetMode="External"/><Relationship Id="rId1557" Type="http://schemas.openxmlformats.org/officeDocument/2006/relationships/hyperlink" Target="https://chromewebstore.google.com/detail/knmghooehbjicekkmaolodoaapmjmcog" TargetMode="External"/><Relationship Id="rId2888" Type="http://schemas.openxmlformats.org/officeDocument/2006/relationships/hyperlink" Target="https://chromewebstore.google.com/detail/cnnffgdlkepdhppahlfeojbpjlbbpgep" TargetMode="External"/><Relationship Id="rId1558" Type="http://schemas.openxmlformats.org/officeDocument/2006/relationships/hyperlink" Target="https://chromewebstore.google.com/detail/kobncijmigkffnhcopokahlmpionoplk" TargetMode="External"/><Relationship Id="rId2889" Type="http://schemas.openxmlformats.org/officeDocument/2006/relationships/hyperlink" Target="https://chromewebstore.google.com/detail/coiigbmcndbjgabknjnaiangcommnnob" TargetMode="External"/><Relationship Id="rId1559" Type="http://schemas.openxmlformats.org/officeDocument/2006/relationships/hyperlink" Target="https://chromewebstore.google.com/detail/kpcibgnngaaabebmcabmkocdokepdaki" TargetMode="External"/><Relationship Id="rId965" Type="http://schemas.openxmlformats.org/officeDocument/2006/relationships/hyperlink" Target="https://chromewebstore.google.com/detail/ldjbglicecgnpkpdhpbogkednmmbebec" TargetMode="External"/><Relationship Id="rId964" Type="http://schemas.openxmlformats.org/officeDocument/2006/relationships/hyperlink" Target="https://chromewebstore.google.com/detail/lccfnphpgnpeghoffocbacbkohbapinm" TargetMode="External"/><Relationship Id="rId963" Type="http://schemas.openxmlformats.org/officeDocument/2006/relationships/hyperlink" Target="https://chromewebstore.google.com/detail/lcaelgondnfehcambmdhhfokjknhfahc" TargetMode="External"/><Relationship Id="rId962" Type="http://schemas.openxmlformats.org/officeDocument/2006/relationships/hyperlink" Target="https://chromewebstore.google.com/detail/kpfnljnhmfhomajodmlepkcoflmbjiaf" TargetMode="External"/><Relationship Id="rId969" Type="http://schemas.openxmlformats.org/officeDocument/2006/relationships/hyperlink" Target="https://chromewebstore.google.com/detail/lifkpflabnobkgbjpcmocmgcajlecbcp" TargetMode="External"/><Relationship Id="rId968" Type="http://schemas.openxmlformats.org/officeDocument/2006/relationships/hyperlink" Target="https://chromewebstore.google.com/detail/lhlckkgdiojkapplglfeomlkjllphilo" TargetMode="External"/><Relationship Id="rId967" Type="http://schemas.openxmlformats.org/officeDocument/2006/relationships/hyperlink" Target="https://chromewebstore.google.com/detail/lflnplggpolkcgknahacafilopgngelc" TargetMode="External"/><Relationship Id="rId966" Type="http://schemas.openxmlformats.org/officeDocument/2006/relationships/hyperlink" Target="https://chromewebstore.google.com/detail/lfhjgihpknekohffabeddfkmoiklonhm" TargetMode="External"/><Relationship Id="rId2880" Type="http://schemas.openxmlformats.org/officeDocument/2006/relationships/hyperlink" Target="https://chromewebstore.google.com/detail/cjoidmhkohpfflneoadklkfkekihbjia" TargetMode="External"/><Relationship Id="rId961" Type="http://schemas.openxmlformats.org/officeDocument/2006/relationships/hyperlink" Target="https://chromewebstore.google.com/detail/kmillccnmojidmkhhjngjlalnbhpobcl" TargetMode="External"/><Relationship Id="rId1550" Type="http://schemas.openxmlformats.org/officeDocument/2006/relationships/hyperlink" Target="https://chromewebstore.google.com/detail/kmjcmncjhdnaealenhoohllicfkdojpb" TargetMode="External"/><Relationship Id="rId2881" Type="http://schemas.openxmlformats.org/officeDocument/2006/relationships/hyperlink" Target="https://chromewebstore.google.com/detail/ckfodameiahfhlainaclajkgfagkpodb" TargetMode="External"/><Relationship Id="rId960" Type="http://schemas.openxmlformats.org/officeDocument/2006/relationships/hyperlink" Target="https://chromewebstore.google.com/detail/khoojcphcmgcplkpckkjpdlloooifgec" TargetMode="External"/><Relationship Id="rId1551" Type="http://schemas.openxmlformats.org/officeDocument/2006/relationships/hyperlink" Target="https://chromewebstore.google.com/detail/kmmbfbgimpbcaaeibgnijiflciagmiha" TargetMode="External"/><Relationship Id="rId2882" Type="http://schemas.openxmlformats.org/officeDocument/2006/relationships/hyperlink" Target="https://chromewebstore.google.com/detail/ckinimcmjlcaclahdpbeklbgfjidaeml" TargetMode="External"/><Relationship Id="rId1552" Type="http://schemas.openxmlformats.org/officeDocument/2006/relationships/hyperlink" Target="https://chromewebstore.google.com/detail/kmpienmlhgboooblifeplelmpaaccafc" TargetMode="External"/><Relationship Id="rId2883" Type="http://schemas.openxmlformats.org/officeDocument/2006/relationships/hyperlink" Target="https://chromewebstore.google.com/detail/clgddkmefkffmfinedklminbclibddlf" TargetMode="External"/><Relationship Id="rId1553" Type="http://schemas.openxmlformats.org/officeDocument/2006/relationships/hyperlink" Target="https://chromewebstore.google.com/detail/knaddinhblejecfcgajdpbebicfpejem" TargetMode="External"/><Relationship Id="rId2884" Type="http://schemas.openxmlformats.org/officeDocument/2006/relationships/hyperlink" Target="https://chromewebstore.google.com/detail/clkkaggocmafajhbcbknhcgnbmagjohi" TargetMode="External"/><Relationship Id="rId1543" Type="http://schemas.openxmlformats.org/officeDocument/2006/relationships/hyperlink" Target="https://chromewebstore.google.com/detail/kjhjcgclphafojaeeickcokfbhlegecd" TargetMode="External"/><Relationship Id="rId2874" Type="http://schemas.openxmlformats.org/officeDocument/2006/relationships/hyperlink" Target="https://chromewebstore.google.com/detail/chnfcckibdbgjabhojhmdcnbiiogbleb" TargetMode="External"/><Relationship Id="rId1544" Type="http://schemas.openxmlformats.org/officeDocument/2006/relationships/hyperlink" Target="https://chromewebstore.google.com/detail/kkdihlopcnkjinfjhbeopjfmnfpcoaop" TargetMode="External"/><Relationship Id="rId2875" Type="http://schemas.openxmlformats.org/officeDocument/2006/relationships/hyperlink" Target="https://chromewebstore.google.com/detail/cieekmjjdkckhpidgaffphlaljdfhhab" TargetMode="External"/><Relationship Id="rId1545" Type="http://schemas.openxmlformats.org/officeDocument/2006/relationships/hyperlink" Target="https://chromewebstore.google.com/detail/kkfnfemdemphdadfolkmoimpeibeiadc" TargetMode="External"/><Relationship Id="rId2876" Type="http://schemas.openxmlformats.org/officeDocument/2006/relationships/hyperlink" Target="https://chromewebstore.google.com/detail/cioghjjkbkedmiipnkpopholijehcddj" TargetMode="External"/><Relationship Id="rId1546" Type="http://schemas.openxmlformats.org/officeDocument/2006/relationships/hyperlink" Target="https://chromewebstore.google.com/detail/kkhffehjpbmdlibbcideiaidmdcfgglc" TargetMode="External"/><Relationship Id="rId2877" Type="http://schemas.openxmlformats.org/officeDocument/2006/relationships/hyperlink" Target="https://chromewebstore.google.com/detail/ciomikhpohnecdfdpiakhjbmfbmjpmkf" TargetMode="External"/><Relationship Id="rId1547" Type="http://schemas.openxmlformats.org/officeDocument/2006/relationships/hyperlink" Target="https://chromewebstore.google.com/detail/kklpgonjnnbbhogmboejgklhlmakfmpm" TargetMode="External"/><Relationship Id="rId2878" Type="http://schemas.openxmlformats.org/officeDocument/2006/relationships/hyperlink" Target="https://chromewebstore.google.com/detail/cjekpooehbkibbkgdbfmcnmhgegklnmj" TargetMode="External"/><Relationship Id="rId1548" Type="http://schemas.openxmlformats.org/officeDocument/2006/relationships/hyperlink" Target="https://chromewebstore.google.com/detail/klmjghhmchlbcjechkhmgcjhkbbbjglb" TargetMode="External"/><Relationship Id="rId2879" Type="http://schemas.openxmlformats.org/officeDocument/2006/relationships/hyperlink" Target="https://chromewebstore.google.com/detail/cjmlnaabfplidoaeildcdndpnefcdhoh" TargetMode="External"/><Relationship Id="rId1549" Type="http://schemas.openxmlformats.org/officeDocument/2006/relationships/hyperlink" Target="https://chromewebstore.google.com/detail/kmgagnlkckiamnenbpigfaljmanlbbhh" TargetMode="External"/><Relationship Id="rId959" Type="http://schemas.openxmlformats.org/officeDocument/2006/relationships/hyperlink" Target="https://chromewebstore.google.com/detail/kglfobkcdlefpknbcckmlmemggfdnmcd" TargetMode="External"/><Relationship Id="rId954" Type="http://schemas.openxmlformats.org/officeDocument/2006/relationships/hyperlink" Target="https://chromewebstore.google.com/detail/kbcogmlnjaoecibenadekhkeelgdpmnb" TargetMode="External"/><Relationship Id="rId953" Type="http://schemas.openxmlformats.org/officeDocument/2006/relationships/hyperlink" Target="https://chromewebstore.google.com/detail/kbbidhfplpegemhlbcfboalcjdmgebap" TargetMode="External"/><Relationship Id="rId952" Type="http://schemas.openxmlformats.org/officeDocument/2006/relationships/hyperlink" Target="https://chromewebstore.google.com/detail/jociimjddimnffomhjjehnfkimddinaa" TargetMode="External"/><Relationship Id="rId951" Type="http://schemas.openxmlformats.org/officeDocument/2006/relationships/hyperlink" Target="https://chromewebstore.google.com/detail/jocgehpknbbpjlenfoobdlgpppacpfgk" TargetMode="External"/><Relationship Id="rId958" Type="http://schemas.openxmlformats.org/officeDocument/2006/relationships/hyperlink" Target="https://chromewebstore.google.com/detail/kegnjbncdcliihbemealioapbifiaedg" TargetMode="External"/><Relationship Id="rId957" Type="http://schemas.openxmlformats.org/officeDocument/2006/relationships/hyperlink" Target="https://chromewebstore.google.com/detail/kddpiojgkjnpmgiegglncafdpnigcbij" TargetMode="External"/><Relationship Id="rId956" Type="http://schemas.openxmlformats.org/officeDocument/2006/relationships/hyperlink" Target="https://chromewebstore.google.com/detail/kclagiidcihmjfnlfdboggonemfhcklk" TargetMode="External"/><Relationship Id="rId955" Type="http://schemas.openxmlformats.org/officeDocument/2006/relationships/hyperlink" Target="https://chromewebstore.google.com/detail/kchdfagjljmhgapoonapmfngpadcjkhk" TargetMode="External"/><Relationship Id="rId950" Type="http://schemas.openxmlformats.org/officeDocument/2006/relationships/hyperlink" Target="https://chromewebstore.google.com/detail/jnlkjeecojckkigmchmfoigphmgkgbip" TargetMode="External"/><Relationship Id="rId2870" Type="http://schemas.openxmlformats.org/officeDocument/2006/relationships/hyperlink" Target="https://chromewebstore.google.com/detail/cgmllohkcppmnkfpijpngkplpdbikhlf" TargetMode="External"/><Relationship Id="rId1540" Type="http://schemas.openxmlformats.org/officeDocument/2006/relationships/hyperlink" Target="https://chromewebstore.google.com/detail/kinkgmlnfafflibopbljlhihdjmbahha" TargetMode="External"/><Relationship Id="rId2871" Type="http://schemas.openxmlformats.org/officeDocument/2006/relationships/hyperlink" Target="https://chromewebstore.google.com/detail/cgplmlkapmilmmccefnmllkdhjlkiako" TargetMode="External"/><Relationship Id="rId1541" Type="http://schemas.openxmlformats.org/officeDocument/2006/relationships/hyperlink" Target="https://chromewebstore.google.com/detail/kjdggbneannapcpmgobggobbnhecfpbh" TargetMode="External"/><Relationship Id="rId2872" Type="http://schemas.openxmlformats.org/officeDocument/2006/relationships/hyperlink" Target="https://chromewebstore.google.com/detail/chhpogndpjcgjbnbcodhdnilklfanmfh" TargetMode="External"/><Relationship Id="rId1542" Type="http://schemas.openxmlformats.org/officeDocument/2006/relationships/hyperlink" Target="https://chromewebstore.google.com/detail/kjdgohfkopafhjmmlbojhaabfpndllgk" TargetMode="External"/><Relationship Id="rId2873" Type="http://schemas.openxmlformats.org/officeDocument/2006/relationships/hyperlink" Target="https://chromewebstore.google.com/detail/chihjmmmhbapnhemoopibkekbojilhge" TargetMode="External"/><Relationship Id="rId7717" Type="http://schemas.openxmlformats.org/officeDocument/2006/relationships/hyperlink" Target="https://chromewebstore.google.com/detail/fgkbkepokoodbbcbcboiopdkfelpjhgi" TargetMode="External"/><Relationship Id="rId7716" Type="http://schemas.openxmlformats.org/officeDocument/2006/relationships/hyperlink" Target="https://chromewebstore.google.com/detail/cpmajpjgghbgnplkodkmapnlkapkgbog" TargetMode="External"/><Relationship Id="rId7715" Type="http://schemas.openxmlformats.org/officeDocument/2006/relationships/hyperlink" Target="https://chromewebstore.google.com/detail/jfkknglaiapdhkgjpeiedhdkhlkmiglh" TargetMode="External"/><Relationship Id="rId7714" Type="http://schemas.openxmlformats.org/officeDocument/2006/relationships/hyperlink" Target="https://chromewebstore.google.com/detail/ihoaepdiibjbifnhcjoaddgcnfgjmjdk" TargetMode="External"/><Relationship Id="rId7719" Type="http://schemas.openxmlformats.org/officeDocument/2006/relationships/hyperlink" Target="https://chromewebstore.google.com/detail/lkoelcpcjjehbjcchcbddggjmphfaiie" TargetMode="External"/><Relationship Id="rId7718" Type="http://schemas.openxmlformats.org/officeDocument/2006/relationships/hyperlink" Target="https://chromewebstore.google.com/detail/khhogbhcofdjjccjhgganhkhokibnfnb" TargetMode="External"/><Relationship Id="rId7713" Type="http://schemas.openxmlformats.org/officeDocument/2006/relationships/hyperlink" Target="https://chromewebstore.google.com/detail/dhcffckfimabfhbbjdngnajhnlohfjeo" TargetMode="External"/><Relationship Id="rId7712" Type="http://schemas.openxmlformats.org/officeDocument/2006/relationships/hyperlink" Target="https://chromewebstore.google.com/detail/ddplgjilhfboobldlegckoackmpgggbf" TargetMode="External"/><Relationship Id="rId7711" Type="http://schemas.openxmlformats.org/officeDocument/2006/relationships/hyperlink" Target="https://chromewebstore.google.com/detail/pbpmcajjiljgolfofjgbcfeikjeogpbo" TargetMode="External"/><Relationship Id="rId7710" Type="http://schemas.openxmlformats.org/officeDocument/2006/relationships/hyperlink" Target="https://chromewebstore.google.com/detail/opdfdiecheihfgilhekjfdbdjgejodie" TargetMode="External"/><Relationship Id="rId7706" Type="http://schemas.openxmlformats.org/officeDocument/2006/relationships/hyperlink" Target="https://chromewebstore.google.com/detail/iljlnbifckmihcloaildpbfapgnnhdbd" TargetMode="External"/><Relationship Id="rId7705" Type="http://schemas.openxmlformats.org/officeDocument/2006/relationships/hyperlink" Target="https://chromewebstore.google.com/detail/komegelldppbjndifhabfpjpddjaocfa" TargetMode="External"/><Relationship Id="rId7704" Type="http://schemas.openxmlformats.org/officeDocument/2006/relationships/hyperlink" Target="https://chromewebstore.google.com/detail/gpbmppcfmalalknbfhafppomlckjhehd" TargetMode="External"/><Relationship Id="rId7703" Type="http://schemas.openxmlformats.org/officeDocument/2006/relationships/hyperlink" Target="https://chromewebstore.google.com/detail/pahmjnapohdeedmdhmbeddgmhebhegme" TargetMode="External"/><Relationship Id="rId7709" Type="http://schemas.openxmlformats.org/officeDocument/2006/relationships/hyperlink" Target="https://chromewebstore.google.com/detail/lojildlejeoemiiaolmkmfpeknonladk" TargetMode="External"/><Relationship Id="rId7708" Type="http://schemas.openxmlformats.org/officeDocument/2006/relationships/hyperlink" Target="https://chromewebstore.google.com/detail/kakjgkkadbegednbmgapjggcfljebdka" TargetMode="External"/><Relationship Id="rId7707" Type="http://schemas.openxmlformats.org/officeDocument/2006/relationships/hyperlink" Target="https://chromewebstore.google.com/detail/jdcmniiepfjinccadkbjliiopialnnmi" TargetMode="External"/><Relationship Id="rId7702" Type="http://schemas.openxmlformats.org/officeDocument/2006/relationships/hyperlink" Target="https://chromewebstore.google.com/detail/jgahlokihlmhlhgkcjcjmbchfbgpomin" TargetMode="External"/><Relationship Id="rId7701" Type="http://schemas.openxmlformats.org/officeDocument/2006/relationships/hyperlink" Target="https://chromewebstore.google.com/detail/kiohppcjanbphmhoncnfodjdnlehibjk" TargetMode="External"/><Relationship Id="rId7700" Type="http://schemas.openxmlformats.org/officeDocument/2006/relationships/hyperlink" Target="https://chromewebstore.google.com/detail/fonhjbpoimjmgfgbboichngpjlmilbmk" TargetMode="External"/><Relationship Id="rId6407" Type="http://schemas.openxmlformats.org/officeDocument/2006/relationships/hyperlink" Target="https://chromewebstore.google.com/detail/lkjkhomjgdhefemghlimjkjdaibnnocg" TargetMode="External"/><Relationship Id="rId7739" Type="http://schemas.openxmlformats.org/officeDocument/2006/relationships/hyperlink" Target="https://chromewebstore.google.com/detail/jdgfidddcehboihddlggjiiakhbpanpf" TargetMode="External"/><Relationship Id="rId6408" Type="http://schemas.openxmlformats.org/officeDocument/2006/relationships/hyperlink" Target="https://chromewebstore.google.com/detail/lkmfokajfoplgdkdifijpffkjeejainc" TargetMode="External"/><Relationship Id="rId7738" Type="http://schemas.openxmlformats.org/officeDocument/2006/relationships/hyperlink" Target="https://chromewebstore.google.com/detail/cdoadjpmekajapjlkiemnmgokpimhbch" TargetMode="External"/><Relationship Id="rId6405" Type="http://schemas.openxmlformats.org/officeDocument/2006/relationships/hyperlink" Target="https://chromewebstore.google.com/detail/lkfdimhcljajjmnamlgccibalmhcmilm" TargetMode="External"/><Relationship Id="rId7737" Type="http://schemas.openxmlformats.org/officeDocument/2006/relationships/hyperlink" Target="https://chromewebstore.google.com/detail/ogdpfpkkpipedlmoecjonhjpoggipgme" TargetMode="External"/><Relationship Id="rId6406" Type="http://schemas.openxmlformats.org/officeDocument/2006/relationships/hyperlink" Target="https://chromewebstore.google.com/detail/lkhdogaoijoelmmhacccdhbpfpnhghhm" TargetMode="External"/><Relationship Id="rId7736" Type="http://schemas.openxmlformats.org/officeDocument/2006/relationships/hyperlink" Target="https://chromewebstore.google.com/detail/kalncabcefgchiphkgoiiglapkoopeal" TargetMode="External"/><Relationship Id="rId6409" Type="http://schemas.openxmlformats.org/officeDocument/2006/relationships/hyperlink" Target="https://chromewebstore.google.com/detail/lkmjoinoblkjegaifoampignjiagmnca" TargetMode="External"/><Relationship Id="rId7731" Type="http://schemas.openxmlformats.org/officeDocument/2006/relationships/hyperlink" Target="https://chromewebstore.google.com/detail/glbffpiffonfokkgfheanhbnleofjldc" TargetMode="External"/><Relationship Id="rId6400" Type="http://schemas.openxmlformats.org/officeDocument/2006/relationships/hyperlink" Target="https://chromewebstore.google.com/detail/ljgkplokbilfifgcadbobkfecincmbmk" TargetMode="External"/><Relationship Id="rId7730" Type="http://schemas.openxmlformats.org/officeDocument/2006/relationships/hyperlink" Target="https://chromewebstore.google.com/detail/cniimiiflgmmjmcohcgnofcdiifdifef" TargetMode="External"/><Relationship Id="rId6403" Type="http://schemas.openxmlformats.org/officeDocument/2006/relationships/hyperlink" Target="https://chromewebstore.google.com/detail/ljnjpkadhhcdniohpfilddnhahoigdec" TargetMode="External"/><Relationship Id="rId7735" Type="http://schemas.openxmlformats.org/officeDocument/2006/relationships/hyperlink" Target="https://chromewebstore.google.com/detail/pndplpbljfioienjpiiplnmgcbeonkdm" TargetMode="External"/><Relationship Id="rId6404" Type="http://schemas.openxmlformats.org/officeDocument/2006/relationships/hyperlink" Target="https://chromewebstore.google.com/detail/ljodbneopalmjfonmeojldpmnikphhdo" TargetMode="External"/><Relationship Id="rId7734" Type="http://schemas.openxmlformats.org/officeDocument/2006/relationships/hyperlink" Target="https://chromewebstore.google.com/detail/ofneopaadiddcanpldoanpnmimjgnncd" TargetMode="External"/><Relationship Id="rId6401" Type="http://schemas.openxmlformats.org/officeDocument/2006/relationships/hyperlink" Target="https://chromewebstore.google.com/detail/ljicmmknmiapobjgphhogonlfeegmlcl" TargetMode="External"/><Relationship Id="rId7733" Type="http://schemas.openxmlformats.org/officeDocument/2006/relationships/hyperlink" Target="https://chromewebstore.google.com/detail/nnecmpmlkanlehaglkjbmiibipdcppol" TargetMode="External"/><Relationship Id="rId6402" Type="http://schemas.openxmlformats.org/officeDocument/2006/relationships/hyperlink" Target="https://chromewebstore.google.com/detail/ljmkgjilkcmdokbgofbmjnkobejhhapc" TargetMode="External"/><Relationship Id="rId7732" Type="http://schemas.openxmlformats.org/officeDocument/2006/relationships/hyperlink" Target="https://chromewebstore.google.com/detail/hfmieanpcjmhneggofkdjhmlabjmbbaj" TargetMode="External"/><Relationship Id="rId7728" Type="http://schemas.openxmlformats.org/officeDocument/2006/relationships/hyperlink" Target="https://chromewebstore.google.com/detail/peemgjdnpckhfcppmdgijnbfoohpjafp" TargetMode="External"/><Relationship Id="rId7727" Type="http://schemas.openxmlformats.org/officeDocument/2006/relationships/hyperlink" Target="https://chromewebstore.google.com/detail/paeghpondmpmjbpgdkplhlcgnancifhh" TargetMode="External"/><Relationship Id="rId7726" Type="http://schemas.openxmlformats.org/officeDocument/2006/relationships/hyperlink" Target="https://chromewebstore.google.com/detail/neaifaakclhhlbfmpahdgbbpagolpfok" TargetMode="External"/><Relationship Id="rId7725" Type="http://schemas.openxmlformats.org/officeDocument/2006/relationships/hyperlink" Target="https://chromewebstore.google.com/detail/cmlkaihbnmcaalgjkeefklbpdlmdooel" TargetMode="External"/><Relationship Id="rId7729" Type="http://schemas.openxmlformats.org/officeDocument/2006/relationships/hyperlink" Target="https://chromewebstore.google.com/detail/bdcmimoaamiebegembfipeegejikilha" TargetMode="External"/><Relationship Id="rId7720" Type="http://schemas.openxmlformats.org/officeDocument/2006/relationships/hyperlink" Target="https://chromewebstore.google.com/detail/mmamadaodppejbaffaagddokjjekifoe" TargetMode="External"/><Relationship Id="rId7724" Type="http://schemas.openxmlformats.org/officeDocument/2006/relationships/hyperlink" Target="https://chromewebstore.google.com/detail/pejmaahmbkcgbilcnckdadngeibiekbd" TargetMode="External"/><Relationship Id="rId7723" Type="http://schemas.openxmlformats.org/officeDocument/2006/relationships/hyperlink" Target="https://chromewebstore.google.com/detail/pbbaemjnonobaiglegdfamlbmngkjdeg" TargetMode="External"/><Relationship Id="rId7722" Type="http://schemas.openxmlformats.org/officeDocument/2006/relationships/hyperlink" Target="https://chromewebstore.google.com/detail/cgdgnkkknckpbebomffdhhoklfgddacg" TargetMode="External"/><Relationship Id="rId7721" Type="http://schemas.openxmlformats.org/officeDocument/2006/relationships/hyperlink" Target="https://chromewebstore.google.com/detail/omchdkmkmadmhkaamhpojgldknpihgcg" TargetMode="External"/><Relationship Id="rId5130" Type="http://schemas.openxmlformats.org/officeDocument/2006/relationships/hyperlink" Target="https://chromewebstore.google.com/detail/bkoknijjdnlaenldjopbkngkoegfmejf" TargetMode="External"/><Relationship Id="rId6461" Type="http://schemas.openxmlformats.org/officeDocument/2006/relationships/hyperlink" Target="https://chromewebstore.google.com/detail/mcdnomobjmikcgndcgpagnbkhgnaclmb" TargetMode="External"/><Relationship Id="rId7793" Type="http://schemas.openxmlformats.org/officeDocument/2006/relationships/hyperlink" Target="https://chromewebstore.google.com/detail/nibhmcokabkgmcgifpepmohpnfchpgda" TargetMode="External"/><Relationship Id="rId5131" Type="http://schemas.openxmlformats.org/officeDocument/2006/relationships/hyperlink" Target="https://chromewebstore.google.com/detail/bkolccbclokgkhcciikgbkcmnagimjib" TargetMode="External"/><Relationship Id="rId6462" Type="http://schemas.openxmlformats.org/officeDocument/2006/relationships/hyperlink" Target="https://chromewebstore.google.com/detail/mcecmabeaehiihgjcchlnobiahaadmdg" TargetMode="External"/><Relationship Id="rId7792" Type="http://schemas.openxmlformats.org/officeDocument/2006/relationships/hyperlink" Target="https://chromewebstore.google.com/detail/mopkplcglehjfbedbngcglkmajhflnjk" TargetMode="External"/><Relationship Id="rId7791" Type="http://schemas.openxmlformats.org/officeDocument/2006/relationships/hyperlink" Target="https://chromewebstore.google.com/detail/jfgbllgoiodkelaifljpjkdmendhhlcg" TargetMode="External"/><Relationship Id="rId6460" Type="http://schemas.openxmlformats.org/officeDocument/2006/relationships/hyperlink" Target="https://chromewebstore.google.com/detail/mccgeoiagpeckpkenegmjjoaeeppdjld" TargetMode="External"/><Relationship Id="rId7790" Type="http://schemas.openxmlformats.org/officeDocument/2006/relationships/hyperlink" Target="https://chromewebstore.google.com/detail/gjklflifcllkcbnkalfcjpkbmifempna" TargetMode="External"/><Relationship Id="rId5134" Type="http://schemas.openxmlformats.org/officeDocument/2006/relationships/hyperlink" Target="https://chromewebstore.google.com/detail/bldhncjmecnkemlfebgpehigfdbihhnd" TargetMode="External"/><Relationship Id="rId6465" Type="http://schemas.openxmlformats.org/officeDocument/2006/relationships/hyperlink" Target="https://chromewebstore.google.com/detail/mcidendbndlekegaphipeeoaemckemhm" TargetMode="External"/><Relationship Id="rId7797" Type="http://schemas.openxmlformats.org/officeDocument/2006/relationships/hyperlink" Target="https://chromewebstore.google.com/detail/kbbmooglpoifkklpckgabiahlicnhnmo" TargetMode="External"/><Relationship Id="rId5135" Type="http://schemas.openxmlformats.org/officeDocument/2006/relationships/hyperlink" Target="https://chromewebstore.google.com/detail/blednbbpnnambjaefhlocghajeohlhmh" TargetMode="External"/><Relationship Id="rId6466" Type="http://schemas.openxmlformats.org/officeDocument/2006/relationships/hyperlink" Target="https://chromewebstore.google.com/detail/mclkhhjiaalhoegfjddlbcjooapkphpn" TargetMode="External"/><Relationship Id="rId7796" Type="http://schemas.openxmlformats.org/officeDocument/2006/relationships/hyperlink" Target="https://chromewebstore.google.com/detail/plfmoahhnaoojlmlnjfbggfdblhdbkjp" TargetMode="External"/><Relationship Id="rId5132" Type="http://schemas.openxmlformats.org/officeDocument/2006/relationships/hyperlink" Target="https://chromewebstore.google.com/detail/blbkkgcankcmdleleianggnfooalbjof" TargetMode="External"/><Relationship Id="rId6463" Type="http://schemas.openxmlformats.org/officeDocument/2006/relationships/hyperlink" Target="https://chromewebstore.google.com/detail/mcefknoiablejellmicpmokcaelpdaec" TargetMode="External"/><Relationship Id="rId7795" Type="http://schemas.openxmlformats.org/officeDocument/2006/relationships/hyperlink" Target="https://chromewebstore.google.com/detail/gemjflcbbfghpfenhikfidbjdkbkdljn" TargetMode="External"/><Relationship Id="rId5133" Type="http://schemas.openxmlformats.org/officeDocument/2006/relationships/hyperlink" Target="https://chromewebstore.google.com/detail/blciobghnlpcfoidlcigdpjmbnhpfehl" TargetMode="External"/><Relationship Id="rId6464" Type="http://schemas.openxmlformats.org/officeDocument/2006/relationships/hyperlink" Target="https://chromewebstore.google.com/detail/mcglhmpnpongdigcmccjallgoinlklnj" TargetMode="External"/><Relationship Id="rId7794" Type="http://schemas.openxmlformats.org/officeDocument/2006/relationships/hyperlink" Target="https://chromewebstore.google.com/detail/ihajljlkkkgaigonbgkoncfaddnaafoj" TargetMode="External"/><Relationship Id="rId5138" Type="http://schemas.openxmlformats.org/officeDocument/2006/relationships/hyperlink" Target="https://chromewebstore.google.com/detail/blkniannnkeafpapkaojddhemhhcpfmf" TargetMode="External"/><Relationship Id="rId6469" Type="http://schemas.openxmlformats.org/officeDocument/2006/relationships/hyperlink" Target="https://chromewebstore.google.com/detail/mcpcaclpgijhadcflgcipmfmohmpbinp" TargetMode="External"/><Relationship Id="rId5139" Type="http://schemas.openxmlformats.org/officeDocument/2006/relationships/hyperlink" Target="https://chromewebstore.google.com/detail/blmfdgjdmdpblbiecbagjebggdemmaof" TargetMode="External"/><Relationship Id="rId5136" Type="http://schemas.openxmlformats.org/officeDocument/2006/relationships/hyperlink" Target="https://chromewebstore.google.com/detail/blimgkgjfghpffcafichipghelgmkfdj" TargetMode="External"/><Relationship Id="rId6467" Type="http://schemas.openxmlformats.org/officeDocument/2006/relationships/hyperlink" Target="https://chromewebstore.google.com/detail/mcolhhemfacpoaghjidhliecpianpnjn" TargetMode="External"/><Relationship Id="rId7799" Type="http://schemas.openxmlformats.org/officeDocument/2006/relationships/hyperlink" Target="https://chromewebstore.google.com/detail/nmnehbfgpadbppbdlljpiibhiniehejd" TargetMode="External"/><Relationship Id="rId5137" Type="http://schemas.openxmlformats.org/officeDocument/2006/relationships/hyperlink" Target="https://chromewebstore.google.com/detail/blklpjonlhpakchaahdnkcjkfmccmdik" TargetMode="External"/><Relationship Id="rId6468" Type="http://schemas.openxmlformats.org/officeDocument/2006/relationships/hyperlink" Target="https://chromewebstore.google.com/detail/mcpaohflldejneeahigainahjenkgmef" TargetMode="External"/><Relationship Id="rId7798" Type="http://schemas.openxmlformats.org/officeDocument/2006/relationships/hyperlink" Target="https://chromewebstore.google.com/detail/lhehblheoabjhaoidpediiolhmlebckb" TargetMode="External"/><Relationship Id="rId5129" Type="http://schemas.openxmlformats.org/officeDocument/2006/relationships/hyperlink" Target="https://chromewebstore.google.com/detail/bkodbojjdhggkkkncjogkdojhkfbjimi" TargetMode="External"/><Relationship Id="rId6450" Type="http://schemas.openxmlformats.org/officeDocument/2006/relationships/hyperlink" Target="https://chromewebstore.google.com/detail/mbgjmmmhonnpfcflohnpogdfafelogkj" TargetMode="External"/><Relationship Id="rId7782" Type="http://schemas.openxmlformats.org/officeDocument/2006/relationships/hyperlink" Target="https://chromewebstore.google.com/detail/mjgiimfdgnpbgkepacffhdpjbbfmcgnp" TargetMode="External"/><Relationship Id="rId5120" Type="http://schemas.openxmlformats.org/officeDocument/2006/relationships/hyperlink" Target="https://chromewebstore.google.com/detail/bidcnhmidglfaojcifcjnlgeifobcdif" TargetMode="External"/><Relationship Id="rId6451" Type="http://schemas.openxmlformats.org/officeDocument/2006/relationships/hyperlink" Target="https://chromewebstore.google.com/detail/mbimichnnpdkniapbjenpkdenmmaokcd" TargetMode="External"/><Relationship Id="rId7781" Type="http://schemas.openxmlformats.org/officeDocument/2006/relationships/hyperlink" Target="https://chromewebstore.google.com/detail/maibgninmecbokncboknddpeaedfioea" TargetMode="External"/><Relationship Id="rId7780" Type="http://schemas.openxmlformats.org/officeDocument/2006/relationships/hyperlink" Target="https://chromewebstore.google.com/detail/calnfcidhlhdmmmnicdpddbmmjmfohem" TargetMode="External"/><Relationship Id="rId5123" Type="http://schemas.openxmlformats.org/officeDocument/2006/relationships/hyperlink" Target="https://chromewebstore.google.com/detail/bjdiocojjlclafjbeafkjoifogenbbbp" TargetMode="External"/><Relationship Id="rId6454" Type="http://schemas.openxmlformats.org/officeDocument/2006/relationships/hyperlink" Target="https://chromewebstore.google.com/detail/mbkenkpbobncoehadfogibjlhnaopcpb" TargetMode="External"/><Relationship Id="rId7786" Type="http://schemas.openxmlformats.org/officeDocument/2006/relationships/hyperlink" Target="https://chromewebstore.google.com/detail/fgdakcbkieoobadomnfjccmieclpoala" TargetMode="External"/><Relationship Id="rId5124" Type="http://schemas.openxmlformats.org/officeDocument/2006/relationships/hyperlink" Target="https://chromewebstore.google.com/detail/bjjfdalimfoajficabmpnohabiobkean" TargetMode="External"/><Relationship Id="rId6455" Type="http://schemas.openxmlformats.org/officeDocument/2006/relationships/hyperlink" Target="https://chromewebstore.google.com/detail/mbldmpdimcodkhimlehfhhfecnngmipp" TargetMode="External"/><Relationship Id="rId7785" Type="http://schemas.openxmlformats.org/officeDocument/2006/relationships/hyperlink" Target="https://chromewebstore.google.com/detail/ebbplnackfijdgaocobghipflkadnejp" TargetMode="External"/><Relationship Id="rId5121" Type="http://schemas.openxmlformats.org/officeDocument/2006/relationships/hyperlink" Target="https://chromewebstore.google.com/detail/bikcfchmnacmfhneafnpfekgfhckplfj" TargetMode="External"/><Relationship Id="rId6452" Type="http://schemas.openxmlformats.org/officeDocument/2006/relationships/hyperlink" Target="https://chromewebstore.google.com/detail/mbkbehfkfnieoodajnnfcmfbmocbhmki" TargetMode="External"/><Relationship Id="rId7784" Type="http://schemas.openxmlformats.org/officeDocument/2006/relationships/hyperlink" Target="https://chromewebstore.google.com/detail/bpfflaogkhdlflapgekofknjgmggmnbf" TargetMode="External"/><Relationship Id="rId5122" Type="http://schemas.openxmlformats.org/officeDocument/2006/relationships/hyperlink" Target="https://chromewebstore.google.com/detail/bjacddpgnmbhmgomneminogiggfiaejb" TargetMode="External"/><Relationship Id="rId6453" Type="http://schemas.openxmlformats.org/officeDocument/2006/relationships/hyperlink" Target="https://chromewebstore.google.com/detail/mbkeinklkdfiodfhojbpikpikmbidmgb" TargetMode="External"/><Relationship Id="rId7783" Type="http://schemas.openxmlformats.org/officeDocument/2006/relationships/hyperlink" Target="https://chromewebstore.google.com/detail/nhghokbojmbheijdiecnjkifnahakkcm" TargetMode="External"/><Relationship Id="rId5127" Type="http://schemas.openxmlformats.org/officeDocument/2006/relationships/hyperlink" Target="https://chromewebstore.google.com/detail/bkehljddojdpbclnbmcglljfccedfjca" TargetMode="External"/><Relationship Id="rId6458" Type="http://schemas.openxmlformats.org/officeDocument/2006/relationships/hyperlink" Target="https://chromewebstore.google.com/detail/mbpkbeacgamdiajpgbblpcgpkidaobob" TargetMode="External"/><Relationship Id="rId5128" Type="http://schemas.openxmlformats.org/officeDocument/2006/relationships/hyperlink" Target="https://chromewebstore.google.com/detail/bkljmpppcfepdfokbjlocdhipammabkm" TargetMode="External"/><Relationship Id="rId6459" Type="http://schemas.openxmlformats.org/officeDocument/2006/relationships/hyperlink" Target="https://chromewebstore.google.com/detail/mcbfdonlkfpbfdpimkjilhdneikhfklp" TargetMode="External"/><Relationship Id="rId7789" Type="http://schemas.openxmlformats.org/officeDocument/2006/relationships/hyperlink" Target="https://chromewebstore.google.com/detail/epmplkdcjhgigmnjmjibilpmekhgkbeg" TargetMode="External"/><Relationship Id="rId5125" Type="http://schemas.openxmlformats.org/officeDocument/2006/relationships/hyperlink" Target="https://chromewebstore.google.com/detail/bjpblhcipjjiobljnniifeoaapgdflnc" TargetMode="External"/><Relationship Id="rId6456" Type="http://schemas.openxmlformats.org/officeDocument/2006/relationships/hyperlink" Target="https://chromewebstore.google.com/detail/mbljfmmoibffcpcjimimcpobkonkgdbp" TargetMode="External"/><Relationship Id="rId7788" Type="http://schemas.openxmlformats.org/officeDocument/2006/relationships/hyperlink" Target="https://chromewebstore.google.com/detail/ekjkjbodjcdjgafbkolhfjgpfgagdegj" TargetMode="External"/><Relationship Id="rId5126" Type="http://schemas.openxmlformats.org/officeDocument/2006/relationships/hyperlink" Target="https://chromewebstore.google.com/detail/bkdhpjocjklicnnmlpbipdmpmgmedbji" TargetMode="External"/><Relationship Id="rId6457" Type="http://schemas.openxmlformats.org/officeDocument/2006/relationships/hyperlink" Target="https://chromewebstore.google.com/detail/mbmhdciokdfmafnlcechbnopmbfgbegl" TargetMode="External"/><Relationship Id="rId7787" Type="http://schemas.openxmlformats.org/officeDocument/2006/relationships/hyperlink" Target="https://chromewebstore.google.com/detail/ehdbaonmnanalnmmlkgdnkkcdlppjhhc" TargetMode="External"/><Relationship Id="rId6480" Type="http://schemas.openxmlformats.org/officeDocument/2006/relationships/hyperlink" Target="https://chromewebstore.google.com/detail/mfcpcmfdckoedbnlebbocchokkapdoce" TargetMode="External"/><Relationship Id="rId5152" Type="http://schemas.openxmlformats.org/officeDocument/2006/relationships/hyperlink" Target="http://cashgoback.pl" TargetMode="External"/><Relationship Id="rId6483" Type="http://schemas.openxmlformats.org/officeDocument/2006/relationships/hyperlink" Target="https://chromewebstore.google.com/detail/mfigcepdniddlllniijbmmekgfdcddel" TargetMode="External"/><Relationship Id="rId5153" Type="http://schemas.openxmlformats.org/officeDocument/2006/relationships/hyperlink" Target="https://chromewebstore.google.com/detail/bmlmlhlmimncfjambmppgjhdnaibfmml" TargetMode="External"/><Relationship Id="rId6484" Type="http://schemas.openxmlformats.org/officeDocument/2006/relationships/hyperlink" Target="https://chromewebstore.google.com/detail/mfkpfijgjhpmpfmnicccpglcekdjgenh" TargetMode="External"/><Relationship Id="rId5150" Type="http://schemas.openxmlformats.org/officeDocument/2006/relationships/hyperlink" Target="https://chromewebstore.google.com/detail/bmkmojbohkkecnnhkpidldhabjbcmnkk" TargetMode="External"/><Relationship Id="rId6481" Type="http://schemas.openxmlformats.org/officeDocument/2006/relationships/hyperlink" Target="https://chromewebstore.google.com/detail/mfdldalpkidgnbelciicnadolplfjglc" TargetMode="External"/><Relationship Id="rId5151" Type="http://schemas.openxmlformats.org/officeDocument/2006/relationships/hyperlink" Target="https://chromewebstore.google.com/detail/bmlipnlhfpjgmafjlnnmdkldjmebahnm" TargetMode="External"/><Relationship Id="rId6482" Type="http://schemas.openxmlformats.org/officeDocument/2006/relationships/hyperlink" Target="https://chromewebstore.google.com/detail/mfgoieafikaldiglpkfgifoeigjcifmk" TargetMode="External"/><Relationship Id="rId5156" Type="http://schemas.openxmlformats.org/officeDocument/2006/relationships/hyperlink" Target="https://chromewebstore.google.com/detail/bngmobiiapgiphgfeiegibbmaoflfdoa" TargetMode="External"/><Relationship Id="rId6487" Type="http://schemas.openxmlformats.org/officeDocument/2006/relationships/hyperlink" Target="https://chromewebstore.google.com/detail/mfpkcemkhiohpefelbnldmgcnkejjkfi" TargetMode="External"/><Relationship Id="rId5157" Type="http://schemas.openxmlformats.org/officeDocument/2006/relationships/hyperlink" Target="https://chromewebstore.google.com/detail/bnkfdgkccidbedkfoneaajldjgagjhib" TargetMode="External"/><Relationship Id="rId6488" Type="http://schemas.openxmlformats.org/officeDocument/2006/relationships/hyperlink" Target="https://chromewebstore.google.com/detail/mfppjcknhlobfhlikhlilfpojadjbmnj" TargetMode="External"/><Relationship Id="rId5154" Type="http://schemas.openxmlformats.org/officeDocument/2006/relationships/hyperlink" Target="https://chromewebstore.google.com/detail/bmmmgppoenmpmodaacdolmcjfniikple" TargetMode="External"/><Relationship Id="rId6485" Type="http://schemas.openxmlformats.org/officeDocument/2006/relationships/hyperlink" Target="https://chromewebstore.google.com/detail/mflmgpdkgbihgojplljecakngbcokfme" TargetMode="External"/><Relationship Id="rId5155" Type="http://schemas.openxmlformats.org/officeDocument/2006/relationships/hyperlink" Target="https://chromewebstore.google.com/detail/bnbmlmjhaohpobnjfifeghjmamjfolnb" TargetMode="External"/><Relationship Id="rId6486" Type="http://schemas.openxmlformats.org/officeDocument/2006/relationships/hyperlink" Target="https://chromewebstore.google.com/detail/mfmgafeloljkhohdgfahfegkkhjakkpl" TargetMode="External"/><Relationship Id="rId5158" Type="http://schemas.openxmlformats.org/officeDocument/2006/relationships/hyperlink" Target="https://chromewebstore.google.com/detail/bnkifneleaknlodbdncgnpbdffngdgjo" TargetMode="External"/><Relationship Id="rId6489" Type="http://schemas.openxmlformats.org/officeDocument/2006/relationships/hyperlink" Target="https://chromewebstore.google.com/detail/mgcgamijlgoeedbigpjlffkbomkjkdnc" TargetMode="External"/><Relationship Id="rId5159" Type="http://schemas.openxmlformats.org/officeDocument/2006/relationships/hyperlink" Target="https://chromewebstore.google.com/detail/boaaioffjhehlmgopfimcfefcpeldena" TargetMode="External"/><Relationship Id="rId5141" Type="http://schemas.openxmlformats.org/officeDocument/2006/relationships/hyperlink" Target="https://chromewebstore.google.com/detail/blnjglbocieoecdjeoaokjinpjonijnb" TargetMode="External"/><Relationship Id="rId6472" Type="http://schemas.openxmlformats.org/officeDocument/2006/relationships/hyperlink" Target="https://chromewebstore.google.com/detail/mdbdmamjjcfammbjlnkkhmmbljfjhgee" TargetMode="External"/><Relationship Id="rId5142" Type="http://schemas.openxmlformats.org/officeDocument/2006/relationships/hyperlink" Target="https://chromewebstore.google.com/detail/blnkcilmabgdimopbdmbiakkphbihdjh" TargetMode="External"/><Relationship Id="rId6473" Type="http://schemas.openxmlformats.org/officeDocument/2006/relationships/hyperlink" Target="https://chromewebstore.google.com/detail/mdbffnnpjhnfmnenfkffjohdgjfeiodn" TargetMode="External"/><Relationship Id="rId6470" Type="http://schemas.openxmlformats.org/officeDocument/2006/relationships/hyperlink" Target="https://chromewebstore.google.com/detail/mcphipnepdffmgaklcgcogpfbiffmooe" TargetMode="External"/><Relationship Id="rId5140" Type="http://schemas.openxmlformats.org/officeDocument/2006/relationships/hyperlink" Target="https://chromewebstore.google.com/detail/blmjmiddomienmbjkijkgdohhfhclpjc" TargetMode="External"/><Relationship Id="rId6471" Type="http://schemas.openxmlformats.org/officeDocument/2006/relationships/hyperlink" Target="https://chromewebstore.google.com/detail/mdafemlphdjnhbdglfnankciemdngach" TargetMode="External"/><Relationship Id="rId5145" Type="http://schemas.openxmlformats.org/officeDocument/2006/relationships/hyperlink" Target="https://chromewebstore.google.com/detail/bmdfiifdjojbpkeapcaipadjdhhbecod" TargetMode="External"/><Relationship Id="rId6476" Type="http://schemas.openxmlformats.org/officeDocument/2006/relationships/hyperlink" Target="https://chromewebstore.google.com/detail/mdmaafdifiaafdfoefdbleojealnbkfc" TargetMode="External"/><Relationship Id="rId5146" Type="http://schemas.openxmlformats.org/officeDocument/2006/relationships/hyperlink" Target="https://chromewebstore.google.com/detail/bmgeoickdkceegcemaohalboegigahbg" TargetMode="External"/><Relationship Id="rId6477" Type="http://schemas.openxmlformats.org/officeDocument/2006/relationships/hyperlink" Target="https://chromewebstore.google.com/detail/mehmaliahkgafbndneaaajceobkgkebo" TargetMode="External"/><Relationship Id="rId5143" Type="http://schemas.openxmlformats.org/officeDocument/2006/relationships/hyperlink" Target="https://chromewebstore.google.com/detail/bmbhmpfeabllbfcalamkbdknkaijpkja" TargetMode="External"/><Relationship Id="rId6474" Type="http://schemas.openxmlformats.org/officeDocument/2006/relationships/hyperlink" Target="https://chromewebstore.google.com/detail/mdbippokgmfmdhhjchjpakgiamkcaofd" TargetMode="External"/><Relationship Id="rId5144" Type="http://schemas.openxmlformats.org/officeDocument/2006/relationships/hyperlink" Target="https://chromewebstore.google.com/detail/bmbpikjcekglfidkmhafdelaiimbgnpa" TargetMode="External"/><Relationship Id="rId6475" Type="http://schemas.openxmlformats.org/officeDocument/2006/relationships/hyperlink" Target="https://chromewebstore.google.com/detail/mdfgfkplamgcjdoelfkobgdoopbflloc" TargetMode="External"/><Relationship Id="rId5149" Type="http://schemas.openxmlformats.org/officeDocument/2006/relationships/hyperlink" Target="https://chromewebstore.google.com/detail/bmjpjimlmmbjpmglplkahkhpebomdoed" TargetMode="External"/><Relationship Id="rId5147" Type="http://schemas.openxmlformats.org/officeDocument/2006/relationships/hyperlink" Target="https://chromewebstore.google.com/detail/bmjejnfomomknbjkohfhekplmndpannk" TargetMode="External"/><Relationship Id="rId6478" Type="http://schemas.openxmlformats.org/officeDocument/2006/relationships/hyperlink" Target="https://chromewebstore.google.com/detail/mejiokiilelmecdbhebjicllikigfgde" TargetMode="External"/><Relationship Id="rId5148" Type="http://schemas.openxmlformats.org/officeDocument/2006/relationships/hyperlink" Target="https://chromewebstore.google.com/detail/bmjgnipcbkoifojbponacejbamiooono" TargetMode="External"/><Relationship Id="rId6479" Type="http://schemas.openxmlformats.org/officeDocument/2006/relationships/hyperlink" Target="https://chromewebstore.google.com/detail/melhpmkjaiifbaeocekhicgfofhcbiea" TargetMode="External"/><Relationship Id="rId6429" Type="http://schemas.openxmlformats.org/officeDocument/2006/relationships/hyperlink" Target="https://chromewebstore.google.com/detail/lpiiagpmclichfogjjjholploniicfgi" TargetMode="External"/><Relationship Id="rId6427" Type="http://schemas.openxmlformats.org/officeDocument/2006/relationships/hyperlink" Target="https://chromewebstore.google.com/detail/lpcmnnmdomoebdjefdhjbkjnbgjfbgfd" TargetMode="External"/><Relationship Id="rId7759" Type="http://schemas.openxmlformats.org/officeDocument/2006/relationships/hyperlink" Target="https://chromewebstore.google.com/detail/llkbempahblbohpipifajipejjackemi" TargetMode="External"/><Relationship Id="rId6428" Type="http://schemas.openxmlformats.org/officeDocument/2006/relationships/hyperlink" Target="https://chromewebstore.google.com/detail/lpicnjjpdgpciojopdmdchgbflhheiol" TargetMode="External"/><Relationship Id="rId7758" Type="http://schemas.openxmlformats.org/officeDocument/2006/relationships/hyperlink" Target="https://chromewebstore.google.com/detail/eeedmlcepabknpceckocadjdaieobimp" TargetMode="External"/><Relationship Id="rId6421" Type="http://schemas.openxmlformats.org/officeDocument/2006/relationships/hyperlink" Target="https://chromewebstore.google.com/detail/lnmpfngofkohjhmgpnjmcmkgkgjajdii" TargetMode="External"/><Relationship Id="rId7753" Type="http://schemas.openxmlformats.org/officeDocument/2006/relationships/hyperlink" Target="https://chromewebstore.google.com/detail/kaipnnmbgmeenlopbleehngolapgpmen" TargetMode="External"/><Relationship Id="rId6422" Type="http://schemas.openxmlformats.org/officeDocument/2006/relationships/hyperlink" Target="https://chromewebstore.google.com/detail/loaljdkanlgipgdlmgijfodcaggiikjo" TargetMode="External"/><Relationship Id="rId7752" Type="http://schemas.openxmlformats.org/officeDocument/2006/relationships/hyperlink" Target="https://chromewebstore.google.com/detail/amgdmokmcgdoodpfegebpahngimkafin" TargetMode="External"/><Relationship Id="rId7751" Type="http://schemas.openxmlformats.org/officeDocument/2006/relationships/hyperlink" Target="https://chromewebstore.google.com/detail/aleacfocnimnddplebbpbfedfagnckcc" TargetMode="External"/><Relationship Id="rId6420" Type="http://schemas.openxmlformats.org/officeDocument/2006/relationships/hyperlink" Target="https://chromewebstore.google.com/detail/lndddploiofhfpdcoclegenegblkhlfk" TargetMode="External"/><Relationship Id="rId7750" Type="http://schemas.openxmlformats.org/officeDocument/2006/relationships/hyperlink" Target="https://chromewebstore.google.com/detail/kfmndfnbobcfhakpacjolccbcbhfppej" TargetMode="External"/><Relationship Id="rId6425" Type="http://schemas.openxmlformats.org/officeDocument/2006/relationships/hyperlink" Target="https://chromewebstore.google.com/detail/lofkbkbhpmeihoaogggfbhmjdekjihlf" TargetMode="External"/><Relationship Id="rId7757" Type="http://schemas.openxmlformats.org/officeDocument/2006/relationships/hyperlink" Target="https://chromewebstore.google.com/detail/dmdbhcacalljmfmilnhmnhihdfoamdap" TargetMode="External"/><Relationship Id="rId6426" Type="http://schemas.openxmlformats.org/officeDocument/2006/relationships/hyperlink" Target="https://chromewebstore.google.com/detail/lpabkopddkdmiffngjlmniicmedigbec" TargetMode="External"/><Relationship Id="rId7756" Type="http://schemas.openxmlformats.org/officeDocument/2006/relationships/hyperlink" Target="https://chromewebstore.google.com/detail/neambpcjkehpbfgkipkcaigkndfllgbh" TargetMode="External"/><Relationship Id="rId6423" Type="http://schemas.openxmlformats.org/officeDocument/2006/relationships/hyperlink" Target="https://chromewebstore.google.com/detail/loaocbojmkjpcjabkcghbcdggjemhkpe" TargetMode="External"/><Relationship Id="rId7755" Type="http://schemas.openxmlformats.org/officeDocument/2006/relationships/hyperlink" Target="https://chromewebstore.google.com/detail/ndccpjjadppbehafiojmiknfihpmaodj" TargetMode="External"/><Relationship Id="rId6424" Type="http://schemas.openxmlformats.org/officeDocument/2006/relationships/hyperlink" Target="https://chromewebstore.google.com/detail/loeegjlniabmjhoalobfbpjmkabgapbb" TargetMode="External"/><Relationship Id="rId7754" Type="http://schemas.openxmlformats.org/officeDocument/2006/relationships/hyperlink" Target="https://chromewebstore.google.com/detail/mnmgabpfpeghmkiieighbcbcompbnbji" TargetMode="External"/><Relationship Id="rId6418" Type="http://schemas.openxmlformats.org/officeDocument/2006/relationships/hyperlink" Target="https://chromewebstore.google.com/detail/lmglffpnjekeloehgkamfdkhjonohblj" TargetMode="External"/><Relationship Id="rId6419" Type="http://schemas.openxmlformats.org/officeDocument/2006/relationships/hyperlink" Target="https://chromewebstore.google.com/detail/lnafpiakeojhhfeelcipophjckaceccn" TargetMode="External"/><Relationship Id="rId7749" Type="http://schemas.openxmlformats.org/officeDocument/2006/relationships/hyperlink" Target="https://chromewebstore.google.com/detail/jeagkdepfcfablimaejcffahemdomeaf" TargetMode="External"/><Relationship Id="rId6416" Type="http://schemas.openxmlformats.org/officeDocument/2006/relationships/hyperlink" Target="https://chromewebstore.google.com/detail/llofhnpelgfcleglkkgfmpfohmlmkofe" TargetMode="External"/><Relationship Id="rId7748" Type="http://schemas.openxmlformats.org/officeDocument/2006/relationships/hyperlink" Target="https://chromewebstore.google.com/detail/hhgffaamginikggmhlgipghjkhcepnbk" TargetMode="External"/><Relationship Id="rId6417" Type="http://schemas.openxmlformats.org/officeDocument/2006/relationships/hyperlink" Target="https://chromewebstore.google.com/detail/llpmceedcmcimdoejmfiifnlbjfnhlck" TargetMode="External"/><Relationship Id="rId7747" Type="http://schemas.openxmlformats.org/officeDocument/2006/relationships/hyperlink" Target="https://chromewebstore.google.com/detail/fhckbmeeagkjnabhfaindkhmofncedln" TargetMode="External"/><Relationship Id="rId6410" Type="http://schemas.openxmlformats.org/officeDocument/2006/relationships/hyperlink" Target="https://chromewebstore.google.com/detail/lkpfenhnbjcjekjihacpcoekgdclobdn" TargetMode="External"/><Relationship Id="rId7742" Type="http://schemas.openxmlformats.org/officeDocument/2006/relationships/hyperlink" Target="https://chromewebstore.google.com/detail/hnhfoajneejhmbjkikjcneifjnjpbldf" TargetMode="External"/><Relationship Id="rId6411" Type="http://schemas.openxmlformats.org/officeDocument/2006/relationships/hyperlink" Target="https://chromewebstore.google.com/detail/llebpckeffoilhileclionlofjgnhbdp" TargetMode="External"/><Relationship Id="rId7741" Type="http://schemas.openxmlformats.org/officeDocument/2006/relationships/hyperlink" Target="https://chromewebstore.google.com/detail/nnppckheibflkphjcgmlbiebgjfhgeie" TargetMode="External"/><Relationship Id="rId7740" Type="http://schemas.openxmlformats.org/officeDocument/2006/relationships/hyperlink" Target="https://chromewebstore.google.com/detail/logjdplmfjkcafcbffphgdelmmcfodkm" TargetMode="External"/><Relationship Id="rId6414" Type="http://schemas.openxmlformats.org/officeDocument/2006/relationships/hyperlink" Target="https://chromewebstore.google.com/detail/lljnnlncjhfpjjgmoickipmefdkfpnpf" TargetMode="External"/><Relationship Id="rId7746" Type="http://schemas.openxmlformats.org/officeDocument/2006/relationships/hyperlink" Target="https://chromewebstore.google.com/detail/iceehfhoipgiceeepgmecejmgcdckohb" TargetMode="External"/><Relationship Id="rId6415" Type="http://schemas.openxmlformats.org/officeDocument/2006/relationships/hyperlink" Target="https://chromewebstore.google.com/detail/llkakibmhkbdigjjjbgipijjdnlefpai" TargetMode="External"/><Relationship Id="rId7745" Type="http://schemas.openxmlformats.org/officeDocument/2006/relationships/hyperlink" Target="https://chromewebstore.google.com/detail/gfkfagdbfocppnpnjbcopfdidgkndkie" TargetMode="External"/><Relationship Id="rId6412" Type="http://schemas.openxmlformats.org/officeDocument/2006/relationships/hyperlink" Target="https://chromewebstore.google.com/detail/llehaacbdplmcjlkggcobgehlbochdeb" TargetMode="External"/><Relationship Id="rId7744" Type="http://schemas.openxmlformats.org/officeDocument/2006/relationships/hyperlink" Target="https://chromewebstore.google.com/detail/bigoemfnjgidfijehdgillncneklifgb" TargetMode="External"/><Relationship Id="rId6413" Type="http://schemas.openxmlformats.org/officeDocument/2006/relationships/hyperlink" Target="https://chromewebstore.google.com/detail/llhljceoapbodnkbmpeahmbphilblllh" TargetMode="External"/><Relationship Id="rId7743" Type="http://schemas.openxmlformats.org/officeDocument/2006/relationships/hyperlink" Target="https://chromewebstore.google.com/detail/pndbiclnamhhdppgogjfogfpbhoahkkl" TargetMode="External"/><Relationship Id="rId5118" Type="http://schemas.openxmlformats.org/officeDocument/2006/relationships/hyperlink" Target="https://chromewebstore.google.com/detail/bhodmelpiljpkojmfmlgjnahjlgfjaib" TargetMode="External"/><Relationship Id="rId6449" Type="http://schemas.openxmlformats.org/officeDocument/2006/relationships/hyperlink" Target="https://chromewebstore.google.com/detail/mbgenamkihplkffggckaplhnancbojbk" TargetMode="External"/><Relationship Id="rId5119" Type="http://schemas.openxmlformats.org/officeDocument/2006/relationships/hyperlink" Target="https://chromewebstore.google.com/detail/bibecgleddbhkpinbldiicgldejgjbkd" TargetMode="External"/><Relationship Id="rId7771" Type="http://schemas.openxmlformats.org/officeDocument/2006/relationships/hyperlink" Target="https://chromewebstore.google.com/detail/ikcleedhpnkajcggbaehhbpldeeogkkd" TargetMode="External"/><Relationship Id="rId6440" Type="http://schemas.openxmlformats.org/officeDocument/2006/relationships/hyperlink" Target="https://chromewebstore.google.com/detail/majmoinlepbjapaaljlhlfhlmbblaeip" TargetMode="External"/><Relationship Id="rId7770" Type="http://schemas.openxmlformats.org/officeDocument/2006/relationships/hyperlink" Target="https://chromewebstore.google.com/detail/ijkpnaifgolhlcfhcfamddnlnfjpjaji" TargetMode="External"/><Relationship Id="rId5112" Type="http://schemas.openxmlformats.org/officeDocument/2006/relationships/hyperlink" Target="https://chromewebstore.google.com/detail/bhcnanendmgjjeghamaccjnochlnhcgj" TargetMode="External"/><Relationship Id="rId6443" Type="http://schemas.openxmlformats.org/officeDocument/2006/relationships/hyperlink" Target="https://chromewebstore.google.com/detail/maobjpeecihknhbfnggoipopipfegmik" TargetMode="External"/><Relationship Id="rId7775" Type="http://schemas.openxmlformats.org/officeDocument/2006/relationships/hyperlink" Target="https://chromewebstore.google.com/detail/kcbffhdphjkfahmiakcgmeekbleoepde" TargetMode="External"/><Relationship Id="rId5113" Type="http://schemas.openxmlformats.org/officeDocument/2006/relationships/hyperlink" Target="https://chromewebstore.google.com/detail/bhdnhgkhmoeacgcfkokmoidaedlblgho" TargetMode="External"/><Relationship Id="rId6444" Type="http://schemas.openxmlformats.org/officeDocument/2006/relationships/hyperlink" Target="https://chromewebstore.google.com/detail/mapokfhmebdhgjjoedphffgphmhjbhdl" TargetMode="External"/><Relationship Id="rId7774" Type="http://schemas.openxmlformats.org/officeDocument/2006/relationships/hyperlink" Target="https://chromewebstore.google.com/detail/ihonobiipipkjdeodacdamhkjobamdam" TargetMode="External"/><Relationship Id="rId5110" Type="http://schemas.openxmlformats.org/officeDocument/2006/relationships/hyperlink" Target="https://chromewebstore.google.com/detail/bgllbpdmpeenjbeiigkhccehncomjfbk" TargetMode="External"/><Relationship Id="rId6441" Type="http://schemas.openxmlformats.org/officeDocument/2006/relationships/hyperlink" Target="https://chromewebstore.google.com/detail/makakhdegdcmmbbhepafcghpdkbemach" TargetMode="External"/><Relationship Id="rId7773" Type="http://schemas.openxmlformats.org/officeDocument/2006/relationships/hyperlink" Target="https://chromewebstore.google.com/detail/hkdjjblefenaffilobnkdekehpjfbein" TargetMode="External"/><Relationship Id="rId5111" Type="http://schemas.openxmlformats.org/officeDocument/2006/relationships/hyperlink" Target="https://chromewebstore.google.com/detail/bgmpfihhcbfmldalkcbeoiahkgicdcel" TargetMode="External"/><Relationship Id="rId6442" Type="http://schemas.openxmlformats.org/officeDocument/2006/relationships/hyperlink" Target="https://chromewebstore.google.com/detail/manpojdmhgfekbmjkialfcdgajnacbhd" TargetMode="External"/><Relationship Id="rId7772" Type="http://schemas.openxmlformats.org/officeDocument/2006/relationships/hyperlink" Target="https://chromewebstore.google.com/detail/mpgigiljfaoednoffglmjmbeafajcakb" TargetMode="External"/><Relationship Id="rId5116" Type="http://schemas.openxmlformats.org/officeDocument/2006/relationships/hyperlink" Target="https://chromewebstore.google.com/detail/bhijaejjbpempadhnnjhemfbmipaifba" TargetMode="External"/><Relationship Id="rId6447" Type="http://schemas.openxmlformats.org/officeDocument/2006/relationships/hyperlink" Target="https://chromewebstore.google.com/detail/mbbnlbimlnfachlfnjnolpehiimhbjjm" TargetMode="External"/><Relationship Id="rId7779" Type="http://schemas.openxmlformats.org/officeDocument/2006/relationships/hyperlink" Target="https://chromewebstore.google.com/detail/npkaienhmoflhlomhgffcnlfeeiilmcf" TargetMode="External"/><Relationship Id="rId5117" Type="http://schemas.openxmlformats.org/officeDocument/2006/relationships/hyperlink" Target="https://chromewebstore.google.com/detail/bhmafcbmjdeopomnencnfogfdpdpnnnj" TargetMode="External"/><Relationship Id="rId6448" Type="http://schemas.openxmlformats.org/officeDocument/2006/relationships/hyperlink" Target="https://chromewebstore.google.com/detail/mbbojbjgfaekcegpbbfifclofmpdpkad" TargetMode="External"/><Relationship Id="rId7778" Type="http://schemas.openxmlformats.org/officeDocument/2006/relationships/hyperlink" Target="https://chromewebstore.google.com/detail/njcdcnbfdnpbgeknnokdpenhkimaadjf" TargetMode="External"/><Relationship Id="rId5114" Type="http://schemas.openxmlformats.org/officeDocument/2006/relationships/hyperlink" Target="https://chromewebstore.google.com/detail/bhemijfniajoielladlkopmjcelomkid" TargetMode="External"/><Relationship Id="rId6445" Type="http://schemas.openxmlformats.org/officeDocument/2006/relationships/hyperlink" Target="https://chromewebstore.google.com/detail/mbaoeplepikmnbdckjflkaphjlccccnj" TargetMode="External"/><Relationship Id="rId7777" Type="http://schemas.openxmlformats.org/officeDocument/2006/relationships/hyperlink" Target="https://chromewebstore.google.com/detail/ankjnefclmaakpbgfglfegfekiofndkm" TargetMode="External"/><Relationship Id="rId5115" Type="http://schemas.openxmlformats.org/officeDocument/2006/relationships/hyperlink" Target="https://chromewebstore.google.com/detail/bhhaihcbledolbbigofbpegdbomoimfa" TargetMode="External"/><Relationship Id="rId6446" Type="http://schemas.openxmlformats.org/officeDocument/2006/relationships/hyperlink" Target="https://chromewebstore.google.com/detail/mbbfdipmmlbkfdkeklpioafmdcodhfli" TargetMode="External"/><Relationship Id="rId7776" Type="http://schemas.openxmlformats.org/officeDocument/2006/relationships/hyperlink" Target="https://chromewebstore.google.com/detail/akhcbndknelgdjnehlpnhenpdhnlepko" TargetMode="External"/><Relationship Id="rId5109" Type="http://schemas.openxmlformats.org/officeDocument/2006/relationships/hyperlink" Target="https://chromewebstore.google.com/detail/bgjkdefgpgngdhagacbeajapgnoobjig" TargetMode="External"/><Relationship Id="rId5107" Type="http://schemas.openxmlformats.org/officeDocument/2006/relationships/hyperlink" Target="https://chromewebstore.google.com/detail/bghnliappkdncmnadpbbnpoekbpdjabo" TargetMode="External"/><Relationship Id="rId6438" Type="http://schemas.openxmlformats.org/officeDocument/2006/relationships/hyperlink" Target="https://chromewebstore.google.com/detail/mafppflamlapefplgjmcneiopocjlfmp" TargetMode="External"/><Relationship Id="rId5108" Type="http://schemas.openxmlformats.org/officeDocument/2006/relationships/hyperlink" Target="https://chromewebstore.google.com/detail/bgifibpknpdddjoopggofdldijpjfoia" TargetMode="External"/><Relationship Id="rId6439" Type="http://schemas.openxmlformats.org/officeDocument/2006/relationships/hyperlink" Target="https://chromewebstore.google.com/detail/maibekeljflfnaknpgkahjkjhgoefmgg" TargetMode="External"/><Relationship Id="rId7769" Type="http://schemas.openxmlformats.org/officeDocument/2006/relationships/hyperlink" Target="https://chromewebstore.google.com/detail/gophpkegccafhjahoijdembdkbjpiflb" TargetMode="External"/><Relationship Id="rId7760" Type="http://schemas.openxmlformats.org/officeDocument/2006/relationships/hyperlink" Target="https://chromewebstore.google.com/detail/mkeckgendkgcofhhenfkknonnkoboobm" TargetMode="External"/><Relationship Id="rId5101" Type="http://schemas.openxmlformats.org/officeDocument/2006/relationships/hyperlink" Target="https://chromewebstore.google.com/detail/bffojpajjfmkcjpdenhfdlpjdbpflpbl" TargetMode="External"/><Relationship Id="rId6432" Type="http://schemas.openxmlformats.org/officeDocument/2006/relationships/hyperlink" Target="https://chromewebstore.google.com/detail/lpmnmgdfmeebgdgpnjmekojjhnjbighh" TargetMode="External"/><Relationship Id="rId7764" Type="http://schemas.openxmlformats.org/officeDocument/2006/relationships/hyperlink" Target="https://chromewebstore.google.com/detail/hofjicknmidhbhmflllmmdaihmmggphg" TargetMode="External"/><Relationship Id="rId5102" Type="http://schemas.openxmlformats.org/officeDocument/2006/relationships/hyperlink" Target="https://chromewebstore.google.com/detail/bfjhgnhnodlinoleolebajgmiebmhohb" TargetMode="External"/><Relationship Id="rId6433" Type="http://schemas.openxmlformats.org/officeDocument/2006/relationships/hyperlink" Target="https://chromewebstore.google.com/detail/lppcgkhgnfalmlnhkjgdfmkhhgdilfdd" TargetMode="External"/><Relationship Id="rId7763" Type="http://schemas.openxmlformats.org/officeDocument/2006/relationships/hyperlink" Target="https://chromewebstore.google.com/detail/bicebchdpeichdlmoaflplakefkjkade" TargetMode="External"/><Relationship Id="rId6430" Type="http://schemas.openxmlformats.org/officeDocument/2006/relationships/hyperlink" Target="https://chromewebstore.google.com/detail/lpjfkobpnfgddkikflgejdgclhpmagha" TargetMode="External"/><Relationship Id="rId7762" Type="http://schemas.openxmlformats.org/officeDocument/2006/relationships/hyperlink" Target="https://chromewebstore.google.com/detail/kaaoklkabjagllelfbideekhpjifbkel" TargetMode="External"/><Relationship Id="rId5100" Type="http://schemas.openxmlformats.org/officeDocument/2006/relationships/hyperlink" Target="https://chromewebstore.google.com/detail/bffjoheaobiobcocbgpehhegifipbbdp" TargetMode="External"/><Relationship Id="rId6431" Type="http://schemas.openxmlformats.org/officeDocument/2006/relationships/hyperlink" Target="https://chromewebstore.google.com/detail/lpkjpgooekekpccbcgcckgofnkbfpjlo" TargetMode="External"/><Relationship Id="rId7761" Type="http://schemas.openxmlformats.org/officeDocument/2006/relationships/hyperlink" Target="https://chromewebstore.google.com/detail/jjagagcgljmlnihcilbpbfcglnopepjb" TargetMode="External"/><Relationship Id="rId5105" Type="http://schemas.openxmlformats.org/officeDocument/2006/relationships/hyperlink" Target="https://chromewebstore.google.com/detail/bgcefofhfeebbefhdnmdlfkibdfdbbfa" TargetMode="External"/><Relationship Id="rId6436" Type="http://schemas.openxmlformats.org/officeDocument/2006/relationships/hyperlink" Target="https://chromewebstore.google.com/detail/mabegaogknpjdomagkfdbhkodcmehlac" TargetMode="External"/><Relationship Id="rId7768" Type="http://schemas.openxmlformats.org/officeDocument/2006/relationships/hyperlink" Target="https://chromewebstore.google.com/detail/ggpledkgjmbhndokhnakcgmnbgdenfgi" TargetMode="External"/><Relationship Id="rId5106" Type="http://schemas.openxmlformats.org/officeDocument/2006/relationships/hyperlink" Target="https://chromewebstore.google.com/detail/bgdkkdnidmmakdgebkgaeijbfkhieejn" TargetMode="External"/><Relationship Id="rId6437" Type="http://schemas.openxmlformats.org/officeDocument/2006/relationships/hyperlink" Target="https://chromewebstore.google.com/detail/macbajceaocbnbkkhglhppkihhhffddb" TargetMode="External"/><Relationship Id="rId7767" Type="http://schemas.openxmlformats.org/officeDocument/2006/relationships/hyperlink" Target="https://chromewebstore.google.com/detail/foimogngphjnehhefofocjlokefgppfj" TargetMode="External"/><Relationship Id="rId5103" Type="http://schemas.openxmlformats.org/officeDocument/2006/relationships/hyperlink" Target="https://chromewebstore.google.com/detail/bfkpkealncpcbfklpgnggcgjjdkbljop" TargetMode="External"/><Relationship Id="rId6434" Type="http://schemas.openxmlformats.org/officeDocument/2006/relationships/hyperlink" Target="https://chromewebstore.google.com/detail/lppedmgppdjcmcomnecmhclomnleknnh" TargetMode="External"/><Relationship Id="rId7766" Type="http://schemas.openxmlformats.org/officeDocument/2006/relationships/hyperlink" Target="https://chromewebstore.google.com/detail/nenppnbcodpelcnkbpelphheiddcdmff" TargetMode="External"/><Relationship Id="rId5104" Type="http://schemas.openxmlformats.org/officeDocument/2006/relationships/hyperlink" Target="https://chromewebstore.google.com/detail/bfpdlicnalglgniemfjmbjbadekoilpl" TargetMode="External"/><Relationship Id="rId6435" Type="http://schemas.openxmlformats.org/officeDocument/2006/relationships/hyperlink" Target="https://chromewebstore.google.com/detail/maakalpbnpehpkjfhihilhfjhllekkeh" TargetMode="External"/><Relationship Id="rId7765" Type="http://schemas.openxmlformats.org/officeDocument/2006/relationships/hyperlink" Target="https://chromewebstore.google.com/detail/hombkmjjoapdaclgaaioldnljmhhliai" TargetMode="External"/><Relationship Id="rId2940" Type="http://schemas.openxmlformats.org/officeDocument/2006/relationships/hyperlink" Target="https://chromewebstore.google.com/detail/fbhapfcojegildkbfcidlnknbamgibkl" TargetMode="External"/><Relationship Id="rId1610" Type="http://schemas.openxmlformats.org/officeDocument/2006/relationships/hyperlink" Target="https://chromewebstore.google.com/detail/mfekcpndbpdgjjfahekhncdfegkhbghg" TargetMode="External"/><Relationship Id="rId2941" Type="http://schemas.openxmlformats.org/officeDocument/2006/relationships/hyperlink" Target="https://chromewebstore.google.com/detail/fbicpmopjallgdpklipffmihodimmcbe" TargetMode="External"/><Relationship Id="rId1611" Type="http://schemas.openxmlformats.org/officeDocument/2006/relationships/hyperlink" Target="https://chromewebstore.google.com/detail/mfoaclfeiefiehgaojbmncmefhdnikeg" TargetMode="External"/><Relationship Id="rId2942" Type="http://schemas.openxmlformats.org/officeDocument/2006/relationships/hyperlink" Target="https://chromewebstore.google.com/detail/fbmpipnebmifpjijhpbdcjjeebbaphao" TargetMode="External"/><Relationship Id="rId1612" Type="http://schemas.openxmlformats.org/officeDocument/2006/relationships/hyperlink" Target="https://chromewebstore.google.com/detail/mgaecjklgnbkkdfnfpncgnogplnjjcdh" TargetMode="External"/><Relationship Id="rId2943" Type="http://schemas.openxmlformats.org/officeDocument/2006/relationships/hyperlink" Target="https://chromewebstore.google.com/detail/fdjlldokfdiglkajbadmgbmbnljokpag" TargetMode="External"/><Relationship Id="rId1613" Type="http://schemas.openxmlformats.org/officeDocument/2006/relationships/hyperlink" Target="https://chromewebstore.google.com/detail/mgbpliiilnmkgnjdfoneablfpmflghip" TargetMode="External"/><Relationship Id="rId2944" Type="http://schemas.openxmlformats.org/officeDocument/2006/relationships/hyperlink" Target="https://chromewebstore.google.com/detail/fdkdhnmocjdpgbjofkmkcfnhkblmadce" TargetMode="External"/><Relationship Id="rId1614" Type="http://schemas.openxmlformats.org/officeDocument/2006/relationships/hyperlink" Target="https://chromewebstore.google.com/detail/mgpbkhkpghgmihmcfbndejmkaibbnljo" TargetMode="External"/><Relationship Id="rId2945" Type="http://schemas.openxmlformats.org/officeDocument/2006/relationships/hyperlink" Target="https://chromewebstore.google.com/detail/fdncdgdjflfnpbibedmlfdjafkinnfcl" TargetMode="External"/><Relationship Id="rId1615" Type="http://schemas.openxmlformats.org/officeDocument/2006/relationships/hyperlink" Target="https://chromewebstore.google.com/detail/mhabjpofjblpelkgmllkpcnlhgjpebko" TargetMode="External"/><Relationship Id="rId2946" Type="http://schemas.openxmlformats.org/officeDocument/2006/relationships/hyperlink" Target="https://chromewebstore.google.com/detail/fdnjiondibmefmnjdbokflohocecpeoa" TargetMode="External"/><Relationship Id="rId1616" Type="http://schemas.openxmlformats.org/officeDocument/2006/relationships/hyperlink" Target="https://chromewebstore.google.com/detail/mhfjedhbggbodliofccpefegbmaoohin" TargetMode="External"/><Relationship Id="rId2947" Type="http://schemas.openxmlformats.org/officeDocument/2006/relationships/hyperlink" Target="https://chromewebstore.google.com/detail/febgkbbbbocnmjpgblmhenpgnobanogi" TargetMode="External"/><Relationship Id="rId907" Type="http://schemas.openxmlformats.org/officeDocument/2006/relationships/hyperlink" Target="https://chromewebstore.google.com/detail/hhogfmlhffdddckpokfodepfiimfffjf" TargetMode="External"/><Relationship Id="rId1617" Type="http://schemas.openxmlformats.org/officeDocument/2006/relationships/hyperlink" Target="https://chromewebstore.google.com/detail/mhhidgiahbopjapanmbflpkcecpciffa" TargetMode="External"/><Relationship Id="rId2948" Type="http://schemas.openxmlformats.org/officeDocument/2006/relationships/hyperlink" Target="https://chromewebstore.google.com/detail/ffeofhiiabipephomkglcjbhgglddeeg" TargetMode="External"/><Relationship Id="rId906" Type="http://schemas.openxmlformats.org/officeDocument/2006/relationships/hyperlink" Target="https://chromewebstore.google.com/detail/hhmokalkpaiacdofbcddkogifepbaijk" TargetMode="External"/><Relationship Id="rId1618" Type="http://schemas.openxmlformats.org/officeDocument/2006/relationships/hyperlink" Target="https://chromewebstore.google.com/detail/mhkbaognlahkdimlfcfhbeihldmjofgg" TargetMode="External"/><Relationship Id="rId2949" Type="http://schemas.openxmlformats.org/officeDocument/2006/relationships/hyperlink" Target="https://chromewebstore.google.com/detail/ffgphkdmeoodlppmdmlonohncngfgnnk" TargetMode="External"/><Relationship Id="rId905" Type="http://schemas.openxmlformats.org/officeDocument/2006/relationships/hyperlink" Target="https://chromewebstore.google.com/detail/hflnkihcpgldmkepajmpooacmmhglpff" TargetMode="External"/><Relationship Id="rId1619" Type="http://schemas.openxmlformats.org/officeDocument/2006/relationships/hyperlink" Target="https://chromewebstore.google.com/detail/mioddjnagbibapbehcccdfibbpjkadjd" TargetMode="External"/><Relationship Id="rId904" Type="http://schemas.openxmlformats.org/officeDocument/2006/relationships/hyperlink" Target="https://chromewebstore.google.com/detail/hbphcokhhbpehbnikdfkcedpleahhdao" TargetMode="External"/><Relationship Id="rId909" Type="http://schemas.openxmlformats.org/officeDocument/2006/relationships/hyperlink" Target="https://chromewebstore.google.com/detail/hjgdcecfiohgajnhilmjhebdganpaomk" TargetMode="External"/><Relationship Id="rId908" Type="http://schemas.openxmlformats.org/officeDocument/2006/relationships/hyperlink" Target="https://chromewebstore.google.com/detail/hiponeioelghhaljfflaaflpccedbdem" TargetMode="External"/><Relationship Id="rId903" Type="http://schemas.openxmlformats.org/officeDocument/2006/relationships/hyperlink" Target="https://chromewebstore.google.com/detail/habajgjiodkagmalhjchegenflkoogej" TargetMode="External"/><Relationship Id="rId902" Type="http://schemas.openxmlformats.org/officeDocument/2006/relationships/hyperlink" Target="https://chromewebstore.google.com/detail/gphjjfiadngdfchoeimfdlpnhhjmddid" TargetMode="External"/><Relationship Id="rId901" Type="http://schemas.openxmlformats.org/officeDocument/2006/relationships/hyperlink" Target="https://chromewebstore.google.com/detail/gnmdbogfankgjepgglmmfmbnimcmcjle" TargetMode="External"/><Relationship Id="rId900" Type="http://schemas.openxmlformats.org/officeDocument/2006/relationships/hyperlink" Target="https://chromewebstore.google.com/detail/gnknjnebjldmkpmlhjipalimhjofpgho" TargetMode="External"/><Relationship Id="rId2930" Type="http://schemas.openxmlformats.org/officeDocument/2006/relationships/hyperlink" Target="https://chromewebstore.google.com/detail/ejbmfhgfpejndimejlfghaddkphononj" TargetMode="External"/><Relationship Id="rId1600" Type="http://schemas.openxmlformats.org/officeDocument/2006/relationships/hyperlink" Target="https://chromewebstore.google.com/detail/mbhbddecpoendcifccfckjkigbinefkg" TargetMode="External"/><Relationship Id="rId2931" Type="http://schemas.openxmlformats.org/officeDocument/2006/relationships/hyperlink" Target="https://chromewebstore.google.com/detail/elejfbgccaknplepagepnbpflnoomioj" TargetMode="External"/><Relationship Id="rId1601" Type="http://schemas.openxmlformats.org/officeDocument/2006/relationships/hyperlink" Target="https://chromewebstore.google.com/detail/mbhnoblcplfcookpoennihpndjobapeo" TargetMode="External"/><Relationship Id="rId2932" Type="http://schemas.openxmlformats.org/officeDocument/2006/relationships/hyperlink" Target="https://chromewebstore.google.com/detail/emacifekhnajdlgeejloncjbcnoingnd" TargetMode="External"/><Relationship Id="rId1602" Type="http://schemas.openxmlformats.org/officeDocument/2006/relationships/hyperlink" Target="https://chromewebstore.google.com/detail/mblmpdpfppogibmoobibfannckeeleag" TargetMode="External"/><Relationship Id="rId2933" Type="http://schemas.openxmlformats.org/officeDocument/2006/relationships/hyperlink" Target="https://chromewebstore.google.com/detail/enmkdplopmpkfnlefdldpkbcmihgcdec" TargetMode="External"/><Relationship Id="rId1603" Type="http://schemas.openxmlformats.org/officeDocument/2006/relationships/hyperlink" Target="https://chromewebstore.google.com/detail/mcdkcbdmgpgehifficmblllmkhdnmobc" TargetMode="External"/><Relationship Id="rId2934" Type="http://schemas.openxmlformats.org/officeDocument/2006/relationships/hyperlink" Target="https://chromewebstore.google.com/detail/eoflfhfpgdhgbegbpgckkailbndcgpod" TargetMode="External"/><Relationship Id="rId1604" Type="http://schemas.openxmlformats.org/officeDocument/2006/relationships/hyperlink" Target="https://chromewebstore.google.com/detail/mdmgnnmlhdfofojkdoajglgmhaicejkk" TargetMode="External"/><Relationship Id="rId2935" Type="http://schemas.openxmlformats.org/officeDocument/2006/relationships/hyperlink" Target="https://chromewebstore.google.com/detail/eofoblinhpjfhkjlfckmeidagfogclib" TargetMode="External"/><Relationship Id="rId1605" Type="http://schemas.openxmlformats.org/officeDocument/2006/relationships/hyperlink" Target="https://chromewebstore.google.com/detail/mdmlhchldhfnfnkfmljgeinlffmdgkjo" TargetMode="External"/><Relationship Id="rId2936" Type="http://schemas.openxmlformats.org/officeDocument/2006/relationships/hyperlink" Target="https://chromewebstore.google.com/detail/epbimhhenalihknndiglmjaehfpifaeg" TargetMode="External"/><Relationship Id="rId1606" Type="http://schemas.openxmlformats.org/officeDocument/2006/relationships/hyperlink" Target="https://chromewebstore.google.com/detail/medgbgefdakphipekbmojjjhpmibhjif" TargetMode="External"/><Relationship Id="rId2937" Type="http://schemas.openxmlformats.org/officeDocument/2006/relationships/hyperlink" Target="https://chromewebstore.google.com/detail/ephabedpajngbmeohfngglhabgfcjgjl" TargetMode="External"/><Relationship Id="rId1607" Type="http://schemas.openxmlformats.org/officeDocument/2006/relationships/hyperlink" Target="https://chromewebstore.google.com/detail/medpfcealkejgpagldhgadbfaejjacaa" TargetMode="External"/><Relationship Id="rId2938" Type="http://schemas.openxmlformats.org/officeDocument/2006/relationships/hyperlink" Target="https://chromewebstore.google.com/detail/fafnphaopehepcmfnakggljonnhkofpk" TargetMode="External"/><Relationship Id="rId1608" Type="http://schemas.openxmlformats.org/officeDocument/2006/relationships/hyperlink" Target="https://chromewebstore.google.com/detail/mefkaeaddmfcaobcbofpfkohmdaeihbd" TargetMode="External"/><Relationship Id="rId2939" Type="http://schemas.openxmlformats.org/officeDocument/2006/relationships/hyperlink" Target="https://chromewebstore.google.com/detail/fapndfdannkgofolmaihpbigbolcobek" TargetMode="External"/><Relationship Id="rId1609" Type="http://schemas.openxmlformats.org/officeDocument/2006/relationships/hyperlink" Target="https://chromewebstore.google.com/detail/megplcpdkmjjoondippkedoaidkeikcm" TargetMode="External"/><Relationship Id="rId1631" Type="http://schemas.openxmlformats.org/officeDocument/2006/relationships/hyperlink" Target="https://chromewebstore.google.com/detail/mpnkdjpgbhnnpaegmejjbgoelicncdmg" TargetMode="External"/><Relationship Id="rId2962" Type="http://schemas.openxmlformats.org/officeDocument/2006/relationships/hyperlink" Target="https://chromewebstore.google.com/detail/flpcifoeceefgkgpmapjajdkoboidhmj" TargetMode="External"/><Relationship Id="rId1632" Type="http://schemas.openxmlformats.org/officeDocument/2006/relationships/hyperlink" Target="https://chromewebstore.google.com/detail/nabjlccebfffbgmmoadelclcoaflbhnn" TargetMode="External"/><Relationship Id="rId2963" Type="http://schemas.openxmlformats.org/officeDocument/2006/relationships/hyperlink" Target="https://chromewebstore.google.com/detail/flpifgahbaopfmnlmcgkkodanhoifdpa" TargetMode="External"/><Relationship Id="rId1633" Type="http://schemas.openxmlformats.org/officeDocument/2006/relationships/hyperlink" Target="https://chromewebstore.google.com/detail/nalaeminfbmmidadoaegigajbapfajgi" TargetMode="External"/><Relationship Id="rId2964" Type="http://schemas.openxmlformats.org/officeDocument/2006/relationships/hyperlink" Target="https://chromewebstore.google.com/detail/fmaalognklkjmannniekhbbapoppcimk" TargetMode="External"/><Relationship Id="rId1634" Type="http://schemas.openxmlformats.org/officeDocument/2006/relationships/hyperlink" Target="https://chromewebstore.google.com/detail/nalpbalegehinpooppmmgjidgiebblad" TargetMode="External"/><Relationship Id="rId2965" Type="http://schemas.openxmlformats.org/officeDocument/2006/relationships/hyperlink" Target="https://chromewebstore.google.com/detail/fmajmkhjmknoegfgdhpiflefolclojef" TargetMode="External"/><Relationship Id="rId1635" Type="http://schemas.openxmlformats.org/officeDocument/2006/relationships/hyperlink" Target="https://chromewebstore.google.com/detail/nanfbkacbckngfcklahdgfagjlghfbgm" TargetMode="External"/><Relationship Id="rId2966" Type="http://schemas.openxmlformats.org/officeDocument/2006/relationships/hyperlink" Target="http://livegamers.pl" TargetMode="External"/><Relationship Id="rId1636" Type="http://schemas.openxmlformats.org/officeDocument/2006/relationships/hyperlink" Target="https://chromewebstore.google.com/detail/napbejkndjhcciibiglkimmgdlfjcbnp" TargetMode="External"/><Relationship Id="rId2967" Type="http://schemas.openxmlformats.org/officeDocument/2006/relationships/hyperlink" Target="https://chromewebstore.google.com/detail/fmdjpbfannegkalllfnlfhjplgdjdnei" TargetMode="External"/><Relationship Id="rId1637" Type="http://schemas.openxmlformats.org/officeDocument/2006/relationships/hyperlink" Target="https://chromewebstore.google.com/detail/napnlheijpokljocbmigochahnlakhbp" TargetMode="External"/><Relationship Id="rId2968" Type="http://schemas.openxmlformats.org/officeDocument/2006/relationships/hyperlink" Target="https://chromewebstore.google.com/detail/fmjkkhoegfianolbdbceddpgnidbfpmo" TargetMode="External"/><Relationship Id="rId1638" Type="http://schemas.openxmlformats.org/officeDocument/2006/relationships/hyperlink" Target="https://chromewebstore.google.com/detail/nbdlmbalmemeafnibbnjbddkclefkkkn" TargetMode="External"/><Relationship Id="rId2969" Type="http://schemas.openxmlformats.org/officeDocument/2006/relationships/hyperlink" Target="https://chromewebstore.google.com/detail/fnbfedemccfdngpmeppjkkiglilfaifh" TargetMode="External"/><Relationship Id="rId929" Type="http://schemas.openxmlformats.org/officeDocument/2006/relationships/hyperlink" Target="https://chromewebstore.google.com/detail/iiljidcefnbhbpamageahhblhbbhhopm" TargetMode="External"/><Relationship Id="rId1639" Type="http://schemas.openxmlformats.org/officeDocument/2006/relationships/hyperlink" Target="https://chromewebstore.google.com/detail/nbfccmdfpollpgjnbghmnkmgimliookh" TargetMode="External"/><Relationship Id="rId928" Type="http://schemas.openxmlformats.org/officeDocument/2006/relationships/hyperlink" Target="https://chromewebstore.google.com/detail/ihlabelanalahcdadbbfggjpdhmkpmpo" TargetMode="External"/><Relationship Id="rId927" Type="http://schemas.openxmlformats.org/officeDocument/2006/relationships/hyperlink" Target="https://chromewebstore.google.com/detail/iglbakfobmoijpbigmlfklckogbefnlf" TargetMode="External"/><Relationship Id="rId926" Type="http://schemas.openxmlformats.org/officeDocument/2006/relationships/hyperlink" Target="https://chromewebstore.google.com/detail/igiofjnckcagmjgdoaakafngegecjnkj" TargetMode="External"/><Relationship Id="rId921" Type="http://schemas.openxmlformats.org/officeDocument/2006/relationships/hyperlink" Target="https://chromewebstore.google.com/detail/icpmbhohkmnbobaibikffolbgmijomjn" TargetMode="External"/><Relationship Id="rId920" Type="http://schemas.openxmlformats.org/officeDocument/2006/relationships/hyperlink" Target="https://chromewebstore.google.com/detail/iccjgbbjckehppnpajnmplcccjcgbdep" TargetMode="External"/><Relationship Id="rId925" Type="http://schemas.openxmlformats.org/officeDocument/2006/relationships/hyperlink" Target="https://chromewebstore.google.com/detail/igfldmdhjhigiidegkljjhgfpalpdmgd" TargetMode="External"/><Relationship Id="rId924" Type="http://schemas.openxmlformats.org/officeDocument/2006/relationships/hyperlink" Target="https://chromewebstore.google.com/detail/igbahmkffbagkepelepkldjiknhbklga" TargetMode="External"/><Relationship Id="rId923" Type="http://schemas.openxmlformats.org/officeDocument/2006/relationships/hyperlink" Target="https://chromewebstore.google.com/detail/iejmieihafhhmjpoblelhbpdgchbckil" TargetMode="External"/><Relationship Id="rId922" Type="http://schemas.openxmlformats.org/officeDocument/2006/relationships/hyperlink" Target="https://chromewebstore.google.com/detail/idkjhjggpffolpidfkikidcokdkdaogg" TargetMode="External"/><Relationship Id="rId2960" Type="http://schemas.openxmlformats.org/officeDocument/2006/relationships/hyperlink" Target="https://chromewebstore.google.com/detail/floifiapkmdcpbnppnfjikpbmgbbdijf" TargetMode="External"/><Relationship Id="rId1630" Type="http://schemas.openxmlformats.org/officeDocument/2006/relationships/hyperlink" Target="https://chromewebstore.google.com/detail/mokmnbikneoaenmckfmgjgjimphfojkd" TargetMode="External"/><Relationship Id="rId2961" Type="http://schemas.openxmlformats.org/officeDocument/2006/relationships/hyperlink" Target="https://chromewebstore.google.com/detail/flookmlccbimcdpnbblpdjhpmjlblfgg" TargetMode="External"/><Relationship Id="rId1620" Type="http://schemas.openxmlformats.org/officeDocument/2006/relationships/hyperlink" Target="https://chromewebstore.google.com/detail/mjdgifdhhligineaimmgbikndpifdgml" TargetMode="External"/><Relationship Id="rId2951" Type="http://schemas.openxmlformats.org/officeDocument/2006/relationships/hyperlink" Target="https://chromewebstore.google.com/detail/fgdlknkkknhcdldggojiooiemajodncl" TargetMode="External"/><Relationship Id="rId1621" Type="http://schemas.openxmlformats.org/officeDocument/2006/relationships/hyperlink" Target="https://chromewebstore.google.com/detail/mkhbghdfcdepfhgeklhdhlmdldiiaajp" TargetMode="External"/><Relationship Id="rId2952" Type="http://schemas.openxmlformats.org/officeDocument/2006/relationships/hyperlink" Target="https://chromewebstore.google.com/detail/fgmkbejeokkpojkldlieonblomokajnf" TargetMode="External"/><Relationship Id="rId1622" Type="http://schemas.openxmlformats.org/officeDocument/2006/relationships/hyperlink" Target="https://chromewebstore.google.com/detail/mkngillhpfbfoecjendeiengbehmfimp" TargetMode="External"/><Relationship Id="rId2953" Type="http://schemas.openxmlformats.org/officeDocument/2006/relationships/hyperlink" Target="https://chromewebstore.google.com/detail/fhhappeemmamffhkmaebfhnimglfjkao" TargetMode="External"/><Relationship Id="rId1623" Type="http://schemas.openxmlformats.org/officeDocument/2006/relationships/hyperlink" Target="https://chromewebstore.google.com/detail/mmkdibnjnmdebbhnddmpknnedpcokonh" TargetMode="External"/><Relationship Id="rId2954" Type="http://schemas.openxmlformats.org/officeDocument/2006/relationships/hyperlink" Target="https://chromewebstore.google.com/detail/filgdcpknaklibnfoejliopebdipligb" TargetMode="External"/><Relationship Id="rId1624" Type="http://schemas.openxmlformats.org/officeDocument/2006/relationships/hyperlink" Target="https://chromewebstore.google.com/detail/mmmhadpnjmokjbmgamifipkjddhlfkhi" TargetMode="External"/><Relationship Id="rId2955" Type="http://schemas.openxmlformats.org/officeDocument/2006/relationships/hyperlink" Target="https://chromewebstore.google.com/detail/fimkjebbomamhcamiebchfaiaenggpka" TargetMode="External"/><Relationship Id="rId1625" Type="http://schemas.openxmlformats.org/officeDocument/2006/relationships/hyperlink" Target="https://chromewebstore.google.com/detail/mnheacjogifmodmiamnlekeapplcihbm" TargetMode="External"/><Relationship Id="rId2956" Type="http://schemas.openxmlformats.org/officeDocument/2006/relationships/hyperlink" Target="https://chromewebstore.google.com/detail/fjloccpjmhaaejcfjhnlkgeankdjfhjo" TargetMode="External"/><Relationship Id="rId1626" Type="http://schemas.openxmlformats.org/officeDocument/2006/relationships/hyperlink" Target="https://chromewebstore.google.com/detail/mnmlmkmjjhpbfemhmhpcpfkdlgadbigf" TargetMode="External"/><Relationship Id="rId2957" Type="http://schemas.openxmlformats.org/officeDocument/2006/relationships/hyperlink" Target="https://chromewebstore.google.com/detail/fkhnpccgeinkjjpfhpjeohobbmnpapkc" TargetMode="External"/><Relationship Id="rId1627" Type="http://schemas.openxmlformats.org/officeDocument/2006/relationships/hyperlink" Target="https://chromewebstore.google.com/detail/mnphkaomgkbegpgndpmjfoljlkipenli" TargetMode="External"/><Relationship Id="rId2958" Type="http://schemas.openxmlformats.org/officeDocument/2006/relationships/hyperlink" Target="https://chromewebstore.google.com/detail/flhdcaebggmmpnnaljiajhihdfconkbj" TargetMode="External"/><Relationship Id="rId918" Type="http://schemas.openxmlformats.org/officeDocument/2006/relationships/hyperlink" Target="https://chromewebstore.google.com/detail/hpkpbfeihkdokkifjnfomcpjldjfpmig" TargetMode="External"/><Relationship Id="rId1628" Type="http://schemas.openxmlformats.org/officeDocument/2006/relationships/hyperlink" Target="https://chromewebstore.google.com/detail/mnplmcgaklbhpennjinecnkjpedmfejc" TargetMode="External"/><Relationship Id="rId2959" Type="http://schemas.openxmlformats.org/officeDocument/2006/relationships/hyperlink" Target="https://chromewebstore.google.com/detail/flnagcobkfofedknnnmofijmmkbgfamf" TargetMode="External"/><Relationship Id="rId917" Type="http://schemas.openxmlformats.org/officeDocument/2006/relationships/hyperlink" Target="https://chromewebstore.google.com/detail/hoboanjcaobnfchcnlgjhmnmogmnbipb" TargetMode="External"/><Relationship Id="rId1629" Type="http://schemas.openxmlformats.org/officeDocument/2006/relationships/hyperlink" Target="https://chromewebstore.google.com/detail/moiloihigegdbekeabannnkibekfnekf" TargetMode="External"/><Relationship Id="rId916" Type="http://schemas.openxmlformats.org/officeDocument/2006/relationships/hyperlink" Target="https://chromewebstore.google.com/detail/hmgehpjpfhobbnhhelhlggjfcaollidl" TargetMode="External"/><Relationship Id="rId915" Type="http://schemas.openxmlformats.org/officeDocument/2006/relationships/hyperlink" Target="https://chromewebstore.google.com/detail/hklkdbpicdmlpoiellngedpejjkmapei" TargetMode="External"/><Relationship Id="rId919" Type="http://schemas.openxmlformats.org/officeDocument/2006/relationships/hyperlink" Target="https://chromewebstore.google.com/detail/iaihapeddbkncmmikkpmeggfecohnahg" TargetMode="External"/><Relationship Id="rId910" Type="http://schemas.openxmlformats.org/officeDocument/2006/relationships/hyperlink" Target="https://chromewebstore.google.com/detail/hjhmkoefmbbhepifdpbclgfikpeahkib" TargetMode="External"/><Relationship Id="rId914" Type="http://schemas.openxmlformats.org/officeDocument/2006/relationships/hyperlink" Target="https://chromewebstore.google.com/detail/hkihmgfcedmdoaogcjdljeeacngbhinc" TargetMode="External"/><Relationship Id="rId913" Type="http://schemas.openxmlformats.org/officeDocument/2006/relationships/hyperlink" Target="https://chromewebstore.google.com/detail/hkdbcemiphlcpmcphjgfaepgciimcoef" TargetMode="External"/><Relationship Id="rId912" Type="http://schemas.openxmlformats.org/officeDocument/2006/relationships/hyperlink" Target="https://chromewebstore.google.com/detail/hjmoaenjknbdehbiaeeijcppnljflkff" TargetMode="External"/><Relationship Id="rId911" Type="http://schemas.openxmlformats.org/officeDocument/2006/relationships/hyperlink" Target="https://chromewebstore.google.com/detail/hjmchndlheccnejbaamnbdmehmabemen" TargetMode="External"/><Relationship Id="rId2950" Type="http://schemas.openxmlformats.org/officeDocument/2006/relationships/hyperlink" Target="https://chromewebstore.google.com/detail/fgbfnbkkollcgnpibaedekjjeenfjbdn" TargetMode="External"/><Relationship Id="rId2900" Type="http://schemas.openxmlformats.org/officeDocument/2006/relationships/hyperlink" Target="https://chromewebstore.google.com/detail/dhkkimcelcgopfjblmblfhbihlihhppe" TargetMode="External"/><Relationship Id="rId2901" Type="http://schemas.openxmlformats.org/officeDocument/2006/relationships/hyperlink" Target="https://chromewebstore.google.com/detail/dhlalbbccdkkonkpeaailagagppobblb" TargetMode="External"/><Relationship Id="rId2902" Type="http://schemas.openxmlformats.org/officeDocument/2006/relationships/hyperlink" Target="https://chromewebstore.google.com/detail/dhoomabpflmndikhoiolpogmjlnegben" TargetMode="External"/><Relationship Id="rId2903" Type="http://schemas.openxmlformats.org/officeDocument/2006/relationships/hyperlink" Target="https://chromewebstore.google.com/detail/dhpojdmnffaocepmljcdcongdmkjblan" TargetMode="External"/><Relationship Id="rId2904" Type="http://schemas.openxmlformats.org/officeDocument/2006/relationships/hyperlink" Target="https://chromewebstore.google.com/detail/dicajblfgcpecbkhkjaljphlmkhohelc" TargetMode="External"/><Relationship Id="rId2905" Type="http://schemas.openxmlformats.org/officeDocument/2006/relationships/hyperlink" Target="https://chromewebstore.google.com/detail/dildejdbnjjfnpflnoplbfgcjpdlkjjm" TargetMode="External"/><Relationship Id="rId2906" Type="http://schemas.openxmlformats.org/officeDocument/2006/relationships/hyperlink" Target="https://chromewebstore.google.com/detail/dilpkmipcjppflnkjifjidiammgiiaag" TargetMode="External"/><Relationship Id="rId2907" Type="http://schemas.openxmlformats.org/officeDocument/2006/relationships/hyperlink" Target="https://chromewebstore.google.com/detail/djcheclpmmkcdkjcenfamalobdenmici" TargetMode="External"/><Relationship Id="rId2908" Type="http://schemas.openxmlformats.org/officeDocument/2006/relationships/hyperlink" Target="https://chromewebstore.google.com/detail/dkdedlpgdmmkkfjabffeganieamfklkm" TargetMode="External"/><Relationship Id="rId2909" Type="http://schemas.openxmlformats.org/officeDocument/2006/relationships/hyperlink" Target="https://chromewebstore.google.com/detail/dkikcapmobbpchilifibnfndebjdeilg" TargetMode="External"/><Relationship Id="rId5170" Type="http://schemas.openxmlformats.org/officeDocument/2006/relationships/hyperlink" Target="https://chromewebstore.google.com/detail/bononpbmihomjbnfaaapbbhfkifjcekn" TargetMode="External"/><Relationship Id="rId5171" Type="http://schemas.openxmlformats.org/officeDocument/2006/relationships/hyperlink" Target="https://chromewebstore.google.com/detail/bpbalpgdnkieljogofnfjmgcnjcaiheg" TargetMode="External"/><Relationship Id="rId5174" Type="http://schemas.openxmlformats.org/officeDocument/2006/relationships/hyperlink" Target="https://chromewebstore.google.com/detail/bpglollfkjfopjpnhffddkpcemoicela" TargetMode="External"/><Relationship Id="rId5175" Type="http://schemas.openxmlformats.org/officeDocument/2006/relationships/hyperlink" Target="https://chromewebstore.google.com/detail/bpgpmbeomblaiefcpfffeknlmdniphfj" TargetMode="External"/><Relationship Id="rId5172" Type="http://schemas.openxmlformats.org/officeDocument/2006/relationships/hyperlink" Target="https://chromewebstore.google.com/detail/bpeblffgmddnafmnmdjohcmkbeifdlnb" TargetMode="External"/><Relationship Id="rId5173" Type="http://schemas.openxmlformats.org/officeDocument/2006/relationships/hyperlink" Target="https://chromewebstore.google.com/detail/bpfgocdamegnchkjefgknhjflempicie" TargetMode="External"/><Relationship Id="rId5178" Type="http://schemas.openxmlformats.org/officeDocument/2006/relationships/hyperlink" Target="https://chromewebstore.google.com/detail/bpoinaajmddigpifcllncafoienemiid" TargetMode="External"/><Relationship Id="rId5179" Type="http://schemas.openxmlformats.org/officeDocument/2006/relationships/hyperlink" Target="https://chromewebstore.google.com/detail/bpokokggppjbfooncickjejmekbpblfa" TargetMode="External"/><Relationship Id="rId5176" Type="http://schemas.openxmlformats.org/officeDocument/2006/relationships/hyperlink" Target="https://chromewebstore.google.com/detail/bpnbncnlmblkmeleaiaccmdikkdkicim" TargetMode="External"/><Relationship Id="rId5177" Type="http://schemas.openxmlformats.org/officeDocument/2006/relationships/hyperlink" Target="https://chromewebstore.google.com/detail/bpnfacghgpkdiglphjbiebnmocfalkdi" TargetMode="External"/><Relationship Id="rId6490" Type="http://schemas.openxmlformats.org/officeDocument/2006/relationships/hyperlink" Target="https://chromewebstore.google.com/detail/mgehijmpijagbigfgckjidhkpbckmegc" TargetMode="External"/><Relationship Id="rId5160" Type="http://schemas.openxmlformats.org/officeDocument/2006/relationships/hyperlink" Target="https://chromewebstore.google.com/detail/bocbdecmflhkogddhhceceobniggkcif" TargetMode="External"/><Relationship Id="rId6491" Type="http://schemas.openxmlformats.org/officeDocument/2006/relationships/hyperlink" Target="https://chromewebstore.google.com/detail/mgjhmbdcblaeiplecddckgalpiceoiaj" TargetMode="External"/><Relationship Id="rId5163" Type="http://schemas.openxmlformats.org/officeDocument/2006/relationships/hyperlink" Target="https://chromewebstore.google.com/detail/boeoabmkdhmjbbdhhocnopfkikcpdffd" TargetMode="External"/><Relationship Id="rId6494" Type="http://schemas.openxmlformats.org/officeDocument/2006/relationships/hyperlink" Target="https://chromewebstore.google.com/detail/mgolfcfjhnhjonkafcenenhipplamfdo" TargetMode="External"/><Relationship Id="rId5164" Type="http://schemas.openxmlformats.org/officeDocument/2006/relationships/hyperlink" Target="https://chromewebstore.google.com/detail/boeplfofdabogkgimajcpadbnfcmkmek" TargetMode="External"/><Relationship Id="rId6495" Type="http://schemas.openxmlformats.org/officeDocument/2006/relationships/hyperlink" Target="https://chromewebstore.google.com/detail/mhbdadbnkbnpmfcmpkfdkjhlahgibbfi" TargetMode="External"/><Relationship Id="rId5161" Type="http://schemas.openxmlformats.org/officeDocument/2006/relationships/hyperlink" Target="https://chromewebstore.google.com/detail/boccnfmdebiimijohfknedojjgdofadj" TargetMode="External"/><Relationship Id="rId6492" Type="http://schemas.openxmlformats.org/officeDocument/2006/relationships/hyperlink" Target="https://chromewebstore.google.com/detail/mgmcokpgponhgkbnhfbdiddookjadenf" TargetMode="External"/><Relationship Id="rId5162" Type="http://schemas.openxmlformats.org/officeDocument/2006/relationships/hyperlink" Target="https://chromewebstore.google.com/detail/boehebkkkfgdhfnbcgbamfeacljgcfmc" TargetMode="External"/><Relationship Id="rId6493" Type="http://schemas.openxmlformats.org/officeDocument/2006/relationships/hyperlink" Target="https://chromewebstore.google.com/detail/mgnblnbdmneollbncamkogcpgpjgekpf" TargetMode="External"/><Relationship Id="rId5167" Type="http://schemas.openxmlformats.org/officeDocument/2006/relationships/hyperlink" Target="https://chromewebstore.google.com/detail/bokkecognodebgcjcgkihiimgegipmjg" TargetMode="External"/><Relationship Id="rId6498" Type="http://schemas.openxmlformats.org/officeDocument/2006/relationships/hyperlink" Target="https://chromewebstore.google.com/detail/mhglgbabaleaegjhdcmfffkaaklpmjog" TargetMode="External"/><Relationship Id="rId5168" Type="http://schemas.openxmlformats.org/officeDocument/2006/relationships/hyperlink" Target="https://chromewebstore.google.com/detail/bombfdlgambijdlldkmfoeeefjchbckc" TargetMode="External"/><Relationship Id="rId6499" Type="http://schemas.openxmlformats.org/officeDocument/2006/relationships/hyperlink" Target="https://chromewebstore.google.com/detail/mhikceoaalnjmimabofghliacpmljocb" TargetMode="External"/><Relationship Id="rId5165" Type="http://schemas.openxmlformats.org/officeDocument/2006/relationships/hyperlink" Target="https://chromewebstore.google.com/detail/bohkgjccccgdimejjnihcpgmaeiekhak" TargetMode="External"/><Relationship Id="rId6496" Type="http://schemas.openxmlformats.org/officeDocument/2006/relationships/hyperlink" Target="https://chromewebstore.google.com/detail/mhfedeapmfofjbbmgiangfhnadgloemk" TargetMode="External"/><Relationship Id="rId5166" Type="http://schemas.openxmlformats.org/officeDocument/2006/relationships/hyperlink" Target="https://chromewebstore.google.com/detail/boiknfoahghlfkhbaecjkfkonbepiglg" TargetMode="External"/><Relationship Id="rId6497" Type="http://schemas.openxmlformats.org/officeDocument/2006/relationships/hyperlink" Target="https://chromewebstore.google.com/detail/mhfnbdpkbjjidncjoapecfbedblplacn" TargetMode="External"/><Relationship Id="rId5169" Type="http://schemas.openxmlformats.org/officeDocument/2006/relationships/hyperlink" Target="https://chromewebstore.google.com/detail/bonlpfoeaoeadalicohkefgpkjplmfbg" TargetMode="External"/><Relationship Id="rId2920" Type="http://schemas.openxmlformats.org/officeDocument/2006/relationships/hyperlink" Target="https://chromewebstore.google.com/detail/ednjmeomfcmonkgaogcgmfeelgegkpma" TargetMode="External"/><Relationship Id="rId2921" Type="http://schemas.openxmlformats.org/officeDocument/2006/relationships/hyperlink" Target="https://chromewebstore.google.com/detail/ednnkpljcbpjcoplcooifiblghkephlh" TargetMode="External"/><Relationship Id="rId2922" Type="http://schemas.openxmlformats.org/officeDocument/2006/relationships/hyperlink" Target="https://chromewebstore.google.com/detail/eedabbfjpacefmdfbjcploljmhlgkcph" TargetMode="External"/><Relationship Id="rId2923" Type="http://schemas.openxmlformats.org/officeDocument/2006/relationships/hyperlink" Target="https://chromewebstore.google.com/detail/egeneelmedfcnakdkkpoflpfiogmgjhk" TargetMode="External"/><Relationship Id="rId2924" Type="http://schemas.openxmlformats.org/officeDocument/2006/relationships/hyperlink" Target="https://chromewebstore.google.com/detail/egmilngkgddnnmkpkonkpkjkipiihmkh" TargetMode="External"/><Relationship Id="rId2925" Type="http://schemas.openxmlformats.org/officeDocument/2006/relationships/hyperlink" Target="https://chromewebstore.google.com/detail/ehbcfilpfnlahficlpimomapmbccieoi" TargetMode="External"/><Relationship Id="rId2926" Type="http://schemas.openxmlformats.org/officeDocument/2006/relationships/hyperlink" Target="https://chromewebstore.google.com/detail/ehiaijjfijdbaepbhgompjomellejfoj" TargetMode="External"/><Relationship Id="rId2927" Type="http://schemas.openxmlformats.org/officeDocument/2006/relationships/hyperlink" Target="https://chromewebstore.google.com/detail/eichfopopofffkbhjgbabdegakcdmpkm" TargetMode="External"/><Relationship Id="rId2928" Type="http://schemas.openxmlformats.org/officeDocument/2006/relationships/hyperlink" Target="https://chromewebstore.google.com/detail/eiiibfemcfcehadokcldlcdljfdlmolj" TargetMode="External"/><Relationship Id="rId2929" Type="http://schemas.openxmlformats.org/officeDocument/2006/relationships/hyperlink" Target="https://chromewebstore.google.com/detail/eipbidbihnpafjpfpcpnnfmlebiagola" TargetMode="External"/><Relationship Id="rId5192" Type="http://schemas.openxmlformats.org/officeDocument/2006/relationships/hyperlink" Target="https://chromewebstore.google.com/detail/cblhgnnnpnonkonnfcfkfhhkoldjpdno" TargetMode="External"/><Relationship Id="rId5193" Type="http://schemas.openxmlformats.org/officeDocument/2006/relationships/hyperlink" Target="https://chromewebstore.google.com/detail/cblonpcmkamcmodcdknmpicgdohmifla" TargetMode="External"/><Relationship Id="rId5190" Type="http://schemas.openxmlformats.org/officeDocument/2006/relationships/hyperlink" Target="https://chromewebstore.google.com/detail/cbeidghihnefkfenmcahlofknpfblmmh" TargetMode="External"/><Relationship Id="rId5191" Type="http://schemas.openxmlformats.org/officeDocument/2006/relationships/hyperlink" Target="https://chromewebstore.google.com/detail/cbjgjgbnklbncggeioecjhbichhmocgl" TargetMode="External"/><Relationship Id="rId5196" Type="http://schemas.openxmlformats.org/officeDocument/2006/relationships/hyperlink" Target="https://chromewebstore.google.com/detail/ccghcnenefcpjjikaalmfkafenlhagpn" TargetMode="External"/><Relationship Id="rId5197" Type="http://schemas.openxmlformats.org/officeDocument/2006/relationships/hyperlink" Target="https://chromewebstore.google.com/detail/ccgjmadhdidfloacagcnnodbkedkjedg" TargetMode="External"/><Relationship Id="rId5194" Type="http://schemas.openxmlformats.org/officeDocument/2006/relationships/hyperlink" Target="https://chromewebstore.google.com/detail/cbnipbdpgcncaghphljjicfgmkonflee" TargetMode="External"/><Relationship Id="rId5195" Type="http://schemas.openxmlformats.org/officeDocument/2006/relationships/hyperlink" Target="https://chromewebstore.google.com/detail/ccaddeihobjfjhpidfolokbffjnacfae" TargetMode="External"/><Relationship Id="rId5198" Type="http://schemas.openxmlformats.org/officeDocument/2006/relationships/hyperlink" Target="https://chromewebstore.google.com/detail/cchaceegbflphbdpfocjalgjhjoahiia" TargetMode="External"/><Relationship Id="rId5199" Type="http://schemas.openxmlformats.org/officeDocument/2006/relationships/hyperlink" Target="https://chromewebstore.google.com/detail/ccjomchggbfngggjahebgahghoomiegm" TargetMode="External"/><Relationship Id="rId2910" Type="http://schemas.openxmlformats.org/officeDocument/2006/relationships/hyperlink" Target="https://chromewebstore.google.com/detail/dleekicmcmdlfpmocbpllipgohgghhoj" TargetMode="External"/><Relationship Id="rId2911" Type="http://schemas.openxmlformats.org/officeDocument/2006/relationships/hyperlink" Target="https://chromewebstore.google.com/detail/dllbflhpdeinobodaaibnojmgejkkjii" TargetMode="External"/><Relationship Id="rId2912" Type="http://schemas.openxmlformats.org/officeDocument/2006/relationships/hyperlink" Target="https://chromewebstore.google.com/detail/dneehabidhbfdiohdhbhjbbljobchgab" TargetMode="External"/><Relationship Id="rId2913" Type="http://schemas.openxmlformats.org/officeDocument/2006/relationships/hyperlink" Target="https://chromewebstore.google.com/detail/dnlfochnjjonhempkinfokflaclicokg" TargetMode="External"/><Relationship Id="rId2914" Type="http://schemas.openxmlformats.org/officeDocument/2006/relationships/hyperlink" Target="https://chromewebstore.google.com/detail/dobolefimaffkkkohihlhdigcmjehoge" TargetMode="External"/><Relationship Id="rId2915" Type="http://schemas.openxmlformats.org/officeDocument/2006/relationships/hyperlink" Target="https://chromewebstore.google.com/detail/dpalpikdbngjpghphidcecanadfdnmfg" TargetMode="External"/><Relationship Id="rId2916" Type="http://schemas.openxmlformats.org/officeDocument/2006/relationships/hyperlink" Target="https://chromewebstore.google.com/detail/dpijpplkkbkoeeennbogompkkehepfin" TargetMode="External"/><Relationship Id="rId2917" Type="http://schemas.openxmlformats.org/officeDocument/2006/relationships/hyperlink" Target="https://chromewebstore.google.com/detail/ealipkphbaohckcjcpgdepjibpceolmf" TargetMode="External"/><Relationship Id="rId2918" Type="http://schemas.openxmlformats.org/officeDocument/2006/relationships/hyperlink" Target="https://chromewebstore.google.com/detail/eamncajdopiabocecbhclhannloflleo" TargetMode="External"/><Relationship Id="rId2919" Type="http://schemas.openxmlformats.org/officeDocument/2006/relationships/hyperlink" Target="https://chromewebstore.google.com/detail/eaokgpjnifijoicnmjldjpekchljhbbp" TargetMode="External"/><Relationship Id="rId5181" Type="http://schemas.openxmlformats.org/officeDocument/2006/relationships/hyperlink" Target="https://chromewebstore.google.com/detail/cabcphhhdomgkaglnbcbpglbgnilmnbj" TargetMode="External"/><Relationship Id="rId5182" Type="http://schemas.openxmlformats.org/officeDocument/2006/relationships/hyperlink" Target="https://chromewebstore.google.com/detail/caeebcagcpmjhlmndepapcokebchemij" TargetMode="External"/><Relationship Id="rId5180" Type="http://schemas.openxmlformats.org/officeDocument/2006/relationships/hyperlink" Target="https://chromewebstore.google.com/detail/caabcffmdomgiiakbkdggeojaknnnlij" TargetMode="External"/><Relationship Id="rId5185" Type="http://schemas.openxmlformats.org/officeDocument/2006/relationships/hyperlink" Target="https://chromewebstore.google.com/detail/calcepdepicecadfaibokdeheekbihkc" TargetMode="External"/><Relationship Id="rId5186" Type="http://schemas.openxmlformats.org/officeDocument/2006/relationships/hyperlink" Target="https://chromewebstore.google.com/detail/calljomlmakockpdlhfjenbphgnngkad" TargetMode="External"/><Relationship Id="rId5183" Type="http://schemas.openxmlformats.org/officeDocument/2006/relationships/hyperlink" Target="https://chromewebstore.google.com/detail/caeoldohbmnkpkndeephoanbkhjccgbm" TargetMode="External"/><Relationship Id="rId5184" Type="http://schemas.openxmlformats.org/officeDocument/2006/relationships/hyperlink" Target="https://chromewebstore.google.com/detail/cakepohgdbjbenkcpkkacmohgfjhnjoh" TargetMode="External"/><Relationship Id="rId5189" Type="http://schemas.openxmlformats.org/officeDocument/2006/relationships/hyperlink" Target="https://chromewebstore.google.com/detail/cbehdjjcilgnejbpnjhobkiiggkedfib" TargetMode="External"/><Relationship Id="rId5187" Type="http://schemas.openxmlformats.org/officeDocument/2006/relationships/hyperlink" Target="https://chromewebstore.google.com/detail/caomdaijfcdopklkecajpkoaiamaegkb" TargetMode="External"/><Relationship Id="rId5188" Type="http://schemas.openxmlformats.org/officeDocument/2006/relationships/hyperlink" Target="https://chromewebstore.google.com/detail/cbacdiognkmjbknpgomnfcopaekfhnbb" TargetMode="External"/><Relationship Id="rId1697" Type="http://schemas.openxmlformats.org/officeDocument/2006/relationships/hyperlink" Target="https://chromewebstore.google.com/detail/ocnplnjcbicbpbnlmpljfgicnpibidgj" TargetMode="External"/><Relationship Id="rId1698" Type="http://schemas.openxmlformats.org/officeDocument/2006/relationships/hyperlink" Target="https://chromewebstore.google.com/detail/odafagokkafdbbeojliiojjmimakacil" TargetMode="External"/><Relationship Id="rId1699" Type="http://schemas.openxmlformats.org/officeDocument/2006/relationships/hyperlink" Target="https://chromewebstore.google.com/detail/odkemkdbjdjlpipmdmnidmcbjnchpghm" TargetMode="External"/><Relationship Id="rId866" Type="http://schemas.openxmlformats.org/officeDocument/2006/relationships/hyperlink" Target="https://chromewebstore.google.com/detail/ffkjohkdmfhoojleoljhhlkonedmccjg" TargetMode="External"/><Relationship Id="rId865" Type="http://schemas.openxmlformats.org/officeDocument/2006/relationships/hyperlink" Target="https://chromewebstore.google.com/detail/fficfkginiidknkbmlcdiojphhkokggh" TargetMode="External"/><Relationship Id="rId864" Type="http://schemas.openxmlformats.org/officeDocument/2006/relationships/hyperlink" Target="https://chromewebstore.google.com/detail/fdpigloibdnkimfbebdgaaefdlkkjoha" TargetMode="External"/><Relationship Id="rId863" Type="http://schemas.openxmlformats.org/officeDocument/2006/relationships/hyperlink" Target="https://chromewebstore.google.com/detail/fdnpgodccdfgofepkclnopmbnacjkbnj" TargetMode="External"/><Relationship Id="rId869" Type="http://schemas.openxmlformats.org/officeDocument/2006/relationships/hyperlink" Target="https://chromewebstore.google.com/detail/fhlogpdbadmjfpndmaijnibflgnbnhof" TargetMode="External"/><Relationship Id="rId868" Type="http://schemas.openxmlformats.org/officeDocument/2006/relationships/hyperlink" Target="https://chromewebstore.google.com/detail/fhkconleiijpolngfiiggodoeaonlacn" TargetMode="External"/><Relationship Id="rId867" Type="http://schemas.openxmlformats.org/officeDocument/2006/relationships/hyperlink" Target="https://chromewebstore.google.com/detail/fhhdlnnepfjhlhilgmeepgkhjmhhhjkh" TargetMode="External"/><Relationship Id="rId1690" Type="http://schemas.openxmlformats.org/officeDocument/2006/relationships/hyperlink" Target="https://chromewebstore.google.com/detail/oapompiieilbchpdikbnngomijbkehmn" TargetMode="External"/><Relationship Id="rId1691" Type="http://schemas.openxmlformats.org/officeDocument/2006/relationships/hyperlink" Target="https://chromewebstore.google.com/detail/obbeehkplijogilkjkpkicnanojdckoi" TargetMode="External"/><Relationship Id="rId1692" Type="http://schemas.openxmlformats.org/officeDocument/2006/relationships/hyperlink" Target="https://chromewebstore.google.com/detail/obldlamadkihjlkdjblncejeblbogmnb" TargetMode="External"/><Relationship Id="rId862" Type="http://schemas.openxmlformats.org/officeDocument/2006/relationships/hyperlink" Target="https://chromewebstore.google.com/detail/fdnbdgmkhikelgaohpgdpcecklddmpaj" TargetMode="External"/><Relationship Id="rId1693" Type="http://schemas.openxmlformats.org/officeDocument/2006/relationships/hyperlink" Target="https://chromewebstore.google.com/detail/ocabfdicbcamoonfhalkdojedklfcjmf" TargetMode="External"/><Relationship Id="rId861" Type="http://schemas.openxmlformats.org/officeDocument/2006/relationships/hyperlink" Target="https://chromewebstore.google.com/detail/fdkgolkkimdnnjaeiogdciekaflaellb" TargetMode="External"/><Relationship Id="rId1694" Type="http://schemas.openxmlformats.org/officeDocument/2006/relationships/hyperlink" Target="https://chromewebstore.google.com/detail/ocfjjjjhkpapocigimmppepjgfdecjkb" TargetMode="External"/><Relationship Id="rId860" Type="http://schemas.openxmlformats.org/officeDocument/2006/relationships/hyperlink" Target="https://chromewebstore.google.com/detail/fcemphgmjnjpmmdhcedhjiegickfbiia" TargetMode="External"/><Relationship Id="rId1695" Type="http://schemas.openxmlformats.org/officeDocument/2006/relationships/hyperlink" Target="https://chromewebstore.google.com/detail/ocifbglmlbpgpbflnkfpclkmckoollbn" TargetMode="External"/><Relationship Id="rId1696" Type="http://schemas.openxmlformats.org/officeDocument/2006/relationships/hyperlink" Target="https://chromewebstore.google.com/detail/ocmandagmgmkcplckgnfgaokpgkfenmp" TargetMode="External"/><Relationship Id="rId1686" Type="http://schemas.openxmlformats.org/officeDocument/2006/relationships/hyperlink" Target="https://chromewebstore.google.com/detail/oafgjlmmngifdapmamnfcfppjnjebkif" TargetMode="External"/><Relationship Id="rId1687" Type="http://schemas.openxmlformats.org/officeDocument/2006/relationships/hyperlink" Target="https://chromewebstore.google.com/detail/oahammdeiaankgiieafmgdpdoefadehl" TargetMode="External"/><Relationship Id="rId1688" Type="http://schemas.openxmlformats.org/officeDocument/2006/relationships/hyperlink" Target="https://chromewebstore.google.com/detail/oahidkobkdbfbknbloljgpjbeaefgapa" TargetMode="External"/><Relationship Id="rId1689" Type="http://schemas.openxmlformats.org/officeDocument/2006/relationships/hyperlink" Target="https://chromewebstore.google.com/detail/oaocieklgnankpgmdbbepdkjpfheohgi" TargetMode="External"/><Relationship Id="rId855" Type="http://schemas.openxmlformats.org/officeDocument/2006/relationships/hyperlink" Target="https://chromewebstore.google.com/detail/emdjdpchbjipnjhkfljbcapgfecmnglm" TargetMode="External"/><Relationship Id="rId854" Type="http://schemas.openxmlformats.org/officeDocument/2006/relationships/hyperlink" Target="https://chromewebstore.google.com/detail/eldlkpeoddgbmpjlnpfblfpgodnojfjl" TargetMode="External"/><Relationship Id="rId853" Type="http://schemas.openxmlformats.org/officeDocument/2006/relationships/hyperlink" Target="https://chromewebstore.google.com/detail/eknhddnoflchkcccjgdddmnimjggiona" TargetMode="External"/><Relationship Id="rId852" Type="http://schemas.openxmlformats.org/officeDocument/2006/relationships/hyperlink" Target="https://chromewebstore.google.com/detail/ekgaebaencakkggokbokmgojdbafnefi" TargetMode="External"/><Relationship Id="rId859" Type="http://schemas.openxmlformats.org/officeDocument/2006/relationships/hyperlink" Target="https://chromewebstore.google.com/detail/fcckkdbjnoikooededlapcalpionmalo" TargetMode="External"/><Relationship Id="rId858" Type="http://schemas.openxmlformats.org/officeDocument/2006/relationships/hyperlink" Target="https://chromewebstore.google.com/detail/enjefpkmlibebgbbgidmhpmjhcdffhfm" TargetMode="External"/><Relationship Id="rId857" Type="http://schemas.openxmlformats.org/officeDocument/2006/relationships/hyperlink" Target="https://chromewebstore.google.com/detail/enibedkmbpadhfofcgjcphipflcbpelf" TargetMode="External"/><Relationship Id="rId856" Type="http://schemas.openxmlformats.org/officeDocument/2006/relationships/hyperlink" Target="https://chromewebstore.google.com/detail/emdkdnnopdnajipoapepbeeiemahbjcn" TargetMode="External"/><Relationship Id="rId1680" Type="http://schemas.openxmlformats.org/officeDocument/2006/relationships/hyperlink" Target="https://chromewebstore.google.com/detail/nnhkopilnkhffhfakmeaafimgbcgjlii" TargetMode="External"/><Relationship Id="rId1681" Type="http://schemas.openxmlformats.org/officeDocument/2006/relationships/hyperlink" Target="https://chromewebstore.google.com/detail/noeilkljmfafbfcdoieialchglebbcea" TargetMode="External"/><Relationship Id="rId851" Type="http://schemas.openxmlformats.org/officeDocument/2006/relationships/hyperlink" Target="https://chromewebstore.google.com/detail/ejimgapgkloohjjiiamebgpcobfcaffl" TargetMode="External"/><Relationship Id="rId1682" Type="http://schemas.openxmlformats.org/officeDocument/2006/relationships/hyperlink" Target="https://chromewebstore.google.com/detail/noncaeikjgpbdeoocblijjgegnobogib" TargetMode="External"/><Relationship Id="rId850" Type="http://schemas.openxmlformats.org/officeDocument/2006/relationships/hyperlink" Target="https://chromewebstore.google.com/detail/ehoopddfhgaehhmphfcooacjdpmbjlao" TargetMode="External"/><Relationship Id="rId1683" Type="http://schemas.openxmlformats.org/officeDocument/2006/relationships/hyperlink" Target="https://chromewebstore.google.com/detail/npbojjhacophkgfmllhoikaaiapdgacb" TargetMode="External"/><Relationship Id="rId1684" Type="http://schemas.openxmlformats.org/officeDocument/2006/relationships/hyperlink" Target="https://chromewebstore.google.com/detail/nplngmgdacdfncdkpdomipkehfnbinfa" TargetMode="External"/><Relationship Id="rId1685" Type="http://schemas.openxmlformats.org/officeDocument/2006/relationships/hyperlink" Target="https://chromewebstore.google.com/detail/oafehcpjkmcajaddkiokiolhebnfhcmg" TargetMode="External"/><Relationship Id="rId888" Type="http://schemas.openxmlformats.org/officeDocument/2006/relationships/hyperlink" Target="https://chromewebstore.google.com/detail/gdjfanbphogooppaefebaaoohdcigpoi" TargetMode="External"/><Relationship Id="rId887" Type="http://schemas.openxmlformats.org/officeDocument/2006/relationships/hyperlink" Target="https://chromewebstore.google.com/detail/gdcfkpenohoihodlddbcgpdjhmdjepnb" TargetMode="External"/><Relationship Id="rId886" Type="http://schemas.openxmlformats.org/officeDocument/2006/relationships/hyperlink" Target="https://chromewebstore.google.com/detail/gcejephhbgbhgajnkgjcjnolbpgdghbc" TargetMode="External"/><Relationship Id="rId885" Type="http://schemas.openxmlformats.org/officeDocument/2006/relationships/hyperlink" Target="https://chromewebstore.google.com/detail/gappjieodenkcldikeopfgiheemoaagb" TargetMode="External"/><Relationship Id="rId889" Type="http://schemas.openxmlformats.org/officeDocument/2006/relationships/hyperlink" Target="https://chromewebstore.google.com/detail/gdpgagmlpgilibfadpifdmpfopknkanf" TargetMode="External"/><Relationship Id="rId880" Type="http://schemas.openxmlformats.org/officeDocument/2006/relationships/hyperlink" Target="https://chromewebstore.google.com/detail/fmgaogkbodhdhhbgkphhbokciiecllno" TargetMode="External"/><Relationship Id="rId884" Type="http://schemas.openxmlformats.org/officeDocument/2006/relationships/hyperlink" Target="https://chromewebstore.google.com/detail/fopaemeedckajflibkpifppcankfmbhk" TargetMode="External"/><Relationship Id="rId883" Type="http://schemas.openxmlformats.org/officeDocument/2006/relationships/hyperlink" Target="https://chromewebstore.google.com/detail/fommidcneendjonelhhhkmoekeicedej" TargetMode="External"/><Relationship Id="rId882" Type="http://schemas.openxmlformats.org/officeDocument/2006/relationships/hyperlink" Target="https://chromewebstore.google.com/detail/fojpkmgahmlajoheocnkebaoodepoekj" TargetMode="External"/><Relationship Id="rId881" Type="http://schemas.openxmlformats.org/officeDocument/2006/relationships/hyperlink" Target="https://chromewebstore.google.com/detail/fncjhcjfnnooidlkijollckpakkebden" TargetMode="External"/><Relationship Id="rId877" Type="http://schemas.openxmlformats.org/officeDocument/2006/relationships/hyperlink" Target="https://chromewebstore.google.com/detail/fklakbbaaknbgcedidhblbnhclijnhbi" TargetMode="External"/><Relationship Id="rId876" Type="http://schemas.openxmlformats.org/officeDocument/2006/relationships/hyperlink" Target="https://chromewebstore.google.com/detail/fkemipdcgbeknabedhecepcebhlnlhbf" TargetMode="External"/><Relationship Id="rId875" Type="http://schemas.openxmlformats.org/officeDocument/2006/relationships/hyperlink" Target="https://chromewebstore.google.com/detail/fkcddcfdmiebmhabfipjlnkkeokdlbom" TargetMode="External"/><Relationship Id="rId874" Type="http://schemas.openxmlformats.org/officeDocument/2006/relationships/hyperlink" Target="https://chromewebstore.google.com/detail/fkaokedhimpifhfadmgjpfjimkogdlcm" TargetMode="External"/><Relationship Id="rId879" Type="http://schemas.openxmlformats.org/officeDocument/2006/relationships/hyperlink" Target="https://chromewebstore.google.com/detail/fkpampcchocandlbgdffjaihmccjmlgk" TargetMode="External"/><Relationship Id="rId878" Type="http://schemas.openxmlformats.org/officeDocument/2006/relationships/hyperlink" Target="https://chromewebstore.google.com/detail/fkpaakpeehepibjpdmoocdaonognfiog" TargetMode="External"/><Relationship Id="rId873" Type="http://schemas.openxmlformats.org/officeDocument/2006/relationships/hyperlink" Target="https://chromewebstore.google.com/detail/fjngbolidiommeliclbhnoifnbniclfk" TargetMode="External"/><Relationship Id="rId872" Type="http://schemas.openxmlformats.org/officeDocument/2006/relationships/hyperlink" Target="https://chromewebstore.google.com/detail/fjfbkbdcdmafppmmeajldfnkjllemkej" TargetMode="External"/><Relationship Id="rId871" Type="http://schemas.openxmlformats.org/officeDocument/2006/relationships/hyperlink" Target="https://chromewebstore.google.com/detail/fjbdfjiheheafbioiejbdpalmojkeobk" TargetMode="External"/><Relationship Id="rId870" Type="http://schemas.openxmlformats.org/officeDocument/2006/relationships/hyperlink" Target="https://chromewebstore.google.com/detail/fhnegjjodccfaliddboelcleikbmapik" TargetMode="External"/><Relationship Id="rId1653" Type="http://schemas.openxmlformats.org/officeDocument/2006/relationships/hyperlink" Target="https://chromewebstore.google.com/detail/nfjhhclkicfofjcjdpdkapbkmmmbnbpf" TargetMode="External"/><Relationship Id="rId2984" Type="http://schemas.openxmlformats.org/officeDocument/2006/relationships/hyperlink" Target="https://chromewebstore.google.com/detail/gdfcinoagafkodbnkjemaajfahnmfkhg" TargetMode="External"/><Relationship Id="rId1654" Type="http://schemas.openxmlformats.org/officeDocument/2006/relationships/hyperlink" Target="https://chromewebstore.google.com/detail/nfkicldpnflkchmbaliabnplahdhipip" TargetMode="External"/><Relationship Id="rId2985" Type="http://schemas.openxmlformats.org/officeDocument/2006/relationships/hyperlink" Target="https://chromewebstore.google.com/detail/gdhmefadngapdfphedlcimcdplachcip" TargetMode="External"/><Relationship Id="rId1655" Type="http://schemas.openxmlformats.org/officeDocument/2006/relationships/hyperlink" Target="https://chromewebstore.google.com/detail/nfmdeemncclfiaeppedpkaekjhceffka" TargetMode="External"/><Relationship Id="rId2986" Type="http://schemas.openxmlformats.org/officeDocument/2006/relationships/hyperlink" Target="https://chromewebstore.google.com/detail/gfilnngoaebchcnkmppbnijaakeccdjc" TargetMode="External"/><Relationship Id="rId1656" Type="http://schemas.openxmlformats.org/officeDocument/2006/relationships/hyperlink" Target="https://chromewebstore.google.com/detail/ngeipjajooddgpedkfobklklflllhppn" TargetMode="External"/><Relationship Id="rId2987" Type="http://schemas.openxmlformats.org/officeDocument/2006/relationships/hyperlink" Target="https://chromewebstore.google.com/detail/gglhpbcdnlhflfpacllleoeofbipdgjl" TargetMode="External"/><Relationship Id="rId1657" Type="http://schemas.openxmlformats.org/officeDocument/2006/relationships/hyperlink" Target="https://chromewebstore.google.com/detail/nghndfiaocgpmcbeafglhknklfgddebe" TargetMode="External"/><Relationship Id="rId2988" Type="http://schemas.openxmlformats.org/officeDocument/2006/relationships/hyperlink" Target="https://chromewebstore.google.com/detail/ghoehocgoliemjdnbjjcaohgofgpkfgg" TargetMode="External"/><Relationship Id="rId1658" Type="http://schemas.openxmlformats.org/officeDocument/2006/relationships/hyperlink" Target="https://chromewebstore.google.com/detail/ngjdhjgbagpeimgpgloofkfoipgpdgdb" TargetMode="External"/><Relationship Id="rId2989" Type="http://schemas.openxmlformats.org/officeDocument/2006/relationships/hyperlink" Target="https://chromewebstore.google.com/detail/gilkjbonaifnnghbdpjmbomjjfffabmn" TargetMode="External"/><Relationship Id="rId1659" Type="http://schemas.openxmlformats.org/officeDocument/2006/relationships/hyperlink" Target="https://chromewebstore.google.com/detail/nglaklhklhcoonedhgnpgddginnjdadi" TargetMode="External"/><Relationship Id="rId829" Type="http://schemas.openxmlformats.org/officeDocument/2006/relationships/hyperlink" Target="https://chromewebstore.google.com/detail/dgpinehekakmfhnmdickgcaofkegnipd" TargetMode="External"/><Relationship Id="rId828" Type="http://schemas.openxmlformats.org/officeDocument/2006/relationships/hyperlink" Target="https://chromewebstore.google.com/detail/dgdfbndljpogobgjlligoffljmkiiafc" TargetMode="External"/><Relationship Id="rId827" Type="http://schemas.openxmlformats.org/officeDocument/2006/relationships/hyperlink" Target="https://chromewebstore.google.com/detail/dennnbdlpgjgbcjfgaohdahloollfgoc" TargetMode="External"/><Relationship Id="rId822" Type="http://schemas.openxmlformats.org/officeDocument/2006/relationships/hyperlink" Target="https://chromewebstore.google.com/detail/dbhhnnnpaeobfddmlalhnehgclcmjimi" TargetMode="External"/><Relationship Id="rId821" Type="http://schemas.openxmlformats.org/officeDocument/2006/relationships/hyperlink" Target="https://chromewebstore.google.com/detail/dbebidibfabmempkkbhabeehoncoaphf" TargetMode="External"/><Relationship Id="rId820" Type="http://schemas.openxmlformats.org/officeDocument/2006/relationships/hyperlink" Target="https://chromewebstore.google.com/detail/dbdfkhaojnhgfcbpkhfgpfaoincihmcm" TargetMode="External"/><Relationship Id="rId826" Type="http://schemas.openxmlformats.org/officeDocument/2006/relationships/hyperlink" Target="https://chromewebstore.google.com/detail/ddfmingbghgdadipkmlocgkdlenbjpni" TargetMode="External"/><Relationship Id="rId825" Type="http://schemas.openxmlformats.org/officeDocument/2006/relationships/hyperlink" Target="https://chromewebstore.google.com/detail/dcpbedhdekgkhigjgmlcbmcjoeaebbfm" TargetMode="External"/><Relationship Id="rId824" Type="http://schemas.openxmlformats.org/officeDocument/2006/relationships/hyperlink" Target="https://chromewebstore.google.com/detail/dckonobhgjekgmkfgipjdeombidiaeci" TargetMode="External"/><Relationship Id="rId823" Type="http://schemas.openxmlformats.org/officeDocument/2006/relationships/hyperlink" Target="https://chromewebstore.google.com/detail/dcjdhicepiklefpimapdkbaeoocniemc" TargetMode="External"/><Relationship Id="rId2980" Type="http://schemas.openxmlformats.org/officeDocument/2006/relationships/hyperlink" Target="https://chromewebstore.google.com/detail/gapfkijlllenhmgddoldcfedfiiakfgg" TargetMode="External"/><Relationship Id="rId1650" Type="http://schemas.openxmlformats.org/officeDocument/2006/relationships/hyperlink" Target="https://chromewebstore.google.com/detail/nfbbahbhaadfdhedpoifbamfdcfnflei" TargetMode="External"/><Relationship Id="rId2981" Type="http://schemas.openxmlformats.org/officeDocument/2006/relationships/hyperlink" Target="https://chromewebstore.google.com/detail/gcaopcbfgkfmgofkkbfbmiajolihocoa" TargetMode="External"/><Relationship Id="rId1651" Type="http://schemas.openxmlformats.org/officeDocument/2006/relationships/hyperlink" Target="https://chromewebstore.google.com/detail/nfbcfginnecenjncdjhaminfcienmehn" TargetMode="External"/><Relationship Id="rId2982" Type="http://schemas.openxmlformats.org/officeDocument/2006/relationships/hyperlink" Target="https://chromewebstore.google.com/detail/gccemnpihkbgkdmoogenkbkckppadcag" TargetMode="External"/><Relationship Id="rId1652" Type="http://schemas.openxmlformats.org/officeDocument/2006/relationships/hyperlink" Target="https://chromewebstore.google.com/detail/nfhdjopbhlggibjlimhdbogflgmbiahc" TargetMode="External"/><Relationship Id="rId2983" Type="http://schemas.openxmlformats.org/officeDocument/2006/relationships/hyperlink" Target="https://chromewebstore.google.com/detail/gchmppebfedehcmemdmhojamlnanmafn" TargetMode="External"/><Relationship Id="rId1642" Type="http://schemas.openxmlformats.org/officeDocument/2006/relationships/hyperlink" Target="https://chromewebstore.google.com/detail/ncjkkfbddfkkemiejpfdgjcifjmbcloc" TargetMode="External"/><Relationship Id="rId2973" Type="http://schemas.openxmlformats.org/officeDocument/2006/relationships/hyperlink" Target="https://chromewebstore.google.com/detail/fofomifmemjbnomlpjdnengjfddljcbe" TargetMode="External"/><Relationship Id="rId1643" Type="http://schemas.openxmlformats.org/officeDocument/2006/relationships/hyperlink" Target="https://chromewebstore.google.com/detail/ncmnhiijmdhplkmkpejmmbpjiojchefe" TargetMode="External"/><Relationship Id="rId2974" Type="http://schemas.openxmlformats.org/officeDocument/2006/relationships/hyperlink" Target="https://chromewebstore.google.com/detail/fpojonadgdgbdcliijkjibcapfbmllod" TargetMode="External"/><Relationship Id="rId1644" Type="http://schemas.openxmlformats.org/officeDocument/2006/relationships/hyperlink" Target="https://chromewebstore.google.com/detail/ndabmaflbdfldmdlccmpccenpkgklhln" TargetMode="External"/><Relationship Id="rId2975" Type="http://schemas.openxmlformats.org/officeDocument/2006/relationships/hyperlink" Target="https://chromewebstore.google.com/detail/gaedlpnklpnpgjonldlmmmnmhhadicnk" TargetMode="External"/><Relationship Id="rId1645" Type="http://schemas.openxmlformats.org/officeDocument/2006/relationships/hyperlink" Target="https://chromewebstore.google.com/detail/ndnijgilgcbhfnklfeookcddkgcecofk" TargetMode="External"/><Relationship Id="rId2976" Type="http://schemas.openxmlformats.org/officeDocument/2006/relationships/hyperlink" Target="https://chromewebstore.google.com/detail/galcjdfminhddlmheppdgddbekgdofcm" TargetMode="External"/><Relationship Id="rId1646" Type="http://schemas.openxmlformats.org/officeDocument/2006/relationships/hyperlink" Target="https://chromewebstore.google.com/detail/ndpmhjnlfkgfalaieeneneenijondgag" TargetMode="External"/><Relationship Id="rId2977" Type="http://schemas.openxmlformats.org/officeDocument/2006/relationships/hyperlink" Target="https://chromewebstore.google.com/detail/ganlhgooidfbijjidcpkeaohjnkeicba" TargetMode="External"/><Relationship Id="rId1647" Type="http://schemas.openxmlformats.org/officeDocument/2006/relationships/hyperlink" Target="https://chromewebstore.google.com/detail/nekjmidjbalppbmbahlicbomdngafneo" TargetMode="External"/><Relationship Id="rId2978" Type="http://schemas.openxmlformats.org/officeDocument/2006/relationships/hyperlink" Target="https://chromewebstore.google.com/detail/ganonoebdpdnhcbolgkelccfaffgmlpd" TargetMode="External"/><Relationship Id="rId1648" Type="http://schemas.openxmlformats.org/officeDocument/2006/relationships/hyperlink" Target="https://chromewebstore.google.com/detail/nemahdoihakfniciobefoebllhlobdok" TargetMode="External"/><Relationship Id="rId2979" Type="http://schemas.openxmlformats.org/officeDocument/2006/relationships/hyperlink" Target="https://chromewebstore.google.com/detail/gaodngaiillepoddeloolejnhjglabkn" TargetMode="External"/><Relationship Id="rId1649" Type="http://schemas.openxmlformats.org/officeDocument/2006/relationships/hyperlink" Target="https://chromewebstore.google.com/detail/nenndldnbcncjmeacmnondmkkfedmgmp" TargetMode="External"/><Relationship Id="rId819" Type="http://schemas.openxmlformats.org/officeDocument/2006/relationships/hyperlink" Target="https://chromewebstore.google.com/detail/danjmbbdjabpapehlajpomcignjnoidp" TargetMode="External"/><Relationship Id="rId818" Type="http://schemas.openxmlformats.org/officeDocument/2006/relationships/hyperlink" Target="https://chromewebstore.google.com/detail/cpknagcmpelnmgoclahmkmnlokbibhga" TargetMode="External"/><Relationship Id="rId817" Type="http://schemas.openxmlformats.org/officeDocument/2006/relationships/hyperlink" Target="https://chromewebstore.google.com/detail/cphnkopapfgbhghcogkdcalgdohiianc" TargetMode="External"/><Relationship Id="rId816" Type="http://schemas.openxmlformats.org/officeDocument/2006/relationships/hyperlink" Target="https://chromewebstore.google.com/detail/cpbhljkhbideandpbhpinhedfgdhkpdc" TargetMode="External"/><Relationship Id="rId811" Type="http://schemas.openxmlformats.org/officeDocument/2006/relationships/hyperlink" Target="https://chromewebstore.google.com/detail/cnoplimhpndhhhnmoigbanpjeghjpohi" TargetMode="External"/><Relationship Id="rId810" Type="http://schemas.openxmlformats.org/officeDocument/2006/relationships/hyperlink" Target="https://chromewebstore.google.com/detail/cnahgdhboflcnojgmeehhhfeoojifonm" TargetMode="External"/><Relationship Id="rId815" Type="http://schemas.openxmlformats.org/officeDocument/2006/relationships/hyperlink" Target="https://chromewebstore.google.com/detail/comoodengbhchaeglcgaaokhaicgngoo" TargetMode="External"/><Relationship Id="rId814" Type="http://schemas.openxmlformats.org/officeDocument/2006/relationships/hyperlink" Target="https://chromewebstore.google.com/detail/codgofkgobbmgglciccjabipdlgefnch" TargetMode="External"/><Relationship Id="rId813" Type="http://schemas.openxmlformats.org/officeDocument/2006/relationships/hyperlink" Target="https://chromewebstore.google.com/detail/cocohmmjllchepkjocddkihldoiillkl" TargetMode="External"/><Relationship Id="rId812" Type="http://schemas.openxmlformats.org/officeDocument/2006/relationships/hyperlink" Target="https://chromewebstore.google.com/detail/cobieddmkhhnbeldhncnfcgcaccmehgn" TargetMode="External"/><Relationship Id="rId2970" Type="http://schemas.openxmlformats.org/officeDocument/2006/relationships/hyperlink" Target="https://chromewebstore.google.com/detail/fnfkcaeloalplnglklappfjfjeafakeo" TargetMode="External"/><Relationship Id="rId1640" Type="http://schemas.openxmlformats.org/officeDocument/2006/relationships/hyperlink" Target="https://chromewebstore.google.com/detail/nbljknjnnkmlpccdnlkkgmnmonhinbnh" TargetMode="External"/><Relationship Id="rId2971" Type="http://schemas.openxmlformats.org/officeDocument/2006/relationships/hyperlink" Target="https://chromewebstore.google.com/detail/fnhhahhihediajgefcnlpdmnogndblbi" TargetMode="External"/><Relationship Id="rId1641" Type="http://schemas.openxmlformats.org/officeDocument/2006/relationships/hyperlink" Target="https://chromewebstore.google.com/detail/ncdhendbhjlcnboihkbjjldcndoebhan" TargetMode="External"/><Relationship Id="rId2972" Type="http://schemas.openxmlformats.org/officeDocument/2006/relationships/hyperlink" Target="https://chromewebstore.google.com/detail/fofomggefchbeiemhdhacdojbefmkhfb" TargetMode="External"/><Relationship Id="rId1675" Type="http://schemas.openxmlformats.org/officeDocument/2006/relationships/hyperlink" Target="https://chromewebstore.google.com/detail/nldojjdlhkfalipikhhnhhidfhgoopig" TargetMode="External"/><Relationship Id="rId1676" Type="http://schemas.openxmlformats.org/officeDocument/2006/relationships/hyperlink" Target="https://chromewebstore.google.com/detail/nleehhpkbdfkfijnboebfaijhjabfjeb" TargetMode="External"/><Relationship Id="rId1677" Type="http://schemas.openxmlformats.org/officeDocument/2006/relationships/hyperlink" Target="https://chromewebstore.google.com/detail/nlikaonifbagdlcjoepofomefchkahab" TargetMode="External"/><Relationship Id="rId1678" Type="http://schemas.openxmlformats.org/officeDocument/2006/relationships/hyperlink" Target="https://chromewebstore.google.com/detail/nlldbplhbaopldicmcoogopmkonpebjm" TargetMode="External"/><Relationship Id="rId1679" Type="http://schemas.openxmlformats.org/officeDocument/2006/relationships/hyperlink" Target="https://chromewebstore.google.com/detail/nnbcadknhdmeinlkfomapcbmeiplkhjj" TargetMode="External"/><Relationship Id="rId849" Type="http://schemas.openxmlformats.org/officeDocument/2006/relationships/hyperlink" Target="https://chromewebstore.google.com/detail/egpachgbfnbpkceigfpcpicekmiehame" TargetMode="External"/><Relationship Id="rId844" Type="http://schemas.openxmlformats.org/officeDocument/2006/relationships/hyperlink" Target="https://chromewebstore.google.com/detail/eckionmoiajpjncecfebdmmbcboblkja" TargetMode="External"/><Relationship Id="rId843" Type="http://schemas.openxmlformats.org/officeDocument/2006/relationships/hyperlink" Target="https://chromewebstore.google.com/detail/eccidpbmllnjfhhnjhaaopeeldnlokbi" TargetMode="External"/><Relationship Id="rId842" Type="http://schemas.openxmlformats.org/officeDocument/2006/relationships/hyperlink" Target="https://chromewebstore.google.com/detail/ebgihmollhfickaopoldkikdnipmdemg" TargetMode="External"/><Relationship Id="rId841" Type="http://schemas.openxmlformats.org/officeDocument/2006/relationships/hyperlink" Target="https://chromewebstore.google.com/detail/dpfgmabfakicdmcijnddgbelfhfkddnb" TargetMode="External"/><Relationship Id="rId848" Type="http://schemas.openxmlformats.org/officeDocument/2006/relationships/hyperlink" Target="https://chromewebstore.google.com/detail/egkikapjpndmjflbjjoondbihalgdjco" TargetMode="External"/><Relationship Id="rId847" Type="http://schemas.openxmlformats.org/officeDocument/2006/relationships/hyperlink" Target="https://chromewebstore.google.com/detail/egikgfbhipinieabdmcpigejkaomgjgb" TargetMode="External"/><Relationship Id="rId846" Type="http://schemas.openxmlformats.org/officeDocument/2006/relationships/hyperlink" Target="https://chromewebstore.google.com/detail/efoelbbfbknfhpmgclpcdbkoieedkkai" TargetMode="External"/><Relationship Id="rId845" Type="http://schemas.openxmlformats.org/officeDocument/2006/relationships/hyperlink" Target="https://chromewebstore.google.com/detail/eelacikjiplnmdingehjfdjcfegclmkg" TargetMode="External"/><Relationship Id="rId1670" Type="http://schemas.openxmlformats.org/officeDocument/2006/relationships/hyperlink" Target="https://chromewebstore.google.com/detail/nkgldikaifljadeeogdbanlckplpbffj" TargetMode="External"/><Relationship Id="rId840" Type="http://schemas.openxmlformats.org/officeDocument/2006/relationships/hyperlink" Target="https://chromewebstore.google.com/detail/dnnjlaebcepcagnefdgodliagfhbebba" TargetMode="External"/><Relationship Id="rId1671" Type="http://schemas.openxmlformats.org/officeDocument/2006/relationships/hyperlink" Target="https://chromewebstore.google.com/detail/nklechikgnfoonbfmcalddjcpmcmgapf" TargetMode="External"/><Relationship Id="rId1672" Type="http://schemas.openxmlformats.org/officeDocument/2006/relationships/hyperlink" Target="https://chromewebstore.google.com/detail/nknonnojlmhnmjhpeokdbeineeajcemh" TargetMode="External"/><Relationship Id="rId1673" Type="http://schemas.openxmlformats.org/officeDocument/2006/relationships/hyperlink" Target="https://chromewebstore.google.com/detail/nlclhmcmfjpmmngpopdgapiccfddfagi" TargetMode="External"/><Relationship Id="rId1674" Type="http://schemas.openxmlformats.org/officeDocument/2006/relationships/hyperlink" Target="https://chromewebstore.google.com/detail/nldhhcppalplgopagbhfehfmpmpefkim" TargetMode="External"/><Relationship Id="rId1664" Type="http://schemas.openxmlformats.org/officeDocument/2006/relationships/hyperlink" Target="https://chromewebstore.google.com/detail/nihpfpbibfgpgnfpbfedkdokihggapoi" TargetMode="External"/><Relationship Id="rId2995" Type="http://schemas.openxmlformats.org/officeDocument/2006/relationships/hyperlink" Target="https://chromewebstore.google.com/detail/gllmkcahdekdbapmdfnffclacbpnicaj" TargetMode="External"/><Relationship Id="rId1665" Type="http://schemas.openxmlformats.org/officeDocument/2006/relationships/hyperlink" Target="https://chromewebstore.google.com/detail/njgopmododdceghkcgbmgfffamnjbjno" TargetMode="External"/><Relationship Id="rId2996" Type="http://schemas.openxmlformats.org/officeDocument/2006/relationships/hyperlink" Target="https://chromewebstore.google.com/detail/gmkdfchigicneikpcdakcoglhiecneak" TargetMode="External"/><Relationship Id="rId1666" Type="http://schemas.openxmlformats.org/officeDocument/2006/relationships/hyperlink" Target="https://chromewebstore.google.com/detail/njmflagahgdhopbcdilgahjlfiecakpe" TargetMode="External"/><Relationship Id="rId2997" Type="http://schemas.openxmlformats.org/officeDocument/2006/relationships/hyperlink" Target="https://chromewebstore.google.com/detail/gmkpigbaephkbabhogllilhepglikolk" TargetMode="External"/><Relationship Id="rId1667" Type="http://schemas.openxmlformats.org/officeDocument/2006/relationships/hyperlink" Target="https://chromewebstore.google.com/detail/nkaliaagdnbgadcpnkdbmnigkalbihlb" TargetMode="External"/><Relationship Id="rId2998" Type="http://schemas.openxmlformats.org/officeDocument/2006/relationships/hyperlink" Target="https://chromewebstore.google.com/detail/gnnmepchabebcpbopfnejhgfmpblafnf" TargetMode="External"/><Relationship Id="rId1668" Type="http://schemas.openxmlformats.org/officeDocument/2006/relationships/hyperlink" Target="https://chromewebstore.google.com/detail/nkfgheamjehkhbjkidlbegfmkgndhdle" TargetMode="External"/><Relationship Id="rId2999" Type="http://schemas.openxmlformats.org/officeDocument/2006/relationships/hyperlink" Target="https://chromewebstore.google.com/detail/gocpionhjoififoliaelkfheedcafgin" TargetMode="External"/><Relationship Id="rId1669" Type="http://schemas.openxmlformats.org/officeDocument/2006/relationships/hyperlink" Target="https://chromewebstore.google.com/detail/nkfpegmmhcipdkgoiimdegfaicbdnndh" TargetMode="External"/><Relationship Id="rId839" Type="http://schemas.openxmlformats.org/officeDocument/2006/relationships/hyperlink" Target="https://chromewebstore.google.com/detail/dmlmcpcjndojhbflolmdgfpojnjfdlbj" TargetMode="External"/><Relationship Id="rId838" Type="http://schemas.openxmlformats.org/officeDocument/2006/relationships/hyperlink" Target="https://chromewebstore.google.com/detail/dmkincdpchiadkhhocmbpjljebfifgbl" TargetMode="External"/><Relationship Id="rId833" Type="http://schemas.openxmlformats.org/officeDocument/2006/relationships/hyperlink" Target="https://chromewebstore.google.com/detail/djadfifncobffjpicnkiegahdiobpaap" TargetMode="External"/><Relationship Id="rId832" Type="http://schemas.openxmlformats.org/officeDocument/2006/relationships/hyperlink" Target="https://chromewebstore.google.com/detail/diebikgmpmeppiilkaijjbdgciafajmg" TargetMode="External"/><Relationship Id="rId831" Type="http://schemas.openxmlformats.org/officeDocument/2006/relationships/hyperlink" Target="https://chromewebstore.google.com/detail/diamegoomkocpgkfkmlmegiegkmogpao" TargetMode="External"/><Relationship Id="rId830" Type="http://schemas.openxmlformats.org/officeDocument/2006/relationships/hyperlink" Target="https://chromewebstore.google.com/detail/dhcoicbcegmeaoipdjabengnggkciepp" TargetMode="External"/><Relationship Id="rId837" Type="http://schemas.openxmlformats.org/officeDocument/2006/relationships/hyperlink" Target="https://chromewebstore.google.com/detail/dlnjlajbdnhgcdeljgbhkiaodefepnpf" TargetMode="External"/><Relationship Id="rId836" Type="http://schemas.openxmlformats.org/officeDocument/2006/relationships/hyperlink" Target="https://chromewebstore.google.com/detail/dlmmhgaeahcfkojednnfghfpinbinicj" TargetMode="External"/><Relationship Id="rId835" Type="http://schemas.openxmlformats.org/officeDocument/2006/relationships/hyperlink" Target="https://chromewebstore.google.com/detail/djhgeeodemlfdpmcccdekfalbhllcoim" TargetMode="External"/><Relationship Id="rId834" Type="http://schemas.openxmlformats.org/officeDocument/2006/relationships/hyperlink" Target="https://chromewebstore.google.com/detail/djfpbemmcokhlllnafdmomgecdlicfhj" TargetMode="External"/><Relationship Id="rId2990" Type="http://schemas.openxmlformats.org/officeDocument/2006/relationships/hyperlink" Target="https://chromewebstore.google.com/detail/gjaliinpmkmkehebabkfkhpbfaekgljn" TargetMode="External"/><Relationship Id="rId1660" Type="http://schemas.openxmlformats.org/officeDocument/2006/relationships/hyperlink" Target="https://chromewebstore.google.com/detail/nhdkmikakepiiabdfjjgogcaielndmlj" TargetMode="External"/><Relationship Id="rId2991" Type="http://schemas.openxmlformats.org/officeDocument/2006/relationships/hyperlink" Target="https://chromewebstore.google.com/detail/gkancbhpmeiamiljkcfajhebcimjjbie" TargetMode="External"/><Relationship Id="rId1661" Type="http://schemas.openxmlformats.org/officeDocument/2006/relationships/hyperlink" Target="https://chromewebstore.google.com/detail/nhmhmcocmfkdpdbhkdalnkjpbhdnljhl" TargetMode="External"/><Relationship Id="rId2992" Type="http://schemas.openxmlformats.org/officeDocument/2006/relationships/hyperlink" Target="https://chromewebstore.google.com/detail/gkfdbfhccgafhdgeoojacffkljgofkml" TargetMode="External"/><Relationship Id="rId1662" Type="http://schemas.openxmlformats.org/officeDocument/2006/relationships/hyperlink" Target="https://chromewebstore.google.com/detail/nibkffljoplhfjjnompgibnkoehbjmmo" TargetMode="External"/><Relationship Id="rId2993" Type="http://schemas.openxmlformats.org/officeDocument/2006/relationships/hyperlink" Target="https://chromewebstore.google.com/detail/gkgglahfccodheljaolemocokldjbnbh" TargetMode="External"/><Relationship Id="rId1663" Type="http://schemas.openxmlformats.org/officeDocument/2006/relationships/hyperlink" Target="https://chromewebstore.google.com/detail/niepjjjfafhadmfdminbckmciijcaagc" TargetMode="External"/><Relationship Id="rId2994" Type="http://schemas.openxmlformats.org/officeDocument/2006/relationships/hyperlink" Target="https://chromewebstore.google.com/detail/gkoadlaadbnnaipkigapbbgbclcdhkaf" TargetMode="External"/><Relationship Id="rId6506" Type="http://schemas.openxmlformats.org/officeDocument/2006/relationships/hyperlink" Target="https://chromewebstore.google.com/detail/mhpapeindnojoecpmkpbmdhgclalkkck" TargetMode="External"/><Relationship Id="rId7838" Type="http://schemas.openxmlformats.org/officeDocument/2006/relationships/hyperlink" Target="https://chromewebstore.google.com/detail/nmnncnpkicfomcilcdeiegppleiicfig" TargetMode="External"/><Relationship Id="rId6507" Type="http://schemas.openxmlformats.org/officeDocument/2006/relationships/hyperlink" Target="https://chromewebstore.google.com/detail/miadadakooofkfpdajkmicldifahmlck" TargetMode="External"/><Relationship Id="rId7837" Type="http://schemas.openxmlformats.org/officeDocument/2006/relationships/hyperlink" Target="https://chromewebstore.google.com/detail/ldahcfljppchbfgdokomobmfdfplaman" TargetMode="External"/><Relationship Id="rId6504" Type="http://schemas.openxmlformats.org/officeDocument/2006/relationships/hyperlink" Target="https://chromewebstore.google.com/detail/mhnppmochppgeilojkicdoghhgfnaaig" TargetMode="External"/><Relationship Id="rId7836" Type="http://schemas.openxmlformats.org/officeDocument/2006/relationships/hyperlink" Target="https://chromewebstore.google.com/detail/kidhoiknbmmepbgjjkonimlnphohhdno" TargetMode="External"/><Relationship Id="rId6505" Type="http://schemas.openxmlformats.org/officeDocument/2006/relationships/hyperlink" Target="https://chromewebstore.google.com/detail/mhocdmcpgbfbodcdmgfppdicjaechnna" TargetMode="External"/><Relationship Id="rId7835" Type="http://schemas.openxmlformats.org/officeDocument/2006/relationships/hyperlink" Target="https://chromewebstore.google.com/detail/hdaipepmdljmnbenbclhfahgfjfcpmhk" TargetMode="External"/><Relationship Id="rId6508" Type="http://schemas.openxmlformats.org/officeDocument/2006/relationships/hyperlink" Target="https://chromewebstore.google.com/detail/micgklgohpdofbfhnjgbkngheaimenci" TargetMode="External"/><Relationship Id="rId6509" Type="http://schemas.openxmlformats.org/officeDocument/2006/relationships/hyperlink" Target="https://chromewebstore.google.com/detail/midlhemfifegochppdagaidbknfpljfa" TargetMode="External"/><Relationship Id="rId7839" Type="http://schemas.openxmlformats.org/officeDocument/2006/relationships/hyperlink" Target="https://chromewebstore.google.com/detail/pakphhpnneopheifihmjcjnbdbhaaiaa" TargetMode="External"/><Relationship Id="rId7830" Type="http://schemas.openxmlformats.org/officeDocument/2006/relationships/hyperlink" Target="https://chromewebstore.google.com/detail/koiffgdgddhndlejbbgolhcmefdedgpp" TargetMode="External"/><Relationship Id="rId6502" Type="http://schemas.openxmlformats.org/officeDocument/2006/relationships/hyperlink" Target="https://chromewebstore.google.com/detail/mhlljjolmpcabhalkmdmjkmnnhegkblo" TargetMode="External"/><Relationship Id="rId7834" Type="http://schemas.openxmlformats.org/officeDocument/2006/relationships/hyperlink" Target="https://chromewebstore.google.com/detail/cpclcgemnnjhnemgndddgjglogjpnine" TargetMode="External"/><Relationship Id="rId6503" Type="http://schemas.openxmlformats.org/officeDocument/2006/relationships/hyperlink" Target="https://chromewebstore.google.com/detail/mhnghnbgphnoifbgfimejdmjcdibppio" TargetMode="External"/><Relationship Id="rId7833" Type="http://schemas.openxmlformats.org/officeDocument/2006/relationships/hyperlink" Target="https://chromewebstore.google.com/detail/abdhmkeccbnobbpdmfkfjlmlgbmbmhja" TargetMode="External"/><Relationship Id="rId6500" Type="http://schemas.openxmlformats.org/officeDocument/2006/relationships/hyperlink" Target="https://chromewebstore.google.com/detail/mhipgnhbifdhmkabcfkamcomlnkcfbbp" TargetMode="External"/><Relationship Id="rId7832" Type="http://schemas.openxmlformats.org/officeDocument/2006/relationships/hyperlink" Target="https://chromewebstore.google.com/detail/aallcmelejdfkmcdijkklloblonbeiap" TargetMode="External"/><Relationship Id="rId6501" Type="http://schemas.openxmlformats.org/officeDocument/2006/relationships/hyperlink" Target="https://chromewebstore.google.com/detail/mhjpdgjkmckidkfehlmlnpoilmhmjdbb" TargetMode="External"/><Relationship Id="rId7831" Type="http://schemas.openxmlformats.org/officeDocument/2006/relationships/hyperlink" Target="https://chromewebstore.google.com/detail/lkifhkgedjabhdpbogaobhkgajndjihg" TargetMode="External"/><Relationship Id="rId7827" Type="http://schemas.openxmlformats.org/officeDocument/2006/relationships/hyperlink" Target="https://chromewebstore.google.com/detail/elfbcdococbdgeaolelhgdghjgkkhndf" TargetMode="External"/><Relationship Id="rId7826" Type="http://schemas.openxmlformats.org/officeDocument/2006/relationships/hyperlink" Target="https://chromewebstore.google.com/detail/khglcidcgogfgjmobbgapfobkplbhcgg" TargetMode="External"/><Relationship Id="rId7825" Type="http://schemas.openxmlformats.org/officeDocument/2006/relationships/hyperlink" Target="https://chromewebstore.google.com/detail/hgngfllcalefeagkohnhehfdallpglcm" TargetMode="External"/><Relationship Id="rId7824" Type="http://schemas.openxmlformats.org/officeDocument/2006/relationships/hyperlink" Target="https://chromewebstore.google.com/detail/geefpmbdhidciekkfocjinkbefjegmkn" TargetMode="External"/><Relationship Id="rId7829" Type="http://schemas.openxmlformats.org/officeDocument/2006/relationships/hyperlink" Target="https://chromewebstore.google.com/detail/kgjndbjllboloebaeglimdfjgmdlgika" TargetMode="External"/><Relationship Id="rId7828" Type="http://schemas.openxmlformats.org/officeDocument/2006/relationships/hyperlink" Target="https://chromewebstore.google.com/detail/jimnnpmaanbiglfmjaheajeehclekjoc" TargetMode="External"/><Relationship Id="rId7823" Type="http://schemas.openxmlformats.org/officeDocument/2006/relationships/hyperlink" Target="https://chromewebstore.google.com/detail/fbohjeijkanpeamijojloonklakpncef" TargetMode="External"/><Relationship Id="rId7822" Type="http://schemas.openxmlformats.org/officeDocument/2006/relationships/hyperlink" Target="https://chromewebstore.google.com/detail/fabaimpklfkedhgiaciiggiihfmmeaio" TargetMode="External"/><Relationship Id="rId7821" Type="http://schemas.openxmlformats.org/officeDocument/2006/relationships/hyperlink" Target="https://chromewebstore.google.com/detail/ejkfpcfaajhhgaegdkgmdfgaookckeac" TargetMode="External"/><Relationship Id="rId7820" Type="http://schemas.openxmlformats.org/officeDocument/2006/relationships/hyperlink" Target="https://chromewebstore.google.com/detail/cnelmenogjgobndnoddckekbojgginbn" TargetMode="External"/><Relationship Id="rId6528" Type="http://schemas.openxmlformats.org/officeDocument/2006/relationships/hyperlink" Target="https://chromewebstore.google.com/detail/mjklaaodihaohclhbebonimanionolac" TargetMode="External"/><Relationship Id="rId6529" Type="http://schemas.openxmlformats.org/officeDocument/2006/relationships/hyperlink" Target="https://chromewebstore.google.com/detail/mjmgfnhinkdnieleomgojemahjekgmkn" TargetMode="External"/><Relationship Id="rId7859" Type="http://schemas.openxmlformats.org/officeDocument/2006/relationships/hyperlink" Target="https://chromewebstore.google.com/detail/eogdfgnbobifjiebhcalcmaofkeponng" TargetMode="External"/><Relationship Id="rId6526" Type="http://schemas.openxmlformats.org/officeDocument/2006/relationships/hyperlink" Target="https://chromewebstore.google.com/detail/mjhdfipdhjicefeklelaoeboghggaigc" TargetMode="External"/><Relationship Id="rId7858" Type="http://schemas.openxmlformats.org/officeDocument/2006/relationships/hyperlink" Target="https://chromewebstore.google.com/detail/caidggjajppheihpeoeokndacpgjncmn" TargetMode="External"/><Relationship Id="rId6527" Type="http://schemas.openxmlformats.org/officeDocument/2006/relationships/hyperlink" Target="https://chromewebstore.google.com/detail/mjkioojopjemgkhdncehnfbanlikfeej" TargetMode="External"/><Relationship Id="rId7857" Type="http://schemas.openxmlformats.org/officeDocument/2006/relationships/hyperlink" Target="https://chromewebstore.google.com/detail/mdoifndjjoblccpefkbdicgahkbbcfdk" TargetMode="External"/><Relationship Id="rId6520" Type="http://schemas.openxmlformats.org/officeDocument/2006/relationships/hyperlink" Target="https://chromewebstore.google.com/detail/mjcajbgmgplmelmnafihhbfhiecioaic" TargetMode="External"/><Relationship Id="rId7852" Type="http://schemas.openxmlformats.org/officeDocument/2006/relationships/hyperlink" Target="https://chromewebstore.google.com/detail/ejlghibhonddakjbgfmdpeifcoljnlob" TargetMode="External"/><Relationship Id="rId6521" Type="http://schemas.openxmlformats.org/officeDocument/2006/relationships/hyperlink" Target="https://chromewebstore.google.com/detail/mjcdmlibiooblijamnolhajjigcmhglp" TargetMode="External"/><Relationship Id="rId7851" Type="http://schemas.openxmlformats.org/officeDocument/2006/relationships/hyperlink" Target="https://chromewebstore.google.com/detail/mlnbdkndimgjfpfjokkcfgghmmmknhlj" TargetMode="External"/><Relationship Id="rId7850" Type="http://schemas.openxmlformats.org/officeDocument/2006/relationships/hyperlink" Target="http://kuku.io" TargetMode="External"/><Relationship Id="rId6524" Type="http://schemas.openxmlformats.org/officeDocument/2006/relationships/hyperlink" Target="https://chromewebstore.google.com/detail/mjglinopkdofebaamonijiemkndjaopd" TargetMode="External"/><Relationship Id="rId7856" Type="http://schemas.openxmlformats.org/officeDocument/2006/relationships/hyperlink" Target="https://chromewebstore.google.com/detail/ljhkfklbohndemkbafegonhpanfajeae" TargetMode="External"/><Relationship Id="rId6525" Type="http://schemas.openxmlformats.org/officeDocument/2006/relationships/hyperlink" Target="http://postfity.com" TargetMode="External"/><Relationship Id="rId7855" Type="http://schemas.openxmlformats.org/officeDocument/2006/relationships/hyperlink" Target="https://chromewebstore.google.com/detail/kngmdnkaeiaodchlfljkkinpphgfmkfg" TargetMode="External"/><Relationship Id="rId6522" Type="http://schemas.openxmlformats.org/officeDocument/2006/relationships/hyperlink" Target="https://chromewebstore.google.com/detail/mjfjiglcnojlicbkomcoohndhpceflbp" TargetMode="External"/><Relationship Id="rId7854" Type="http://schemas.openxmlformats.org/officeDocument/2006/relationships/hyperlink" Target="https://chromewebstore.google.com/detail/jdocohkgkgpminecekdnkoljcffebkgc" TargetMode="External"/><Relationship Id="rId6523" Type="http://schemas.openxmlformats.org/officeDocument/2006/relationships/hyperlink" Target="https://chromewebstore.google.com/detail/mjfkgjokgmfejicpkmnklhfnfpkppaaa" TargetMode="External"/><Relationship Id="rId7853" Type="http://schemas.openxmlformats.org/officeDocument/2006/relationships/hyperlink" Target="https://chromewebstore.google.com/detail/ldmhlfmikjfnpepnkcnepibmobdoeklc" TargetMode="External"/><Relationship Id="rId6517" Type="http://schemas.openxmlformats.org/officeDocument/2006/relationships/hyperlink" Target="https://chromewebstore.google.com/detail/mipjmapcmcampplhheoaaedaibdojgdj" TargetMode="External"/><Relationship Id="rId7849" Type="http://schemas.openxmlformats.org/officeDocument/2006/relationships/hyperlink" Target="https://chromewebstore.google.com/detail/hcfahcbjaolpfghelfanfepghajfbkdg" TargetMode="External"/><Relationship Id="rId6518" Type="http://schemas.openxmlformats.org/officeDocument/2006/relationships/hyperlink" Target="https://chromewebstore.google.com/detail/mjbfbknmcdpofdfkeencgjaolgcddglh" TargetMode="External"/><Relationship Id="rId7848" Type="http://schemas.openxmlformats.org/officeDocument/2006/relationships/hyperlink" Target="https://chromewebstore.google.com/detail/enkmbkhkbdiaafkmofbmdahclajelgfh" TargetMode="External"/><Relationship Id="rId6515" Type="http://schemas.openxmlformats.org/officeDocument/2006/relationships/hyperlink" Target="https://chromewebstore.google.com/detail/mipdcbiknojmmjlimgiclopcmlkiiebd" TargetMode="External"/><Relationship Id="rId7847" Type="http://schemas.openxmlformats.org/officeDocument/2006/relationships/hyperlink" Target="https://chromewebstore.google.com/detail/cpfpkpfdmfbmbhjokmiahlefkfhimpob" TargetMode="External"/><Relationship Id="rId6516" Type="http://schemas.openxmlformats.org/officeDocument/2006/relationships/hyperlink" Target="https://chromewebstore.google.com/detail/mipjggdmdaagfmpnomakdcgchdcgfbdg" TargetMode="External"/><Relationship Id="rId7846" Type="http://schemas.openxmlformats.org/officeDocument/2006/relationships/hyperlink" Target="http://traeloya.com" TargetMode="External"/><Relationship Id="rId6519" Type="http://schemas.openxmlformats.org/officeDocument/2006/relationships/hyperlink" Target="https://chromewebstore.google.com/detail/mjbofijjejpdldklldknobfegdjmmlbc" TargetMode="External"/><Relationship Id="rId7841" Type="http://schemas.openxmlformats.org/officeDocument/2006/relationships/hyperlink" Target="https://chromewebstore.google.com/detail/hkmfjcihoiailllcblejlhgaeedaephl" TargetMode="External"/><Relationship Id="rId6510" Type="http://schemas.openxmlformats.org/officeDocument/2006/relationships/hyperlink" Target="https://chromewebstore.google.com/detail/midmkncnhpphmdjlnfcoinhcekapmkic" TargetMode="External"/><Relationship Id="rId7840" Type="http://schemas.openxmlformats.org/officeDocument/2006/relationships/hyperlink" Target="https://chromewebstore.google.com/detail/phgnljhcfaiimdbmpbphhfoplhleaghn" TargetMode="External"/><Relationship Id="rId6513" Type="http://schemas.openxmlformats.org/officeDocument/2006/relationships/hyperlink" Target="https://chromewebstore.google.com/detail/migbdolpkobiafpigleooabjcbpkcdpd" TargetMode="External"/><Relationship Id="rId7845" Type="http://schemas.openxmlformats.org/officeDocument/2006/relationships/hyperlink" Target="https://chromewebstore.google.com/detail/aibjdgijmohdfebdndikpikimadfpghg" TargetMode="External"/><Relationship Id="rId6514" Type="http://schemas.openxmlformats.org/officeDocument/2006/relationships/hyperlink" Target="https://chromewebstore.google.com/detail/miopldoofdhmipepmnclnoangcdffmlk" TargetMode="External"/><Relationship Id="rId7844" Type="http://schemas.openxmlformats.org/officeDocument/2006/relationships/hyperlink" Target="https://chromewebstore.google.com/detail/phpopkefffapdkbajahlbmnniaogmjje" TargetMode="External"/><Relationship Id="rId6511" Type="http://schemas.openxmlformats.org/officeDocument/2006/relationships/hyperlink" Target="https://chromewebstore.google.com/detail/miebhgackamojjpabecgnijnjdkdcnab" TargetMode="External"/><Relationship Id="rId7843" Type="http://schemas.openxmlformats.org/officeDocument/2006/relationships/hyperlink" Target="https://chromewebstore.google.com/detail/dknndpinklaamkckfjfjdnmnmgaakcaf" TargetMode="External"/><Relationship Id="rId6512" Type="http://schemas.openxmlformats.org/officeDocument/2006/relationships/hyperlink" Target="https://chromewebstore.google.com/detail/migaaphlbncgmebbnllebpfobmemcoao" TargetMode="External"/><Relationship Id="rId7842" Type="http://schemas.openxmlformats.org/officeDocument/2006/relationships/hyperlink" Target="https://chromewebstore.google.com/detail/mjcamldajgnpgjcpacomkgfhccnibldg" TargetMode="External"/><Relationship Id="rId899" Type="http://schemas.openxmlformats.org/officeDocument/2006/relationships/hyperlink" Target="https://chromewebstore.google.com/detail/gmaddeabdjpmjkghhhhfdkeemfcnknpl" TargetMode="External"/><Relationship Id="rId898" Type="http://schemas.openxmlformats.org/officeDocument/2006/relationships/hyperlink" Target="https://chromewebstore.google.com/detail/glkfpmcniebkbeakjdpobddpjghbapec" TargetMode="External"/><Relationship Id="rId897" Type="http://schemas.openxmlformats.org/officeDocument/2006/relationships/hyperlink" Target="https://chromewebstore.google.com/detail/glifngepkcmfolnojchcfiinmjgeablm" TargetMode="External"/><Relationship Id="rId896" Type="http://schemas.openxmlformats.org/officeDocument/2006/relationships/hyperlink" Target="https://chromewebstore.google.com/detail/gklhnpfkcfpkjcihhjbgmhgkcajamlmd" TargetMode="External"/><Relationship Id="rId891" Type="http://schemas.openxmlformats.org/officeDocument/2006/relationships/hyperlink" Target="https://chromewebstore.google.com/detail/gefaihkenmchjmcpcbpdijpoknfjpbfe" TargetMode="External"/><Relationship Id="rId890" Type="http://schemas.openxmlformats.org/officeDocument/2006/relationships/hyperlink" Target="https://chromewebstore.google.com/detail/gebhifiddmaaeecbaiemfpejghjdjmhc" TargetMode="External"/><Relationship Id="rId895" Type="http://schemas.openxmlformats.org/officeDocument/2006/relationships/hyperlink" Target="https://chromewebstore.google.com/detail/gjcmklpilmpfhfjpebhnapnglcppdbic" TargetMode="External"/><Relationship Id="rId894" Type="http://schemas.openxmlformats.org/officeDocument/2006/relationships/hyperlink" Target="https://chromewebstore.google.com/detail/gijhpnmjcpbddpedmmdihijogkkejfgj" TargetMode="External"/><Relationship Id="rId893" Type="http://schemas.openxmlformats.org/officeDocument/2006/relationships/hyperlink" Target="https://chromewebstore.google.com/detail/ghhapdfndmlhligpkofeppifkgddkonj" TargetMode="External"/><Relationship Id="rId892" Type="http://schemas.openxmlformats.org/officeDocument/2006/relationships/hyperlink" Target="https://chromewebstore.google.com/detail/gegfpbhjnhegdnjdkghhnneaocdbbhjp" TargetMode="External"/><Relationship Id="rId7816" Type="http://schemas.openxmlformats.org/officeDocument/2006/relationships/hyperlink" Target="https://chromewebstore.google.com/detail/ibpbamgbgdeaiabiedppnlpiegijnbdp" TargetMode="External"/><Relationship Id="rId7815" Type="http://schemas.openxmlformats.org/officeDocument/2006/relationships/hyperlink" Target="https://chromewebstore.google.com/detail/cnonkgapmofblpkobcagimkjidigjpib" TargetMode="External"/><Relationship Id="rId7814" Type="http://schemas.openxmlformats.org/officeDocument/2006/relationships/hyperlink" Target="https://chromewebstore.google.com/detail/panfmicmhbfbgmihhgikpobeoeiaeoam" TargetMode="External"/><Relationship Id="rId7813" Type="http://schemas.openxmlformats.org/officeDocument/2006/relationships/hyperlink" Target="https://chromewebstore.google.com/detail/nfanbbpnoaomnehhkkkfmahbfbomflbj" TargetMode="External"/><Relationship Id="rId7819" Type="http://schemas.openxmlformats.org/officeDocument/2006/relationships/hyperlink" Target="https://chromewebstore.google.com/detail/caomgpcmfhfocdnmledbkifhklganjef" TargetMode="External"/><Relationship Id="rId7818" Type="http://schemas.openxmlformats.org/officeDocument/2006/relationships/hyperlink" Target="https://chromewebstore.google.com/detail/alnjkmbmogcjljncjoencmadbiboedfp" TargetMode="External"/><Relationship Id="rId7817" Type="http://schemas.openxmlformats.org/officeDocument/2006/relationships/hyperlink" Target="https://chromewebstore.google.com/detail/lpbdnabmlikokalkbdoadccamhcfmnga" TargetMode="External"/><Relationship Id="rId7812" Type="http://schemas.openxmlformats.org/officeDocument/2006/relationships/hyperlink" Target="https://chromewebstore.google.com/detail/mhjfmpoapdmndhmeoojjedmopafcecfn" TargetMode="External"/><Relationship Id="rId7811" Type="http://schemas.openxmlformats.org/officeDocument/2006/relationships/hyperlink" Target="https://chromewebstore.google.com/detail/fgcpnflfkoclnkgkkimfpbehjopdfdem" TargetMode="External"/><Relationship Id="rId7810" Type="http://schemas.openxmlformats.org/officeDocument/2006/relationships/hyperlink" Target="https://chromewebstore.google.com/detail/emfpfmjldkffpibmfhdfmjdbkphccaom" TargetMode="External"/><Relationship Id="rId7805" Type="http://schemas.openxmlformats.org/officeDocument/2006/relationships/hyperlink" Target="https://chromewebstore.google.com/detail/abgoaphadkcmbkapnamhkcgkaddlmfal" TargetMode="External"/><Relationship Id="rId7804" Type="http://schemas.openxmlformats.org/officeDocument/2006/relationships/hyperlink" Target="https://chromewebstore.google.com/detail/nhonlochieibnkmfpombklkgjpkeckhi" TargetMode="External"/><Relationship Id="rId7803" Type="http://schemas.openxmlformats.org/officeDocument/2006/relationships/hyperlink" Target="https://chromewebstore.google.com/detail/lbjiebgdlgngeojjlebihchdmnaeehdg" TargetMode="External"/><Relationship Id="rId7802" Type="http://schemas.openxmlformats.org/officeDocument/2006/relationships/hyperlink" Target="https://chromewebstore.google.com/detail/goeiakeofnlpkioeadcbocfifmgkidpb" TargetMode="External"/><Relationship Id="rId7809" Type="http://schemas.openxmlformats.org/officeDocument/2006/relationships/hyperlink" Target="https://chromewebstore.google.com/detail/cbfkaanjhpcchfkdplljghhggpjbjjhk" TargetMode="External"/><Relationship Id="rId7808" Type="http://schemas.openxmlformats.org/officeDocument/2006/relationships/hyperlink" Target="https://chromewebstore.google.com/detail/gpppkkkidmlbdenkajgcpfkjocmdbock" TargetMode="External"/><Relationship Id="rId7807" Type="http://schemas.openxmlformats.org/officeDocument/2006/relationships/hyperlink" Target="https://chromewebstore.google.com/detail/ihcibdneoammialnfkheajplgddmijji" TargetMode="External"/><Relationship Id="rId7806" Type="http://schemas.openxmlformats.org/officeDocument/2006/relationships/hyperlink" Target="https://chromewebstore.google.com/detail/fmgnifabmkdembnfmhppkflgamojpodf" TargetMode="External"/><Relationship Id="rId7801" Type="http://schemas.openxmlformats.org/officeDocument/2006/relationships/hyperlink" Target="https://chromewebstore.google.com/detail/epjlelpgajbfpcdohkbaeaindpcjpfhi" TargetMode="External"/><Relationship Id="rId7800" Type="http://schemas.openxmlformats.org/officeDocument/2006/relationships/hyperlink" Target="https://chromewebstore.google.com/detail/palnodkhbhhnaoecdfbifdfpibklcc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33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6">
        <v>3.8E7</v>
      </c>
      <c r="D2" s="6">
        <v>4.677944286</v>
      </c>
      <c r="E2" s="6">
        <v>32631.0</v>
      </c>
    </row>
    <row r="3">
      <c r="A3" s="4" t="s">
        <v>7</v>
      </c>
      <c r="B3" s="5" t="s">
        <v>8</v>
      </c>
      <c r="C3" s="6">
        <v>1.8E7</v>
      </c>
      <c r="D3" s="6">
        <v>4.114907998</v>
      </c>
      <c r="E3" s="6">
        <v>2663.0</v>
      </c>
    </row>
    <row r="4">
      <c r="A4" s="4" t="s">
        <v>9</v>
      </c>
      <c r="B4" s="5" t="s">
        <v>10</v>
      </c>
      <c r="C4" s="6">
        <v>1.6E7</v>
      </c>
      <c r="D4" s="6">
        <v>2.140676118</v>
      </c>
      <c r="E4" s="6">
        <v>917.0</v>
      </c>
    </row>
    <row r="5">
      <c r="A5" s="4" t="s">
        <v>11</v>
      </c>
      <c r="B5" s="5" t="s">
        <v>12</v>
      </c>
      <c r="C5" s="6">
        <v>3000000.0</v>
      </c>
      <c r="D5" s="6">
        <v>3.50383126</v>
      </c>
      <c r="E5" s="6">
        <v>12137.0</v>
      </c>
    </row>
    <row r="6">
      <c r="A6" s="4" t="s">
        <v>13</v>
      </c>
      <c r="B6" s="5" t="s">
        <v>14</v>
      </c>
      <c r="C6" s="7">
        <v>1000000.0</v>
      </c>
      <c r="D6" s="6">
        <v>4.233766234</v>
      </c>
      <c r="E6" s="6">
        <v>1232.0</v>
      </c>
    </row>
    <row r="7">
      <c r="A7" s="4" t="s">
        <v>15</v>
      </c>
      <c r="B7" s="5" t="s">
        <v>16</v>
      </c>
      <c r="C7" s="7">
        <v>1000000.0</v>
      </c>
      <c r="D7" s="6">
        <v>4.618039216</v>
      </c>
      <c r="E7" s="6">
        <v>3825.0</v>
      </c>
    </row>
    <row r="8">
      <c r="A8" s="4" t="s">
        <v>17</v>
      </c>
      <c r="B8" s="5" t="s">
        <v>18</v>
      </c>
      <c r="C8" s="7">
        <v>1000000.0</v>
      </c>
      <c r="D8" s="6">
        <v>4.712872413</v>
      </c>
      <c r="E8" s="6">
        <v>8794.0</v>
      </c>
    </row>
    <row r="9">
      <c r="A9" s="4" t="s">
        <v>19</v>
      </c>
      <c r="B9" s="5" t="s">
        <v>20</v>
      </c>
      <c r="C9" s="6">
        <v>1000000.0</v>
      </c>
      <c r="D9" s="6">
        <v>3.322033898</v>
      </c>
      <c r="E9" s="6">
        <v>59.0</v>
      </c>
    </row>
    <row r="10">
      <c r="A10" s="4" t="s">
        <v>21</v>
      </c>
      <c r="B10" s="5" t="s">
        <v>22</v>
      </c>
      <c r="C10" s="6">
        <v>1000000.0</v>
      </c>
      <c r="D10" s="6">
        <v>4.540240518</v>
      </c>
      <c r="E10" s="6">
        <v>1081.0</v>
      </c>
    </row>
    <row r="11">
      <c r="A11" s="4" t="s">
        <v>23</v>
      </c>
      <c r="B11" s="5" t="s">
        <v>24</v>
      </c>
      <c r="C11" s="6">
        <v>1000000.0</v>
      </c>
      <c r="D11" s="6">
        <v>2.031746032</v>
      </c>
      <c r="E11" s="6">
        <v>63.0</v>
      </c>
    </row>
    <row r="12">
      <c r="A12" s="4" t="s">
        <v>25</v>
      </c>
      <c r="B12" s="5" t="s">
        <v>26</v>
      </c>
      <c r="C12" s="6">
        <v>1000000.0</v>
      </c>
      <c r="D12" s="6">
        <v>4.463089755</v>
      </c>
      <c r="E12" s="6">
        <v>8033.0</v>
      </c>
    </row>
    <row r="13">
      <c r="A13" s="4" t="s">
        <v>27</v>
      </c>
      <c r="B13" s="5" t="s">
        <v>28</v>
      </c>
      <c r="C13" s="6">
        <v>1000000.0</v>
      </c>
      <c r="D13" s="6">
        <v>1.104201681</v>
      </c>
      <c r="E13" s="6">
        <v>595.0</v>
      </c>
    </row>
    <row r="14">
      <c r="A14" s="4" t="s">
        <v>29</v>
      </c>
      <c r="B14" s="5" t="s">
        <v>30</v>
      </c>
      <c r="C14" s="6">
        <v>1000000.0</v>
      </c>
      <c r="D14" s="6">
        <v>4.610410095</v>
      </c>
      <c r="E14" s="6">
        <v>634.0</v>
      </c>
    </row>
    <row r="15">
      <c r="A15" s="4" t="s">
        <v>31</v>
      </c>
      <c r="B15" s="5" t="s">
        <v>32</v>
      </c>
      <c r="C15" s="6">
        <v>1000000.0</v>
      </c>
      <c r="D15" s="6">
        <v>3.960618847</v>
      </c>
      <c r="E15" s="6">
        <v>1422.0</v>
      </c>
    </row>
    <row r="16">
      <c r="A16" s="4" t="s">
        <v>33</v>
      </c>
      <c r="B16" s="5" t="s">
        <v>34</v>
      </c>
      <c r="C16" s="6">
        <v>1000000.0</v>
      </c>
      <c r="D16" s="6">
        <v>1.159471366</v>
      </c>
      <c r="E16" s="6">
        <v>1135.0</v>
      </c>
    </row>
    <row r="17">
      <c r="A17" s="4" t="s">
        <v>35</v>
      </c>
      <c r="B17" s="5" t="s">
        <v>36</v>
      </c>
      <c r="C17" s="6">
        <v>1000000.0</v>
      </c>
      <c r="D17" s="6">
        <v>4.423194748</v>
      </c>
      <c r="E17" s="6">
        <v>11425.0</v>
      </c>
    </row>
    <row r="18">
      <c r="A18" s="4" t="s">
        <v>37</v>
      </c>
      <c r="B18" s="5" t="s">
        <v>38</v>
      </c>
      <c r="C18" s="6">
        <v>1000000.0</v>
      </c>
      <c r="D18" s="6">
        <v>3.8</v>
      </c>
      <c r="E18" s="6">
        <v>30.0</v>
      </c>
    </row>
    <row r="19">
      <c r="A19" s="4" t="s">
        <v>39</v>
      </c>
      <c r="B19" s="5" t="s">
        <v>40</v>
      </c>
      <c r="C19" s="6">
        <v>1000000.0</v>
      </c>
      <c r="D19" s="6">
        <v>4.40803234</v>
      </c>
      <c r="E19" s="6">
        <v>68274.0</v>
      </c>
    </row>
    <row r="20">
      <c r="A20" s="4" t="s">
        <v>41</v>
      </c>
      <c r="B20" s="5" t="s">
        <v>42</v>
      </c>
      <c r="C20" s="6">
        <v>1000000.0</v>
      </c>
      <c r="D20" s="6">
        <v>3.599520384</v>
      </c>
      <c r="E20" s="6">
        <v>417.0</v>
      </c>
    </row>
    <row r="21">
      <c r="A21" s="4" t="s">
        <v>43</v>
      </c>
      <c r="B21" s="5" t="s">
        <v>44</v>
      </c>
      <c r="C21" s="7">
        <v>900000.0</v>
      </c>
      <c r="D21" s="6">
        <v>4.303412463</v>
      </c>
      <c r="E21" s="6">
        <v>2696.0</v>
      </c>
    </row>
    <row r="22">
      <c r="A22" s="4" t="s">
        <v>45</v>
      </c>
      <c r="B22" s="5" t="s">
        <v>46</v>
      </c>
      <c r="C22" s="6">
        <v>900000.0</v>
      </c>
      <c r="D22" s="6">
        <v>3.873433584</v>
      </c>
      <c r="E22" s="6">
        <v>798.0</v>
      </c>
    </row>
    <row r="23">
      <c r="A23" s="4" t="s">
        <v>47</v>
      </c>
      <c r="B23" s="5" t="s">
        <v>48</v>
      </c>
      <c r="C23" s="6">
        <v>900000.0</v>
      </c>
      <c r="D23" s="6">
        <v>2.779661017</v>
      </c>
      <c r="E23" s="6">
        <v>59.0</v>
      </c>
    </row>
    <row r="24">
      <c r="A24" s="4" t="s">
        <v>49</v>
      </c>
      <c r="B24" s="5" t="s">
        <v>50</v>
      </c>
      <c r="C24" s="6">
        <v>900000.0</v>
      </c>
      <c r="D24" s="6">
        <v>4.086206897</v>
      </c>
      <c r="E24" s="6">
        <v>174.0</v>
      </c>
    </row>
    <row r="25">
      <c r="A25" s="4" t="s">
        <v>51</v>
      </c>
      <c r="B25" s="5" t="s">
        <v>52</v>
      </c>
      <c r="C25" s="6">
        <v>900000.0</v>
      </c>
      <c r="D25" s="6">
        <v>1.074074074</v>
      </c>
      <c r="E25" s="6">
        <v>54.0</v>
      </c>
    </row>
    <row r="26">
      <c r="A26" s="4" t="s">
        <v>53</v>
      </c>
      <c r="B26" s="5" t="s">
        <v>54</v>
      </c>
      <c r="C26" s="7">
        <v>800000.0</v>
      </c>
      <c r="D26" s="6">
        <v>3.788804071</v>
      </c>
      <c r="E26" s="6">
        <v>393.0</v>
      </c>
    </row>
    <row r="27">
      <c r="A27" s="4" t="s">
        <v>55</v>
      </c>
      <c r="B27" s="5" t="s">
        <v>56</v>
      </c>
      <c r="C27" s="6">
        <v>800000.0</v>
      </c>
      <c r="D27" s="6">
        <v>2.14</v>
      </c>
      <c r="E27" s="6">
        <v>200.0</v>
      </c>
    </row>
    <row r="28">
      <c r="A28" s="4" t="s">
        <v>57</v>
      </c>
      <c r="B28" s="5" t="s">
        <v>58</v>
      </c>
      <c r="C28" s="6">
        <v>800000.0</v>
      </c>
      <c r="D28" s="6">
        <v>3.304111986</v>
      </c>
      <c r="E28" s="6">
        <v>5715.0</v>
      </c>
    </row>
    <row r="29">
      <c r="A29" s="4" t="s">
        <v>59</v>
      </c>
      <c r="B29" s="5" t="s">
        <v>60</v>
      </c>
      <c r="C29" s="6">
        <v>800000.0</v>
      </c>
      <c r="D29" s="6">
        <v>1.1875</v>
      </c>
      <c r="E29" s="6">
        <v>192.0</v>
      </c>
    </row>
    <row r="30">
      <c r="A30" s="4" t="s">
        <v>61</v>
      </c>
      <c r="B30" s="5" t="s">
        <v>62</v>
      </c>
      <c r="C30" s="7">
        <v>700000.0</v>
      </c>
      <c r="D30" s="6">
        <v>3.397504456</v>
      </c>
      <c r="E30" s="6">
        <v>561.0</v>
      </c>
    </row>
    <row r="31">
      <c r="A31" s="4" t="s">
        <v>63</v>
      </c>
      <c r="B31" s="5" t="s">
        <v>64</v>
      </c>
      <c r="C31" s="7">
        <v>700000.0</v>
      </c>
      <c r="D31" s="6">
        <v>4.42116349</v>
      </c>
      <c r="E31" s="6">
        <v>29910.0</v>
      </c>
    </row>
    <row r="32">
      <c r="A32" s="4" t="s">
        <v>65</v>
      </c>
      <c r="B32" s="5" t="s">
        <v>66</v>
      </c>
      <c r="C32" s="7">
        <v>700000.0</v>
      </c>
      <c r="D32" s="6">
        <v>3.41563786</v>
      </c>
      <c r="E32" s="6">
        <v>729.0</v>
      </c>
    </row>
    <row r="33">
      <c r="A33" s="4" t="s">
        <v>67</v>
      </c>
      <c r="B33" s="5" t="s">
        <v>68</v>
      </c>
      <c r="C33" s="7">
        <v>700000.0</v>
      </c>
      <c r="D33" s="6">
        <v>4.431951486</v>
      </c>
      <c r="E33" s="6">
        <v>10059.0</v>
      </c>
    </row>
    <row r="34">
      <c r="A34" s="4" t="s">
        <v>69</v>
      </c>
      <c r="B34" s="5" t="s">
        <v>70</v>
      </c>
      <c r="C34" s="6">
        <v>700000.0</v>
      </c>
      <c r="D34" s="6">
        <v>4.443298969</v>
      </c>
      <c r="E34" s="6">
        <v>97.0</v>
      </c>
    </row>
    <row r="35">
      <c r="A35" s="4" t="s">
        <v>71</v>
      </c>
      <c r="B35" s="5" t="s">
        <v>72</v>
      </c>
      <c r="C35" s="7">
        <v>600000.0</v>
      </c>
      <c r="D35" s="6">
        <v>4.272727273</v>
      </c>
      <c r="E35" s="6">
        <v>11.0</v>
      </c>
    </row>
    <row r="36">
      <c r="A36" s="4" t="s">
        <v>73</v>
      </c>
      <c r="B36" s="5" t="s">
        <v>74</v>
      </c>
      <c r="C36" s="7">
        <v>600000.0</v>
      </c>
      <c r="D36" s="6">
        <v>4.519650655</v>
      </c>
      <c r="E36" s="6">
        <v>229.0</v>
      </c>
    </row>
    <row r="37">
      <c r="A37" s="4" t="s">
        <v>75</v>
      </c>
      <c r="B37" s="5" t="s">
        <v>76</v>
      </c>
      <c r="C37" s="7">
        <v>600000.0</v>
      </c>
      <c r="D37" s="6">
        <v>4.683136412</v>
      </c>
      <c r="E37" s="6">
        <v>931.0</v>
      </c>
    </row>
    <row r="38">
      <c r="A38" s="4" t="s">
        <v>77</v>
      </c>
      <c r="B38" s="5" t="s">
        <v>78</v>
      </c>
      <c r="C38" s="7">
        <v>600000.0</v>
      </c>
      <c r="D38" s="6">
        <v>3.458041958</v>
      </c>
      <c r="E38" s="6">
        <v>286.0</v>
      </c>
    </row>
    <row r="39">
      <c r="A39" s="4" t="s">
        <v>79</v>
      </c>
      <c r="B39" s="5" t="s">
        <v>80</v>
      </c>
      <c r="C39" s="7">
        <v>600000.0</v>
      </c>
      <c r="D39" s="6">
        <v>3.385964912</v>
      </c>
      <c r="E39" s="6">
        <v>57.0</v>
      </c>
    </row>
    <row r="40">
      <c r="A40" s="4" t="s">
        <v>81</v>
      </c>
      <c r="B40" s="5" t="s">
        <v>82</v>
      </c>
      <c r="C40" s="6">
        <v>600000.0</v>
      </c>
      <c r="D40" s="6">
        <v>1.514285714</v>
      </c>
      <c r="E40" s="6">
        <v>35.0</v>
      </c>
    </row>
    <row r="41">
      <c r="A41" s="4" t="s">
        <v>83</v>
      </c>
      <c r="B41" s="5" t="s">
        <v>84</v>
      </c>
      <c r="C41" s="7">
        <v>500000.0</v>
      </c>
      <c r="D41" s="6">
        <v>4.48671065</v>
      </c>
      <c r="E41" s="6">
        <v>5305.0</v>
      </c>
    </row>
    <row r="42">
      <c r="A42" s="4" t="s">
        <v>85</v>
      </c>
      <c r="B42" s="5" t="s">
        <v>86</v>
      </c>
      <c r="C42" s="7">
        <v>500000.0</v>
      </c>
      <c r="D42" s="6">
        <v>5.0</v>
      </c>
      <c r="E42" s="6">
        <v>10.0</v>
      </c>
    </row>
    <row r="43">
      <c r="A43" s="4" t="s">
        <v>87</v>
      </c>
      <c r="B43" s="5" t="s">
        <v>88</v>
      </c>
      <c r="C43" s="7">
        <v>500000.0</v>
      </c>
      <c r="D43" s="6">
        <v>4.5</v>
      </c>
      <c r="E43" s="6">
        <v>3600.0</v>
      </c>
    </row>
    <row r="44">
      <c r="A44" s="4" t="s">
        <v>89</v>
      </c>
      <c r="B44" s="5" t="s">
        <v>90</v>
      </c>
      <c r="C44" s="7">
        <v>500000.0</v>
      </c>
      <c r="D44" s="6">
        <v>4.2</v>
      </c>
      <c r="E44" s="6">
        <v>2200.0</v>
      </c>
    </row>
    <row r="45">
      <c r="A45" s="4" t="s">
        <v>91</v>
      </c>
      <c r="B45" s="5" t="s">
        <v>92</v>
      </c>
      <c r="C45" s="7">
        <v>500000.0</v>
      </c>
      <c r="D45" s="6">
        <v>4.381097561</v>
      </c>
      <c r="E45" s="6">
        <v>328.0</v>
      </c>
    </row>
    <row r="46">
      <c r="A46" s="4" t="s">
        <v>93</v>
      </c>
      <c r="B46" s="5" t="s">
        <v>94</v>
      </c>
      <c r="C46" s="6">
        <v>500000.0</v>
      </c>
      <c r="D46" s="6">
        <v>4.897289658</v>
      </c>
      <c r="E46" s="6">
        <v>19813.0</v>
      </c>
    </row>
    <row r="47">
      <c r="A47" s="4" t="s">
        <v>95</v>
      </c>
      <c r="B47" s="5" t="s">
        <v>96</v>
      </c>
      <c r="C47" s="6">
        <v>500000.0</v>
      </c>
      <c r="D47" s="6">
        <v>2.0</v>
      </c>
      <c r="E47" s="6">
        <v>4.0</v>
      </c>
    </row>
    <row r="48">
      <c r="A48" s="4" t="s">
        <v>97</v>
      </c>
      <c r="B48" s="5" t="s">
        <v>98</v>
      </c>
      <c r="C48" s="7">
        <v>500000.0</v>
      </c>
      <c r="D48" s="6">
        <v>3.0</v>
      </c>
      <c r="E48" s="6">
        <v>3.0</v>
      </c>
    </row>
    <row r="49">
      <c r="A49" s="4" t="s">
        <v>99</v>
      </c>
      <c r="B49" s="5" t="s">
        <v>100</v>
      </c>
      <c r="C49" s="7">
        <v>400000.0</v>
      </c>
      <c r="D49" s="6">
        <v>3.42144873</v>
      </c>
      <c r="E49" s="6">
        <v>1063.0</v>
      </c>
    </row>
    <row r="50">
      <c r="A50" s="4" t="s">
        <v>101</v>
      </c>
      <c r="B50" s="5" t="s">
        <v>102</v>
      </c>
      <c r="C50" s="7">
        <v>400000.0</v>
      </c>
      <c r="D50" s="6">
        <v>3.957264957</v>
      </c>
      <c r="E50" s="6">
        <v>117.0</v>
      </c>
    </row>
    <row r="51">
      <c r="A51" s="4" t="s">
        <v>103</v>
      </c>
      <c r="B51" s="5" t="s">
        <v>104</v>
      </c>
      <c r="C51" s="7">
        <v>400000.0</v>
      </c>
      <c r="D51" s="6">
        <v>4.818731118</v>
      </c>
      <c r="E51" s="6">
        <v>331.0</v>
      </c>
    </row>
    <row r="52">
      <c r="A52" s="4" t="s">
        <v>105</v>
      </c>
      <c r="B52" s="8" t="s">
        <v>106</v>
      </c>
      <c r="C52" s="7">
        <v>400000.0</v>
      </c>
      <c r="D52" s="6">
        <v>2.333333333</v>
      </c>
      <c r="E52" s="6">
        <v>3.0</v>
      </c>
    </row>
    <row r="53">
      <c r="A53" s="4" t="s">
        <v>107</v>
      </c>
      <c r="B53" s="5" t="s">
        <v>108</v>
      </c>
      <c r="C53" s="7">
        <v>400000.0</v>
      </c>
      <c r="D53" s="6">
        <v>3.930693069</v>
      </c>
      <c r="E53" s="6">
        <v>101.0</v>
      </c>
    </row>
    <row r="54">
      <c r="A54" s="4" t="s">
        <v>109</v>
      </c>
      <c r="B54" s="5" t="s">
        <v>110</v>
      </c>
      <c r="C54" s="7">
        <v>400000.0</v>
      </c>
      <c r="D54" s="6">
        <v>4.341517857</v>
      </c>
      <c r="E54" s="6">
        <v>896.0</v>
      </c>
    </row>
    <row r="55">
      <c r="A55" s="4" t="s">
        <v>111</v>
      </c>
      <c r="B55" s="5" t="s">
        <v>112</v>
      </c>
      <c r="C55" s="7">
        <v>400000.0</v>
      </c>
      <c r="D55" s="6">
        <v>2.901408451</v>
      </c>
      <c r="E55" s="6">
        <v>213.0</v>
      </c>
    </row>
    <row r="56">
      <c r="A56" s="4" t="s">
        <v>113</v>
      </c>
      <c r="B56" s="5" t="s">
        <v>114</v>
      </c>
      <c r="C56" s="6">
        <v>400000.0</v>
      </c>
      <c r="D56" s="6">
        <v>4.2</v>
      </c>
      <c r="E56" s="6">
        <v>45.0</v>
      </c>
    </row>
    <row r="57">
      <c r="A57" s="4" t="s">
        <v>115</v>
      </c>
      <c r="B57" s="5" t="s">
        <v>116</v>
      </c>
      <c r="C57" s="7">
        <v>400000.0</v>
      </c>
      <c r="D57" s="6">
        <v>3.090909091</v>
      </c>
      <c r="E57" s="6">
        <v>22.0</v>
      </c>
    </row>
    <row r="58">
      <c r="A58" s="4" t="s">
        <v>117</v>
      </c>
      <c r="B58" s="5" t="s">
        <v>118</v>
      </c>
      <c r="C58" s="7">
        <v>400000.0</v>
      </c>
      <c r="D58" s="6">
        <v>3.039325843</v>
      </c>
      <c r="E58" s="6">
        <v>178.0</v>
      </c>
    </row>
    <row r="59">
      <c r="A59" s="4" t="s">
        <v>119</v>
      </c>
      <c r="B59" s="5" t="s">
        <v>120</v>
      </c>
      <c r="C59" s="6">
        <v>400000.0</v>
      </c>
      <c r="D59" s="6">
        <v>3.166666667</v>
      </c>
      <c r="E59" s="6">
        <v>18.0</v>
      </c>
    </row>
    <row r="60">
      <c r="A60" s="4" t="s">
        <v>121</v>
      </c>
      <c r="B60" s="5" t="s">
        <v>122</v>
      </c>
      <c r="C60" s="7">
        <v>400000.0</v>
      </c>
      <c r="D60" s="6">
        <v>4.121212121</v>
      </c>
      <c r="E60" s="6">
        <v>33.0</v>
      </c>
    </row>
    <row r="61">
      <c r="A61" s="4" t="s">
        <v>123</v>
      </c>
      <c r="B61" s="5" t="s">
        <v>124</v>
      </c>
      <c r="C61" s="6">
        <v>400000.0</v>
      </c>
      <c r="D61" s="6">
        <v>4.37254902</v>
      </c>
      <c r="E61" s="6">
        <v>51.0</v>
      </c>
    </row>
    <row r="62">
      <c r="A62" s="4" t="s">
        <v>125</v>
      </c>
      <c r="B62" s="5" t="s">
        <v>126</v>
      </c>
      <c r="C62" s="6">
        <v>400000.0</v>
      </c>
      <c r="D62" s="6">
        <v>4.230769231</v>
      </c>
      <c r="E62" s="6">
        <v>13.0</v>
      </c>
    </row>
    <row r="63">
      <c r="A63" s="4" t="s">
        <v>127</v>
      </c>
      <c r="B63" s="5" t="s">
        <v>128</v>
      </c>
      <c r="C63" s="7">
        <v>300000.0</v>
      </c>
      <c r="D63" s="6">
        <v>2.621621622</v>
      </c>
      <c r="E63" s="6">
        <v>296.0</v>
      </c>
    </row>
    <row r="64">
      <c r="A64" s="4" t="s">
        <v>129</v>
      </c>
      <c r="B64" s="5" t="s">
        <v>130</v>
      </c>
      <c r="C64" s="7">
        <v>300000.0</v>
      </c>
      <c r="D64" s="6">
        <v>4.879568604</v>
      </c>
      <c r="E64" s="6">
        <v>1669.0</v>
      </c>
    </row>
    <row r="65">
      <c r="A65" s="4" t="s">
        <v>131</v>
      </c>
      <c r="B65" s="5" t="s">
        <v>132</v>
      </c>
      <c r="C65" s="7">
        <v>300000.0</v>
      </c>
      <c r="D65" s="6">
        <v>4.070240296</v>
      </c>
      <c r="E65" s="6">
        <v>1082.0</v>
      </c>
    </row>
    <row r="66">
      <c r="A66" s="4" t="s">
        <v>133</v>
      </c>
      <c r="B66" s="5" t="s">
        <v>134</v>
      </c>
      <c r="C66" s="7">
        <v>300000.0</v>
      </c>
      <c r="D66" s="6">
        <v>4.691595442</v>
      </c>
      <c r="E66" s="6">
        <v>5616.0</v>
      </c>
    </row>
    <row r="67">
      <c r="A67" s="4" t="s">
        <v>135</v>
      </c>
      <c r="B67" s="5" t="s">
        <v>136</v>
      </c>
      <c r="C67" s="7">
        <v>300000.0</v>
      </c>
      <c r="D67" s="6">
        <v>3.704545455</v>
      </c>
      <c r="E67" s="6">
        <v>88.0</v>
      </c>
    </row>
    <row r="68">
      <c r="A68" s="4" t="s">
        <v>137</v>
      </c>
      <c r="B68" s="5" t="s">
        <v>138</v>
      </c>
      <c r="C68" s="7">
        <v>300000.0</v>
      </c>
      <c r="D68" s="6">
        <v>3.063074901</v>
      </c>
      <c r="E68" s="6">
        <v>761.0</v>
      </c>
    </row>
    <row r="69">
      <c r="A69" s="4" t="s">
        <v>139</v>
      </c>
      <c r="B69" s="5" t="s">
        <v>140</v>
      </c>
      <c r="C69" s="7">
        <v>300000.0</v>
      </c>
      <c r="D69" s="6">
        <v>1.294117647</v>
      </c>
      <c r="E69" s="6">
        <v>17.0</v>
      </c>
    </row>
    <row r="70">
      <c r="A70" s="4" t="s">
        <v>141</v>
      </c>
      <c r="B70" s="5" t="s">
        <v>142</v>
      </c>
      <c r="C70" s="7">
        <v>300000.0</v>
      </c>
      <c r="D70" s="6">
        <v>4.353631695</v>
      </c>
      <c r="E70" s="6">
        <v>1363.0</v>
      </c>
    </row>
    <row r="71">
      <c r="A71" s="4" t="s">
        <v>143</v>
      </c>
      <c r="B71" s="5" t="s">
        <v>144</v>
      </c>
      <c r="C71" s="7">
        <v>300000.0</v>
      </c>
      <c r="D71" s="6">
        <v>4.495764823</v>
      </c>
      <c r="E71" s="6">
        <v>2007.0</v>
      </c>
    </row>
    <row r="72">
      <c r="A72" s="4" t="s">
        <v>145</v>
      </c>
      <c r="B72" s="5" t="s">
        <v>146</v>
      </c>
      <c r="C72" s="7">
        <v>300000.0</v>
      </c>
      <c r="D72" s="6">
        <v>4.227795193</v>
      </c>
      <c r="E72" s="6">
        <v>957.0</v>
      </c>
    </row>
    <row r="73">
      <c r="A73" s="4" t="s">
        <v>147</v>
      </c>
      <c r="B73" s="5" t="s">
        <v>148</v>
      </c>
      <c r="C73" s="7">
        <v>300000.0</v>
      </c>
      <c r="D73" s="6">
        <v>1.384615385</v>
      </c>
      <c r="E73" s="6">
        <v>39.0</v>
      </c>
    </row>
    <row r="74">
      <c r="A74" s="4" t="s">
        <v>149</v>
      </c>
      <c r="B74" s="5" t="s">
        <v>150</v>
      </c>
      <c r="C74" s="7">
        <v>300000.0</v>
      </c>
      <c r="D74" s="6">
        <v>4.58432304</v>
      </c>
      <c r="E74" s="6">
        <v>1263.0</v>
      </c>
    </row>
    <row r="75">
      <c r="A75" s="4" t="s">
        <v>151</v>
      </c>
      <c r="B75" s="5" t="s">
        <v>152</v>
      </c>
      <c r="C75" s="7">
        <v>300000.0</v>
      </c>
      <c r="D75" s="9"/>
      <c r="E75" s="9"/>
    </row>
    <row r="76">
      <c r="A76" s="4" t="s">
        <v>153</v>
      </c>
      <c r="B76" s="5" t="s">
        <v>154</v>
      </c>
      <c r="C76" s="7">
        <v>300000.0</v>
      </c>
      <c r="D76" s="6">
        <v>4.494110718</v>
      </c>
      <c r="E76" s="6">
        <v>5094.0</v>
      </c>
    </row>
    <row r="77">
      <c r="A77" s="4" t="s">
        <v>155</v>
      </c>
      <c r="B77" s="5" t="s">
        <v>156</v>
      </c>
      <c r="C77" s="7">
        <v>300000.0</v>
      </c>
      <c r="D77" s="6">
        <v>2.426966292</v>
      </c>
      <c r="E77" s="6">
        <v>178.0</v>
      </c>
    </row>
    <row r="78">
      <c r="A78" s="4" t="s">
        <v>157</v>
      </c>
      <c r="B78" s="5" t="s">
        <v>158</v>
      </c>
      <c r="C78" s="7">
        <v>300000.0</v>
      </c>
      <c r="D78" s="6">
        <v>4.474841169</v>
      </c>
      <c r="E78" s="6">
        <v>7870.0</v>
      </c>
    </row>
    <row r="79">
      <c r="A79" s="4" t="s">
        <v>159</v>
      </c>
      <c r="B79" s="5" t="s">
        <v>160</v>
      </c>
      <c r="C79" s="6">
        <v>300000.0</v>
      </c>
      <c r="D79" s="6">
        <v>3.897196262</v>
      </c>
      <c r="E79" s="6">
        <v>214.0</v>
      </c>
    </row>
    <row r="80">
      <c r="A80" s="4" t="s">
        <v>161</v>
      </c>
      <c r="B80" s="5" t="s">
        <v>162</v>
      </c>
      <c r="C80" s="6">
        <v>300000.0</v>
      </c>
      <c r="D80" s="6">
        <v>4.505910165</v>
      </c>
      <c r="E80" s="6">
        <v>3807.0</v>
      </c>
    </row>
    <row r="81">
      <c r="A81" s="4" t="s">
        <v>163</v>
      </c>
      <c r="B81" s="5" t="s">
        <v>164</v>
      </c>
      <c r="C81" s="6">
        <v>300000.0</v>
      </c>
      <c r="D81" s="6">
        <v>4.744210526</v>
      </c>
      <c r="E81" s="6">
        <v>1900.0</v>
      </c>
    </row>
    <row r="82">
      <c r="A82" s="4" t="s">
        <v>165</v>
      </c>
      <c r="B82" s="5" t="s">
        <v>166</v>
      </c>
      <c r="C82" s="6">
        <v>300000.0</v>
      </c>
      <c r="D82" s="6">
        <v>4.025423729</v>
      </c>
      <c r="E82" s="6">
        <v>1416.0</v>
      </c>
    </row>
    <row r="83">
      <c r="A83" s="4" t="s">
        <v>167</v>
      </c>
      <c r="B83" s="5" t="s">
        <v>168</v>
      </c>
      <c r="C83" s="6">
        <v>300000.0</v>
      </c>
      <c r="D83" s="6">
        <v>4.210970464</v>
      </c>
      <c r="E83" s="6">
        <v>237.0</v>
      </c>
    </row>
    <row r="84">
      <c r="A84" s="4" t="s">
        <v>169</v>
      </c>
      <c r="B84" s="5" t="s">
        <v>170</v>
      </c>
      <c r="C84" s="6">
        <v>300000.0</v>
      </c>
      <c r="D84" s="6">
        <v>3.982469512</v>
      </c>
      <c r="E84" s="6">
        <v>3936.0</v>
      </c>
    </row>
    <row r="85">
      <c r="A85" s="4" t="s">
        <v>171</v>
      </c>
      <c r="B85" s="5" t="s">
        <v>172</v>
      </c>
      <c r="C85" s="6">
        <v>300000.0</v>
      </c>
      <c r="D85" s="6">
        <v>3.715197957</v>
      </c>
      <c r="E85" s="6">
        <v>783.0</v>
      </c>
    </row>
    <row r="86">
      <c r="A86" s="4" t="s">
        <v>173</v>
      </c>
      <c r="B86" s="5" t="s">
        <v>174</v>
      </c>
      <c r="C86" s="6">
        <v>300000.0</v>
      </c>
      <c r="D86" s="6">
        <v>4.437949053</v>
      </c>
      <c r="E86" s="6">
        <v>3062.0</v>
      </c>
    </row>
    <row r="87">
      <c r="A87" s="4" t="s">
        <v>175</v>
      </c>
      <c r="B87" s="5" t="s">
        <v>176</v>
      </c>
      <c r="C87" s="7">
        <v>200000.0</v>
      </c>
      <c r="D87" s="6">
        <v>4.2</v>
      </c>
      <c r="E87" s="6">
        <v>40.0</v>
      </c>
    </row>
    <row r="88">
      <c r="A88" s="4" t="s">
        <v>177</v>
      </c>
      <c r="B88" s="5" t="s">
        <v>178</v>
      </c>
      <c r="C88" s="7">
        <v>200000.0</v>
      </c>
      <c r="D88" s="6">
        <v>4.428571429</v>
      </c>
      <c r="E88" s="6">
        <v>7.0</v>
      </c>
    </row>
    <row r="89">
      <c r="A89" s="4" t="s">
        <v>179</v>
      </c>
      <c r="B89" s="5" t="s">
        <v>180</v>
      </c>
      <c r="C89" s="7">
        <v>200000.0</v>
      </c>
      <c r="D89" s="6">
        <v>4.666666667</v>
      </c>
      <c r="E89" s="6">
        <v>96.0</v>
      </c>
    </row>
    <row r="90">
      <c r="A90" s="4" t="s">
        <v>181</v>
      </c>
      <c r="B90" s="5" t="s">
        <v>182</v>
      </c>
      <c r="C90" s="7">
        <v>200000.0</v>
      </c>
      <c r="D90" s="6">
        <v>1.769230769</v>
      </c>
      <c r="E90" s="6">
        <v>13.0</v>
      </c>
    </row>
    <row r="91">
      <c r="A91" s="4" t="s">
        <v>183</v>
      </c>
      <c r="B91" s="5" t="s">
        <v>184</v>
      </c>
      <c r="C91" s="7">
        <v>200000.0</v>
      </c>
      <c r="D91" s="6">
        <v>3.865443425</v>
      </c>
      <c r="E91" s="6">
        <v>327.0</v>
      </c>
    </row>
    <row r="92">
      <c r="A92" s="4" t="s">
        <v>185</v>
      </c>
      <c r="B92" s="5" t="s">
        <v>186</v>
      </c>
      <c r="C92" s="7">
        <v>200000.0</v>
      </c>
      <c r="D92" s="6">
        <v>3.792250618</v>
      </c>
      <c r="E92" s="6">
        <v>3639.0</v>
      </c>
    </row>
    <row r="93">
      <c r="A93" s="4" t="s">
        <v>187</v>
      </c>
      <c r="B93" s="5" t="s">
        <v>188</v>
      </c>
      <c r="C93" s="7">
        <v>200000.0</v>
      </c>
      <c r="D93" s="6">
        <v>4.25</v>
      </c>
      <c r="E93" s="6">
        <v>56.0</v>
      </c>
    </row>
    <row r="94">
      <c r="A94" s="4" t="s">
        <v>189</v>
      </c>
      <c r="B94" s="5" t="s">
        <v>190</v>
      </c>
      <c r="C94" s="7">
        <v>200000.0</v>
      </c>
      <c r="D94" s="6">
        <v>3.475093189</v>
      </c>
      <c r="E94" s="6">
        <v>5902.0</v>
      </c>
    </row>
    <row r="95">
      <c r="A95" s="4" t="s">
        <v>191</v>
      </c>
      <c r="B95" s="5" t="s">
        <v>192</v>
      </c>
      <c r="C95" s="7">
        <v>200000.0</v>
      </c>
      <c r="D95" s="6">
        <v>4.596287703</v>
      </c>
      <c r="E95" s="6">
        <v>431.0</v>
      </c>
    </row>
    <row r="96">
      <c r="A96" s="4" t="s">
        <v>193</v>
      </c>
      <c r="B96" s="5" t="s">
        <v>194</v>
      </c>
      <c r="C96" s="7">
        <v>200000.0</v>
      </c>
      <c r="D96" s="6">
        <v>3.632022472</v>
      </c>
      <c r="E96" s="6">
        <v>712.0</v>
      </c>
    </row>
    <row r="97">
      <c r="A97" s="4" t="s">
        <v>195</v>
      </c>
      <c r="B97" s="5" t="s">
        <v>196</v>
      </c>
      <c r="C97" s="7">
        <v>200000.0</v>
      </c>
      <c r="D97" s="6">
        <v>3.769230769</v>
      </c>
      <c r="E97" s="6">
        <v>13.0</v>
      </c>
    </row>
    <row r="98">
      <c r="A98" s="4" t="s">
        <v>197</v>
      </c>
      <c r="B98" s="5" t="s">
        <v>198</v>
      </c>
      <c r="C98" s="7">
        <v>200000.0</v>
      </c>
      <c r="D98" s="6">
        <v>2.726256983</v>
      </c>
      <c r="E98" s="6">
        <v>2685.0</v>
      </c>
    </row>
    <row r="99">
      <c r="A99" s="4" t="s">
        <v>199</v>
      </c>
      <c r="B99" s="5" t="s">
        <v>200</v>
      </c>
      <c r="C99" s="7">
        <v>200000.0</v>
      </c>
      <c r="D99" s="6">
        <v>3.448333333</v>
      </c>
      <c r="E99" s="6">
        <v>600.0</v>
      </c>
    </row>
    <row r="100">
      <c r="A100" s="4" t="s">
        <v>201</v>
      </c>
      <c r="B100" s="5" t="s">
        <v>202</v>
      </c>
      <c r="C100" s="7">
        <v>200000.0</v>
      </c>
      <c r="D100" s="6">
        <v>4.142180095</v>
      </c>
      <c r="E100" s="6">
        <v>211.0</v>
      </c>
    </row>
    <row r="101">
      <c r="A101" s="4" t="s">
        <v>203</v>
      </c>
      <c r="B101" s="5" t="s">
        <v>204</v>
      </c>
      <c r="C101" s="7">
        <v>200000.0</v>
      </c>
      <c r="D101" s="6">
        <v>4.19714181</v>
      </c>
      <c r="E101" s="6">
        <v>2729.0</v>
      </c>
    </row>
    <row r="102">
      <c r="A102" s="4" t="s">
        <v>205</v>
      </c>
      <c r="B102" s="5" t="s">
        <v>206</v>
      </c>
      <c r="C102" s="7">
        <v>200000.0</v>
      </c>
      <c r="D102" s="6">
        <v>4.603671971</v>
      </c>
      <c r="E102" s="6">
        <v>4085.0</v>
      </c>
    </row>
    <row r="103">
      <c r="A103" s="4" t="s">
        <v>207</v>
      </c>
      <c r="B103" s="5" t="s">
        <v>208</v>
      </c>
      <c r="C103" s="7">
        <v>200000.0</v>
      </c>
      <c r="D103" s="6">
        <v>4.618401207</v>
      </c>
      <c r="E103" s="6">
        <v>3978.0</v>
      </c>
    </row>
    <row r="104">
      <c r="A104" s="4" t="s">
        <v>209</v>
      </c>
      <c r="B104" s="5" t="s">
        <v>210</v>
      </c>
      <c r="C104" s="7">
        <v>200000.0</v>
      </c>
      <c r="D104" s="6">
        <v>4.77734375</v>
      </c>
      <c r="E104" s="6">
        <v>1536.0</v>
      </c>
    </row>
    <row r="105">
      <c r="A105" s="4" t="s">
        <v>211</v>
      </c>
      <c r="B105" s="8" t="s">
        <v>212</v>
      </c>
      <c r="C105" s="7">
        <v>200000.0</v>
      </c>
      <c r="D105" s="6">
        <v>4.294277929</v>
      </c>
      <c r="E105" s="6">
        <v>367.0</v>
      </c>
    </row>
    <row r="106">
      <c r="A106" s="4" t="s">
        <v>213</v>
      </c>
      <c r="B106" s="5" t="s">
        <v>214</v>
      </c>
      <c r="C106" s="7">
        <v>200000.0</v>
      </c>
      <c r="D106" s="6">
        <v>3.292466765</v>
      </c>
      <c r="E106" s="6">
        <v>1354.0</v>
      </c>
    </row>
    <row r="107">
      <c r="A107" s="4" t="s">
        <v>215</v>
      </c>
      <c r="B107" s="5" t="s">
        <v>216</v>
      </c>
      <c r="C107" s="7">
        <v>200000.0</v>
      </c>
      <c r="D107" s="6">
        <v>4.64605138</v>
      </c>
      <c r="E107" s="6">
        <v>1051.0</v>
      </c>
    </row>
    <row r="108">
      <c r="A108" s="4" t="s">
        <v>217</v>
      </c>
      <c r="B108" s="5" t="s">
        <v>218</v>
      </c>
      <c r="C108" s="7">
        <v>200000.0</v>
      </c>
      <c r="D108" s="6">
        <v>3.584257206</v>
      </c>
      <c r="E108" s="6">
        <v>1804.0</v>
      </c>
    </row>
    <row r="109">
      <c r="A109" s="4" t="s">
        <v>219</v>
      </c>
      <c r="B109" s="5" t="s">
        <v>220</v>
      </c>
      <c r="C109" s="7">
        <v>200000.0</v>
      </c>
      <c r="D109" s="6">
        <v>3.992277992</v>
      </c>
      <c r="E109" s="6">
        <v>1036.0</v>
      </c>
    </row>
    <row r="110">
      <c r="A110" s="4" t="s">
        <v>221</v>
      </c>
      <c r="B110" s="5" t="s">
        <v>222</v>
      </c>
      <c r="C110" s="6">
        <v>200000.0</v>
      </c>
      <c r="D110" s="6">
        <v>3.850515464</v>
      </c>
      <c r="E110" s="6">
        <v>1164.0</v>
      </c>
    </row>
    <row r="111">
      <c r="A111" s="4" t="s">
        <v>223</v>
      </c>
      <c r="B111" s="5" t="s">
        <v>224</v>
      </c>
      <c r="C111" s="6">
        <v>200000.0</v>
      </c>
      <c r="D111" s="6">
        <v>4.433823529</v>
      </c>
      <c r="E111" s="6">
        <v>408.0</v>
      </c>
    </row>
    <row r="112">
      <c r="A112" s="4" t="s">
        <v>225</v>
      </c>
      <c r="B112" s="5" t="s">
        <v>226</v>
      </c>
      <c r="C112" s="6">
        <v>200000.0</v>
      </c>
      <c r="D112" s="6">
        <v>4.237118437</v>
      </c>
      <c r="E112" s="6">
        <v>4095.0</v>
      </c>
    </row>
    <row r="113">
      <c r="A113" s="4" t="s">
        <v>227</v>
      </c>
      <c r="B113" s="5" t="s">
        <v>228</v>
      </c>
      <c r="C113" s="6">
        <v>200000.0</v>
      </c>
      <c r="D113" s="6">
        <v>4.131868132</v>
      </c>
      <c r="E113" s="6">
        <v>455.0</v>
      </c>
    </row>
    <row r="114">
      <c r="A114" s="4" t="s">
        <v>229</v>
      </c>
      <c r="B114" s="5" t="s">
        <v>230</v>
      </c>
      <c r="C114" s="6">
        <v>200000.0</v>
      </c>
      <c r="D114" s="6">
        <v>4.121235823</v>
      </c>
      <c r="E114" s="6">
        <v>2557.0</v>
      </c>
    </row>
    <row r="115">
      <c r="A115" s="4" t="s">
        <v>231</v>
      </c>
      <c r="B115" s="5" t="s">
        <v>232</v>
      </c>
      <c r="C115" s="6">
        <v>200000.0</v>
      </c>
      <c r="D115" s="6">
        <v>4.470769231</v>
      </c>
      <c r="E115" s="6">
        <v>325.0</v>
      </c>
    </row>
    <row r="116">
      <c r="A116" s="4" t="s">
        <v>233</v>
      </c>
      <c r="B116" s="5" t="s">
        <v>234</v>
      </c>
      <c r="C116" s="6">
        <v>200000.0</v>
      </c>
      <c r="D116" s="6">
        <v>4.103862661</v>
      </c>
      <c r="E116" s="6">
        <v>5825.0</v>
      </c>
    </row>
    <row r="117">
      <c r="A117" s="4" t="s">
        <v>235</v>
      </c>
      <c r="B117" s="5" t="s">
        <v>236</v>
      </c>
      <c r="C117" s="6">
        <v>200000.0</v>
      </c>
      <c r="D117" s="6">
        <v>4.470811973</v>
      </c>
      <c r="E117" s="6">
        <v>6047.0</v>
      </c>
    </row>
    <row r="118">
      <c r="A118" s="4" t="s">
        <v>237</v>
      </c>
      <c r="B118" s="5" t="s">
        <v>238</v>
      </c>
      <c r="C118" s="6">
        <v>200000.0</v>
      </c>
      <c r="D118" s="6">
        <v>4.559670782</v>
      </c>
      <c r="E118" s="6">
        <v>243.0</v>
      </c>
    </row>
    <row r="119">
      <c r="A119" s="4" t="s">
        <v>239</v>
      </c>
      <c r="B119" s="5" t="s">
        <v>240</v>
      </c>
      <c r="C119" s="6">
        <v>200000.0</v>
      </c>
      <c r="D119" s="6">
        <v>1.846153846</v>
      </c>
      <c r="E119" s="6">
        <v>26.0</v>
      </c>
    </row>
    <row r="120">
      <c r="A120" s="4" t="s">
        <v>241</v>
      </c>
      <c r="B120" s="5" t="s">
        <v>242</v>
      </c>
      <c r="C120" s="6">
        <v>200000.0</v>
      </c>
      <c r="D120" s="6">
        <v>4.372093023</v>
      </c>
      <c r="E120" s="6">
        <v>430.0</v>
      </c>
    </row>
    <row r="121">
      <c r="A121" s="4" t="s">
        <v>243</v>
      </c>
      <c r="B121" s="5" t="s">
        <v>244</v>
      </c>
      <c r="C121" s="6">
        <v>200000.0</v>
      </c>
      <c r="D121" s="6">
        <v>4.094076655</v>
      </c>
      <c r="E121" s="6">
        <v>287.0</v>
      </c>
    </row>
    <row r="122">
      <c r="A122" s="4" t="s">
        <v>245</v>
      </c>
      <c r="B122" s="5" t="s">
        <v>246</v>
      </c>
      <c r="C122" s="6">
        <v>200000.0</v>
      </c>
      <c r="D122" s="6">
        <v>4.356846473</v>
      </c>
      <c r="E122" s="6">
        <v>241.0</v>
      </c>
    </row>
    <row r="123">
      <c r="A123" s="4" t="s">
        <v>247</v>
      </c>
      <c r="B123" s="5" t="s">
        <v>248</v>
      </c>
      <c r="C123" s="6">
        <v>200000.0</v>
      </c>
      <c r="D123" s="6">
        <v>4.661290323</v>
      </c>
      <c r="E123" s="6">
        <v>62.0</v>
      </c>
    </row>
    <row r="124">
      <c r="A124" s="4" t="s">
        <v>249</v>
      </c>
      <c r="B124" s="5" t="s">
        <v>250</v>
      </c>
      <c r="C124" s="6">
        <v>200000.0</v>
      </c>
      <c r="D124" s="6">
        <v>3.800252845</v>
      </c>
      <c r="E124" s="6">
        <v>791.0</v>
      </c>
    </row>
    <row r="125">
      <c r="A125" s="4" t="s">
        <v>251</v>
      </c>
      <c r="B125" s="5" t="s">
        <v>252</v>
      </c>
      <c r="C125" s="6">
        <v>200000.0</v>
      </c>
      <c r="D125" s="6">
        <v>4.030237581</v>
      </c>
      <c r="E125" s="6">
        <v>463.0</v>
      </c>
    </row>
    <row r="126">
      <c r="A126" s="4" t="s">
        <v>253</v>
      </c>
      <c r="B126" s="5" t="s">
        <v>254</v>
      </c>
      <c r="C126" s="6">
        <v>200000.0</v>
      </c>
      <c r="D126" s="6">
        <v>4.346153846</v>
      </c>
      <c r="E126" s="6">
        <v>208.0</v>
      </c>
    </row>
    <row r="127">
      <c r="A127" s="4" t="s">
        <v>255</v>
      </c>
      <c r="B127" s="5" t="s">
        <v>256</v>
      </c>
      <c r="C127" s="6">
        <v>200000.0</v>
      </c>
      <c r="D127" s="6">
        <v>4.288888889</v>
      </c>
      <c r="E127" s="6">
        <v>90.0</v>
      </c>
    </row>
    <row r="128">
      <c r="A128" s="4" t="s">
        <v>257</v>
      </c>
      <c r="B128" s="5" t="s">
        <v>258</v>
      </c>
      <c r="C128" s="6">
        <v>200000.0</v>
      </c>
      <c r="D128" s="6">
        <v>4.909939822</v>
      </c>
      <c r="E128" s="6">
        <v>4819.0</v>
      </c>
    </row>
    <row r="129">
      <c r="A129" s="4" t="s">
        <v>259</v>
      </c>
      <c r="B129" s="5" t="s">
        <v>260</v>
      </c>
      <c r="C129" s="6">
        <v>200000.0</v>
      </c>
      <c r="D129" s="6">
        <v>3.282051282</v>
      </c>
      <c r="E129" s="6">
        <v>117.0</v>
      </c>
    </row>
    <row r="130">
      <c r="A130" s="4" t="s">
        <v>261</v>
      </c>
      <c r="B130" s="5" t="s">
        <v>262</v>
      </c>
      <c r="C130" s="6">
        <v>200000.0</v>
      </c>
      <c r="D130" s="6">
        <v>4.396226415</v>
      </c>
      <c r="E130" s="6">
        <v>371.0</v>
      </c>
    </row>
    <row r="131">
      <c r="A131" s="4" t="s">
        <v>263</v>
      </c>
      <c r="B131" s="5" t="s">
        <v>264</v>
      </c>
      <c r="C131" s="6">
        <v>200000.0</v>
      </c>
      <c r="D131" s="6">
        <v>2.729927007</v>
      </c>
      <c r="E131" s="6">
        <v>137.0</v>
      </c>
    </row>
    <row r="132">
      <c r="A132" s="4" t="s">
        <v>265</v>
      </c>
      <c r="B132" s="5" t="s">
        <v>266</v>
      </c>
      <c r="C132" s="6">
        <v>200000.0</v>
      </c>
      <c r="D132" s="6">
        <v>3.897228637</v>
      </c>
      <c r="E132" s="6">
        <v>866.0</v>
      </c>
    </row>
    <row r="133">
      <c r="A133" s="4" t="s">
        <v>267</v>
      </c>
      <c r="B133" s="5" t="s">
        <v>268</v>
      </c>
      <c r="C133" s="6">
        <v>200000.0</v>
      </c>
      <c r="D133" s="6">
        <v>4.452618645</v>
      </c>
      <c r="E133" s="6">
        <v>6511.0</v>
      </c>
    </row>
    <row r="134">
      <c r="A134" s="4" t="s">
        <v>269</v>
      </c>
      <c r="B134" s="5" t="s">
        <v>270</v>
      </c>
      <c r="C134" s="6">
        <v>200000.0</v>
      </c>
      <c r="D134" s="6">
        <v>4.10612855</v>
      </c>
      <c r="E134" s="6">
        <v>1338.0</v>
      </c>
    </row>
    <row r="135">
      <c r="A135" s="4" t="s">
        <v>271</v>
      </c>
      <c r="B135" s="5" t="s">
        <v>272</v>
      </c>
      <c r="C135" s="6">
        <v>200000.0</v>
      </c>
      <c r="D135" s="6">
        <v>3.416666667</v>
      </c>
      <c r="E135" s="6">
        <v>36.0</v>
      </c>
    </row>
    <row r="136">
      <c r="A136" s="4" t="s">
        <v>273</v>
      </c>
      <c r="B136" s="5" t="s">
        <v>274</v>
      </c>
      <c r="C136" s="6">
        <v>200000.0</v>
      </c>
      <c r="D136" s="6">
        <v>4.268718274</v>
      </c>
      <c r="E136" s="6">
        <v>3152.0</v>
      </c>
    </row>
    <row r="137">
      <c r="A137" s="4" t="s">
        <v>275</v>
      </c>
      <c r="B137" s="5" t="s">
        <v>276</v>
      </c>
      <c r="C137" s="6">
        <v>200000.0</v>
      </c>
      <c r="D137" s="6">
        <v>4.400882272</v>
      </c>
      <c r="E137" s="6">
        <v>3627.0</v>
      </c>
    </row>
    <row r="138">
      <c r="A138" s="4" t="s">
        <v>277</v>
      </c>
      <c r="B138" s="5" t="s">
        <v>278</v>
      </c>
      <c r="C138" s="6">
        <v>200000.0</v>
      </c>
      <c r="D138" s="6">
        <v>4.794701987</v>
      </c>
      <c r="E138" s="6">
        <v>453.0</v>
      </c>
    </row>
    <row r="139">
      <c r="A139" s="4" t="s">
        <v>279</v>
      </c>
      <c r="B139" s="5" t="s">
        <v>280</v>
      </c>
      <c r="C139" s="6">
        <v>200000.0</v>
      </c>
      <c r="D139" s="6">
        <v>3.696969697</v>
      </c>
      <c r="E139" s="6">
        <v>33.0</v>
      </c>
    </row>
    <row r="140">
      <c r="A140" s="4" t="s">
        <v>281</v>
      </c>
      <c r="B140" s="5" t="s">
        <v>282</v>
      </c>
      <c r="C140" s="6">
        <v>200000.0</v>
      </c>
      <c r="D140" s="6">
        <v>3.846153846</v>
      </c>
      <c r="E140" s="6">
        <v>416.0</v>
      </c>
    </row>
    <row r="141">
      <c r="A141" s="4" t="s">
        <v>283</v>
      </c>
      <c r="B141" s="5" t="s">
        <v>284</v>
      </c>
      <c r="C141" s="6">
        <v>200000.0</v>
      </c>
      <c r="D141" s="6">
        <v>4.240704501</v>
      </c>
      <c r="E141" s="6">
        <v>1022.0</v>
      </c>
    </row>
    <row r="142">
      <c r="A142" s="4" t="s">
        <v>285</v>
      </c>
      <c r="B142" s="5" t="s">
        <v>286</v>
      </c>
      <c r="C142" s="6">
        <v>200000.0</v>
      </c>
      <c r="D142" s="6">
        <v>3.96969697</v>
      </c>
      <c r="E142" s="6">
        <v>33.0</v>
      </c>
    </row>
    <row r="143">
      <c r="A143" s="4" t="s">
        <v>287</v>
      </c>
      <c r="B143" s="5" t="s">
        <v>288</v>
      </c>
      <c r="C143" s="6">
        <v>200000.0</v>
      </c>
      <c r="D143" s="6">
        <v>4.497607656</v>
      </c>
      <c r="E143" s="6">
        <v>209.0</v>
      </c>
    </row>
    <row r="144">
      <c r="A144" s="4" t="s">
        <v>289</v>
      </c>
      <c r="B144" s="5" t="s">
        <v>290</v>
      </c>
      <c r="C144" s="6">
        <v>200000.0</v>
      </c>
      <c r="D144" s="6">
        <v>1.279069767</v>
      </c>
      <c r="E144" s="6">
        <v>43.0</v>
      </c>
    </row>
    <row r="145">
      <c r="A145" s="4" t="s">
        <v>291</v>
      </c>
      <c r="B145" s="5" t="s">
        <v>292</v>
      </c>
      <c r="C145" s="6">
        <v>200000.0</v>
      </c>
      <c r="D145" s="6">
        <v>4.160493827</v>
      </c>
      <c r="E145" s="6">
        <v>162.0</v>
      </c>
    </row>
    <row r="146">
      <c r="A146" s="4" t="s">
        <v>293</v>
      </c>
      <c r="B146" s="5" t="s">
        <v>294</v>
      </c>
      <c r="C146" s="6">
        <v>200000.0</v>
      </c>
      <c r="D146" s="6">
        <v>3.508905852</v>
      </c>
      <c r="E146" s="6">
        <v>3537.0</v>
      </c>
    </row>
    <row r="147">
      <c r="A147" s="4" t="s">
        <v>295</v>
      </c>
      <c r="B147" s="5" t="s">
        <v>296</v>
      </c>
      <c r="C147" s="6">
        <v>200000.0</v>
      </c>
      <c r="D147" s="6">
        <v>3.0</v>
      </c>
      <c r="E147" s="6">
        <v>1.0</v>
      </c>
    </row>
    <row r="148">
      <c r="A148" s="4" t="s">
        <v>297</v>
      </c>
      <c r="B148" s="5" t="s">
        <v>298</v>
      </c>
      <c r="C148" s="6">
        <v>200000.0</v>
      </c>
      <c r="D148" s="6">
        <v>4.463727679</v>
      </c>
      <c r="E148" s="6">
        <v>1792.0</v>
      </c>
    </row>
    <row r="149">
      <c r="A149" s="4" t="s">
        <v>299</v>
      </c>
      <c r="B149" s="5" t="s">
        <v>300</v>
      </c>
      <c r="C149" s="6">
        <v>200000.0</v>
      </c>
      <c r="D149" s="6">
        <v>3.615384615</v>
      </c>
      <c r="E149" s="6">
        <v>156.0</v>
      </c>
    </row>
    <row r="150">
      <c r="A150" s="4" t="s">
        <v>301</v>
      </c>
      <c r="B150" s="5" t="s">
        <v>302</v>
      </c>
      <c r="C150" s="6">
        <v>200000.0</v>
      </c>
      <c r="D150" s="6">
        <v>3.234848485</v>
      </c>
      <c r="E150" s="6">
        <v>660.0</v>
      </c>
    </row>
    <row r="151">
      <c r="A151" s="4" t="s">
        <v>303</v>
      </c>
      <c r="B151" s="5" t="s">
        <v>304</v>
      </c>
      <c r="C151" s="6">
        <v>200000.0</v>
      </c>
      <c r="D151" s="6">
        <v>3.867132867</v>
      </c>
      <c r="E151" s="6">
        <v>286.0</v>
      </c>
    </row>
    <row r="152">
      <c r="A152" s="4" t="s">
        <v>305</v>
      </c>
      <c r="B152" s="5" t="s">
        <v>306</v>
      </c>
      <c r="C152" s="6">
        <v>200000.0</v>
      </c>
      <c r="D152" s="6">
        <v>3.797575758</v>
      </c>
      <c r="E152" s="6">
        <v>2475.0</v>
      </c>
    </row>
    <row r="153">
      <c r="A153" s="4" t="s">
        <v>307</v>
      </c>
      <c r="B153" s="5" t="s">
        <v>308</v>
      </c>
      <c r="C153" s="6">
        <v>200000.0</v>
      </c>
      <c r="D153" s="6">
        <v>2.538461538</v>
      </c>
      <c r="E153" s="6">
        <v>13.0</v>
      </c>
    </row>
    <row r="154">
      <c r="A154" s="4" t="s">
        <v>309</v>
      </c>
      <c r="B154" s="5" t="s">
        <v>310</v>
      </c>
      <c r="C154" s="6">
        <v>200000.0</v>
      </c>
      <c r="D154" s="6">
        <v>4.0</v>
      </c>
      <c r="E154" s="6">
        <v>3.0</v>
      </c>
    </row>
    <row r="155">
      <c r="A155" s="4" t="s">
        <v>311</v>
      </c>
      <c r="B155" s="5" t="s">
        <v>312</v>
      </c>
      <c r="C155" s="6">
        <v>100000.0</v>
      </c>
      <c r="D155" s="6">
        <v>4.571059432</v>
      </c>
      <c r="E155" s="6">
        <v>387.0</v>
      </c>
    </row>
    <row r="156">
      <c r="A156" s="4" t="s">
        <v>313</v>
      </c>
      <c r="B156" s="5" t="s">
        <v>314</v>
      </c>
      <c r="C156" s="6">
        <v>100000.0</v>
      </c>
      <c r="D156" s="6">
        <v>3.076923077</v>
      </c>
      <c r="E156" s="6">
        <v>13.0</v>
      </c>
    </row>
    <row r="157">
      <c r="A157" s="4" t="s">
        <v>315</v>
      </c>
      <c r="B157" s="5" t="s">
        <v>316</v>
      </c>
      <c r="C157" s="6">
        <v>100000.0</v>
      </c>
      <c r="D157" s="6">
        <v>4.608917197</v>
      </c>
      <c r="E157" s="6">
        <v>1570.0</v>
      </c>
    </row>
    <row r="158">
      <c r="A158" s="4" t="s">
        <v>317</v>
      </c>
      <c r="B158" s="5" t="s">
        <v>318</v>
      </c>
      <c r="C158" s="6">
        <v>100000.0</v>
      </c>
      <c r="D158" s="6">
        <v>1.240174672</v>
      </c>
      <c r="E158" s="6">
        <v>229.0</v>
      </c>
    </row>
    <row r="159">
      <c r="A159" s="4" t="s">
        <v>319</v>
      </c>
      <c r="B159" s="5" t="s">
        <v>320</v>
      </c>
      <c r="C159" s="6">
        <v>100000.0</v>
      </c>
      <c r="D159" s="6">
        <v>3.1</v>
      </c>
      <c r="E159" s="6">
        <v>10.0</v>
      </c>
    </row>
    <row r="160">
      <c r="A160" s="4" t="s">
        <v>321</v>
      </c>
      <c r="B160" s="5" t="s">
        <v>322</v>
      </c>
      <c r="C160" s="6">
        <v>100000.0</v>
      </c>
      <c r="D160" s="6">
        <v>4.191142191</v>
      </c>
      <c r="E160" s="6">
        <v>429.0</v>
      </c>
    </row>
    <row r="161">
      <c r="A161" s="4" t="s">
        <v>323</v>
      </c>
      <c r="B161" s="5" t="s">
        <v>324</v>
      </c>
      <c r="C161" s="6">
        <v>100000.0</v>
      </c>
      <c r="D161" s="6">
        <v>3.858757062</v>
      </c>
      <c r="E161" s="6">
        <v>354.0</v>
      </c>
    </row>
    <row r="162">
      <c r="A162" s="4" t="s">
        <v>325</v>
      </c>
      <c r="B162" s="5" t="s">
        <v>326</v>
      </c>
      <c r="C162" s="6">
        <v>100000.0</v>
      </c>
      <c r="D162" s="6">
        <v>4.09939759</v>
      </c>
      <c r="E162" s="6">
        <v>332.0</v>
      </c>
    </row>
    <row r="163">
      <c r="A163" s="4" t="s">
        <v>327</v>
      </c>
      <c r="B163" s="5" t="s">
        <v>328</v>
      </c>
      <c r="C163" s="6">
        <v>100000.0</v>
      </c>
      <c r="D163" s="6">
        <v>3.672727273</v>
      </c>
      <c r="E163" s="6">
        <v>55.0</v>
      </c>
    </row>
    <row r="164">
      <c r="A164" s="4" t="s">
        <v>329</v>
      </c>
      <c r="B164" s="5" t="s">
        <v>330</v>
      </c>
      <c r="C164" s="6">
        <v>100000.0</v>
      </c>
      <c r="D164" s="6">
        <v>4.357825371</v>
      </c>
      <c r="E164" s="6">
        <v>3035.0</v>
      </c>
    </row>
    <row r="165">
      <c r="A165" s="4" t="s">
        <v>331</v>
      </c>
      <c r="B165" s="5" t="s">
        <v>332</v>
      </c>
      <c r="C165" s="6">
        <v>100000.0</v>
      </c>
      <c r="D165" s="6">
        <v>2.636363636</v>
      </c>
      <c r="E165" s="6">
        <v>22.0</v>
      </c>
    </row>
    <row r="166">
      <c r="A166" s="4" t="s">
        <v>333</v>
      </c>
      <c r="B166" s="5" t="s">
        <v>334</v>
      </c>
      <c r="C166" s="6">
        <v>100000.0</v>
      </c>
      <c r="D166" s="6">
        <v>4.302040816</v>
      </c>
      <c r="E166" s="6">
        <v>245.0</v>
      </c>
    </row>
    <row r="167">
      <c r="A167" s="4" t="s">
        <v>335</v>
      </c>
      <c r="B167" s="5" t="s">
        <v>336</v>
      </c>
      <c r="C167" s="6">
        <v>100000.0</v>
      </c>
      <c r="D167" s="6">
        <v>3.928225024</v>
      </c>
      <c r="E167" s="6">
        <v>1031.0</v>
      </c>
    </row>
    <row r="168">
      <c r="A168" s="4" t="s">
        <v>337</v>
      </c>
      <c r="B168" s="5" t="s">
        <v>338</v>
      </c>
      <c r="C168" s="6">
        <v>100000.0</v>
      </c>
      <c r="D168" s="6">
        <v>4.896603774</v>
      </c>
      <c r="E168" s="6">
        <v>2650.0</v>
      </c>
    </row>
    <row r="169">
      <c r="A169" s="4" t="s">
        <v>339</v>
      </c>
      <c r="B169" s="5" t="s">
        <v>340</v>
      </c>
      <c r="C169" s="6">
        <v>100000.0</v>
      </c>
      <c r="D169" s="6">
        <v>4.2</v>
      </c>
      <c r="E169" s="6">
        <v>5.0</v>
      </c>
    </row>
    <row r="170">
      <c r="A170" s="4" t="s">
        <v>341</v>
      </c>
      <c r="B170" s="5" t="s">
        <v>342</v>
      </c>
      <c r="C170" s="6">
        <v>100000.0</v>
      </c>
      <c r="D170" s="6">
        <v>4.217619987</v>
      </c>
      <c r="E170" s="6">
        <v>1521.0</v>
      </c>
    </row>
    <row r="171">
      <c r="A171" s="4" t="s">
        <v>343</v>
      </c>
      <c r="B171" s="5" t="s">
        <v>344</v>
      </c>
      <c r="C171" s="6">
        <v>100000.0</v>
      </c>
      <c r="D171" s="6">
        <v>3.5</v>
      </c>
      <c r="E171" s="6">
        <v>6.0</v>
      </c>
    </row>
    <row r="172">
      <c r="A172" s="4" t="s">
        <v>345</v>
      </c>
      <c r="B172" s="5" t="s">
        <v>346</v>
      </c>
      <c r="C172" s="6">
        <v>100000.0</v>
      </c>
      <c r="D172" s="6">
        <v>3.8671875</v>
      </c>
      <c r="E172" s="6">
        <v>128.0</v>
      </c>
    </row>
    <row r="173">
      <c r="A173" s="4" t="s">
        <v>347</v>
      </c>
      <c r="B173" s="5" t="s">
        <v>348</v>
      </c>
      <c r="C173" s="6">
        <v>100000.0</v>
      </c>
      <c r="D173" s="6">
        <v>4.525096525</v>
      </c>
      <c r="E173" s="6">
        <v>259.0</v>
      </c>
    </row>
    <row r="174">
      <c r="A174" s="4" t="s">
        <v>349</v>
      </c>
      <c r="B174" s="5" t="s">
        <v>350</v>
      </c>
      <c r="C174" s="6">
        <v>100000.0</v>
      </c>
      <c r="D174" s="6">
        <v>4.085978836</v>
      </c>
      <c r="E174" s="6">
        <v>756.0</v>
      </c>
    </row>
    <row r="175">
      <c r="A175" s="4" t="s">
        <v>351</v>
      </c>
      <c r="B175" s="5" t="s">
        <v>352</v>
      </c>
      <c r="C175" s="6">
        <v>100000.0</v>
      </c>
      <c r="D175" s="6">
        <v>4.361702128</v>
      </c>
      <c r="E175" s="6">
        <v>47.0</v>
      </c>
    </row>
    <row r="176">
      <c r="A176" s="4" t="s">
        <v>353</v>
      </c>
      <c r="B176" s="5" t="s">
        <v>354</v>
      </c>
      <c r="C176" s="6">
        <v>100000.0</v>
      </c>
      <c r="D176" s="6">
        <v>3.227272727</v>
      </c>
      <c r="E176" s="6">
        <v>66.0</v>
      </c>
    </row>
    <row r="177">
      <c r="A177" s="4" t="s">
        <v>355</v>
      </c>
      <c r="B177" s="5" t="s">
        <v>356</v>
      </c>
      <c r="C177" s="6">
        <v>100000.0</v>
      </c>
      <c r="D177" s="6">
        <v>3.423324151</v>
      </c>
      <c r="E177" s="6">
        <v>1089.0</v>
      </c>
    </row>
    <row r="178">
      <c r="A178" s="4" t="s">
        <v>357</v>
      </c>
      <c r="B178" s="5" t="s">
        <v>358</v>
      </c>
      <c r="C178" s="6">
        <v>100000.0</v>
      </c>
      <c r="D178" s="6">
        <v>4.325</v>
      </c>
      <c r="E178" s="6">
        <v>80.0</v>
      </c>
    </row>
    <row r="179">
      <c r="A179" s="4" t="s">
        <v>359</v>
      </c>
      <c r="B179" s="5" t="s">
        <v>360</v>
      </c>
      <c r="C179" s="6">
        <v>100000.0</v>
      </c>
      <c r="D179" s="6">
        <v>3.945241199</v>
      </c>
      <c r="E179" s="6">
        <v>767.0</v>
      </c>
    </row>
    <row r="180">
      <c r="A180" s="4" t="s">
        <v>361</v>
      </c>
      <c r="B180" s="5" t="s">
        <v>362</v>
      </c>
      <c r="C180" s="6">
        <v>100000.0</v>
      </c>
      <c r="D180" s="6">
        <v>3.046875</v>
      </c>
      <c r="E180" s="6">
        <v>128.0</v>
      </c>
    </row>
    <row r="181">
      <c r="A181" s="4" t="s">
        <v>363</v>
      </c>
      <c r="B181" s="5" t="s">
        <v>364</v>
      </c>
      <c r="C181" s="6">
        <v>100000.0</v>
      </c>
      <c r="D181" s="6">
        <v>3.742574257</v>
      </c>
      <c r="E181" s="6">
        <v>101.0</v>
      </c>
    </row>
    <row r="182">
      <c r="A182" s="4" t="s">
        <v>365</v>
      </c>
      <c r="B182" s="5" t="s">
        <v>366</v>
      </c>
      <c r="C182" s="6">
        <v>100000.0</v>
      </c>
      <c r="D182" s="6">
        <v>4.562130178</v>
      </c>
      <c r="E182" s="6">
        <v>169.0</v>
      </c>
    </row>
    <row r="183">
      <c r="A183" s="4" t="s">
        <v>367</v>
      </c>
      <c r="B183" s="5" t="s">
        <v>368</v>
      </c>
      <c r="C183" s="6">
        <v>100000.0</v>
      </c>
      <c r="D183" s="6">
        <v>3.0</v>
      </c>
      <c r="E183" s="6">
        <v>2.0</v>
      </c>
    </row>
    <row r="184">
      <c r="A184" s="4" t="s">
        <v>369</v>
      </c>
      <c r="B184" s="5" t="s">
        <v>370</v>
      </c>
      <c r="C184" s="6">
        <v>100000.0</v>
      </c>
      <c r="D184" s="6">
        <v>3.617100372</v>
      </c>
      <c r="E184" s="6">
        <v>1076.0</v>
      </c>
    </row>
    <row r="185">
      <c r="A185" s="4" t="s">
        <v>371</v>
      </c>
      <c r="B185" s="5" t="s">
        <v>372</v>
      </c>
      <c r="C185" s="6">
        <v>100000.0</v>
      </c>
      <c r="D185" s="6">
        <v>4.333333333</v>
      </c>
      <c r="E185" s="6">
        <v>12.0</v>
      </c>
    </row>
    <row r="186">
      <c r="A186" s="4" t="s">
        <v>373</v>
      </c>
      <c r="B186" s="5" t="s">
        <v>374</v>
      </c>
      <c r="C186" s="6">
        <v>100000.0</v>
      </c>
      <c r="D186" s="6">
        <v>4.552941176</v>
      </c>
      <c r="E186" s="6">
        <v>170.0</v>
      </c>
    </row>
    <row r="187">
      <c r="A187" s="4" t="s">
        <v>375</v>
      </c>
      <c r="B187" s="5" t="s">
        <v>376</v>
      </c>
      <c r="C187" s="6">
        <v>100000.0</v>
      </c>
      <c r="D187" s="6">
        <v>4.183206107</v>
      </c>
      <c r="E187" s="6">
        <v>131.0</v>
      </c>
    </row>
    <row r="188">
      <c r="A188" s="4" t="s">
        <v>377</v>
      </c>
      <c r="B188" s="5" t="s">
        <v>378</v>
      </c>
      <c r="C188" s="6">
        <v>100000.0</v>
      </c>
      <c r="D188" s="6">
        <v>3.083333333</v>
      </c>
      <c r="E188" s="6">
        <v>12.0</v>
      </c>
    </row>
    <row r="189">
      <c r="A189" s="4" t="s">
        <v>379</v>
      </c>
      <c r="B189" s="5" t="s">
        <v>380</v>
      </c>
      <c r="C189" s="6">
        <v>100000.0</v>
      </c>
      <c r="D189" s="6">
        <v>4.282051282</v>
      </c>
      <c r="E189" s="6">
        <v>39.0</v>
      </c>
    </row>
    <row r="190">
      <c r="A190" s="4" t="s">
        <v>381</v>
      </c>
      <c r="B190" s="5" t="s">
        <v>382</v>
      </c>
      <c r="C190" s="6">
        <v>100000.0</v>
      </c>
      <c r="D190" s="6">
        <v>3.432276657</v>
      </c>
      <c r="E190" s="6">
        <v>1041.0</v>
      </c>
    </row>
    <row r="191">
      <c r="A191" s="4" t="s">
        <v>383</v>
      </c>
      <c r="B191" s="5" t="s">
        <v>384</v>
      </c>
      <c r="C191" s="6">
        <v>100000.0</v>
      </c>
      <c r="D191" s="6">
        <v>3.119834711</v>
      </c>
      <c r="E191" s="6">
        <v>242.0</v>
      </c>
    </row>
    <row r="192">
      <c r="A192" s="4" t="s">
        <v>385</v>
      </c>
      <c r="B192" s="5" t="s">
        <v>386</v>
      </c>
      <c r="C192" s="6">
        <v>100000.0</v>
      </c>
      <c r="D192" s="6">
        <v>4.693333333</v>
      </c>
      <c r="E192" s="6">
        <v>150.0</v>
      </c>
    </row>
    <row r="193">
      <c r="A193" s="4" t="s">
        <v>387</v>
      </c>
      <c r="B193" s="5" t="s">
        <v>388</v>
      </c>
      <c r="C193" s="6">
        <v>100000.0</v>
      </c>
      <c r="D193" s="6">
        <v>4.051194539</v>
      </c>
      <c r="E193" s="6">
        <v>586.0</v>
      </c>
    </row>
    <row r="194">
      <c r="A194" s="4" t="s">
        <v>389</v>
      </c>
      <c r="B194" s="5" t="s">
        <v>390</v>
      </c>
      <c r="C194" s="6">
        <v>100000.0</v>
      </c>
      <c r="D194" s="6">
        <v>4.454545455</v>
      </c>
      <c r="E194" s="6">
        <v>11.0</v>
      </c>
    </row>
    <row r="195">
      <c r="A195" s="4" t="s">
        <v>391</v>
      </c>
      <c r="B195" s="5" t="s">
        <v>392</v>
      </c>
      <c r="C195" s="6">
        <v>100000.0</v>
      </c>
      <c r="D195" s="6">
        <v>2.314782609</v>
      </c>
      <c r="E195" s="6">
        <v>575.0</v>
      </c>
    </row>
    <row r="196">
      <c r="A196" s="4" t="s">
        <v>393</v>
      </c>
      <c r="B196" s="5" t="s">
        <v>394</v>
      </c>
      <c r="C196" s="6">
        <v>100000.0</v>
      </c>
      <c r="D196" s="6">
        <v>4.419501134</v>
      </c>
      <c r="E196" s="6">
        <v>441.0</v>
      </c>
    </row>
    <row r="197">
      <c r="A197" s="4" t="s">
        <v>395</v>
      </c>
      <c r="B197" s="5" t="s">
        <v>396</v>
      </c>
      <c r="C197" s="6">
        <v>100000.0</v>
      </c>
      <c r="D197" s="6">
        <v>4.491803279</v>
      </c>
      <c r="E197" s="6">
        <v>305.0</v>
      </c>
    </row>
    <row r="198">
      <c r="A198" s="4" t="s">
        <v>397</v>
      </c>
      <c r="B198" s="5" t="s">
        <v>398</v>
      </c>
      <c r="C198" s="6">
        <v>100000.0</v>
      </c>
      <c r="D198" s="6">
        <v>4.33419244</v>
      </c>
      <c r="E198" s="6">
        <v>1164.0</v>
      </c>
    </row>
    <row r="199">
      <c r="A199" s="4" t="s">
        <v>399</v>
      </c>
      <c r="B199" s="5" t="s">
        <v>400</v>
      </c>
      <c r="C199" s="6">
        <v>100000.0</v>
      </c>
      <c r="D199" s="6">
        <v>3.708064516</v>
      </c>
      <c r="E199" s="6">
        <v>620.0</v>
      </c>
    </row>
    <row r="200">
      <c r="A200" s="4" t="s">
        <v>401</v>
      </c>
      <c r="B200" s="5" t="s">
        <v>402</v>
      </c>
      <c r="C200" s="6">
        <v>100000.0</v>
      </c>
      <c r="D200" s="6">
        <v>3.5</v>
      </c>
      <c r="E200" s="6">
        <v>10.0</v>
      </c>
    </row>
    <row r="201">
      <c r="A201" s="4" t="s">
        <v>403</v>
      </c>
      <c r="B201" s="5" t="s">
        <v>404</v>
      </c>
      <c r="C201" s="6">
        <v>100000.0</v>
      </c>
      <c r="D201" s="6">
        <v>3.186746988</v>
      </c>
      <c r="E201" s="6">
        <v>166.0</v>
      </c>
    </row>
    <row r="202">
      <c r="A202" s="4" t="s">
        <v>405</v>
      </c>
      <c r="B202" s="5" t="s">
        <v>406</v>
      </c>
      <c r="C202" s="6">
        <v>100000.0</v>
      </c>
      <c r="D202" s="6">
        <v>4.727272727</v>
      </c>
      <c r="E202" s="6">
        <v>33.0</v>
      </c>
    </row>
    <row r="203">
      <c r="A203" s="4" t="s">
        <v>407</v>
      </c>
      <c r="B203" s="5" t="s">
        <v>408</v>
      </c>
      <c r="C203" s="6">
        <v>100000.0</v>
      </c>
      <c r="D203" s="6">
        <v>4.479253112</v>
      </c>
      <c r="E203" s="6">
        <v>482.0</v>
      </c>
    </row>
    <row r="204">
      <c r="A204" s="4" t="s">
        <v>409</v>
      </c>
      <c r="B204" s="5" t="s">
        <v>410</v>
      </c>
      <c r="C204" s="6">
        <v>100000.0</v>
      </c>
      <c r="D204" s="6">
        <v>3.798333333</v>
      </c>
      <c r="E204" s="6">
        <v>600.0</v>
      </c>
    </row>
    <row r="205">
      <c r="A205" s="4" t="s">
        <v>411</v>
      </c>
      <c r="B205" s="5" t="s">
        <v>412</v>
      </c>
      <c r="C205" s="6">
        <v>100000.0</v>
      </c>
      <c r="D205" s="6">
        <v>4.284671533</v>
      </c>
      <c r="E205" s="6">
        <v>137.0</v>
      </c>
    </row>
    <row r="206">
      <c r="A206" s="4" t="s">
        <v>413</v>
      </c>
      <c r="B206" s="5" t="s">
        <v>414</v>
      </c>
      <c r="C206" s="6">
        <v>100000.0</v>
      </c>
      <c r="D206" s="6">
        <v>4.353897303</v>
      </c>
      <c r="E206" s="6">
        <v>2707.0</v>
      </c>
    </row>
    <row r="207">
      <c r="A207" s="4" t="s">
        <v>415</v>
      </c>
      <c r="B207" s="5" t="s">
        <v>416</v>
      </c>
      <c r="C207" s="6">
        <v>100000.0</v>
      </c>
      <c r="D207" s="6">
        <v>4.282051282</v>
      </c>
      <c r="E207" s="6">
        <v>117.0</v>
      </c>
    </row>
    <row r="208">
      <c r="A208" s="4" t="s">
        <v>417</v>
      </c>
      <c r="B208" s="5" t="s">
        <v>418</v>
      </c>
      <c r="C208" s="6">
        <v>100000.0</v>
      </c>
      <c r="D208" s="6">
        <v>4.032432432</v>
      </c>
      <c r="E208" s="6">
        <v>555.0</v>
      </c>
    </row>
    <row r="209">
      <c r="A209" s="4" t="s">
        <v>419</v>
      </c>
      <c r="B209" s="5" t="s">
        <v>420</v>
      </c>
      <c r="C209" s="6">
        <v>100000.0</v>
      </c>
      <c r="D209" s="6">
        <v>3.676583493</v>
      </c>
      <c r="E209" s="6">
        <v>4168.0</v>
      </c>
    </row>
    <row r="210">
      <c r="A210" s="4" t="s">
        <v>421</v>
      </c>
      <c r="B210" s="5" t="s">
        <v>422</v>
      </c>
      <c r="C210" s="6">
        <v>100000.0</v>
      </c>
      <c r="D210" s="6">
        <v>4.236714976</v>
      </c>
      <c r="E210" s="6">
        <v>207.0</v>
      </c>
    </row>
    <row r="211">
      <c r="A211" s="4" t="s">
        <v>423</v>
      </c>
      <c r="B211" s="5" t="s">
        <v>424</v>
      </c>
      <c r="C211" s="6">
        <v>100000.0</v>
      </c>
      <c r="D211" s="6">
        <v>2.075144509</v>
      </c>
      <c r="E211" s="6">
        <v>173.0</v>
      </c>
    </row>
    <row r="212">
      <c r="A212" s="4" t="s">
        <v>425</v>
      </c>
      <c r="B212" s="5" t="s">
        <v>426</v>
      </c>
      <c r="C212" s="6">
        <v>100000.0</v>
      </c>
      <c r="D212" s="6">
        <v>3.846994536</v>
      </c>
      <c r="E212" s="6">
        <v>1281.0</v>
      </c>
    </row>
    <row r="213">
      <c r="A213" s="4" t="s">
        <v>427</v>
      </c>
      <c r="B213" s="5" t="s">
        <v>428</v>
      </c>
      <c r="C213" s="6">
        <v>100000.0</v>
      </c>
      <c r="D213" s="6">
        <v>3.4</v>
      </c>
      <c r="E213" s="6">
        <v>5.0</v>
      </c>
    </row>
    <row r="214">
      <c r="A214" s="4" t="s">
        <v>429</v>
      </c>
      <c r="B214" s="5" t="s">
        <v>430</v>
      </c>
      <c r="C214" s="6">
        <v>100000.0</v>
      </c>
      <c r="D214" s="6">
        <v>4.138686131</v>
      </c>
      <c r="E214" s="6">
        <v>1096.0</v>
      </c>
    </row>
    <row r="215">
      <c r="A215" s="4" t="s">
        <v>431</v>
      </c>
      <c r="B215" s="5" t="s">
        <v>432</v>
      </c>
      <c r="C215" s="6">
        <v>100000.0</v>
      </c>
      <c r="D215" s="6">
        <v>4.212301587</v>
      </c>
      <c r="E215" s="6">
        <v>504.0</v>
      </c>
    </row>
    <row r="216">
      <c r="A216" s="4" t="s">
        <v>433</v>
      </c>
      <c r="B216" s="5" t="s">
        <v>434</v>
      </c>
      <c r="C216" s="6">
        <v>100000.0</v>
      </c>
      <c r="D216" s="6">
        <v>3.490769231</v>
      </c>
      <c r="E216" s="6">
        <v>650.0</v>
      </c>
    </row>
    <row r="217">
      <c r="A217" s="4" t="s">
        <v>435</v>
      </c>
      <c r="B217" s="5" t="s">
        <v>436</v>
      </c>
      <c r="C217" s="6">
        <v>100000.0</v>
      </c>
      <c r="D217" s="6">
        <v>3.609120521</v>
      </c>
      <c r="E217" s="6">
        <v>2456.0</v>
      </c>
    </row>
    <row r="218">
      <c r="A218" s="4" t="s">
        <v>437</v>
      </c>
      <c r="B218" s="5" t="s">
        <v>438</v>
      </c>
      <c r="C218" s="6">
        <v>100000.0</v>
      </c>
      <c r="D218" s="6">
        <v>3.569872958</v>
      </c>
      <c r="E218" s="6">
        <v>551.0</v>
      </c>
    </row>
    <row r="219">
      <c r="A219" s="4" t="s">
        <v>439</v>
      </c>
      <c r="B219" s="5" t="s">
        <v>440</v>
      </c>
      <c r="C219" s="6">
        <v>100000.0</v>
      </c>
      <c r="D219" s="6">
        <v>3.887253003</v>
      </c>
      <c r="E219" s="6">
        <v>2581.0</v>
      </c>
    </row>
    <row r="220">
      <c r="A220" s="4" t="s">
        <v>441</v>
      </c>
      <c r="B220" s="5" t="s">
        <v>442</v>
      </c>
      <c r="C220" s="6">
        <v>100000.0</v>
      </c>
      <c r="D220" s="6">
        <v>3.0</v>
      </c>
      <c r="E220" s="6">
        <v>2.0</v>
      </c>
    </row>
    <row r="221">
      <c r="A221" s="4" t="s">
        <v>443</v>
      </c>
      <c r="B221" s="5" t="s">
        <v>444</v>
      </c>
      <c r="C221" s="6">
        <v>100000.0</v>
      </c>
      <c r="D221" s="6">
        <v>4.127413127</v>
      </c>
      <c r="E221" s="6">
        <v>259.0</v>
      </c>
    </row>
    <row r="222">
      <c r="A222" s="4" t="s">
        <v>445</v>
      </c>
      <c r="B222" s="5" t="s">
        <v>446</v>
      </c>
      <c r="C222" s="6">
        <v>100000.0</v>
      </c>
      <c r="D222" s="6">
        <v>1.328467153</v>
      </c>
      <c r="E222" s="6">
        <v>137.0</v>
      </c>
    </row>
    <row r="223">
      <c r="A223" s="4" t="s">
        <v>447</v>
      </c>
      <c r="B223" s="5" t="s">
        <v>448</v>
      </c>
      <c r="C223" s="6">
        <v>100000.0</v>
      </c>
      <c r="D223" s="6">
        <v>2.176470588</v>
      </c>
      <c r="E223" s="6">
        <v>17.0</v>
      </c>
    </row>
    <row r="224">
      <c r="A224" s="4" t="s">
        <v>449</v>
      </c>
      <c r="B224" s="5" t="s">
        <v>450</v>
      </c>
      <c r="C224" s="6">
        <v>100000.0</v>
      </c>
      <c r="D224" s="6">
        <v>2.990610329</v>
      </c>
      <c r="E224" s="6">
        <v>213.0</v>
      </c>
    </row>
    <row r="225">
      <c r="A225" s="4" t="s">
        <v>451</v>
      </c>
      <c r="B225" s="5" t="s">
        <v>452</v>
      </c>
      <c r="C225" s="6">
        <v>100000.0</v>
      </c>
      <c r="D225" s="6">
        <v>4.199074074</v>
      </c>
      <c r="E225" s="6">
        <v>1728.0</v>
      </c>
    </row>
    <row r="226">
      <c r="A226" s="4" t="s">
        <v>453</v>
      </c>
      <c r="B226" s="5" t="s">
        <v>454</v>
      </c>
      <c r="C226" s="6">
        <v>100000.0</v>
      </c>
      <c r="D226" s="6">
        <v>3.723067174</v>
      </c>
      <c r="E226" s="6">
        <v>1578.0</v>
      </c>
    </row>
    <row r="227">
      <c r="A227" s="4" t="s">
        <v>455</v>
      </c>
      <c r="B227" s="5" t="s">
        <v>456</v>
      </c>
      <c r="C227" s="6">
        <v>100000.0</v>
      </c>
      <c r="D227" s="6">
        <v>4.5</v>
      </c>
      <c r="E227" s="6">
        <v>16.0</v>
      </c>
    </row>
    <row r="228">
      <c r="A228" s="4" t="s">
        <v>457</v>
      </c>
      <c r="B228" s="5" t="s">
        <v>458</v>
      </c>
      <c r="C228" s="6">
        <v>100000.0</v>
      </c>
      <c r="D228" s="6">
        <v>4.286637298</v>
      </c>
      <c r="E228" s="6">
        <v>3405.0</v>
      </c>
    </row>
    <row r="229">
      <c r="A229" s="4" t="s">
        <v>459</v>
      </c>
      <c r="B229" s="5" t="s">
        <v>460</v>
      </c>
      <c r="C229" s="6">
        <v>100000.0</v>
      </c>
      <c r="D229" s="6">
        <v>1.29</v>
      </c>
      <c r="E229" s="6">
        <v>100.0</v>
      </c>
    </row>
    <row r="230">
      <c r="A230" s="4" t="s">
        <v>461</v>
      </c>
      <c r="B230" s="5" t="s">
        <v>462</v>
      </c>
      <c r="C230" s="6">
        <v>100000.0</v>
      </c>
      <c r="D230" s="6">
        <v>4.801994302</v>
      </c>
      <c r="E230" s="6">
        <v>2106.0</v>
      </c>
    </row>
    <row r="231">
      <c r="A231" s="4" t="s">
        <v>463</v>
      </c>
      <c r="B231" s="5" t="s">
        <v>464</v>
      </c>
      <c r="C231" s="6">
        <v>100000.0</v>
      </c>
      <c r="D231" s="6">
        <v>4.6</v>
      </c>
      <c r="E231" s="6">
        <v>80.0</v>
      </c>
    </row>
    <row r="232">
      <c r="A232" s="4" t="s">
        <v>465</v>
      </c>
      <c r="B232" s="5" t="s">
        <v>466</v>
      </c>
      <c r="C232" s="6">
        <v>100000.0</v>
      </c>
      <c r="D232" s="6">
        <v>3.300925926</v>
      </c>
      <c r="E232" s="6">
        <v>216.0</v>
      </c>
    </row>
    <row r="233">
      <c r="A233" s="4" t="s">
        <v>467</v>
      </c>
      <c r="B233" s="5" t="s">
        <v>468</v>
      </c>
      <c r="C233" s="6">
        <v>100000.0</v>
      </c>
      <c r="D233" s="6">
        <v>4.546680772</v>
      </c>
      <c r="E233" s="6">
        <v>3781.0</v>
      </c>
    </row>
    <row r="234">
      <c r="A234" s="4" t="s">
        <v>469</v>
      </c>
      <c r="B234" s="5" t="s">
        <v>470</v>
      </c>
      <c r="C234" s="6">
        <v>100000.0</v>
      </c>
      <c r="D234" s="6">
        <v>4.529286475</v>
      </c>
      <c r="E234" s="6">
        <v>939.0</v>
      </c>
    </row>
    <row r="235">
      <c r="A235" s="4" t="s">
        <v>471</v>
      </c>
      <c r="B235" s="5" t="s">
        <v>472</v>
      </c>
      <c r="C235" s="6">
        <v>100000.0</v>
      </c>
      <c r="D235" s="6">
        <v>4.793650794</v>
      </c>
      <c r="E235" s="6">
        <v>63.0</v>
      </c>
    </row>
    <row r="236">
      <c r="A236" s="4" t="s">
        <v>473</v>
      </c>
      <c r="B236" s="5" t="s">
        <v>474</v>
      </c>
      <c r="C236" s="6">
        <v>100000.0</v>
      </c>
      <c r="D236" s="6">
        <v>2.863636364</v>
      </c>
      <c r="E236" s="6">
        <v>22.0</v>
      </c>
    </row>
    <row r="237">
      <c r="A237" s="4" t="s">
        <v>475</v>
      </c>
      <c r="B237" s="5" t="s">
        <v>476</v>
      </c>
      <c r="C237" s="6">
        <v>100000.0</v>
      </c>
      <c r="D237" s="6">
        <v>3.461177474</v>
      </c>
      <c r="E237" s="6">
        <v>2344.0</v>
      </c>
    </row>
    <row r="238">
      <c r="A238" s="4" t="s">
        <v>477</v>
      </c>
      <c r="B238" s="5" t="s">
        <v>478</v>
      </c>
      <c r="C238" s="6">
        <v>100000.0</v>
      </c>
      <c r="D238" s="6">
        <v>3.74025974</v>
      </c>
      <c r="E238" s="6">
        <v>77.0</v>
      </c>
    </row>
    <row r="239">
      <c r="A239" s="4" t="s">
        <v>479</v>
      </c>
      <c r="B239" s="5" t="s">
        <v>480</v>
      </c>
      <c r="C239" s="6">
        <v>100000.0</v>
      </c>
      <c r="D239" s="6">
        <v>4.391752577</v>
      </c>
      <c r="E239" s="6">
        <v>97.0</v>
      </c>
    </row>
    <row r="240">
      <c r="A240" s="4" t="s">
        <v>481</v>
      </c>
      <c r="B240" s="5" t="s">
        <v>482</v>
      </c>
      <c r="C240" s="6">
        <v>100000.0</v>
      </c>
      <c r="D240" s="6">
        <v>3.923587158</v>
      </c>
      <c r="E240" s="6">
        <v>7538.0</v>
      </c>
    </row>
    <row r="241">
      <c r="A241" s="4" t="s">
        <v>483</v>
      </c>
      <c r="B241" s="5" t="s">
        <v>484</v>
      </c>
      <c r="C241" s="6">
        <v>100000.0</v>
      </c>
      <c r="D241" s="6">
        <v>3.798267327</v>
      </c>
      <c r="E241" s="6">
        <v>808.0</v>
      </c>
    </row>
    <row r="242">
      <c r="A242" s="4" t="s">
        <v>485</v>
      </c>
      <c r="B242" s="5" t="s">
        <v>486</v>
      </c>
      <c r="C242" s="6">
        <v>100000.0</v>
      </c>
      <c r="D242" s="6">
        <v>1.216216216</v>
      </c>
      <c r="E242" s="6">
        <v>37.0</v>
      </c>
    </row>
    <row r="243">
      <c r="A243" s="4" t="s">
        <v>487</v>
      </c>
      <c r="B243" s="5" t="s">
        <v>488</v>
      </c>
      <c r="C243" s="6">
        <v>100000.0</v>
      </c>
      <c r="D243" s="6">
        <v>3.674102813</v>
      </c>
      <c r="E243" s="6">
        <v>1031.0</v>
      </c>
    </row>
    <row r="244">
      <c r="A244" s="4" t="s">
        <v>489</v>
      </c>
      <c r="B244" s="5" t="s">
        <v>490</v>
      </c>
      <c r="C244" s="6">
        <v>100000.0</v>
      </c>
      <c r="D244" s="6">
        <v>4.792973651</v>
      </c>
      <c r="E244" s="6">
        <v>797.0</v>
      </c>
    </row>
    <row r="245">
      <c r="A245" s="4" t="s">
        <v>491</v>
      </c>
      <c r="B245" s="5" t="s">
        <v>492</v>
      </c>
      <c r="C245" s="6">
        <v>100000.0</v>
      </c>
      <c r="D245" s="6">
        <v>5.0</v>
      </c>
      <c r="E245" s="6">
        <v>5.0</v>
      </c>
    </row>
    <row r="246">
      <c r="A246" s="4" t="s">
        <v>493</v>
      </c>
      <c r="B246" s="5" t="s">
        <v>494</v>
      </c>
      <c r="C246" s="6">
        <v>100000.0</v>
      </c>
      <c r="D246" s="6">
        <v>2.507380074</v>
      </c>
      <c r="E246" s="6">
        <v>1084.0</v>
      </c>
    </row>
    <row r="247">
      <c r="A247" s="5" t="s">
        <v>495</v>
      </c>
      <c r="B247" s="5" t="s">
        <v>496</v>
      </c>
      <c r="C247" s="6">
        <v>100000.0</v>
      </c>
      <c r="D247" s="6">
        <v>4.094101124</v>
      </c>
      <c r="E247" s="6">
        <v>712.0</v>
      </c>
    </row>
    <row r="248">
      <c r="A248" s="4" t="s">
        <v>497</v>
      </c>
      <c r="B248" s="5" t="s">
        <v>498</v>
      </c>
      <c r="C248" s="6">
        <v>100000.0</v>
      </c>
      <c r="D248" s="6">
        <v>4.139334155</v>
      </c>
      <c r="E248" s="6">
        <v>811.0</v>
      </c>
    </row>
    <row r="249">
      <c r="A249" s="4" t="s">
        <v>499</v>
      </c>
      <c r="B249" s="5" t="s">
        <v>500</v>
      </c>
      <c r="C249" s="6">
        <v>100000.0</v>
      </c>
      <c r="D249" s="6">
        <v>4.311004785</v>
      </c>
      <c r="E249" s="6">
        <v>209.0</v>
      </c>
    </row>
    <row r="250">
      <c r="A250" s="4" t="s">
        <v>501</v>
      </c>
      <c r="B250" s="5" t="s">
        <v>502</v>
      </c>
      <c r="C250" s="6">
        <v>100000.0</v>
      </c>
      <c r="D250" s="6">
        <v>4.74584323</v>
      </c>
      <c r="E250" s="6">
        <v>842.0</v>
      </c>
    </row>
    <row r="251">
      <c r="A251" s="4" t="s">
        <v>503</v>
      </c>
      <c r="B251" s="5" t="s">
        <v>504</v>
      </c>
      <c r="C251" s="6">
        <v>100000.0</v>
      </c>
      <c r="D251" s="6">
        <v>3.833333333</v>
      </c>
      <c r="E251" s="6">
        <v>264.0</v>
      </c>
    </row>
    <row r="252">
      <c r="A252" s="4" t="s">
        <v>505</v>
      </c>
      <c r="B252" s="5" t="s">
        <v>506</v>
      </c>
      <c r="C252" s="6">
        <v>100000.0</v>
      </c>
      <c r="D252" s="6">
        <v>3.677884615</v>
      </c>
      <c r="E252" s="6">
        <v>208.0</v>
      </c>
    </row>
    <row r="253">
      <c r="A253" s="4" t="s">
        <v>507</v>
      </c>
      <c r="B253" s="5" t="s">
        <v>508</v>
      </c>
      <c r="C253" s="6">
        <v>100000.0</v>
      </c>
      <c r="D253" s="6">
        <v>3.3</v>
      </c>
      <c r="E253" s="6">
        <v>20.0</v>
      </c>
    </row>
    <row r="254">
      <c r="A254" s="4" t="s">
        <v>509</v>
      </c>
      <c r="B254" s="5" t="s">
        <v>510</v>
      </c>
      <c r="C254" s="6">
        <v>100000.0</v>
      </c>
      <c r="D254" s="6">
        <v>3.557184751</v>
      </c>
      <c r="E254" s="6">
        <v>341.0</v>
      </c>
    </row>
    <row r="255">
      <c r="A255" s="4" t="s">
        <v>511</v>
      </c>
      <c r="B255" s="5" t="s">
        <v>512</v>
      </c>
      <c r="C255" s="6">
        <v>100000.0</v>
      </c>
      <c r="D255" s="6">
        <v>4.299086758</v>
      </c>
      <c r="E255" s="6">
        <v>438.0</v>
      </c>
    </row>
    <row r="256">
      <c r="A256" s="4" t="s">
        <v>513</v>
      </c>
      <c r="B256" s="5" t="s">
        <v>514</v>
      </c>
      <c r="C256" s="6">
        <v>100000.0</v>
      </c>
      <c r="D256" s="6">
        <v>4.416884247</v>
      </c>
      <c r="E256" s="6">
        <v>1149.0</v>
      </c>
    </row>
    <row r="257">
      <c r="A257" s="4" t="s">
        <v>515</v>
      </c>
      <c r="B257" s="5" t="s">
        <v>516</v>
      </c>
      <c r="C257" s="6">
        <v>100000.0</v>
      </c>
      <c r="D257" s="6">
        <v>4.089552239</v>
      </c>
      <c r="E257" s="6">
        <v>67.0</v>
      </c>
    </row>
    <row r="258">
      <c r="A258" s="4" t="s">
        <v>517</v>
      </c>
      <c r="B258" s="5" t="s">
        <v>518</v>
      </c>
      <c r="C258" s="6">
        <v>100000.0</v>
      </c>
      <c r="D258" s="6">
        <v>3.5</v>
      </c>
      <c r="E258" s="6">
        <v>98.0</v>
      </c>
    </row>
    <row r="259">
      <c r="A259" s="4" t="s">
        <v>519</v>
      </c>
      <c r="B259" s="5" t="s">
        <v>520</v>
      </c>
      <c r="C259" s="6">
        <v>100000.0</v>
      </c>
      <c r="D259" s="6">
        <v>3.923076923</v>
      </c>
      <c r="E259" s="6">
        <v>338.0</v>
      </c>
    </row>
    <row r="260">
      <c r="A260" s="4" t="s">
        <v>521</v>
      </c>
      <c r="B260" s="5" t="s">
        <v>522</v>
      </c>
      <c r="C260" s="6">
        <v>100000.0</v>
      </c>
      <c r="D260" s="6">
        <v>4.141453831</v>
      </c>
      <c r="E260" s="6">
        <v>509.0</v>
      </c>
    </row>
    <row r="261">
      <c r="A261" s="4" t="s">
        <v>523</v>
      </c>
      <c r="B261" s="5" t="s">
        <v>524</v>
      </c>
      <c r="C261" s="6">
        <v>100000.0</v>
      </c>
      <c r="D261" s="6">
        <v>2.767901235</v>
      </c>
      <c r="E261" s="6">
        <v>405.0</v>
      </c>
    </row>
    <row r="262">
      <c r="A262" s="4" t="s">
        <v>525</v>
      </c>
      <c r="B262" s="5" t="s">
        <v>526</v>
      </c>
      <c r="C262" s="6">
        <v>100000.0</v>
      </c>
      <c r="D262" s="6">
        <v>1.827586207</v>
      </c>
      <c r="E262" s="6">
        <v>29.0</v>
      </c>
    </row>
    <row r="263">
      <c r="A263" s="4" t="s">
        <v>527</v>
      </c>
      <c r="B263" s="5" t="s">
        <v>528</v>
      </c>
      <c r="C263" s="6">
        <v>100000.0</v>
      </c>
      <c r="D263" s="6">
        <v>4.4</v>
      </c>
      <c r="E263" s="6">
        <v>25.0</v>
      </c>
    </row>
    <row r="264">
      <c r="A264" s="4" t="s">
        <v>529</v>
      </c>
      <c r="B264" s="5" t="s">
        <v>530</v>
      </c>
      <c r="C264" s="6">
        <v>100000.0</v>
      </c>
      <c r="D264" s="6">
        <v>4.313111546</v>
      </c>
      <c r="E264" s="6">
        <v>1022.0</v>
      </c>
    </row>
    <row r="265">
      <c r="A265" s="4" t="s">
        <v>531</v>
      </c>
      <c r="B265" s="5" t="s">
        <v>532</v>
      </c>
      <c r="C265" s="6">
        <v>100000.0</v>
      </c>
      <c r="D265" s="6">
        <v>5.0</v>
      </c>
      <c r="E265" s="6">
        <v>2.0</v>
      </c>
    </row>
    <row r="266">
      <c r="A266" s="4" t="s">
        <v>533</v>
      </c>
      <c r="B266" s="5" t="s">
        <v>534</v>
      </c>
      <c r="C266" s="6">
        <v>100000.0</v>
      </c>
      <c r="D266" s="6">
        <v>3.0</v>
      </c>
      <c r="E266" s="6">
        <v>1.0</v>
      </c>
    </row>
    <row r="267">
      <c r="A267" s="4" t="s">
        <v>535</v>
      </c>
      <c r="B267" s="5" t="s">
        <v>536</v>
      </c>
      <c r="C267" s="6">
        <v>100000.0</v>
      </c>
      <c r="D267" s="6">
        <v>4.41576087</v>
      </c>
      <c r="E267" s="6">
        <v>368.0</v>
      </c>
    </row>
    <row r="268">
      <c r="A268" s="4" t="s">
        <v>537</v>
      </c>
      <c r="B268" s="5" t="s">
        <v>538</v>
      </c>
      <c r="C268" s="6">
        <v>100000.0</v>
      </c>
      <c r="D268" s="6">
        <v>4.404358354</v>
      </c>
      <c r="E268" s="6">
        <v>2065.0</v>
      </c>
    </row>
    <row r="269">
      <c r="A269" s="4" t="s">
        <v>539</v>
      </c>
      <c r="B269" s="5" t="s">
        <v>540</v>
      </c>
      <c r="C269" s="6">
        <v>100000.0</v>
      </c>
      <c r="D269" s="6">
        <v>4.204545455</v>
      </c>
      <c r="E269" s="6">
        <v>660.0</v>
      </c>
    </row>
    <row r="270">
      <c r="A270" s="4" t="s">
        <v>541</v>
      </c>
      <c r="B270" s="5" t="s">
        <v>542</v>
      </c>
      <c r="C270" s="6">
        <v>100000.0</v>
      </c>
      <c r="D270" s="6">
        <v>4.265486726</v>
      </c>
      <c r="E270" s="6">
        <v>339.0</v>
      </c>
    </row>
    <row r="271">
      <c r="A271" s="4" t="s">
        <v>543</v>
      </c>
      <c r="B271" s="5" t="s">
        <v>544</v>
      </c>
      <c r="C271" s="6">
        <v>100000.0</v>
      </c>
      <c r="D271" s="6">
        <v>4.352402746</v>
      </c>
      <c r="E271" s="6">
        <v>437.0</v>
      </c>
    </row>
    <row r="272">
      <c r="A272" s="4" t="s">
        <v>545</v>
      </c>
      <c r="B272" s="5" t="s">
        <v>546</v>
      </c>
      <c r="C272" s="6">
        <v>100000.0</v>
      </c>
      <c r="D272" s="6">
        <v>4.804878049</v>
      </c>
      <c r="E272" s="6">
        <v>123.0</v>
      </c>
    </row>
    <row r="273">
      <c r="A273" s="4" t="s">
        <v>547</v>
      </c>
      <c r="B273" s="5" t="s">
        <v>548</v>
      </c>
      <c r="C273" s="6">
        <v>100000.0</v>
      </c>
      <c r="D273" s="6">
        <v>3.491053678</v>
      </c>
      <c r="E273" s="6">
        <v>503.0</v>
      </c>
    </row>
    <row r="274">
      <c r="A274" s="4" t="s">
        <v>549</v>
      </c>
      <c r="B274" s="5" t="s">
        <v>550</v>
      </c>
      <c r="C274" s="6">
        <v>100000.0</v>
      </c>
      <c r="D274" s="6">
        <v>3.5</v>
      </c>
      <c r="E274" s="6">
        <v>534.0</v>
      </c>
    </row>
    <row r="275">
      <c r="A275" s="4" t="s">
        <v>551</v>
      </c>
      <c r="B275" s="5" t="s">
        <v>552</v>
      </c>
      <c r="C275" s="6">
        <v>100000.0</v>
      </c>
      <c r="D275" s="6">
        <v>3.901972158</v>
      </c>
      <c r="E275" s="6">
        <v>1724.0</v>
      </c>
    </row>
    <row r="276">
      <c r="A276" s="4" t="s">
        <v>553</v>
      </c>
      <c r="B276" s="5" t="s">
        <v>554</v>
      </c>
      <c r="C276" s="6">
        <v>100000.0</v>
      </c>
      <c r="D276" s="6">
        <v>3.638888889</v>
      </c>
      <c r="E276" s="6">
        <v>36.0</v>
      </c>
    </row>
    <row r="277">
      <c r="A277" s="4" t="s">
        <v>555</v>
      </c>
      <c r="B277" s="5" t="s">
        <v>556</v>
      </c>
      <c r="C277" s="6">
        <v>100000.0</v>
      </c>
      <c r="D277" s="6">
        <v>3.888059701</v>
      </c>
      <c r="E277" s="6">
        <v>134.0</v>
      </c>
    </row>
    <row r="278">
      <c r="A278" s="4" t="s">
        <v>557</v>
      </c>
      <c r="B278" s="5" t="s">
        <v>558</v>
      </c>
      <c r="C278" s="6">
        <v>100000.0</v>
      </c>
      <c r="D278" s="6">
        <v>3.333333333</v>
      </c>
      <c r="E278" s="6">
        <v>3.0</v>
      </c>
    </row>
    <row r="279">
      <c r="A279" s="4" t="s">
        <v>559</v>
      </c>
      <c r="B279" s="5" t="s">
        <v>560</v>
      </c>
      <c r="C279" s="6">
        <v>100000.0</v>
      </c>
      <c r="D279" s="6">
        <v>3.90625</v>
      </c>
      <c r="E279" s="6">
        <v>96.0</v>
      </c>
    </row>
    <row r="280">
      <c r="A280" s="4" t="s">
        <v>561</v>
      </c>
      <c r="B280" s="5" t="s">
        <v>562</v>
      </c>
      <c r="C280" s="6">
        <v>100000.0</v>
      </c>
      <c r="D280" s="6">
        <v>4.155115512</v>
      </c>
      <c r="E280" s="6">
        <v>303.0</v>
      </c>
    </row>
    <row r="281">
      <c r="A281" s="4" t="s">
        <v>563</v>
      </c>
      <c r="B281" s="5" t="s">
        <v>564</v>
      </c>
      <c r="C281" s="6">
        <v>100000.0</v>
      </c>
      <c r="D281" s="6">
        <v>4.606796117</v>
      </c>
      <c r="E281" s="6">
        <v>206.0</v>
      </c>
    </row>
    <row r="282">
      <c r="A282" s="4" t="s">
        <v>565</v>
      </c>
      <c r="B282" s="5" t="s">
        <v>566</v>
      </c>
      <c r="C282" s="7">
        <v>100000.0</v>
      </c>
      <c r="D282" s="6">
        <v>2.9</v>
      </c>
      <c r="E282" s="6">
        <v>334.0</v>
      </c>
    </row>
    <row r="283">
      <c r="A283" s="4" t="s">
        <v>567</v>
      </c>
      <c r="B283" s="5" t="s">
        <v>568</v>
      </c>
      <c r="C283" s="6">
        <v>90000.0</v>
      </c>
      <c r="D283" s="6">
        <v>4.430769231</v>
      </c>
      <c r="E283" s="6">
        <v>130.0</v>
      </c>
    </row>
    <row r="284">
      <c r="A284" s="4" t="s">
        <v>569</v>
      </c>
      <c r="B284" s="5" t="s">
        <v>570</v>
      </c>
      <c r="C284" s="6">
        <v>90000.0</v>
      </c>
      <c r="D284" s="6">
        <v>4.304347826</v>
      </c>
      <c r="E284" s="6">
        <v>46.0</v>
      </c>
    </row>
    <row r="285">
      <c r="A285" s="4" t="s">
        <v>571</v>
      </c>
      <c r="B285" s="5" t="s">
        <v>572</v>
      </c>
      <c r="C285" s="6">
        <v>90000.0</v>
      </c>
      <c r="D285" s="6">
        <v>4.617586912</v>
      </c>
      <c r="E285" s="6">
        <v>978.0</v>
      </c>
    </row>
    <row r="286">
      <c r="A286" s="4" t="s">
        <v>573</v>
      </c>
      <c r="B286" s="5" t="s">
        <v>574</v>
      </c>
      <c r="C286" s="6">
        <v>90000.0</v>
      </c>
      <c r="D286" s="6">
        <v>1.53125</v>
      </c>
      <c r="E286" s="6">
        <v>32.0</v>
      </c>
    </row>
    <row r="287">
      <c r="A287" s="4" t="s">
        <v>575</v>
      </c>
      <c r="B287" s="5" t="s">
        <v>576</v>
      </c>
      <c r="C287" s="6">
        <v>90000.0</v>
      </c>
      <c r="D287" s="6">
        <v>4.5</v>
      </c>
      <c r="E287" s="6">
        <v>8.0</v>
      </c>
    </row>
    <row r="288">
      <c r="A288" s="4" t="s">
        <v>577</v>
      </c>
      <c r="B288" s="5" t="s">
        <v>578</v>
      </c>
      <c r="C288" s="6">
        <v>90000.0</v>
      </c>
      <c r="D288" s="6">
        <v>5.0</v>
      </c>
      <c r="E288" s="6">
        <v>1.0</v>
      </c>
    </row>
    <row r="289">
      <c r="A289" s="4" t="s">
        <v>579</v>
      </c>
      <c r="B289" s="5" t="s">
        <v>580</v>
      </c>
      <c r="C289" s="6">
        <v>90000.0</v>
      </c>
      <c r="D289" s="6">
        <v>4.240679217</v>
      </c>
      <c r="E289" s="6">
        <v>2709.0</v>
      </c>
    </row>
    <row r="290">
      <c r="A290" s="4" t="s">
        <v>581</v>
      </c>
      <c r="B290" s="5" t="s">
        <v>582</v>
      </c>
      <c r="C290" s="6">
        <v>90000.0</v>
      </c>
      <c r="D290" s="6">
        <v>3.138947368</v>
      </c>
      <c r="E290" s="6">
        <v>475.0</v>
      </c>
    </row>
    <row r="291">
      <c r="A291" s="4" t="s">
        <v>583</v>
      </c>
      <c r="B291" s="5" t="s">
        <v>584</v>
      </c>
      <c r="C291" s="6">
        <v>90000.0</v>
      </c>
      <c r="D291" s="6">
        <v>3.774193548</v>
      </c>
      <c r="E291" s="6">
        <v>31.0</v>
      </c>
    </row>
    <row r="292">
      <c r="A292" s="4" t="s">
        <v>585</v>
      </c>
      <c r="B292" s="5" t="s">
        <v>586</v>
      </c>
      <c r="C292" s="6">
        <v>90000.0</v>
      </c>
      <c r="D292" s="6">
        <v>3.578125</v>
      </c>
      <c r="E292" s="6">
        <v>64.0</v>
      </c>
    </row>
    <row r="293">
      <c r="A293" s="4" t="s">
        <v>587</v>
      </c>
      <c r="B293" s="5" t="s">
        <v>588</v>
      </c>
      <c r="C293" s="6">
        <v>90000.0</v>
      </c>
      <c r="D293" s="6">
        <v>4.173611111</v>
      </c>
      <c r="E293" s="6">
        <v>144.0</v>
      </c>
    </row>
    <row r="294">
      <c r="A294" s="4" t="s">
        <v>589</v>
      </c>
      <c r="B294" s="5" t="s">
        <v>590</v>
      </c>
      <c r="C294" s="6">
        <v>90000.0</v>
      </c>
      <c r="D294" s="6">
        <v>3.771929825</v>
      </c>
      <c r="E294" s="6">
        <v>57.0</v>
      </c>
    </row>
    <row r="295">
      <c r="A295" s="4" t="s">
        <v>591</v>
      </c>
      <c r="B295" s="5" t="s">
        <v>592</v>
      </c>
      <c r="C295" s="6">
        <v>90000.0</v>
      </c>
      <c r="D295" s="6">
        <v>5.0</v>
      </c>
      <c r="E295" s="6">
        <v>1.0</v>
      </c>
    </row>
    <row r="296">
      <c r="A296" s="4" t="s">
        <v>593</v>
      </c>
      <c r="B296" s="5" t="s">
        <v>594</v>
      </c>
      <c r="C296" s="6">
        <v>90000.0</v>
      </c>
      <c r="D296" s="6">
        <v>3.821989529</v>
      </c>
      <c r="E296" s="6">
        <v>191.0</v>
      </c>
    </row>
    <row r="297">
      <c r="A297" s="4" t="s">
        <v>595</v>
      </c>
      <c r="B297" s="5" t="s">
        <v>596</v>
      </c>
      <c r="C297" s="6">
        <v>90000.0</v>
      </c>
      <c r="D297" s="6">
        <v>3.592105263</v>
      </c>
      <c r="E297" s="6">
        <v>76.0</v>
      </c>
    </row>
    <row r="298">
      <c r="A298" s="4" t="s">
        <v>597</v>
      </c>
      <c r="B298" s="5" t="s">
        <v>598</v>
      </c>
      <c r="C298" s="6">
        <v>80000.0</v>
      </c>
      <c r="D298" s="6">
        <v>4.712990937</v>
      </c>
      <c r="E298" s="6">
        <v>331.0</v>
      </c>
    </row>
    <row r="299">
      <c r="A299" s="4" t="s">
        <v>599</v>
      </c>
      <c r="B299" s="5" t="s">
        <v>600</v>
      </c>
      <c r="C299" s="6">
        <v>80000.0</v>
      </c>
      <c r="D299" s="6">
        <v>4.764705882</v>
      </c>
      <c r="E299" s="6">
        <v>34.0</v>
      </c>
    </row>
    <row r="300">
      <c r="A300" s="4" t="s">
        <v>601</v>
      </c>
      <c r="B300" s="5" t="s">
        <v>602</v>
      </c>
      <c r="C300" s="6">
        <v>80000.0</v>
      </c>
      <c r="D300" s="6">
        <v>4.76419214</v>
      </c>
      <c r="E300" s="6">
        <v>229.0</v>
      </c>
    </row>
    <row r="301">
      <c r="A301" s="4" t="s">
        <v>603</v>
      </c>
      <c r="B301" s="5" t="s">
        <v>604</v>
      </c>
      <c r="C301" s="6">
        <v>80000.0</v>
      </c>
      <c r="D301" s="6">
        <v>3.993630573</v>
      </c>
      <c r="E301" s="6">
        <v>314.0</v>
      </c>
    </row>
    <row r="302">
      <c r="A302" s="4" t="s">
        <v>605</v>
      </c>
      <c r="B302" s="5" t="s">
        <v>606</v>
      </c>
      <c r="C302" s="6">
        <v>80000.0</v>
      </c>
      <c r="D302" s="6">
        <v>2.285714286</v>
      </c>
      <c r="E302" s="6">
        <v>7.0</v>
      </c>
    </row>
    <row r="303">
      <c r="A303" s="4" t="s">
        <v>607</v>
      </c>
      <c r="B303" s="5" t="s">
        <v>608</v>
      </c>
      <c r="C303" s="6">
        <v>80000.0</v>
      </c>
      <c r="D303" s="6">
        <v>3.625</v>
      </c>
      <c r="E303" s="6">
        <v>8.0</v>
      </c>
    </row>
    <row r="304">
      <c r="A304" s="4" t="s">
        <v>609</v>
      </c>
      <c r="B304" s="5" t="s">
        <v>610</v>
      </c>
      <c r="C304" s="6">
        <v>80000.0</v>
      </c>
      <c r="D304" s="6">
        <v>2.0</v>
      </c>
      <c r="E304" s="6">
        <v>24.0</v>
      </c>
    </row>
    <row r="305">
      <c r="A305" s="4" t="s">
        <v>611</v>
      </c>
      <c r="B305" s="5" t="s">
        <v>612</v>
      </c>
      <c r="C305" s="6">
        <v>80000.0</v>
      </c>
      <c r="D305" s="6">
        <v>4.473</v>
      </c>
      <c r="E305" s="6">
        <v>1000.0</v>
      </c>
    </row>
    <row r="306">
      <c r="A306" s="4" t="s">
        <v>613</v>
      </c>
      <c r="B306" s="5" t="s">
        <v>614</v>
      </c>
      <c r="C306" s="6">
        <v>80000.0</v>
      </c>
      <c r="D306" s="6">
        <v>3.840747905</v>
      </c>
      <c r="E306" s="6">
        <v>1551.0</v>
      </c>
    </row>
    <row r="307">
      <c r="A307" s="4" t="s">
        <v>615</v>
      </c>
      <c r="B307" s="5" t="s">
        <v>616</v>
      </c>
      <c r="C307" s="6">
        <v>80000.0</v>
      </c>
      <c r="D307" s="6">
        <v>3.0</v>
      </c>
      <c r="E307" s="6">
        <v>2.0</v>
      </c>
    </row>
    <row r="308">
      <c r="A308" s="4" t="s">
        <v>617</v>
      </c>
      <c r="B308" s="5" t="s">
        <v>618</v>
      </c>
      <c r="C308" s="6">
        <v>80000.0</v>
      </c>
      <c r="D308" s="6">
        <v>3.696832579</v>
      </c>
      <c r="E308" s="6">
        <v>221.0</v>
      </c>
    </row>
    <row r="309">
      <c r="A309" s="4" t="s">
        <v>619</v>
      </c>
      <c r="B309" s="5" t="s">
        <v>620</v>
      </c>
      <c r="C309" s="6">
        <v>80000.0</v>
      </c>
      <c r="D309" s="6">
        <v>4.487886945</v>
      </c>
      <c r="E309" s="6">
        <v>1486.0</v>
      </c>
    </row>
    <row r="310">
      <c r="A310" s="4" t="s">
        <v>621</v>
      </c>
      <c r="B310" s="5" t="s">
        <v>622</v>
      </c>
      <c r="C310" s="6">
        <v>80000.0</v>
      </c>
      <c r="D310" s="6">
        <v>4.0</v>
      </c>
      <c r="E310" s="6">
        <v>4.0</v>
      </c>
    </row>
    <row r="311">
      <c r="A311" s="4" t="s">
        <v>623</v>
      </c>
      <c r="B311" s="5" t="s">
        <v>624</v>
      </c>
      <c r="C311" s="6">
        <v>80000.0</v>
      </c>
      <c r="D311" s="6">
        <v>3.926470588</v>
      </c>
      <c r="E311" s="6">
        <v>68.0</v>
      </c>
    </row>
    <row r="312">
      <c r="A312" s="4" t="s">
        <v>625</v>
      </c>
      <c r="B312" s="5" t="s">
        <v>626</v>
      </c>
      <c r="C312" s="6">
        <v>80000.0</v>
      </c>
      <c r="D312" s="6">
        <v>1.0</v>
      </c>
      <c r="E312" s="6">
        <v>8.0</v>
      </c>
    </row>
    <row r="313">
      <c r="A313" s="4" t="s">
        <v>627</v>
      </c>
      <c r="B313" s="5" t="s">
        <v>628</v>
      </c>
      <c r="C313" s="6">
        <v>80000.0</v>
      </c>
      <c r="D313" s="6">
        <v>4.292427241</v>
      </c>
      <c r="E313" s="6">
        <v>13641.0</v>
      </c>
    </row>
    <row r="314">
      <c r="A314" s="4" t="s">
        <v>629</v>
      </c>
      <c r="B314" s="5" t="s">
        <v>630</v>
      </c>
      <c r="C314" s="6">
        <v>80000.0</v>
      </c>
      <c r="D314" s="6">
        <v>3.157894737</v>
      </c>
      <c r="E314" s="6">
        <v>57.0</v>
      </c>
    </row>
    <row r="315">
      <c r="A315" s="4" t="s">
        <v>631</v>
      </c>
      <c r="B315" s="5" t="s">
        <v>632</v>
      </c>
      <c r="C315" s="6">
        <v>80000.0</v>
      </c>
      <c r="D315" s="6">
        <v>3.3</v>
      </c>
      <c r="E315" s="6">
        <v>10.0</v>
      </c>
    </row>
    <row r="316">
      <c r="A316" s="4" t="s">
        <v>633</v>
      </c>
      <c r="B316" s="5" t="s">
        <v>634</v>
      </c>
      <c r="C316" s="6">
        <v>80000.0</v>
      </c>
      <c r="D316" s="6">
        <v>4.045454545</v>
      </c>
      <c r="E316" s="6">
        <v>44.0</v>
      </c>
    </row>
    <row r="317">
      <c r="A317" s="4" t="s">
        <v>635</v>
      </c>
      <c r="B317" s="5" t="s">
        <v>636</v>
      </c>
      <c r="C317" s="6">
        <v>80000.0</v>
      </c>
      <c r="D317" s="6">
        <v>4.70617284</v>
      </c>
      <c r="E317" s="6">
        <v>810.0</v>
      </c>
    </row>
    <row r="318">
      <c r="A318" s="4" t="s">
        <v>637</v>
      </c>
      <c r="B318" s="5" t="s">
        <v>638</v>
      </c>
      <c r="C318" s="6">
        <v>80000.0</v>
      </c>
      <c r="D318" s="6">
        <v>4.231707317</v>
      </c>
      <c r="E318" s="6">
        <v>246.0</v>
      </c>
    </row>
    <row r="319">
      <c r="A319" s="4" t="s">
        <v>639</v>
      </c>
      <c r="B319" s="5" t="s">
        <v>640</v>
      </c>
      <c r="C319" s="6">
        <v>80000.0</v>
      </c>
      <c r="D319" s="6">
        <v>3.25</v>
      </c>
      <c r="E319" s="6">
        <v>72.0</v>
      </c>
    </row>
    <row r="320">
      <c r="A320" s="4" t="s">
        <v>641</v>
      </c>
      <c r="B320" s="5" t="s">
        <v>642</v>
      </c>
      <c r="C320" s="7">
        <v>80000.0</v>
      </c>
      <c r="D320" s="6">
        <v>3.6</v>
      </c>
      <c r="E320" s="6">
        <v>2800.0</v>
      </c>
    </row>
    <row r="321">
      <c r="A321" s="4" t="s">
        <v>643</v>
      </c>
      <c r="B321" s="5" t="s">
        <v>644</v>
      </c>
      <c r="C321" s="6">
        <v>70000.0</v>
      </c>
      <c r="D321" s="6">
        <v>4.033333333</v>
      </c>
      <c r="E321" s="6">
        <v>270.0</v>
      </c>
    </row>
    <row r="322">
      <c r="A322" s="4" t="s">
        <v>645</v>
      </c>
      <c r="B322" s="5" t="s">
        <v>646</v>
      </c>
      <c r="C322" s="6">
        <v>70000.0</v>
      </c>
      <c r="D322" s="6">
        <v>4.119402985</v>
      </c>
      <c r="E322" s="6">
        <v>67.0</v>
      </c>
    </row>
    <row r="323">
      <c r="A323" s="4" t="s">
        <v>647</v>
      </c>
      <c r="B323" s="5" t="s">
        <v>648</v>
      </c>
      <c r="C323" s="6">
        <v>70000.0</v>
      </c>
      <c r="D323" s="6">
        <v>2.892241379</v>
      </c>
      <c r="E323" s="6">
        <v>232.0</v>
      </c>
    </row>
    <row r="324">
      <c r="A324" s="4" t="s">
        <v>649</v>
      </c>
      <c r="B324" s="5" t="s">
        <v>650</v>
      </c>
      <c r="C324" s="6">
        <v>70000.0</v>
      </c>
      <c r="D324" s="6">
        <v>3.752688172</v>
      </c>
      <c r="E324" s="6">
        <v>93.0</v>
      </c>
    </row>
    <row r="325">
      <c r="A325" s="4" t="s">
        <v>651</v>
      </c>
      <c r="B325" s="5" t="s">
        <v>652</v>
      </c>
      <c r="C325" s="6">
        <v>70000.0</v>
      </c>
      <c r="D325" s="6">
        <v>3.68902439</v>
      </c>
      <c r="E325" s="6">
        <v>164.0</v>
      </c>
    </row>
    <row r="326">
      <c r="A326" s="4" t="s">
        <v>653</v>
      </c>
      <c r="B326" s="5" t="s">
        <v>654</v>
      </c>
      <c r="C326" s="6">
        <v>70000.0</v>
      </c>
      <c r="D326" s="6">
        <v>1.894389439</v>
      </c>
      <c r="E326" s="6">
        <v>303.0</v>
      </c>
    </row>
    <row r="327">
      <c r="A327" s="4" t="s">
        <v>655</v>
      </c>
      <c r="B327" s="5" t="s">
        <v>656</v>
      </c>
      <c r="C327" s="6">
        <v>70000.0</v>
      </c>
      <c r="D327" s="6">
        <v>2.648387097</v>
      </c>
      <c r="E327" s="6">
        <v>310.0</v>
      </c>
    </row>
    <row r="328">
      <c r="A328" s="4" t="s">
        <v>657</v>
      </c>
      <c r="B328" s="5" t="s">
        <v>658</v>
      </c>
      <c r="C328" s="6">
        <v>70000.0</v>
      </c>
      <c r="D328" s="6">
        <v>4.75</v>
      </c>
      <c r="E328" s="6">
        <v>4.0</v>
      </c>
    </row>
    <row r="329">
      <c r="A329" s="4" t="s">
        <v>659</v>
      </c>
      <c r="B329" s="5" t="s">
        <v>660</v>
      </c>
      <c r="C329" s="6">
        <v>70000.0</v>
      </c>
      <c r="D329" s="6">
        <v>3.651428571</v>
      </c>
      <c r="E329" s="6">
        <v>350.0</v>
      </c>
    </row>
    <row r="330">
      <c r="A330" s="4" t="s">
        <v>661</v>
      </c>
      <c r="B330" s="5" t="s">
        <v>662</v>
      </c>
      <c r="C330" s="6">
        <v>70000.0</v>
      </c>
      <c r="D330" s="6">
        <v>1.776223776</v>
      </c>
      <c r="E330" s="6">
        <v>143.0</v>
      </c>
    </row>
    <row r="331">
      <c r="A331" s="4" t="s">
        <v>663</v>
      </c>
      <c r="B331" s="5" t="s">
        <v>664</v>
      </c>
      <c r="C331" s="6">
        <v>70000.0</v>
      </c>
      <c r="D331" s="6">
        <v>4.239556692</v>
      </c>
      <c r="E331" s="6">
        <v>1173.0</v>
      </c>
    </row>
    <row r="332">
      <c r="A332" s="4" t="s">
        <v>665</v>
      </c>
      <c r="B332" s="5" t="s">
        <v>666</v>
      </c>
      <c r="C332" s="6">
        <v>70000.0</v>
      </c>
      <c r="D332" s="6">
        <v>3.427672956</v>
      </c>
      <c r="E332" s="6">
        <v>318.0</v>
      </c>
    </row>
    <row r="333">
      <c r="A333" s="4" t="s">
        <v>667</v>
      </c>
      <c r="B333" s="5" t="s">
        <v>668</v>
      </c>
      <c r="C333" s="6">
        <v>70000.0</v>
      </c>
      <c r="D333" s="6">
        <v>3.353846154</v>
      </c>
      <c r="E333" s="6">
        <v>65.0</v>
      </c>
    </row>
    <row r="334">
      <c r="A334" s="4" t="s">
        <v>669</v>
      </c>
      <c r="B334" s="5" t="s">
        <v>670</v>
      </c>
      <c r="C334" s="6">
        <v>70000.0</v>
      </c>
      <c r="D334" s="6">
        <v>3.0625</v>
      </c>
      <c r="E334" s="6">
        <v>16.0</v>
      </c>
    </row>
    <row r="335">
      <c r="A335" s="4" t="s">
        <v>671</v>
      </c>
      <c r="B335" s="5" t="s">
        <v>672</v>
      </c>
      <c r="C335" s="6">
        <v>70000.0</v>
      </c>
      <c r="D335" s="6">
        <v>4.184210526</v>
      </c>
      <c r="E335" s="6">
        <v>38.0</v>
      </c>
    </row>
    <row r="336">
      <c r="A336" s="4" t="s">
        <v>673</v>
      </c>
      <c r="B336" s="5" t="s">
        <v>674</v>
      </c>
      <c r="C336" s="6">
        <v>70000.0</v>
      </c>
      <c r="D336" s="6">
        <v>3.041666667</v>
      </c>
      <c r="E336" s="6">
        <v>72.0</v>
      </c>
    </row>
    <row r="337">
      <c r="A337" s="4" t="s">
        <v>675</v>
      </c>
      <c r="B337" s="5" t="s">
        <v>676</v>
      </c>
      <c r="C337" s="6">
        <v>70000.0</v>
      </c>
      <c r="D337" s="6">
        <v>4.36453202</v>
      </c>
      <c r="E337" s="6">
        <v>203.0</v>
      </c>
    </row>
    <row r="338">
      <c r="A338" s="4" t="s">
        <v>677</v>
      </c>
      <c r="B338" s="5" t="s">
        <v>678</v>
      </c>
      <c r="C338" s="6">
        <v>70000.0</v>
      </c>
      <c r="D338" s="6">
        <v>3.199630314</v>
      </c>
      <c r="E338" s="6">
        <v>541.0</v>
      </c>
    </row>
    <row r="339">
      <c r="A339" s="4" t="s">
        <v>679</v>
      </c>
      <c r="B339" s="5" t="s">
        <v>680</v>
      </c>
      <c r="C339" s="6">
        <v>70000.0</v>
      </c>
      <c r="D339" s="6">
        <v>2.888888889</v>
      </c>
      <c r="E339" s="6">
        <v>81.0</v>
      </c>
    </row>
    <row r="340">
      <c r="A340" s="4" t="s">
        <v>681</v>
      </c>
      <c r="B340" s="5" t="s">
        <v>682</v>
      </c>
      <c r="C340" s="6">
        <v>70000.0</v>
      </c>
      <c r="D340" s="6">
        <v>3.0</v>
      </c>
      <c r="E340" s="6">
        <v>8.0</v>
      </c>
    </row>
    <row r="341">
      <c r="A341" s="4" t="s">
        <v>683</v>
      </c>
      <c r="B341" s="5" t="s">
        <v>684</v>
      </c>
      <c r="C341" s="6">
        <v>70000.0</v>
      </c>
      <c r="D341" s="6">
        <v>2.651252408</v>
      </c>
      <c r="E341" s="6">
        <v>519.0</v>
      </c>
    </row>
    <row r="342">
      <c r="A342" s="4" t="s">
        <v>685</v>
      </c>
      <c r="B342" s="5" t="s">
        <v>686</v>
      </c>
      <c r="C342" s="6">
        <v>70000.0</v>
      </c>
      <c r="D342" s="6">
        <v>4.44047619</v>
      </c>
      <c r="E342" s="6">
        <v>84.0</v>
      </c>
    </row>
    <row r="343">
      <c r="A343" s="4" t="s">
        <v>687</v>
      </c>
      <c r="B343" s="5" t="s">
        <v>688</v>
      </c>
      <c r="C343" s="6">
        <v>70000.0</v>
      </c>
      <c r="D343" s="6">
        <v>3.629139073</v>
      </c>
      <c r="E343" s="6">
        <v>604.0</v>
      </c>
    </row>
    <row r="344">
      <c r="A344" s="4" t="s">
        <v>689</v>
      </c>
      <c r="B344" s="5" t="s">
        <v>690</v>
      </c>
      <c r="C344" s="6">
        <v>70000.0</v>
      </c>
      <c r="D344" s="6">
        <v>3.926426426</v>
      </c>
      <c r="E344" s="6">
        <v>666.0</v>
      </c>
    </row>
    <row r="345">
      <c r="A345" s="4" t="s">
        <v>691</v>
      </c>
      <c r="B345" s="5" t="s">
        <v>692</v>
      </c>
      <c r="C345" s="6">
        <v>70000.0</v>
      </c>
      <c r="D345" s="6">
        <v>3.125</v>
      </c>
      <c r="E345" s="6">
        <v>40.0</v>
      </c>
    </row>
    <row r="346">
      <c r="A346" s="4" t="s">
        <v>693</v>
      </c>
      <c r="B346" s="5" t="s">
        <v>694</v>
      </c>
      <c r="C346" s="6">
        <v>70000.0</v>
      </c>
      <c r="D346" s="6">
        <v>4.094117647</v>
      </c>
      <c r="E346" s="6">
        <v>170.0</v>
      </c>
    </row>
    <row r="347">
      <c r="A347" s="4" t="s">
        <v>695</v>
      </c>
      <c r="B347" s="5" t="s">
        <v>696</v>
      </c>
      <c r="C347" s="6">
        <v>70000.0</v>
      </c>
      <c r="D347" s="6">
        <v>2.205882353</v>
      </c>
      <c r="E347" s="6">
        <v>68.0</v>
      </c>
    </row>
    <row r="348">
      <c r="A348" s="4" t="s">
        <v>697</v>
      </c>
      <c r="B348" s="5" t="s">
        <v>698</v>
      </c>
      <c r="C348" s="6">
        <v>70000.0</v>
      </c>
      <c r="D348" s="6">
        <v>4.76744186</v>
      </c>
      <c r="E348" s="6">
        <v>43.0</v>
      </c>
    </row>
    <row r="349">
      <c r="A349" s="4" t="s">
        <v>699</v>
      </c>
      <c r="B349" s="5" t="s">
        <v>700</v>
      </c>
      <c r="C349" s="6">
        <v>70000.0</v>
      </c>
      <c r="D349" s="6">
        <v>2.127826942</v>
      </c>
      <c r="E349" s="6">
        <v>1017.0</v>
      </c>
    </row>
    <row r="350">
      <c r="A350" s="4" t="s">
        <v>701</v>
      </c>
      <c r="B350" s="5" t="s">
        <v>702</v>
      </c>
      <c r="C350" s="6">
        <v>70000.0</v>
      </c>
      <c r="D350" s="6">
        <v>4.116591928</v>
      </c>
      <c r="E350" s="6">
        <v>223.0</v>
      </c>
    </row>
    <row r="351">
      <c r="A351" s="4" t="s">
        <v>703</v>
      </c>
      <c r="B351" s="5" t="s">
        <v>704</v>
      </c>
      <c r="C351" s="6">
        <v>70000.0</v>
      </c>
      <c r="D351" s="6">
        <v>4.395061728</v>
      </c>
      <c r="E351" s="6">
        <v>648.0</v>
      </c>
    </row>
    <row r="352">
      <c r="A352" s="4" t="s">
        <v>705</v>
      </c>
      <c r="B352" s="5" t="s">
        <v>706</v>
      </c>
      <c r="C352" s="6">
        <v>70000.0</v>
      </c>
      <c r="D352" s="6">
        <v>4.590909091</v>
      </c>
      <c r="E352" s="6">
        <v>66.0</v>
      </c>
    </row>
    <row r="353">
      <c r="A353" s="4" t="s">
        <v>707</v>
      </c>
      <c r="B353" s="5" t="s">
        <v>708</v>
      </c>
      <c r="C353" s="6">
        <v>70000.0</v>
      </c>
      <c r="D353" s="6">
        <v>4.47826087</v>
      </c>
      <c r="E353" s="6">
        <v>46.0</v>
      </c>
    </row>
    <row r="354">
      <c r="A354" s="4" t="s">
        <v>709</v>
      </c>
      <c r="B354" s="5" t="s">
        <v>710</v>
      </c>
      <c r="C354" s="6">
        <v>70000.0</v>
      </c>
      <c r="D354" s="6">
        <v>4.203378378</v>
      </c>
      <c r="E354" s="6">
        <v>1480.0</v>
      </c>
    </row>
    <row r="355">
      <c r="A355" s="4" t="s">
        <v>711</v>
      </c>
      <c r="B355" s="5" t="s">
        <v>712</v>
      </c>
      <c r="C355" s="6">
        <v>70000.0</v>
      </c>
      <c r="D355" s="6">
        <v>3.662857143</v>
      </c>
      <c r="E355" s="6">
        <v>350.0</v>
      </c>
    </row>
    <row r="356">
      <c r="A356" s="4" t="s">
        <v>713</v>
      </c>
      <c r="B356" s="5" t="s">
        <v>714</v>
      </c>
      <c r="C356" s="6">
        <v>70000.0</v>
      </c>
      <c r="D356" s="6">
        <v>3.459627329</v>
      </c>
      <c r="E356" s="6">
        <v>161.0</v>
      </c>
    </row>
    <row r="357">
      <c r="A357" s="4" t="s">
        <v>715</v>
      </c>
      <c r="B357" s="5" t="s">
        <v>716</v>
      </c>
      <c r="C357" s="6">
        <v>70000.0</v>
      </c>
      <c r="D357" s="6">
        <v>3.814404432</v>
      </c>
      <c r="E357" s="6">
        <v>361.0</v>
      </c>
    </row>
    <row r="358">
      <c r="A358" s="4" t="s">
        <v>717</v>
      </c>
      <c r="B358" s="5" t="s">
        <v>718</v>
      </c>
      <c r="C358" s="6">
        <v>70000.0</v>
      </c>
      <c r="D358" s="6">
        <v>4.121771218</v>
      </c>
      <c r="E358" s="6">
        <v>271.0</v>
      </c>
    </row>
    <row r="359">
      <c r="A359" s="4" t="s">
        <v>719</v>
      </c>
      <c r="B359" s="5" t="s">
        <v>720</v>
      </c>
      <c r="C359" s="6">
        <v>70000.0</v>
      </c>
      <c r="D359" s="6">
        <v>3.398373984</v>
      </c>
      <c r="E359" s="6">
        <v>492.0</v>
      </c>
    </row>
    <row r="360">
      <c r="A360" s="4" t="s">
        <v>721</v>
      </c>
      <c r="B360" s="5" t="s">
        <v>722</v>
      </c>
      <c r="C360" s="6">
        <v>70000.0</v>
      </c>
      <c r="D360" s="6">
        <v>4.738255034</v>
      </c>
      <c r="E360" s="6">
        <v>149.0</v>
      </c>
    </row>
    <row r="361">
      <c r="A361" s="4" t="s">
        <v>723</v>
      </c>
      <c r="B361" s="5" t="s">
        <v>724</v>
      </c>
      <c r="C361" s="6">
        <v>70000.0</v>
      </c>
      <c r="D361" s="6">
        <v>3.854545455</v>
      </c>
      <c r="E361" s="6">
        <v>55.0</v>
      </c>
    </row>
    <row r="362">
      <c r="A362" s="4" t="s">
        <v>725</v>
      </c>
      <c r="B362" s="5" t="s">
        <v>726</v>
      </c>
      <c r="C362" s="6">
        <v>70000.0</v>
      </c>
      <c r="D362" s="6">
        <v>3.565891473</v>
      </c>
      <c r="E362" s="6">
        <v>129.0</v>
      </c>
    </row>
    <row r="363">
      <c r="A363" s="4" t="s">
        <v>727</v>
      </c>
      <c r="B363" s="5" t="s">
        <v>728</v>
      </c>
      <c r="C363" s="6">
        <v>70000.0</v>
      </c>
      <c r="D363" s="6">
        <v>4.3125</v>
      </c>
      <c r="E363" s="6">
        <v>32.0</v>
      </c>
    </row>
    <row r="364">
      <c r="A364" s="4" t="s">
        <v>729</v>
      </c>
      <c r="B364" s="5" t="s">
        <v>730</v>
      </c>
      <c r="C364" s="6">
        <v>70000.0</v>
      </c>
      <c r="D364" s="6">
        <v>4.35483871</v>
      </c>
      <c r="E364" s="6">
        <v>62.0</v>
      </c>
    </row>
    <row r="365">
      <c r="A365" s="4" t="s">
        <v>731</v>
      </c>
      <c r="B365" s="5" t="s">
        <v>732</v>
      </c>
      <c r="C365" s="6">
        <v>70000.0</v>
      </c>
      <c r="D365" s="6">
        <v>4.461956522</v>
      </c>
      <c r="E365" s="6">
        <v>920.0</v>
      </c>
    </row>
    <row r="366">
      <c r="A366" s="4" t="s">
        <v>733</v>
      </c>
      <c r="B366" s="5" t="s">
        <v>734</v>
      </c>
      <c r="C366" s="6">
        <v>70000.0</v>
      </c>
      <c r="D366" s="6">
        <v>4.509749304</v>
      </c>
      <c r="E366" s="6">
        <v>718.0</v>
      </c>
    </row>
    <row r="367">
      <c r="A367" s="4" t="s">
        <v>735</v>
      </c>
      <c r="B367" s="5" t="s">
        <v>736</v>
      </c>
      <c r="C367" s="6">
        <v>70000.0</v>
      </c>
      <c r="D367" s="6">
        <v>3.754347826</v>
      </c>
      <c r="E367" s="6">
        <v>460.0</v>
      </c>
    </row>
    <row r="368">
      <c r="A368" s="4" t="s">
        <v>737</v>
      </c>
      <c r="B368" s="5" t="s">
        <v>738</v>
      </c>
      <c r="C368" s="6">
        <v>70000.0</v>
      </c>
      <c r="D368" s="6">
        <v>4.2</v>
      </c>
      <c r="E368" s="6">
        <v>10.0</v>
      </c>
    </row>
    <row r="369">
      <c r="A369" s="4" t="s">
        <v>739</v>
      </c>
      <c r="B369" s="5" t="s">
        <v>740</v>
      </c>
      <c r="C369" s="6">
        <v>70000.0</v>
      </c>
      <c r="D369" s="6">
        <v>3.849056604</v>
      </c>
      <c r="E369" s="6">
        <v>53.0</v>
      </c>
    </row>
    <row r="370">
      <c r="A370" s="4" t="s">
        <v>741</v>
      </c>
      <c r="B370" s="5" t="s">
        <v>742</v>
      </c>
      <c r="C370" s="6">
        <v>70000.0</v>
      </c>
      <c r="D370" s="6">
        <v>4.689189189</v>
      </c>
      <c r="E370" s="6">
        <v>148.0</v>
      </c>
    </row>
    <row r="371">
      <c r="A371" s="4" t="s">
        <v>743</v>
      </c>
      <c r="B371" s="5" t="s">
        <v>744</v>
      </c>
      <c r="C371" s="6">
        <v>70000.0</v>
      </c>
      <c r="D371" s="6">
        <v>4.757309942</v>
      </c>
      <c r="E371" s="6">
        <v>684.0</v>
      </c>
    </row>
    <row r="372">
      <c r="A372" s="4" t="s">
        <v>745</v>
      </c>
      <c r="B372" s="5" t="s">
        <v>746</v>
      </c>
      <c r="C372" s="6">
        <v>60000.0</v>
      </c>
      <c r="D372" s="6">
        <v>4.551020408</v>
      </c>
      <c r="E372" s="6">
        <v>49.0</v>
      </c>
    </row>
    <row r="373">
      <c r="A373" s="4" t="s">
        <v>747</v>
      </c>
      <c r="B373" s="5" t="s">
        <v>748</v>
      </c>
      <c r="C373" s="6">
        <v>60000.0</v>
      </c>
      <c r="D373" s="6">
        <v>4.288888889</v>
      </c>
      <c r="E373" s="6">
        <v>180.0</v>
      </c>
    </row>
    <row r="374">
      <c r="A374" s="4" t="s">
        <v>749</v>
      </c>
      <c r="B374" s="5" t="s">
        <v>750</v>
      </c>
      <c r="C374" s="6">
        <v>60000.0</v>
      </c>
      <c r="D374" s="6">
        <v>4.197163121</v>
      </c>
      <c r="E374" s="6">
        <v>705.0</v>
      </c>
    </row>
    <row r="375">
      <c r="A375" s="4" t="s">
        <v>751</v>
      </c>
      <c r="B375" s="5" t="s">
        <v>752</v>
      </c>
      <c r="C375" s="6">
        <v>60000.0</v>
      </c>
      <c r="D375" s="6">
        <v>3.96</v>
      </c>
      <c r="E375" s="6">
        <v>50.0</v>
      </c>
    </row>
    <row r="376">
      <c r="A376" s="4" t="s">
        <v>753</v>
      </c>
      <c r="B376" s="5" t="s">
        <v>754</v>
      </c>
      <c r="C376" s="6">
        <v>60000.0</v>
      </c>
      <c r="D376" s="6">
        <v>4.312820513</v>
      </c>
      <c r="E376" s="6">
        <v>195.0</v>
      </c>
    </row>
    <row r="377">
      <c r="A377" s="4" t="s">
        <v>755</v>
      </c>
      <c r="B377" s="5" t="s">
        <v>756</v>
      </c>
      <c r="C377" s="6">
        <v>60000.0</v>
      </c>
      <c r="D377" s="6">
        <v>4.462080537</v>
      </c>
      <c r="E377" s="6">
        <v>2980.0</v>
      </c>
    </row>
    <row r="378">
      <c r="A378" s="4" t="s">
        <v>757</v>
      </c>
      <c r="B378" s="5" t="s">
        <v>758</v>
      </c>
      <c r="C378" s="6">
        <v>60000.0</v>
      </c>
      <c r="D378" s="6">
        <v>4.5</v>
      </c>
      <c r="E378" s="6">
        <v>36.0</v>
      </c>
    </row>
    <row r="379">
      <c r="A379" s="4" t="s">
        <v>759</v>
      </c>
      <c r="B379" s="5" t="s">
        <v>760</v>
      </c>
      <c r="C379" s="6">
        <v>60000.0</v>
      </c>
      <c r="D379" s="6">
        <v>5.0</v>
      </c>
      <c r="E379" s="6">
        <v>1.0</v>
      </c>
    </row>
    <row r="380">
      <c r="A380" s="4" t="s">
        <v>761</v>
      </c>
      <c r="B380" s="5" t="s">
        <v>762</v>
      </c>
      <c r="C380" s="6">
        <v>60000.0</v>
      </c>
      <c r="D380" s="6">
        <v>3.666666667</v>
      </c>
      <c r="E380" s="6">
        <v>3.0</v>
      </c>
    </row>
    <row r="381">
      <c r="A381" s="4" t="s">
        <v>763</v>
      </c>
      <c r="B381" s="5" t="s">
        <v>764</v>
      </c>
      <c r="C381" s="6">
        <v>60000.0</v>
      </c>
      <c r="D381" s="6">
        <v>2.699029126</v>
      </c>
      <c r="E381" s="6">
        <v>103.0</v>
      </c>
    </row>
    <row r="382">
      <c r="A382" s="4" t="s">
        <v>765</v>
      </c>
      <c r="B382" s="5" t="s">
        <v>766</v>
      </c>
      <c r="C382" s="6">
        <v>60000.0</v>
      </c>
      <c r="D382" s="6">
        <v>2.470486111</v>
      </c>
      <c r="E382" s="6">
        <v>576.0</v>
      </c>
    </row>
    <row r="383">
      <c r="A383" s="4" t="s">
        <v>767</v>
      </c>
      <c r="B383" s="5" t="s">
        <v>768</v>
      </c>
      <c r="C383" s="6">
        <v>60000.0</v>
      </c>
      <c r="D383" s="6">
        <v>4.636363636</v>
      </c>
      <c r="E383" s="6">
        <v>11.0</v>
      </c>
    </row>
    <row r="384">
      <c r="A384" s="4" t="s">
        <v>769</v>
      </c>
      <c r="B384" s="5" t="s">
        <v>770</v>
      </c>
      <c r="C384" s="6">
        <v>60000.0</v>
      </c>
      <c r="D384" s="6">
        <v>1.71641791</v>
      </c>
      <c r="E384" s="6">
        <v>67.0</v>
      </c>
    </row>
    <row r="385">
      <c r="A385" s="4" t="s">
        <v>771</v>
      </c>
      <c r="B385" s="5" t="s">
        <v>772</v>
      </c>
      <c r="C385" s="6">
        <v>60000.0</v>
      </c>
      <c r="D385" s="6">
        <v>1.98630137</v>
      </c>
      <c r="E385" s="6">
        <v>219.0</v>
      </c>
    </row>
    <row r="386">
      <c r="A386" s="4" t="s">
        <v>773</v>
      </c>
      <c r="B386" s="5" t="s">
        <v>774</v>
      </c>
      <c r="C386" s="6">
        <v>60000.0</v>
      </c>
      <c r="D386" s="6">
        <v>4.391304348</v>
      </c>
      <c r="E386" s="6">
        <v>138.0</v>
      </c>
    </row>
    <row r="387">
      <c r="A387" s="4" t="s">
        <v>775</v>
      </c>
      <c r="B387" s="5" t="s">
        <v>776</v>
      </c>
      <c r="C387" s="6">
        <v>60000.0</v>
      </c>
      <c r="D387" s="6">
        <v>3.454545455</v>
      </c>
      <c r="E387" s="6">
        <v>11.0</v>
      </c>
    </row>
    <row r="388">
      <c r="A388" s="4" t="s">
        <v>777</v>
      </c>
      <c r="B388" s="5" t="s">
        <v>778</v>
      </c>
      <c r="C388" s="6">
        <v>60000.0</v>
      </c>
      <c r="D388" s="6">
        <v>4.35971223</v>
      </c>
      <c r="E388" s="6">
        <v>139.0</v>
      </c>
    </row>
    <row r="389">
      <c r="A389" s="4" t="s">
        <v>779</v>
      </c>
      <c r="B389" s="5" t="s">
        <v>780</v>
      </c>
      <c r="C389" s="6">
        <v>60000.0</v>
      </c>
      <c r="D389" s="6">
        <v>4.921568627</v>
      </c>
      <c r="E389" s="6">
        <v>51.0</v>
      </c>
    </row>
    <row r="390">
      <c r="A390" s="4" t="s">
        <v>781</v>
      </c>
      <c r="B390" s="5" t="s">
        <v>782</v>
      </c>
      <c r="C390" s="6">
        <v>60000.0</v>
      </c>
      <c r="D390" s="6">
        <v>4.35971223</v>
      </c>
      <c r="E390" s="6">
        <v>139.0</v>
      </c>
    </row>
    <row r="391">
      <c r="A391" s="4" t="s">
        <v>783</v>
      </c>
      <c r="B391" s="5" t="s">
        <v>784</v>
      </c>
      <c r="C391" s="6">
        <v>60000.0</v>
      </c>
      <c r="D391" s="6">
        <v>3.606837607</v>
      </c>
      <c r="E391" s="6">
        <v>117.0</v>
      </c>
    </row>
    <row r="392">
      <c r="A392" s="4" t="s">
        <v>785</v>
      </c>
      <c r="B392" s="5" t="s">
        <v>786</v>
      </c>
      <c r="C392" s="6">
        <v>60000.0</v>
      </c>
      <c r="D392" s="6">
        <v>4.550724638</v>
      </c>
      <c r="E392" s="6">
        <v>69.0</v>
      </c>
    </row>
    <row r="393">
      <c r="A393" s="4" t="s">
        <v>787</v>
      </c>
      <c r="B393" s="5" t="s">
        <v>788</v>
      </c>
      <c r="C393" s="6">
        <v>60000.0</v>
      </c>
      <c r="D393" s="6">
        <v>1.0</v>
      </c>
      <c r="E393" s="6">
        <v>1.0</v>
      </c>
    </row>
    <row r="394">
      <c r="A394" s="4" t="s">
        <v>789</v>
      </c>
      <c r="B394" s="5" t="s">
        <v>790</v>
      </c>
      <c r="C394" s="6">
        <v>60000.0</v>
      </c>
      <c r="D394" s="6">
        <v>4.236842105</v>
      </c>
      <c r="E394" s="6">
        <v>76.0</v>
      </c>
    </row>
    <row r="395">
      <c r="A395" s="4" t="s">
        <v>791</v>
      </c>
      <c r="B395" s="5" t="s">
        <v>792</v>
      </c>
      <c r="C395" s="6">
        <v>60000.0</v>
      </c>
      <c r="D395" s="6">
        <v>2.229166667</v>
      </c>
      <c r="E395" s="6">
        <v>48.0</v>
      </c>
    </row>
    <row r="396">
      <c r="A396" s="4" t="s">
        <v>793</v>
      </c>
      <c r="B396" s="5" t="s">
        <v>794</v>
      </c>
      <c r="C396" s="6">
        <v>60000.0</v>
      </c>
      <c r="D396" s="6">
        <v>3.602564103</v>
      </c>
      <c r="E396" s="6">
        <v>78.0</v>
      </c>
    </row>
    <row r="397">
      <c r="A397" s="4" t="s">
        <v>795</v>
      </c>
      <c r="B397" s="5" t="s">
        <v>796</v>
      </c>
      <c r="C397" s="6">
        <v>60000.0</v>
      </c>
      <c r="D397" s="6">
        <v>4.333333333</v>
      </c>
      <c r="E397" s="6">
        <v>36.0</v>
      </c>
    </row>
    <row r="398">
      <c r="A398" s="4" t="s">
        <v>797</v>
      </c>
      <c r="B398" s="5" t="s">
        <v>798</v>
      </c>
      <c r="C398" s="6">
        <v>60000.0</v>
      </c>
      <c r="D398" s="6">
        <v>3.783225806</v>
      </c>
      <c r="E398" s="6">
        <v>775.0</v>
      </c>
    </row>
    <row r="399">
      <c r="A399" s="4" t="s">
        <v>799</v>
      </c>
      <c r="B399" s="5" t="s">
        <v>800</v>
      </c>
      <c r="C399" s="6">
        <v>60000.0</v>
      </c>
      <c r="D399" s="6">
        <v>3.08974359</v>
      </c>
      <c r="E399" s="6">
        <v>156.0</v>
      </c>
    </row>
    <row r="400">
      <c r="A400" s="4" t="s">
        <v>801</v>
      </c>
      <c r="B400" s="5" t="s">
        <v>802</v>
      </c>
      <c r="C400" s="6">
        <v>60000.0</v>
      </c>
      <c r="D400" s="6">
        <v>4.085343228</v>
      </c>
      <c r="E400" s="6">
        <v>539.0</v>
      </c>
    </row>
    <row r="401">
      <c r="A401" s="4" t="s">
        <v>803</v>
      </c>
      <c r="B401" s="5" t="s">
        <v>804</v>
      </c>
      <c r="C401" s="6">
        <v>60000.0</v>
      </c>
      <c r="D401" s="6">
        <v>3.752136752</v>
      </c>
      <c r="E401" s="6">
        <v>234.0</v>
      </c>
    </row>
    <row r="402">
      <c r="A402" s="4" t="s">
        <v>805</v>
      </c>
      <c r="B402" s="5" t="s">
        <v>806</v>
      </c>
      <c r="C402" s="6">
        <v>60000.0</v>
      </c>
      <c r="D402" s="6">
        <v>4.270833333</v>
      </c>
      <c r="E402" s="6">
        <v>144.0</v>
      </c>
    </row>
    <row r="403">
      <c r="A403" s="4" t="s">
        <v>807</v>
      </c>
      <c r="B403" s="5" t="s">
        <v>808</v>
      </c>
      <c r="C403" s="6">
        <v>60000.0</v>
      </c>
      <c r="D403" s="6">
        <v>4.523489933</v>
      </c>
      <c r="E403" s="6">
        <v>149.0</v>
      </c>
    </row>
    <row r="404">
      <c r="A404" s="4" t="s">
        <v>809</v>
      </c>
      <c r="B404" s="5" t="s">
        <v>810</v>
      </c>
      <c r="C404" s="6">
        <v>60000.0</v>
      </c>
      <c r="D404" s="6">
        <v>4.268181818</v>
      </c>
      <c r="E404" s="6">
        <v>220.0</v>
      </c>
    </row>
    <row r="405">
      <c r="A405" s="4" t="s">
        <v>811</v>
      </c>
      <c r="B405" s="5" t="s">
        <v>812</v>
      </c>
      <c r="C405" s="6">
        <v>60000.0</v>
      </c>
      <c r="D405" s="6">
        <v>3.352941176</v>
      </c>
      <c r="E405" s="6">
        <v>34.0</v>
      </c>
    </row>
    <row r="406">
      <c r="A406" s="4" t="s">
        <v>813</v>
      </c>
      <c r="B406" s="5" t="s">
        <v>814</v>
      </c>
      <c r="C406" s="6">
        <v>60000.0</v>
      </c>
      <c r="D406" s="6">
        <v>4.296129613</v>
      </c>
      <c r="E406" s="6">
        <v>1111.0</v>
      </c>
    </row>
    <row r="407">
      <c r="A407" s="4" t="s">
        <v>815</v>
      </c>
      <c r="B407" s="5" t="s">
        <v>816</v>
      </c>
      <c r="C407" s="6">
        <v>60000.0</v>
      </c>
      <c r="D407" s="6">
        <v>4.535714286</v>
      </c>
      <c r="E407" s="6">
        <v>56.0</v>
      </c>
    </row>
    <row r="408">
      <c r="A408" s="4" t="s">
        <v>817</v>
      </c>
      <c r="B408" s="5" t="s">
        <v>818</v>
      </c>
      <c r="C408" s="6">
        <v>60000.0</v>
      </c>
      <c r="D408" s="6">
        <v>4.366666667</v>
      </c>
      <c r="E408" s="6">
        <v>90.0</v>
      </c>
    </row>
    <row r="409">
      <c r="A409" s="4" t="s">
        <v>819</v>
      </c>
      <c r="B409" s="5" t="s">
        <v>820</v>
      </c>
      <c r="C409" s="6">
        <v>60000.0</v>
      </c>
      <c r="D409" s="6">
        <v>3.652173913</v>
      </c>
      <c r="E409" s="6">
        <v>23.0</v>
      </c>
    </row>
    <row r="410">
      <c r="A410" s="4" t="s">
        <v>821</v>
      </c>
      <c r="B410" s="5" t="s">
        <v>822</v>
      </c>
      <c r="C410" s="6">
        <v>60000.0</v>
      </c>
      <c r="D410" s="6">
        <v>4.704225352</v>
      </c>
      <c r="E410" s="6">
        <v>213.0</v>
      </c>
    </row>
    <row r="411">
      <c r="A411" s="4" t="s">
        <v>823</v>
      </c>
      <c r="B411" s="5" t="s">
        <v>824</v>
      </c>
      <c r="C411" s="6">
        <v>60000.0</v>
      </c>
      <c r="D411" s="6">
        <v>4.536231884</v>
      </c>
      <c r="E411" s="6">
        <v>138.0</v>
      </c>
    </row>
    <row r="412">
      <c r="A412" s="4" t="s">
        <v>825</v>
      </c>
      <c r="B412" s="5" t="s">
        <v>826</v>
      </c>
      <c r="C412" s="6">
        <v>60000.0</v>
      </c>
      <c r="D412" s="6">
        <v>4.47257384</v>
      </c>
      <c r="E412" s="6">
        <v>237.0</v>
      </c>
    </row>
    <row r="413">
      <c r="A413" s="4" t="s">
        <v>827</v>
      </c>
      <c r="B413" s="5" t="s">
        <v>828</v>
      </c>
      <c r="C413" s="6">
        <v>60000.0</v>
      </c>
      <c r="D413" s="6">
        <v>2.891774892</v>
      </c>
      <c r="E413" s="6">
        <v>231.0</v>
      </c>
    </row>
    <row r="414">
      <c r="A414" s="4" t="s">
        <v>829</v>
      </c>
      <c r="B414" s="5" t="s">
        <v>830</v>
      </c>
      <c r="C414" s="6">
        <v>60000.0</v>
      </c>
      <c r="D414" s="6">
        <v>3.083333333</v>
      </c>
      <c r="E414" s="6">
        <v>24.0</v>
      </c>
    </row>
    <row r="415">
      <c r="A415" s="4" t="s">
        <v>831</v>
      </c>
      <c r="B415" s="5" t="s">
        <v>832</v>
      </c>
      <c r="C415" s="6">
        <v>60000.0</v>
      </c>
      <c r="D415" s="6">
        <v>3.888157895</v>
      </c>
      <c r="E415" s="6">
        <v>152.0</v>
      </c>
    </row>
    <row r="416">
      <c r="A416" s="4" t="s">
        <v>833</v>
      </c>
      <c r="B416" s="5" t="s">
        <v>834</v>
      </c>
      <c r="C416" s="6">
        <v>60000.0</v>
      </c>
      <c r="D416" s="6">
        <v>2.583333333</v>
      </c>
      <c r="E416" s="6">
        <v>12.0</v>
      </c>
    </row>
    <row r="417">
      <c r="A417" s="4" t="s">
        <v>835</v>
      </c>
      <c r="B417" s="5" t="s">
        <v>836</v>
      </c>
      <c r="C417" s="6">
        <v>60000.0</v>
      </c>
      <c r="D417" s="6">
        <v>4.406666667</v>
      </c>
      <c r="E417" s="6">
        <v>300.0</v>
      </c>
    </row>
    <row r="418">
      <c r="A418" s="4" t="s">
        <v>837</v>
      </c>
      <c r="B418" s="5" t="s">
        <v>838</v>
      </c>
      <c r="C418" s="6">
        <v>60000.0</v>
      </c>
      <c r="D418" s="6">
        <v>4.304347826</v>
      </c>
      <c r="E418" s="6">
        <v>23.0</v>
      </c>
    </row>
    <row r="419">
      <c r="A419" s="4" t="s">
        <v>839</v>
      </c>
      <c r="B419" s="5" t="s">
        <v>840</v>
      </c>
      <c r="C419" s="6">
        <v>60000.0</v>
      </c>
      <c r="D419" s="6">
        <v>3.25</v>
      </c>
      <c r="E419" s="6">
        <v>4.0</v>
      </c>
    </row>
    <row r="420">
      <c r="A420" s="4" t="s">
        <v>841</v>
      </c>
      <c r="B420" s="5" t="s">
        <v>842</v>
      </c>
      <c r="C420" s="6">
        <v>60000.0</v>
      </c>
      <c r="D420" s="6">
        <v>3.146496815</v>
      </c>
      <c r="E420" s="6">
        <v>157.0</v>
      </c>
    </row>
    <row r="421">
      <c r="A421" s="4" t="s">
        <v>843</v>
      </c>
      <c r="B421" s="5" t="s">
        <v>844</v>
      </c>
      <c r="C421" s="6">
        <v>60000.0</v>
      </c>
      <c r="D421" s="6">
        <v>3.006688963</v>
      </c>
      <c r="E421" s="6">
        <v>299.0</v>
      </c>
    </row>
    <row r="422">
      <c r="A422" s="4" t="s">
        <v>845</v>
      </c>
      <c r="B422" s="5" t="s">
        <v>846</v>
      </c>
      <c r="C422" s="6">
        <v>60000.0</v>
      </c>
      <c r="D422" s="6">
        <v>3.968253968</v>
      </c>
      <c r="E422" s="6">
        <v>504.0</v>
      </c>
    </row>
    <row r="423">
      <c r="A423" s="4" t="s">
        <v>847</v>
      </c>
      <c r="B423" s="5" t="s">
        <v>848</v>
      </c>
      <c r="C423" s="6">
        <v>60000.0</v>
      </c>
      <c r="D423" s="6">
        <v>4.585454545</v>
      </c>
      <c r="E423" s="6">
        <v>275.0</v>
      </c>
    </row>
    <row r="424">
      <c r="A424" s="4" t="s">
        <v>849</v>
      </c>
      <c r="B424" s="5" t="s">
        <v>850</v>
      </c>
      <c r="C424" s="6">
        <v>60000.0</v>
      </c>
      <c r="D424" s="6">
        <v>3.333333333</v>
      </c>
      <c r="E424" s="6">
        <v>3.0</v>
      </c>
    </row>
    <row r="425">
      <c r="A425" s="4" t="s">
        <v>851</v>
      </c>
      <c r="B425" s="5" t="s">
        <v>852</v>
      </c>
      <c r="C425" s="6">
        <v>60000.0</v>
      </c>
      <c r="D425" s="6">
        <v>4.887640449</v>
      </c>
      <c r="E425" s="6">
        <v>267.0</v>
      </c>
    </row>
    <row r="426">
      <c r="A426" s="4" t="s">
        <v>853</v>
      </c>
      <c r="B426" s="5" t="s">
        <v>854</v>
      </c>
      <c r="C426" s="6">
        <v>60000.0</v>
      </c>
      <c r="D426" s="6">
        <v>5.0</v>
      </c>
      <c r="E426" s="6">
        <v>1.0</v>
      </c>
    </row>
    <row r="427">
      <c r="A427" s="4" t="s">
        <v>855</v>
      </c>
      <c r="B427" s="5" t="s">
        <v>856</v>
      </c>
      <c r="C427" s="6">
        <v>60000.0</v>
      </c>
      <c r="D427" s="6">
        <v>3.148351648</v>
      </c>
      <c r="E427" s="6">
        <v>546.0</v>
      </c>
    </row>
    <row r="428">
      <c r="A428" s="4" t="s">
        <v>857</v>
      </c>
      <c r="B428" s="5" t="s">
        <v>858</v>
      </c>
      <c r="C428" s="6">
        <v>60000.0</v>
      </c>
      <c r="D428" s="6">
        <v>4.394831731</v>
      </c>
      <c r="E428" s="6">
        <v>1664.0</v>
      </c>
    </row>
    <row r="429">
      <c r="A429" s="4" t="s">
        <v>859</v>
      </c>
      <c r="B429" s="5" t="s">
        <v>860</v>
      </c>
      <c r="C429" s="6">
        <v>60000.0</v>
      </c>
      <c r="D429" s="6">
        <v>4.733585859</v>
      </c>
      <c r="E429" s="6">
        <v>792.0</v>
      </c>
    </row>
    <row r="430">
      <c r="A430" s="4" t="s">
        <v>861</v>
      </c>
      <c r="B430" s="5" t="s">
        <v>862</v>
      </c>
      <c r="C430" s="6">
        <v>60000.0</v>
      </c>
      <c r="D430" s="6">
        <v>2.6</v>
      </c>
      <c r="E430" s="6">
        <v>5.0</v>
      </c>
    </row>
    <row r="431">
      <c r="A431" s="4" t="s">
        <v>863</v>
      </c>
      <c r="B431" s="5" t="s">
        <v>864</v>
      </c>
      <c r="C431" s="6">
        <v>60000.0</v>
      </c>
      <c r="D431" s="6">
        <v>3.544329897</v>
      </c>
      <c r="E431" s="6">
        <v>485.0</v>
      </c>
    </row>
    <row r="432">
      <c r="A432" s="4" t="s">
        <v>865</v>
      </c>
      <c r="B432" s="5" t="s">
        <v>866</v>
      </c>
      <c r="C432" s="6">
        <v>60000.0</v>
      </c>
      <c r="D432" s="6">
        <v>4.296296296</v>
      </c>
      <c r="E432" s="6">
        <v>27.0</v>
      </c>
    </row>
    <row r="433">
      <c r="A433" s="4" t="s">
        <v>867</v>
      </c>
      <c r="B433" s="5" t="s">
        <v>868</v>
      </c>
      <c r="C433" s="6">
        <v>50000.0</v>
      </c>
      <c r="D433" s="6">
        <v>4.438082557</v>
      </c>
      <c r="E433" s="6">
        <v>751.0</v>
      </c>
    </row>
    <row r="434">
      <c r="A434" s="4" t="s">
        <v>869</v>
      </c>
      <c r="B434" s="5" t="s">
        <v>870</v>
      </c>
      <c r="C434" s="6">
        <v>50000.0</v>
      </c>
      <c r="D434" s="6">
        <v>3.583554377</v>
      </c>
      <c r="E434" s="6">
        <v>1508.0</v>
      </c>
    </row>
    <row r="435">
      <c r="A435" s="4" t="s">
        <v>871</v>
      </c>
      <c r="B435" s="5" t="s">
        <v>872</v>
      </c>
      <c r="C435" s="6">
        <v>50000.0</v>
      </c>
      <c r="D435" s="6">
        <v>1.407407407</v>
      </c>
      <c r="E435" s="6">
        <v>27.0</v>
      </c>
    </row>
    <row r="436">
      <c r="A436" s="4" t="s">
        <v>873</v>
      </c>
      <c r="B436" s="5" t="s">
        <v>874</v>
      </c>
      <c r="C436" s="6">
        <v>50000.0</v>
      </c>
      <c r="D436" s="6">
        <v>4.627974948</v>
      </c>
      <c r="E436" s="6">
        <v>4790.0</v>
      </c>
    </row>
    <row r="437">
      <c r="A437" s="4" t="s">
        <v>875</v>
      </c>
      <c r="B437" s="5" t="s">
        <v>876</v>
      </c>
      <c r="C437" s="6">
        <v>50000.0</v>
      </c>
      <c r="D437" s="6">
        <v>5.0</v>
      </c>
      <c r="E437" s="6">
        <v>1.0</v>
      </c>
    </row>
    <row r="438">
      <c r="A438" s="4" t="s">
        <v>877</v>
      </c>
      <c r="B438" s="5" t="s">
        <v>878</v>
      </c>
      <c r="C438" s="6">
        <v>50000.0</v>
      </c>
      <c r="D438" s="6">
        <v>3.572212066</v>
      </c>
      <c r="E438" s="6">
        <v>547.0</v>
      </c>
    </row>
    <row r="439">
      <c r="A439" s="4" t="s">
        <v>879</v>
      </c>
      <c r="B439" s="5" t="s">
        <v>880</v>
      </c>
      <c r="C439" s="6">
        <v>50000.0</v>
      </c>
      <c r="D439" s="6">
        <v>4.11525974</v>
      </c>
      <c r="E439" s="6">
        <v>616.0</v>
      </c>
    </row>
    <row r="440">
      <c r="A440" s="4" t="s">
        <v>881</v>
      </c>
      <c r="B440" s="5" t="s">
        <v>882</v>
      </c>
      <c r="C440" s="6">
        <v>50000.0</v>
      </c>
      <c r="D440" s="6">
        <v>3.666666667</v>
      </c>
      <c r="E440" s="6">
        <v>3.0</v>
      </c>
    </row>
    <row r="441">
      <c r="A441" s="4" t="s">
        <v>883</v>
      </c>
      <c r="B441" s="5" t="s">
        <v>884</v>
      </c>
      <c r="C441" s="6">
        <v>50000.0</v>
      </c>
      <c r="D441" s="6">
        <v>3.751693002</v>
      </c>
      <c r="E441" s="6">
        <v>443.0</v>
      </c>
    </row>
    <row r="442">
      <c r="A442" s="4" t="s">
        <v>885</v>
      </c>
      <c r="B442" s="5" t="s">
        <v>886</v>
      </c>
      <c r="C442" s="6">
        <v>50000.0</v>
      </c>
      <c r="D442" s="6">
        <v>2.761904762</v>
      </c>
      <c r="E442" s="6">
        <v>21.0</v>
      </c>
    </row>
    <row r="443">
      <c r="A443" s="4" t="s">
        <v>887</v>
      </c>
      <c r="B443" s="5" t="s">
        <v>888</v>
      </c>
      <c r="C443" s="6">
        <v>50000.0</v>
      </c>
      <c r="D443" s="6">
        <v>3.939393939</v>
      </c>
      <c r="E443" s="6">
        <v>66.0</v>
      </c>
    </row>
    <row r="444">
      <c r="A444" s="4" t="s">
        <v>889</v>
      </c>
      <c r="B444" s="5" t="s">
        <v>890</v>
      </c>
      <c r="C444" s="6">
        <v>50000.0</v>
      </c>
      <c r="D444" s="6">
        <v>3.639344262</v>
      </c>
      <c r="E444" s="6">
        <v>61.0</v>
      </c>
    </row>
    <row r="445">
      <c r="A445" s="4" t="s">
        <v>891</v>
      </c>
      <c r="B445" s="5" t="s">
        <v>892</v>
      </c>
      <c r="C445" s="6">
        <v>50000.0</v>
      </c>
      <c r="D445" s="9"/>
      <c r="E445" s="9"/>
    </row>
    <row r="446">
      <c r="A446" s="4" t="s">
        <v>893</v>
      </c>
      <c r="B446" s="5" t="s">
        <v>894</v>
      </c>
      <c r="C446" s="6">
        <v>50000.0</v>
      </c>
      <c r="D446" s="6">
        <v>4.3828125</v>
      </c>
      <c r="E446" s="6">
        <v>128.0</v>
      </c>
    </row>
    <row r="447">
      <c r="A447" s="4" t="s">
        <v>895</v>
      </c>
      <c r="B447" s="5" t="s">
        <v>896</v>
      </c>
      <c r="C447" s="6">
        <v>50000.0</v>
      </c>
      <c r="D447" s="6">
        <v>2.95</v>
      </c>
      <c r="E447" s="6">
        <v>20.0</v>
      </c>
    </row>
    <row r="448">
      <c r="A448" s="4" t="s">
        <v>227</v>
      </c>
      <c r="B448" s="5" t="s">
        <v>897</v>
      </c>
      <c r="C448" s="6">
        <v>50000.0</v>
      </c>
      <c r="D448" s="6">
        <v>2.717339667</v>
      </c>
      <c r="E448" s="6">
        <v>421.0</v>
      </c>
    </row>
    <row r="449">
      <c r="A449" s="4" t="s">
        <v>898</v>
      </c>
      <c r="B449" s="5" t="s">
        <v>899</v>
      </c>
      <c r="C449" s="6">
        <v>50000.0</v>
      </c>
      <c r="D449" s="6">
        <v>4.166666667</v>
      </c>
      <c r="E449" s="6">
        <v>24.0</v>
      </c>
    </row>
    <row r="450">
      <c r="A450" s="4" t="s">
        <v>900</v>
      </c>
      <c r="B450" s="5" t="s">
        <v>901</v>
      </c>
      <c r="C450" s="6">
        <v>50000.0</v>
      </c>
      <c r="D450" s="6">
        <v>4.928571429</v>
      </c>
      <c r="E450" s="6">
        <v>14.0</v>
      </c>
    </row>
    <row r="451">
      <c r="A451" s="4" t="s">
        <v>902</v>
      </c>
      <c r="B451" s="5" t="s">
        <v>903</v>
      </c>
      <c r="C451" s="6">
        <v>50000.0</v>
      </c>
      <c r="D451" s="6">
        <v>3.114285714</v>
      </c>
      <c r="E451" s="6">
        <v>70.0</v>
      </c>
    </row>
    <row r="452">
      <c r="A452" s="4" t="s">
        <v>904</v>
      </c>
      <c r="B452" s="5" t="s">
        <v>905</v>
      </c>
      <c r="C452" s="6">
        <v>50000.0</v>
      </c>
      <c r="D452" s="6">
        <v>3.85</v>
      </c>
      <c r="E452" s="6">
        <v>20.0</v>
      </c>
    </row>
    <row r="453">
      <c r="A453" s="4" t="s">
        <v>906</v>
      </c>
      <c r="B453" s="5" t="s">
        <v>907</v>
      </c>
      <c r="C453" s="6">
        <v>50000.0</v>
      </c>
      <c r="D453" s="6">
        <v>3.577689243</v>
      </c>
      <c r="E453" s="6">
        <v>251.0</v>
      </c>
    </row>
    <row r="454">
      <c r="A454" s="4" t="s">
        <v>908</v>
      </c>
      <c r="B454" s="5" t="s">
        <v>909</v>
      </c>
      <c r="C454" s="6">
        <v>50000.0</v>
      </c>
      <c r="D454" s="6">
        <v>3.25</v>
      </c>
      <c r="E454" s="6">
        <v>84.0</v>
      </c>
    </row>
    <row r="455">
      <c r="A455" s="4" t="s">
        <v>910</v>
      </c>
      <c r="B455" s="5" t="s">
        <v>911</v>
      </c>
      <c r="C455" s="6">
        <v>50000.0</v>
      </c>
      <c r="D455" s="6">
        <v>4.610027855</v>
      </c>
      <c r="E455" s="6">
        <v>359.0</v>
      </c>
    </row>
    <row r="456">
      <c r="A456" s="4" t="s">
        <v>912</v>
      </c>
      <c r="B456" s="5" t="s">
        <v>913</v>
      </c>
      <c r="C456" s="6">
        <v>50000.0</v>
      </c>
      <c r="D456" s="6">
        <v>4.432778489</v>
      </c>
      <c r="E456" s="6">
        <v>781.0</v>
      </c>
    </row>
    <row r="457">
      <c r="A457" s="4" t="s">
        <v>914</v>
      </c>
      <c r="B457" s="5" t="s">
        <v>915</v>
      </c>
      <c r="C457" s="6">
        <v>50000.0</v>
      </c>
      <c r="D457" s="6">
        <v>4.647058824</v>
      </c>
      <c r="E457" s="6">
        <v>34.0</v>
      </c>
    </row>
    <row r="458">
      <c r="A458" s="4" t="s">
        <v>916</v>
      </c>
      <c r="B458" s="5" t="s">
        <v>917</v>
      </c>
      <c r="C458" s="6">
        <v>50000.0</v>
      </c>
      <c r="D458" s="6">
        <v>4.828571429</v>
      </c>
      <c r="E458" s="6">
        <v>35.0</v>
      </c>
    </row>
    <row r="459">
      <c r="A459" s="4" t="s">
        <v>918</v>
      </c>
      <c r="B459" s="5" t="s">
        <v>919</v>
      </c>
      <c r="C459" s="6">
        <v>50000.0</v>
      </c>
      <c r="D459" s="6">
        <v>3.546666667</v>
      </c>
      <c r="E459" s="6">
        <v>375.0</v>
      </c>
    </row>
    <row r="460">
      <c r="A460" s="4" t="s">
        <v>920</v>
      </c>
      <c r="B460" s="5" t="s">
        <v>921</v>
      </c>
      <c r="C460" s="6">
        <v>50000.0</v>
      </c>
      <c r="D460" s="6">
        <v>3.137931034</v>
      </c>
      <c r="E460" s="6">
        <v>29.0</v>
      </c>
    </row>
    <row r="461">
      <c r="A461" s="4" t="s">
        <v>922</v>
      </c>
      <c r="B461" s="5" t="s">
        <v>923</v>
      </c>
      <c r="C461" s="6">
        <v>50000.0</v>
      </c>
      <c r="D461" s="6">
        <v>4.0</v>
      </c>
      <c r="E461" s="6">
        <v>94.0</v>
      </c>
    </row>
    <row r="462">
      <c r="A462" s="4" t="s">
        <v>924</v>
      </c>
      <c r="B462" s="5" t="s">
        <v>925</v>
      </c>
      <c r="C462" s="6">
        <v>50000.0</v>
      </c>
      <c r="D462" s="6">
        <v>4.662027833</v>
      </c>
      <c r="E462" s="6">
        <v>503.0</v>
      </c>
    </row>
    <row r="463">
      <c r="A463" s="4" t="s">
        <v>926</v>
      </c>
      <c r="B463" s="5" t="s">
        <v>927</v>
      </c>
      <c r="C463" s="6">
        <v>50000.0</v>
      </c>
      <c r="D463" s="6">
        <v>4.44</v>
      </c>
      <c r="E463" s="6">
        <v>50.0</v>
      </c>
    </row>
    <row r="464">
      <c r="A464" s="4" t="s">
        <v>928</v>
      </c>
      <c r="B464" s="5" t="s">
        <v>929</v>
      </c>
      <c r="C464" s="6">
        <v>50000.0</v>
      </c>
      <c r="D464" s="6">
        <v>3.797468354</v>
      </c>
      <c r="E464" s="6">
        <v>158.0</v>
      </c>
    </row>
    <row r="465">
      <c r="A465" s="4" t="s">
        <v>930</v>
      </c>
      <c r="B465" s="5" t="s">
        <v>931</v>
      </c>
      <c r="C465" s="6">
        <v>50000.0</v>
      </c>
      <c r="D465" s="6">
        <v>4.722772277</v>
      </c>
      <c r="E465" s="6">
        <v>101.0</v>
      </c>
    </row>
    <row r="466">
      <c r="A466" s="4" t="s">
        <v>932</v>
      </c>
      <c r="B466" s="5" t="s">
        <v>933</v>
      </c>
      <c r="C466" s="6">
        <v>50000.0</v>
      </c>
      <c r="D466" s="9"/>
      <c r="E466" s="9"/>
    </row>
    <row r="467">
      <c r="A467" s="4" t="s">
        <v>934</v>
      </c>
      <c r="B467" s="5" t="s">
        <v>935</v>
      </c>
      <c r="C467" s="6">
        <v>50000.0</v>
      </c>
      <c r="D467" s="6">
        <v>4.666666667</v>
      </c>
      <c r="E467" s="6">
        <v>144.0</v>
      </c>
    </row>
    <row r="468">
      <c r="A468" s="4" t="s">
        <v>936</v>
      </c>
      <c r="B468" s="5" t="s">
        <v>937</v>
      </c>
      <c r="C468" s="6">
        <v>50000.0</v>
      </c>
      <c r="D468" s="6">
        <v>4.333333333</v>
      </c>
      <c r="E468" s="6">
        <v>21.0</v>
      </c>
    </row>
    <row r="469">
      <c r="A469" s="4" t="s">
        <v>938</v>
      </c>
      <c r="B469" s="5" t="s">
        <v>939</v>
      </c>
      <c r="C469" s="6">
        <v>50000.0</v>
      </c>
      <c r="D469" s="6">
        <v>3.6</v>
      </c>
      <c r="E469" s="6">
        <v>45.0</v>
      </c>
    </row>
    <row r="470">
      <c r="A470" s="4" t="s">
        <v>940</v>
      </c>
      <c r="B470" s="5" t="s">
        <v>941</v>
      </c>
      <c r="C470" s="6">
        <v>50000.0</v>
      </c>
      <c r="D470" s="6">
        <v>3.736842105</v>
      </c>
      <c r="E470" s="6">
        <v>38.0</v>
      </c>
    </row>
    <row r="471">
      <c r="A471" s="4" t="s">
        <v>942</v>
      </c>
      <c r="B471" s="5" t="s">
        <v>943</v>
      </c>
      <c r="C471" s="6">
        <v>50000.0</v>
      </c>
      <c r="D471" s="6">
        <v>4.444444444</v>
      </c>
      <c r="E471" s="6">
        <v>9.0</v>
      </c>
    </row>
    <row r="472">
      <c r="A472" s="4" t="s">
        <v>944</v>
      </c>
      <c r="B472" s="5" t="s">
        <v>945</v>
      </c>
      <c r="C472" s="6">
        <v>50000.0</v>
      </c>
      <c r="D472" s="6">
        <v>4.356164384</v>
      </c>
      <c r="E472" s="6">
        <v>73.0</v>
      </c>
    </row>
    <row r="473">
      <c r="A473" s="4" t="s">
        <v>946</v>
      </c>
      <c r="B473" s="5" t="s">
        <v>947</v>
      </c>
      <c r="C473" s="6">
        <v>50000.0</v>
      </c>
      <c r="D473" s="6">
        <v>3.648</v>
      </c>
      <c r="E473" s="6">
        <v>250.0</v>
      </c>
    </row>
    <row r="474">
      <c r="A474" s="4" t="s">
        <v>948</v>
      </c>
      <c r="B474" s="5" t="s">
        <v>949</v>
      </c>
      <c r="C474" s="6">
        <v>50000.0</v>
      </c>
      <c r="D474" s="6">
        <v>3.657142857</v>
      </c>
      <c r="E474" s="6">
        <v>35.0</v>
      </c>
    </row>
    <row r="475">
      <c r="A475" s="4" t="s">
        <v>950</v>
      </c>
      <c r="B475" s="5" t="s">
        <v>951</v>
      </c>
      <c r="C475" s="6">
        <v>50000.0</v>
      </c>
      <c r="D475" s="9"/>
      <c r="E475" s="9"/>
    </row>
    <row r="476">
      <c r="A476" s="4" t="s">
        <v>952</v>
      </c>
      <c r="B476" s="5" t="s">
        <v>953</v>
      </c>
      <c r="C476" s="6">
        <v>50000.0</v>
      </c>
      <c r="D476" s="6">
        <v>4.544444444</v>
      </c>
      <c r="E476" s="6">
        <v>180.0</v>
      </c>
    </row>
    <row r="477">
      <c r="A477" s="4" t="s">
        <v>954</v>
      </c>
      <c r="B477" s="5" t="s">
        <v>955</v>
      </c>
      <c r="C477" s="6">
        <v>50000.0</v>
      </c>
      <c r="D477" s="6">
        <v>4.742857143</v>
      </c>
      <c r="E477" s="6">
        <v>105.0</v>
      </c>
    </row>
    <row r="478">
      <c r="A478" s="4" t="s">
        <v>956</v>
      </c>
      <c r="B478" s="5" t="s">
        <v>957</v>
      </c>
      <c r="C478" s="6">
        <v>50000.0</v>
      </c>
      <c r="D478" s="6">
        <v>4.526315789</v>
      </c>
      <c r="E478" s="6">
        <v>57.0</v>
      </c>
    </row>
    <row r="479">
      <c r="A479" s="4" t="s">
        <v>958</v>
      </c>
      <c r="B479" s="5" t="s">
        <v>959</v>
      </c>
      <c r="C479" s="6">
        <v>50000.0</v>
      </c>
      <c r="D479" s="6">
        <v>1.227272727</v>
      </c>
      <c r="E479" s="6">
        <v>66.0</v>
      </c>
    </row>
    <row r="480">
      <c r="A480" s="4" t="s">
        <v>960</v>
      </c>
      <c r="B480" s="5" t="s">
        <v>961</v>
      </c>
      <c r="C480" s="6">
        <v>50000.0</v>
      </c>
      <c r="D480" s="6">
        <v>3.466666667</v>
      </c>
      <c r="E480" s="6">
        <v>15.0</v>
      </c>
    </row>
    <row r="481">
      <c r="A481" s="4" t="s">
        <v>962</v>
      </c>
      <c r="B481" s="5" t="s">
        <v>963</v>
      </c>
      <c r="C481" s="6">
        <v>50000.0</v>
      </c>
      <c r="D481" s="6">
        <v>4.120833333</v>
      </c>
      <c r="E481" s="6">
        <v>480.0</v>
      </c>
    </row>
    <row r="482">
      <c r="A482" s="4" t="s">
        <v>964</v>
      </c>
      <c r="B482" s="5" t="s">
        <v>965</v>
      </c>
      <c r="C482" s="6">
        <v>50000.0</v>
      </c>
      <c r="D482" s="6">
        <v>4.388235294</v>
      </c>
      <c r="E482" s="6">
        <v>340.0</v>
      </c>
    </row>
    <row r="483">
      <c r="A483" s="4" t="s">
        <v>966</v>
      </c>
      <c r="B483" s="5" t="s">
        <v>967</v>
      </c>
      <c r="C483" s="6">
        <v>50000.0</v>
      </c>
      <c r="D483" s="6">
        <v>4.53968254</v>
      </c>
      <c r="E483" s="6">
        <v>189.0</v>
      </c>
    </row>
    <row r="484">
      <c r="A484" s="4" t="s">
        <v>968</v>
      </c>
      <c r="B484" s="5" t="s">
        <v>969</v>
      </c>
      <c r="C484" s="6">
        <v>50000.0</v>
      </c>
      <c r="D484" s="6">
        <v>2.333333333</v>
      </c>
      <c r="E484" s="6">
        <v>3.0</v>
      </c>
    </row>
    <row r="485">
      <c r="A485" s="4" t="s">
        <v>970</v>
      </c>
      <c r="B485" s="5" t="s">
        <v>971</v>
      </c>
      <c r="C485" s="6">
        <v>50000.0</v>
      </c>
      <c r="D485" s="6">
        <v>3.24</v>
      </c>
      <c r="E485" s="6">
        <v>25.0</v>
      </c>
    </row>
    <row r="486">
      <c r="A486" s="4" t="s">
        <v>972</v>
      </c>
      <c r="B486" s="5" t="s">
        <v>973</v>
      </c>
      <c r="C486" s="6">
        <v>50000.0</v>
      </c>
      <c r="D486" s="6">
        <v>4.4375</v>
      </c>
      <c r="E486" s="6">
        <v>32.0</v>
      </c>
    </row>
    <row r="487">
      <c r="A487" s="4" t="s">
        <v>974</v>
      </c>
      <c r="B487" s="5" t="s">
        <v>975</v>
      </c>
      <c r="C487" s="6">
        <v>50000.0</v>
      </c>
      <c r="D487" s="6">
        <v>1.558823529</v>
      </c>
      <c r="E487" s="6">
        <v>68.0</v>
      </c>
    </row>
    <row r="488">
      <c r="A488" s="4" t="s">
        <v>976</v>
      </c>
      <c r="B488" s="5" t="s">
        <v>977</v>
      </c>
      <c r="C488" s="6">
        <v>50000.0</v>
      </c>
      <c r="D488" s="6">
        <v>4.262773723</v>
      </c>
      <c r="E488" s="6">
        <v>685.0</v>
      </c>
    </row>
    <row r="489">
      <c r="A489" s="4" t="s">
        <v>978</v>
      </c>
      <c r="B489" s="5" t="s">
        <v>979</v>
      </c>
      <c r="C489" s="6">
        <v>50000.0</v>
      </c>
      <c r="D489" s="6">
        <v>2.708333333</v>
      </c>
      <c r="E489" s="6">
        <v>48.0</v>
      </c>
    </row>
    <row r="490">
      <c r="A490" s="4" t="s">
        <v>980</v>
      </c>
      <c r="B490" s="5" t="s">
        <v>981</v>
      </c>
      <c r="C490" s="6">
        <v>50000.0</v>
      </c>
      <c r="D490" s="6">
        <v>3.825301205</v>
      </c>
      <c r="E490" s="6">
        <v>332.0</v>
      </c>
    </row>
    <row r="491">
      <c r="A491" s="4" t="s">
        <v>982</v>
      </c>
      <c r="B491" s="5" t="s">
        <v>983</v>
      </c>
      <c r="C491" s="6">
        <v>50000.0</v>
      </c>
      <c r="D491" s="6">
        <v>4.465517241</v>
      </c>
      <c r="E491" s="6">
        <v>232.0</v>
      </c>
    </row>
    <row r="492">
      <c r="A492" s="4" t="s">
        <v>984</v>
      </c>
      <c r="B492" s="5" t="s">
        <v>985</v>
      </c>
      <c r="C492" s="6">
        <v>50000.0</v>
      </c>
      <c r="D492" s="6">
        <v>4.868</v>
      </c>
      <c r="E492" s="6">
        <v>250.0</v>
      </c>
    </row>
    <row r="493">
      <c r="A493" s="4" t="s">
        <v>986</v>
      </c>
      <c r="B493" s="5" t="s">
        <v>987</v>
      </c>
      <c r="C493" s="6">
        <v>40000.0</v>
      </c>
      <c r="D493" s="6">
        <v>4.191489362</v>
      </c>
      <c r="E493" s="6">
        <v>94.0</v>
      </c>
    </row>
    <row r="494">
      <c r="A494" s="4" t="s">
        <v>988</v>
      </c>
      <c r="B494" s="5" t="s">
        <v>989</v>
      </c>
      <c r="C494" s="6">
        <v>40000.0</v>
      </c>
      <c r="D494" s="6">
        <v>3.75</v>
      </c>
      <c r="E494" s="6">
        <v>52.0</v>
      </c>
    </row>
    <row r="495">
      <c r="A495" s="4" t="s">
        <v>990</v>
      </c>
      <c r="B495" s="5" t="s">
        <v>991</v>
      </c>
      <c r="C495" s="6">
        <v>40000.0</v>
      </c>
      <c r="D495" s="6">
        <v>3.709677419</v>
      </c>
      <c r="E495" s="6">
        <v>93.0</v>
      </c>
    </row>
    <row r="496">
      <c r="A496" s="4" t="s">
        <v>992</v>
      </c>
      <c r="B496" s="5" t="s">
        <v>993</v>
      </c>
      <c r="C496" s="6">
        <v>40000.0</v>
      </c>
      <c r="D496" s="6">
        <v>2.138613861</v>
      </c>
      <c r="E496" s="6">
        <v>101.0</v>
      </c>
    </row>
    <row r="497">
      <c r="A497" s="4" t="s">
        <v>994</v>
      </c>
      <c r="B497" s="5" t="s">
        <v>995</v>
      </c>
      <c r="C497" s="6">
        <v>40000.0</v>
      </c>
      <c r="D497" s="9"/>
      <c r="E497" s="9"/>
    </row>
    <row r="498">
      <c r="A498" s="4" t="s">
        <v>996</v>
      </c>
      <c r="B498" s="5" t="s">
        <v>997</v>
      </c>
      <c r="C498" s="6">
        <v>40000.0</v>
      </c>
      <c r="D498" s="6">
        <v>3.541666667</v>
      </c>
      <c r="E498" s="6">
        <v>48.0</v>
      </c>
    </row>
    <row r="499">
      <c r="A499" s="10" t="s">
        <v>998</v>
      </c>
      <c r="B499" s="5" t="s">
        <v>999</v>
      </c>
      <c r="C499" s="6">
        <v>40000.0</v>
      </c>
      <c r="D499" s="6">
        <v>2.16</v>
      </c>
      <c r="E499" s="6">
        <v>25.0</v>
      </c>
    </row>
    <row r="500">
      <c r="A500" s="4" t="s">
        <v>1000</v>
      </c>
      <c r="B500" s="5" t="s">
        <v>1001</v>
      </c>
      <c r="C500" s="6">
        <v>40000.0</v>
      </c>
      <c r="D500" s="6">
        <v>2.284552846</v>
      </c>
      <c r="E500" s="6">
        <v>123.0</v>
      </c>
    </row>
    <row r="501">
      <c r="A501" s="4" t="s">
        <v>1002</v>
      </c>
      <c r="B501" s="5" t="s">
        <v>1003</v>
      </c>
      <c r="C501" s="6">
        <v>40000.0</v>
      </c>
      <c r="D501" s="6">
        <v>3.727272727</v>
      </c>
      <c r="E501" s="6">
        <v>11.0</v>
      </c>
    </row>
    <row r="502">
      <c r="A502" s="4" t="s">
        <v>1004</v>
      </c>
      <c r="B502" s="5" t="s">
        <v>1005</v>
      </c>
      <c r="C502" s="6">
        <v>40000.0</v>
      </c>
      <c r="D502" s="6">
        <v>4.361702128</v>
      </c>
      <c r="E502" s="6">
        <v>47.0</v>
      </c>
    </row>
    <row r="503">
      <c r="A503" s="4" t="s">
        <v>1006</v>
      </c>
      <c r="B503" s="5" t="s">
        <v>1007</v>
      </c>
      <c r="C503" s="6">
        <v>40000.0</v>
      </c>
      <c r="D503" s="6">
        <v>3.714285714</v>
      </c>
      <c r="E503" s="6">
        <v>7.0</v>
      </c>
    </row>
    <row r="504">
      <c r="A504" s="4" t="s">
        <v>1008</v>
      </c>
      <c r="B504" s="5" t="s">
        <v>1009</v>
      </c>
      <c r="C504" s="6">
        <v>40000.0</v>
      </c>
      <c r="D504" s="6">
        <v>4.359046283</v>
      </c>
      <c r="E504" s="6">
        <v>713.0</v>
      </c>
    </row>
    <row r="505">
      <c r="A505" s="4" t="s">
        <v>1010</v>
      </c>
      <c r="B505" s="5" t="s">
        <v>1011</v>
      </c>
      <c r="C505" s="6">
        <v>40000.0</v>
      </c>
      <c r="D505" s="6">
        <v>4.089285714</v>
      </c>
      <c r="E505" s="6">
        <v>56.0</v>
      </c>
    </row>
    <row r="506">
      <c r="A506" s="4" t="s">
        <v>1012</v>
      </c>
      <c r="B506" s="5" t="s">
        <v>1013</v>
      </c>
      <c r="C506" s="6">
        <v>40000.0</v>
      </c>
      <c r="D506" s="6">
        <v>4.0</v>
      </c>
      <c r="E506" s="6">
        <v>44.0</v>
      </c>
    </row>
    <row r="507">
      <c r="A507" s="4" t="s">
        <v>1014</v>
      </c>
      <c r="B507" s="5" t="s">
        <v>1015</v>
      </c>
      <c r="C507" s="6">
        <v>40000.0</v>
      </c>
      <c r="D507" s="6">
        <v>3.904494382</v>
      </c>
      <c r="E507" s="6">
        <v>178.0</v>
      </c>
    </row>
    <row r="508">
      <c r="A508" s="4" t="s">
        <v>1016</v>
      </c>
      <c r="B508" s="5" t="s">
        <v>1017</v>
      </c>
      <c r="C508" s="6">
        <v>40000.0</v>
      </c>
      <c r="D508" s="6">
        <v>3.285714286</v>
      </c>
      <c r="E508" s="6">
        <v>133.0</v>
      </c>
    </row>
    <row r="509">
      <c r="A509" s="4" t="s">
        <v>1018</v>
      </c>
      <c r="B509" s="5" t="s">
        <v>1019</v>
      </c>
      <c r="C509" s="6">
        <v>40000.0</v>
      </c>
      <c r="D509" s="6">
        <v>4.009803922</v>
      </c>
      <c r="E509" s="6">
        <v>102.0</v>
      </c>
    </row>
    <row r="510">
      <c r="A510" s="4" t="s">
        <v>1020</v>
      </c>
      <c r="B510" s="5" t="s">
        <v>1021</v>
      </c>
      <c r="C510" s="6">
        <v>40000.0</v>
      </c>
      <c r="D510" s="6">
        <v>4.141573034</v>
      </c>
      <c r="E510" s="6">
        <v>890.0</v>
      </c>
    </row>
    <row r="511">
      <c r="A511" s="4" t="s">
        <v>1022</v>
      </c>
      <c r="B511" s="5" t="s">
        <v>1023</v>
      </c>
      <c r="C511" s="6">
        <v>40000.0</v>
      </c>
      <c r="D511" s="6">
        <v>4.618421053</v>
      </c>
      <c r="E511" s="6">
        <v>152.0</v>
      </c>
    </row>
    <row r="512">
      <c r="A512" s="4" t="s">
        <v>1024</v>
      </c>
      <c r="B512" s="5" t="s">
        <v>1025</v>
      </c>
      <c r="C512" s="6">
        <v>40000.0</v>
      </c>
      <c r="D512" s="6">
        <v>4.113580247</v>
      </c>
      <c r="E512" s="6">
        <v>405.0</v>
      </c>
    </row>
    <row r="513">
      <c r="A513" s="4" t="s">
        <v>1026</v>
      </c>
      <c r="B513" s="5" t="s">
        <v>1027</v>
      </c>
      <c r="C513" s="6">
        <v>40000.0</v>
      </c>
      <c r="D513" s="6">
        <v>4.467741935</v>
      </c>
      <c r="E513" s="6">
        <v>124.0</v>
      </c>
    </row>
    <row r="514">
      <c r="A514" s="4" t="s">
        <v>1028</v>
      </c>
      <c r="B514" s="5" t="s">
        <v>1029</v>
      </c>
      <c r="C514" s="6">
        <v>40000.0</v>
      </c>
      <c r="D514" s="6">
        <v>3.419354839</v>
      </c>
      <c r="E514" s="6">
        <v>31.0</v>
      </c>
    </row>
    <row r="515">
      <c r="A515" s="4" t="s">
        <v>1030</v>
      </c>
      <c r="B515" s="5" t="s">
        <v>1031</v>
      </c>
      <c r="C515" s="6">
        <v>40000.0</v>
      </c>
      <c r="D515" s="6">
        <v>2.907692308</v>
      </c>
      <c r="E515" s="6">
        <v>65.0</v>
      </c>
    </row>
    <row r="516">
      <c r="A516" s="4" t="s">
        <v>1032</v>
      </c>
      <c r="B516" s="5" t="s">
        <v>1033</v>
      </c>
      <c r="C516" s="6">
        <v>40000.0</v>
      </c>
      <c r="D516" s="6">
        <v>1.727272727</v>
      </c>
      <c r="E516" s="6">
        <v>22.0</v>
      </c>
    </row>
    <row r="517">
      <c r="A517" s="4" t="s">
        <v>1034</v>
      </c>
      <c r="B517" s="5" t="s">
        <v>1035</v>
      </c>
      <c r="C517" s="6">
        <v>40000.0</v>
      </c>
      <c r="D517" s="6">
        <v>4.409836066</v>
      </c>
      <c r="E517" s="6">
        <v>61.0</v>
      </c>
    </row>
    <row r="518">
      <c r="A518" s="4" t="s">
        <v>1036</v>
      </c>
      <c r="B518" s="5" t="s">
        <v>1037</v>
      </c>
      <c r="C518" s="6">
        <v>40000.0</v>
      </c>
      <c r="D518" s="6">
        <v>4.592592593</v>
      </c>
      <c r="E518" s="6">
        <v>27.0</v>
      </c>
    </row>
    <row r="519">
      <c r="A519" s="4" t="s">
        <v>1038</v>
      </c>
      <c r="B519" s="5" t="s">
        <v>1039</v>
      </c>
      <c r="C519" s="6">
        <v>40000.0</v>
      </c>
      <c r="D519" s="6">
        <v>4.605504587</v>
      </c>
      <c r="E519" s="6">
        <v>109.0</v>
      </c>
    </row>
    <row r="520">
      <c r="A520" s="4" t="s">
        <v>1040</v>
      </c>
      <c r="B520" s="5" t="s">
        <v>1041</v>
      </c>
      <c r="C520" s="6">
        <v>40000.0</v>
      </c>
      <c r="D520" s="6">
        <v>3.671388102</v>
      </c>
      <c r="E520" s="6">
        <v>353.0</v>
      </c>
    </row>
    <row r="521">
      <c r="A521" s="4" t="s">
        <v>1042</v>
      </c>
      <c r="B521" s="5" t="s">
        <v>1043</v>
      </c>
      <c r="C521" s="6">
        <v>40000.0</v>
      </c>
      <c r="D521" s="6">
        <v>2.391304348</v>
      </c>
      <c r="E521" s="6">
        <v>46.0</v>
      </c>
    </row>
    <row r="522">
      <c r="A522" s="4" t="s">
        <v>1044</v>
      </c>
      <c r="B522" s="5" t="s">
        <v>1045</v>
      </c>
      <c r="C522" s="6">
        <v>40000.0</v>
      </c>
      <c r="D522" s="6">
        <v>3.494047619</v>
      </c>
      <c r="E522" s="6">
        <v>168.0</v>
      </c>
    </row>
    <row r="523">
      <c r="A523" s="4" t="s">
        <v>1046</v>
      </c>
      <c r="B523" s="5" t="s">
        <v>1047</v>
      </c>
      <c r="C523" s="6">
        <v>40000.0</v>
      </c>
      <c r="D523" s="6">
        <v>3.982905983</v>
      </c>
      <c r="E523" s="6">
        <v>117.0</v>
      </c>
    </row>
    <row r="524">
      <c r="A524" s="4" t="s">
        <v>1048</v>
      </c>
      <c r="B524" s="5" t="s">
        <v>1049</v>
      </c>
      <c r="C524" s="6">
        <v>40000.0</v>
      </c>
      <c r="D524" s="6">
        <v>3.698529412</v>
      </c>
      <c r="E524" s="6">
        <v>136.0</v>
      </c>
    </row>
    <row r="525">
      <c r="A525" s="4" t="s">
        <v>1050</v>
      </c>
      <c r="B525" s="5" t="s">
        <v>1051</v>
      </c>
      <c r="C525" s="6">
        <v>40000.0</v>
      </c>
      <c r="D525" s="6">
        <v>3.533333333</v>
      </c>
      <c r="E525" s="6">
        <v>15.0</v>
      </c>
    </row>
    <row r="526">
      <c r="A526" s="4" t="s">
        <v>1052</v>
      </c>
      <c r="B526" s="5" t="s">
        <v>1053</v>
      </c>
      <c r="C526" s="6">
        <v>40000.0</v>
      </c>
      <c r="D526" s="6">
        <v>3.341772152</v>
      </c>
      <c r="E526" s="6">
        <v>79.0</v>
      </c>
    </row>
    <row r="527">
      <c r="A527" s="4" t="s">
        <v>1054</v>
      </c>
      <c r="B527" s="5" t="s">
        <v>1055</v>
      </c>
      <c r="C527" s="6">
        <v>40000.0</v>
      </c>
      <c r="D527" s="6">
        <v>4.333333333</v>
      </c>
      <c r="E527" s="6">
        <v>60.0</v>
      </c>
    </row>
    <row r="528">
      <c r="A528" s="4" t="s">
        <v>1056</v>
      </c>
      <c r="B528" s="5" t="s">
        <v>1057</v>
      </c>
      <c r="C528" s="6">
        <v>40000.0</v>
      </c>
      <c r="D528" s="6">
        <v>3.935483871</v>
      </c>
      <c r="E528" s="6">
        <v>124.0</v>
      </c>
    </row>
    <row r="529">
      <c r="A529" s="4" t="s">
        <v>1058</v>
      </c>
      <c r="B529" s="5" t="s">
        <v>1059</v>
      </c>
      <c r="C529" s="6">
        <v>40000.0</v>
      </c>
      <c r="D529" s="6">
        <v>3.613259669</v>
      </c>
      <c r="E529" s="6">
        <v>181.0</v>
      </c>
    </row>
    <row r="530">
      <c r="A530" s="4" t="s">
        <v>1060</v>
      </c>
      <c r="B530" s="5" t="s">
        <v>1061</v>
      </c>
      <c r="C530" s="6">
        <v>40000.0</v>
      </c>
      <c r="D530" s="6">
        <v>3.894736842</v>
      </c>
      <c r="E530" s="6">
        <v>38.0</v>
      </c>
    </row>
    <row r="531">
      <c r="A531" s="4" t="s">
        <v>1062</v>
      </c>
      <c r="B531" s="5" t="s">
        <v>1063</v>
      </c>
      <c r="C531" s="6">
        <v>40000.0</v>
      </c>
      <c r="D531" s="6">
        <v>4.384615385</v>
      </c>
      <c r="E531" s="6">
        <v>65.0</v>
      </c>
    </row>
    <row r="532">
      <c r="A532" s="4" t="s">
        <v>1064</v>
      </c>
      <c r="B532" s="5" t="s">
        <v>1065</v>
      </c>
      <c r="C532" s="6">
        <v>40000.0</v>
      </c>
      <c r="D532" s="6">
        <v>3.305405405</v>
      </c>
      <c r="E532" s="6">
        <v>370.0</v>
      </c>
    </row>
    <row r="533">
      <c r="A533" s="4" t="s">
        <v>1066</v>
      </c>
      <c r="B533" s="5" t="s">
        <v>1067</v>
      </c>
      <c r="C533" s="6">
        <v>40000.0</v>
      </c>
      <c r="D533" s="6">
        <v>4.461538462</v>
      </c>
      <c r="E533" s="6">
        <v>13.0</v>
      </c>
    </row>
    <row r="534">
      <c r="A534" s="4" t="s">
        <v>1068</v>
      </c>
      <c r="B534" s="5" t="s">
        <v>1069</v>
      </c>
      <c r="C534" s="6">
        <v>40000.0</v>
      </c>
      <c r="D534" s="6">
        <v>4.101886792</v>
      </c>
      <c r="E534" s="6">
        <v>265.0</v>
      </c>
    </row>
    <row r="535">
      <c r="A535" s="4" t="s">
        <v>1070</v>
      </c>
      <c r="B535" s="5" t="s">
        <v>1071</v>
      </c>
      <c r="C535" s="6">
        <v>40000.0</v>
      </c>
      <c r="D535" s="6">
        <v>4.09</v>
      </c>
      <c r="E535" s="6">
        <v>200.0</v>
      </c>
    </row>
    <row r="536">
      <c r="A536" s="4" t="s">
        <v>1072</v>
      </c>
      <c r="B536" s="5" t="s">
        <v>1073</v>
      </c>
      <c r="C536" s="6">
        <v>40000.0</v>
      </c>
      <c r="D536" s="6">
        <v>4.604166667</v>
      </c>
      <c r="E536" s="6">
        <v>48.0</v>
      </c>
    </row>
    <row r="537">
      <c r="A537" s="4" t="s">
        <v>1074</v>
      </c>
      <c r="B537" s="5" t="s">
        <v>1075</v>
      </c>
      <c r="C537" s="6">
        <v>40000.0</v>
      </c>
      <c r="D537" s="6">
        <v>4.186440678</v>
      </c>
      <c r="E537" s="6">
        <v>59.0</v>
      </c>
    </row>
    <row r="538">
      <c r="A538" s="4" t="s">
        <v>1076</v>
      </c>
      <c r="B538" s="5" t="s">
        <v>1077</v>
      </c>
      <c r="C538" s="6">
        <v>40000.0</v>
      </c>
      <c r="D538" s="6">
        <v>3.355555556</v>
      </c>
      <c r="E538" s="6">
        <v>45.0</v>
      </c>
    </row>
    <row r="539">
      <c r="A539" s="4" t="s">
        <v>1078</v>
      </c>
      <c r="B539" s="5" t="s">
        <v>1079</v>
      </c>
      <c r="C539" s="6">
        <v>40000.0</v>
      </c>
      <c r="D539" s="6">
        <v>4.352941176</v>
      </c>
      <c r="E539" s="6">
        <v>51.0</v>
      </c>
    </row>
    <row r="540">
      <c r="A540" s="4" t="s">
        <v>1080</v>
      </c>
      <c r="B540" s="5" t="s">
        <v>1081</v>
      </c>
      <c r="C540" s="6">
        <v>40000.0</v>
      </c>
      <c r="D540" s="6">
        <v>4.541176471</v>
      </c>
      <c r="E540" s="6">
        <v>425.0</v>
      </c>
    </row>
    <row r="541">
      <c r="A541" s="4" t="s">
        <v>1082</v>
      </c>
      <c r="B541" s="5" t="s">
        <v>1083</v>
      </c>
      <c r="C541" s="6">
        <v>40000.0</v>
      </c>
      <c r="D541" s="6">
        <v>3.934782609</v>
      </c>
      <c r="E541" s="6">
        <v>46.0</v>
      </c>
    </row>
    <row r="542">
      <c r="A542" s="5" t="s">
        <v>1084</v>
      </c>
      <c r="B542" s="5" t="s">
        <v>1085</v>
      </c>
      <c r="C542" s="6">
        <v>40000.0</v>
      </c>
      <c r="D542" s="6">
        <v>4.21182266</v>
      </c>
      <c r="E542" s="6">
        <v>203.0</v>
      </c>
    </row>
    <row r="543">
      <c r="A543" s="4" t="s">
        <v>1086</v>
      </c>
      <c r="B543" s="5" t="s">
        <v>1087</v>
      </c>
      <c r="C543" s="6">
        <v>40000.0</v>
      </c>
      <c r="D543" s="6">
        <v>4.6</v>
      </c>
      <c r="E543" s="6">
        <v>40.0</v>
      </c>
    </row>
    <row r="544">
      <c r="A544" s="4" t="s">
        <v>1088</v>
      </c>
      <c r="B544" s="5" t="s">
        <v>1089</v>
      </c>
      <c r="C544" s="6">
        <v>40000.0</v>
      </c>
      <c r="D544" s="6">
        <v>4.176470588</v>
      </c>
      <c r="E544" s="6">
        <v>68.0</v>
      </c>
    </row>
    <row r="545">
      <c r="A545" s="4" t="s">
        <v>1090</v>
      </c>
      <c r="B545" s="5" t="s">
        <v>1091</v>
      </c>
      <c r="C545" s="6">
        <v>40000.0</v>
      </c>
      <c r="D545" s="6">
        <v>4.371428571</v>
      </c>
      <c r="E545" s="6">
        <v>35.0</v>
      </c>
    </row>
    <row r="546">
      <c r="A546" s="4" t="s">
        <v>1092</v>
      </c>
      <c r="B546" s="5" t="s">
        <v>1093</v>
      </c>
      <c r="C546" s="6">
        <v>40000.0</v>
      </c>
      <c r="D546" s="6">
        <v>4.316666667</v>
      </c>
      <c r="E546" s="6">
        <v>60.0</v>
      </c>
    </row>
    <row r="547">
      <c r="A547" s="4" t="s">
        <v>1094</v>
      </c>
      <c r="B547" s="5" t="s">
        <v>1095</v>
      </c>
      <c r="C547" s="6">
        <v>40000.0</v>
      </c>
      <c r="D547" s="6">
        <v>4.185714286</v>
      </c>
      <c r="E547" s="6">
        <v>140.0</v>
      </c>
    </row>
    <row r="548">
      <c r="A548" s="4" t="s">
        <v>1096</v>
      </c>
      <c r="B548" s="5" t="s">
        <v>1097</v>
      </c>
      <c r="C548" s="6">
        <v>40000.0</v>
      </c>
      <c r="D548" s="6">
        <v>4.180327869</v>
      </c>
      <c r="E548" s="6">
        <v>61.0</v>
      </c>
    </row>
    <row r="549">
      <c r="A549" s="4" t="s">
        <v>1098</v>
      </c>
      <c r="B549" s="5" t="s">
        <v>1099</v>
      </c>
      <c r="C549" s="6">
        <v>40000.0</v>
      </c>
      <c r="D549" s="6">
        <v>4.295819936</v>
      </c>
      <c r="E549" s="6">
        <v>311.0</v>
      </c>
    </row>
    <row r="550">
      <c r="A550" s="4" t="s">
        <v>1100</v>
      </c>
      <c r="B550" s="5" t="s">
        <v>1101</v>
      </c>
      <c r="C550" s="6">
        <v>40000.0</v>
      </c>
      <c r="D550" s="6">
        <v>3.261802575</v>
      </c>
      <c r="E550" s="6">
        <v>233.0</v>
      </c>
    </row>
    <row r="551">
      <c r="A551" s="4" t="s">
        <v>557</v>
      </c>
      <c r="B551" s="5" t="s">
        <v>1102</v>
      </c>
      <c r="C551" s="6">
        <v>40000.0</v>
      </c>
      <c r="D551" s="6">
        <v>4.333333333</v>
      </c>
      <c r="E551" s="6">
        <v>15.0</v>
      </c>
    </row>
    <row r="552">
      <c r="A552" s="4" t="s">
        <v>1103</v>
      </c>
      <c r="B552" s="5" t="s">
        <v>1104</v>
      </c>
      <c r="C552" s="6">
        <v>40000.0</v>
      </c>
      <c r="D552" s="6">
        <v>4.0</v>
      </c>
      <c r="E552" s="6">
        <v>46.0</v>
      </c>
    </row>
    <row r="553">
      <c r="A553" s="4" t="s">
        <v>1105</v>
      </c>
      <c r="B553" s="5" t="s">
        <v>1106</v>
      </c>
      <c r="C553" s="6">
        <v>40000.0</v>
      </c>
      <c r="D553" s="6">
        <v>4.888788427</v>
      </c>
      <c r="E553" s="6">
        <v>1106.0</v>
      </c>
    </row>
    <row r="554">
      <c r="A554" s="4" t="s">
        <v>1107</v>
      </c>
      <c r="B554" s="5" t="s">
        <v>1108</v>
      </c>
      <c r="C554" s="6">
        <v>40000.0</v>
      </c>
      <c r="D554" s="6">
        <v>4.203703704</v>
      </c>
      <c r="E554" s="6">
        <v>54.0</v>
      </c>
    </row>
    <row r="555">
      <c r="A555" s="4" t="s">
        <v>1109</v>
      </c>
      <c r="B555" s="5" t="s">
        <v>1110</v>
      </c>
      <c r="C555" s="6">
        <v>40000.0</v>
      </c>
      <c r="D555" s="6">
        <v>3.027777778</v>
      </c>
      <c r="E555" s="6">
        <v>180.0</v>
      </c>
    </row>
    <row r="556">
      <c r="A556" s="4" t="s">
        <v>1111</v>
      </c>
      <c r="B556" s="5" t="s">
        <v>1112</v>
      </c>
      <c r="C556" s="6">
        <v>40000.0</v>
      </c>
      <c r="D556" s="6">
        <v>2.88</v>
      </c>
      <c r="E556" s="6">
        <v>50.0</v>
      </c>
    </row>
    <row r="557">
      <c r="A557" s="4" t="s">
        <v>1113</v>
      </c>
      <c r="B557" s="5" t="s">
        <v>1114</v>
      </c>
      <c r="C557" s="6">
        <v>40000.0</v>
      </c>
      <c r="D557" s="6">
        <v>3.111111111</v>
      </c>
      <c r="E557" s="6">
        <v>9.0</v>
      </c>
    </row>
    <row r="558">
      <c r="A558" s="4" t="s">
        <v>1115</v>
      </c>
      <c r="B558" s="5" t="s">
        <v>1116</v>
      </c>
      <c r="C558" s="6">
        <v>40000.0</v>
      </c>
      <c r="D558" s="6">
        <v>3.454545455</v>
      </c>
      <c r="E558" s="6">
        <v>143.0</v>
      </c>
    </row>
    <row r="559">
      <c r="A559" s="4" t="s">
        <v>1117</v>
      </c>
      <c r="B559" s="5" t="s">
        <v>1118</v>
      </c>
      <c r="C559" s="6">
        <v>40000.0</v>
      </c>
      <c r="D559" s="6">
        <v>4.590909091</v>
      </c>
      <c r="E559" s="6">
        <v>22.0</v>
      </c>
    </row>
    <row r="560">
      <c r="A560" s="4" t="s">
        <v>1119</v>
      </c>
      <c r="B560" s="5" t="s">
        <v>1120</v>
      </c>
      <c r="C560" s="6">
        <v>40000.0</v>
      </c>
      <c r="D560" s="6">
        <v>4.25</v>
      </c>
      <c r="E560" s="6">
        <v>16.0</v>
      </c>
    </row>
    <row r="561">
      <c r="A561" s="4" t="s">
        <v>1121</v>
      </c>
      <c r="B561" s="5" t="s">
        <v>1122</v>
      </c>
      <c r="C561" s="6">
        <v>40000.0</v>
      </c>
      <c r="D561" s="6">
        <v>4.754716981</v>
      </c>
      <c r="E561" s="6">
        <v>53.0</v>
      </c>
    </row>
    <row r="562">
      <c r="A562" s="4" t="s">
        <v>1123</v>
      </c>
      <c r="B562" s="5" t="s">
        <v>1124</v>
      </c>
      <c r="C562" s="6">
        <v>40000.0</v>
      </c>
      <c r="D562" s="6">
        <v>2.739130435</v>
      </c>
      <c r="E562" s="6">
        <v>92.0</v>
      </c>
    </row>
    <row r="563">
      <c r="A563" s="4" t="s">
        <v>1125</v>
      </c>
      <c r="B563" s="5" t="s">
        <v>1126</v>
      </c>
      <c r="C563" s="6">
        <v>40000.0</v>
      </c>
      <c r="D563" s="6">
        <v>4.172413793</v>
      </c>
      <c r="E563" s="6">
        <v>29.0</v>
      </c>
    </row>
    <row r="564">
      <c r="A564" s="4" t="s">
        <v>1127</v>
      </c>
      <c r="B564" s="5" t="s">
        <v>1128</v>
      </c>
      <c r="C564" s="6">
        <v>40000.0</v>
      </c>
      <c r="D564" s="6">
        <v>3.0</v>
      </c>
      <c r="E564" s="6">
        <v>5.0</v>
      </c>
    </row>
    <row r="565">
      <c r="A565" s="4" t="s">
        <v>1129</v>
      </c>
      <c r="B565" s="5" t="s">
        <v>1130</v>
      </c>
      <c r="C565" s="6">
        <v>40000.0</v>
      </c>
      <c r="D565" s="6">
        <v>4.375</v>
      </c>
      <c r="E565" s="6">
        <v>16.0</v>
      </c>
    </row>
    <row r="566">
      <c r="A566" s="4" t="s">
        <v>1131</v>
      </c>
      <c r="B566" s="5" t="s">
        <v>1132</v>
      </c>
      <c r="C566" s="6">
        <v>40000.0</v>
      </c>
      <c r="D566" s="6">
        <v>3.1875</v>
      </c>
      <c r="E566" s="6">
        <v>16.0</v>
      </c>
    </row>
    <row r="567">
      <c r="A567" s="4" t="s">
        <v>1133</v>
      </c>
      <c r="B567" s="5" t="s">
        <v>1134</v>
      </c>
      <c r="C567" s="6">
        <v>40000.0</v>
      </c>
      <c r="D567" s="6">
        <v>3.991071429</v>
      </c>
      <c r="E567" s="6">
        <v>336.0</v>
      </c>
    </row>
    <row r="568">
      <c r="A568" s="4" t="s">
        <v>1135</v>
      </c>
      <c r="B568" s="5" t="s">
        <v>1136</v>
      </c>
      <c r="C568" s="6">
        <v>40000.0</v>
      </c>
      <c r="D568" s="6">
        <v>1.438356164</v>
      </c>
      <c r="E568" s="6">
        <v>73.0</v>
      </c>
    </row>
    <row r="569">
      <c r="A569" s="4" t="s">
        <v>1137</v>
      </c>
      <c r="B569" s="5" t="s">
        <v>1138</v>
      </c>
      <c r="C569" s="6">
        <v>40000.0</v>
      </c>
      <c r="D569" s="6">
        <v>4.418181818</v>
      </c>
      <c r="E569" s="6">
        <v>110.0</v>
      </c>
    </row>
    <row r="570">
      <c r="A570" s="4" t="s">
        <v>1139</v>
      </c>
      <c r="B570" s="5" t="s">
        <v>1140</v>
      </c>
      <c r="C570" s="6">
        <v>40000.0</v>
      </c>
      <c r="D570" s="6">
        <v>3.444444444</v>
      </c>
      <c r="E570" s="6">
        <v>45.0</v>
      </c>
    </row>
    <row r="571">
      <c r="A571" s="4" t="s">
        <v>1141</v>
      </c>
      <c r="B571" s="5" t="s">
        <v>1142</v>
      </c>
      <c r="C571" s="6">
        <v>40000.0</v>
      </c>
      <c r="D571" s="6">
        <v>5.0</v>
      </c>
      <c r="E571" s="6">
        <v>41.0</v>
      </c>
    </row>
    <row r="572">
      <c r="A572" s="4" t="s">
        <v>1143</v>
      </c>
      <c r="B572" s="5" t="s">
        <v>1144</v>
      </c>
      <c r="C572" s="6">
        <v>40000.0</v>
      </c>
      <c r="D572" s="6">
        <v>4.0</v>
      </c>
      <c r="E572" s="6">
        <v>3.0</v>
      </c>
    </row>
    <row r="573">
      <c r="A573" s="4" t="s">
        <v>1145</v>
      </c>
      <c r="B573" s="5" t="s">
        <v>1146</v>
      </c>
      <c r="C573" s="6">
        <v>40000.0</v>
      </c>
      <c r="D573" s="6">
        <v>4.495169082</v>
      </c>
      <c r="E573" s="6">
        <v>414.0</v>
      </c>
    </row>
    <row r="574">
      <c r="A574" s="4" t="s">
        <v>1147</v>
      </c>
      <c r="B574" s="5" t="s">
        <v>1148</v>
      </c>
      <c r="C574" s="6">
        <v>40000.0</v>
      </c>
      <c r="D574" s="6">
        <v>3.755162242</v>
      </c>
      <c r="E574" s="6">
        <v>339.0</v>
      </c>
    </row>
    <row r="575">
      <c r="A575" s="4" t="s">
        <v>1149</v>
      </c>
      <c r="B575" s="5" t="s">
        <v>1150</v>
      </c>
      <c r="C575" s="6">
        <v>40000.0</v>
      </c>
      <c r="D575" s="6">
        <v>4.703125</v>
      </c>
      <c r="E575" s="6">
        <v>64.0</v>
      </c>
    </row>
    <row r="576">
      <c r="A576" s="4" t="s">
        <v>1151</v>
      </c>
      <c r="B576" s="5" t="s">
        <v>1152</v>
      </c>
      <c r="C576" s="6">
        <v>40000.0</v>
      </c>
      <c r="D576" s="6">
        <v>4.315972222</v>
      </c>
      <c r="E576" s="6">
        <v>576.0</v>
      </c>
    </row>
    <row r="577">
      <c r="A577" s="4" t="s">
        <v>1153</v>
      </c>
      <c r="B577" s="5" t="s">
        <v>1154</v>
      </c>
      <c r="C577" s="6">
        <v>40000.0</v>
      </c>
      <c r="D577" s="6">
        <v>3.601265823</v>
      </c>
      <c r="E577" s="6">
        <v>316.0</v>
      </c>
    </row>
    <row r="578">
      <c r="A578" s="5" t="s">
        <v>1155</v>
      </c>
      <c r="B578" s="5" t="s">
        <v>1156</v>
      </c>
      <c r="C578" s="6">
        <v>40000.0</v>
      </c>
      <c r="D578" s="6">
        <v>4.757679181</v>
      </c>
      <c r="E578" s="6">
        <v>2051.0</v>
      </c>
    </row>
    <row r="579">
      <c r="A579" s="4" t="s">
        <v>1157</v>
      </c>
      <c r="B579" s="5" t="s">
        <v>1158</v>
      </c>
      <c r="C579" s="6">
        <v>40000.0</v>
      </c>
      <c r="D579" s="6">
        <v>3.903225806</v>
      </c>
      <c r="E579" s="6">
        <v>62.0</v>
      </c>
    </row>
    <row r="580">
      <c r="A580" s="4" t="s">
        <v>1159</v>
      </c>
      <c r="B580" s="5" t="s">
        <v>1160</v>
      </c>
      <c r="C580" s="6">
        <v>40000.0</v>
      </c>
      <c r="D580" s="6">
        <v>3.548286604</v>
      </c>
      <c r="E580" s="6">
        <v>321.0</v>
      </c>
    </row>
    <row r="581">
      <c r="A581" s="4" t="s">
        <v>1161</v>
      </c>
      <c r="B581" s="5" t="s">
        <v>1162</v>
      </c>
      <c r="C581" s="6">
        <v>40000.0</v>
      </c>
      <c r="D581" s="9"/>
      <c r="E581" s="9"/>
    </row>
    <row r="582">
      <c r="A582" s="4" t="s">
        <v>1163</v>
      </c>
      <c r="B582" s="5" t="s">
        <v>1164</v>
      </c>
      <c r="C582" s="6">
        <v>40000.0</v>
      </c>
      <c r="D582" s="6">
        <v>3.043478261</v>
      </c>
      <c r="E582" s="6">
        <v>322.0</v>
      </c>
    </row>
    <row r="583">
      <c r="A583" s="4" t="s">
        <v>1165</v>
      </c>
      <c r="B583" s="5" t="s">
        <v>1166</v>
      </c>
      <c r="C583" s="6">
        <v>40000.0</v>
      </c>
      <c r="D583" s="6">
        <v>1.0</v>
      </c>
      <c r="E583" s="6">
        <v>1.0</v>
      </c>
    </row>
    <row r="584">
      <c r="A584" s="4" t="s">
        <v>1167</v>
      </c>
      <c r="B584" s="5" t="s">
        <v>1168</v>
      </c>
      <c r="C584" s="6">
        <v>40000.0</v>
      </c>
      <c r="D584" s="6">
        <v>4.569979716</v>
      </c>
      <c r="E584" s="6">
        <v>493.0</v>
      </c>
    </row>
    <row r="585">
      <c r="A585" s="4" t="s">
        <v>1169</v>
      </c>
      <c r="B585" s="5" t="s">
        <v>1170</v>
      </c>
      <c r="C585" s="6">
        <v>40000.0</v>
      </c>
      <c r="D585" s="6">
        <v>3.026315789</v>
      </c>
      <c r="E585" s="6">
        <v>38.0</v>
      </c>
    </row>
    <row r="586">
      <c r="A586" s="4" t="s">
        <v>1171</v>
      </c>
      <c r="B586" s="5" t="s">
        <v>1172</v>
      </c>
      <c r="C586" s="6">
        <v>40000.0</v>
      </c>
      <c r="D586" s="6">
        <v>4.496402878</v>
      </c>
      <c r="E586" s="6">
        <v>417.0</v>
      </c>
    </row>
    <row r="587">
      <c r="A587" s="4" t="s">
        <v>1173</v>
      </c>
      <c r="B587" s="5" t="s">
        <v>1174</v>
      </c>
      <c r="C587" s="6">
        <v>40000.0</v>
      </c>
      <c r="D587" s="6">
        <v>3.733333333</v>
      </c>
      <c r="E587" s="6">
        <v>45.0</v>
      </c>
    </row>
    <row r="588">
      <c r="A588" s="10" t="s">
        <v>1175</v>
      </c>
      <c r="B588" s="5" t="s">
        <v>1176</v>
      </c>
      <c r="C588" s="6">
        <v>40000.0</v>
      </c>
      <c r="D588" s="6">
        <v>5.0</v>
      </c>
      <c r="E588" s="6">
        <v>3.0</v>
      </c>
    </row>
    <row r="589">
      <c r="A589" s="4" t="s">
        <v>1177</v>
      </c>
      <c r="B589" s="5" t="s">
        <v>1178</v>
      </c>
      <c r="C589" s="6">
        <v>40000.0</v>
      </c>
      <c r="D589" s="6">
        <v>3.933054393</v>
      </c>
      <c r="E589" s="6">
        <v>239.0</v>
      </c>
    </row>
    <row r="590">
      <c r="A590" s="4" t="s">
        <v>1179</v>
      </c>
      <c r="B590" s="5" t="s">
        <v>1180</v>
      </c>
      <c r="C590" s="6">
        <v>40000.0</v>
      </c>
      <c r="D590" s="6">
        <v>4.439153439</v>
      </c>
      <c r="E590" s="6">
        <v>189.0</v>
      </c>
    </row>
    <row r="591">
      <c r="A591" s="4" t="s">
        <v>1181</v>
      </c>
      <c r="B591" s="5" t="s">
        <v>1182</v>
      </c>
      <c r="C591" s="6">
        <v>40000.0</v>
      </c>
      <c r="D591" s="6">
        <v>4.666666667</v>
      </c>
      <c r="E591" s="6">
        <v>30.0</v>
      </c>
    </row>
    <row r="592">
      <c r="A592" s="4" t="s">
        <v>1183</v>
      </c>
      <c r="B592" s="5" t="s">
        <v>1184</v>
      </c>
      <c r="C592" s="6">
        <v>40000.0</v>
      </c>
      <c r="D592" s="6">
        <v>2.46875</v>
      </c>
      <c r="E592" s="6">
        <v>32.0</v>
      </c>
    </row>
    <row r="593">
      <c r="A593" s="4" t="s">
        <v>1185</v>
      </c>
      <c r="B593" s="5" t="s">
        <v>1186</v>
      </c>
      <c r="C593" s="6">
        <v>40000.0</v>
      </c>
      <c r="D593" s="6">
        <v>4.248341232</v>
      </c>
      <c r="E593" s="6">
        <v>5275.0</v>
      </c>
    </row>
    <row r="594">
      <c r="A594" s="4" t="s">
        <v>1187</v>
      </c>
      <c r="B594" s="5" t="s">
        <v>1188</v>
      </c>
      <c r="C594" s="6">
        <v>40000.0</v>
      </c>
      <c r="D594" s="6">
        <v>2.796610169</v>
      </c>
      <c r="E594" s="6">
        <v>59.0</v>
      </c>
    </row>
    <row r="595">
      <c r="A595" s="4" t="s">
        <v>1189</v>
      </c>
      <c r="B595" s="5" t="s">
        <v>1190</v>
      </c>
      <c r="C595" s="6">
        <v>40000.0</v>
      </c>
      <c r="D595" s="6">
        <v>4.075</v>
      </c>
      <c r="E595" s="6">
        <v>160.0</v>
      </c>
    </row>
    <row r="596">
      <c r="A596" s="4" t="s">
        <v>1191</v>
      </c>
      <c r="B596" s="5" t="s">
        <v>1192</v>
      </c>
      <c r="C596" s="6">
        <v>40000.0</v>
      </c>
      <c r="D596" s="6">
        <v>4.84</v>
      </c>
      <c r="E596" s="6">
        <v>25.0</v>
      </c>
    </row>
    <row r="597">
      <c r="A597" s="4" t="s">
        <v>1193</v>
      </c>
      <c r="B597" s="5" t="s">
        <v>1194</v>
      </c>
      <c r="C597" s="6">
        <v>40000.0</v>
      </c>
      <c r="D597" s="6">
        <v>3.704142012</v>
      </c>
      <c r="E597" s="6">
        <v>169.0</v>
      </c>
    </row>
    <row r="598">
      <c r="A598" s="4" t="s">
        <v>1195</v>
      </c>
      <c r="B598" s="5" t="s">
        <v>1196</v>
      </c>
      <c r="C598" s="6">
        <v>40000.0</v>
      </c>
      <c r="D598" s="6">
        <v>3.986111111</v>
      </c>
      <c r="E598" s="6">
        <v>72.0</v>
      </c>
    </row>
    <row r="599">
      <c r="A599" s="4" t="s">
        <v>1197</v>
      </c>
      <c r="B599" s="5" t="s">
        <v>1198</v>
      </c>
      <c r="C599" s="6">
        <v>40000.0</v>
      </c>
      <c r="D599" s="6">
        <v>3.761904762</v>
      </c>
      <c r="E599" s="6">
        <v>21.0</v>
      </c>
    </row>
    <row r="600">
      <c r="A600" s="4" t="s">
        <v>1199</v>
      </c>
      <c r="B600" s="5" t="s">
        <v>1200</v>
      </c>
      <c r="C600" s="6">
        <v>40000.0</v>
      </c>
      <c r="D600" s="6">
        <v>4.395027624</v>
      </c>
      <c r="E600" s="6">
        <v>1810.0</v>
      </c>
    </row>
    <row r="601">
      <c r="A601" s="4" t="s">
        <v>1201</v>
      </c>
      <c r="B601" s="5" t="s">
        <v>1202</v>
      </c>
      <c r="C601" s="6">
        <v>40000.0</v>
      </c>
      <c r="D601" s="6">
        <v>4.72936803</v>
      </c>
      <c r="E601" s="6">
        <v>1345.0</v>
      </c>
    </row>
    <row r="602">
      <c r="A602" s="4" t="s">
        <v>1203</v>
      </c>
      <c r="B602" s="5" t="s">
        <v>1204</v>
      </c>
      <c r="C602" s="6">
        <v>40000.0</v>
      </c>
      <c r="D602" s="6">
        <v>4.0</v>
      </c>
      <c r="E602" s="6">
        <v>23.0</v>
      </c>
    </row>
    <row r="603">
      <c r="A603" s="4" t="s">
        <v>1205</v>
      </c>
      <c r="B603" s="5" t="s">
        <v>1206</v>
      </c>
      <c r="C603" s="6">
        <v>40000.0</v>
      </c>
      <c r="D603" s="6">
        <v>3.133333333</v>
      </c>
      <c r="E603" s="6">
        <v>660.0</v>
      </c>
    </row>
    <row r="604">
      <c r="A604" s="4" t="s">
        <v>1207</v>
      </c>
      <c r="B604" s="5" t="s">
        <v>1208</v>
      </c>
      <c r="C604" s="6">
        <v>40000.0</v>
      </c>
      <c r="D604" s="6">
        <v>3.257142857</v>
      </c>
      <c r="E604" s="6">
        <v>35.0</v>
      </c>
    </row>
    <row r="605">
      <c r="A605" s="4" t="s">
        <v>1209</v>
      </c>
      <c r="B605" s="5" t="s">
        <v>1210</v>
      </c>
      <c r="C605" s="6">
        <v>40000.0</v>
      </c>
      <c r="D605" s="6">
        <v>4.291666667</v>
      </c>
      <c r="E605" s="6">
        <v>24.0</v>
      </c>
    </row>
    <row r="606">
      <c r="A606" s="4" t="s">
        <v>1211</v>
      </c>
      <c r="B606" s="5" t="s">
        <v>1212</v>
      </c>
      <c r="C606" s="6">
        <v>30000.0</v>
      </c>
      <c r="D606" s="6">
        <v>3.307692308</v>
      </c>
      <c r="E606" s="6">
        <v>13.0</v>
      </c>
    </row>
    <row r="607">
      <c r="A607" s="4" t="s">
        <v>1213</v>
      </c>
      <c r="B607" s="5" t="s">
        <v>1214</v>
      </c>
      <c r="C607" s="6">
        <v>30000.0</v>
      </c>
      <c r="D607" s="6">
        <v>4.36131934</v>
      </c>
      <c r="E607" s="6">
        <v>667.0</v>
      </c>
    </row>
    <row r="608">
      <c r="A608" s="4" t="s">
        <v>1215</v>
      </c>
      <c r="B608" s="5" t="s">
        <v>1216</v>
      </c>
      <c r="C608" s="6">
        <v>30000.0</v>
      </c>
      <c r="D608" s="6">
        <v>4.775665399</v>
      </c>
      <c r="E608" s="6">
        <v>263.0</v>
      </c>
    </row>
    <row r="609">
      <c r="A609" s="4" t="s">
        <v>1217</v>
      </c>
      <c r="B609" s="5" t="s">
        <v>1218</v>
      </c>
      <c r="C609" s="6">
        <v>30000.0</v>
      </c>
      <c r="D609" s="6">
        <v>4.40956341</v>
      </c>
      <c r="E609" s="6">
        <v>481.0</v>
      </c>
    </row>
    <row r="610">
      <c r="A610" s="4" t="s">
        <v>1219</v>
      </c>
      <c r="B610" s="5" t="s">
        <v>1220</v>
      </c>
      <c r="C610" s="6">
        <v>30000.0</v>
      </c>
      <c r="D610" s="6">
        <v>2.021978022</v>
      </c>
      <c r="E610" s="6">
        <v>1365.0</v>
      </c>
    </row>
    <row r="611">
      <c r="A611" s="4" t="s">
        <v>1221</v>
      </c>
      <c r="B611" s="5" t="s">
        <v>1222</v>
      </c>
      <c r="C611" s="6">
        <v>30000.0</v>
      </c>
      <c r="D611" s="6">
        <v>4.623036649</v>
      </c>
      <c r="E611" s="6">
        <v>191.0</v>
      </c>
    </row>
    <row r="612">
      <c r="A612" s="4" t="s">
        <v>227</v>
      </c>
      <c r="B612" s="5" t="s">
        <v>1223</v>
      </c>
      <c r="C612" s="6">
        <v>30000.0</v>
      </c>
      <c r="D612" s="6">
        <v>4.89380531</v>
      </c>
      <c r="E612" s="6">
        <v>1356.0</v>
      </c>
    </row>
    <row r="613">
      <c r="A613" s="4" t="s">
        <v>1224</v>
      </c>
      <c r="B613" s="5" t="s">
        <v>1225</v>
      </c>
      <c r="C613" s="6">
        <v>30000.0</v>
      </c>
      <c r="D613" s="6">
        <v>3.838095238</v>
      </c>
      <c r="E613" s="6">
        <v>210.0</v>
      </c>
    </row>
    <row r="614">
      <c r="A614" s="4" t="s">
        <v>1226</v>
      </c>
      <c r="B614" s="5" t="s">
        <v>1227</v>
      </c>
      <c r="C614" s="6">
        <v>30000.0</v>
      </c>
      <c r="D614" s="6">
        <v>3.129032258</v>
      </c>
      <c r="E614" s="6">
        <v>93.0</v>
      </c>
    </row>
    <row r="615">
      <c r="A615" s="4" t="s">
        <v>1228</v>
      </c>
      <c r="B615" s="5" t="s">
        <v>1229</v>
      </c>
      <c r="C615" s="6">
        <v>30000.0</v>
      </c>
      <c r="D615" s="6">
        <v>4.710691824</v>
      </c>
      <c r="E615" s="6">
        <v>159.0</v>
      </c>
    </row>
    <row r="616">
      <c r="A616" s="4" t="s">
        <v>1230</v>
      </c>
      <c r="B616" s="5" t="s">
        <v>1231</v>
      </c>
      <c r="C616" s="6">
        <v>30000.0</v>
      </c>
      <c r="D616" s="6">
        <v>3.482758621</v>
      </c>
      <c r="E616" s="6">
        <v>87.0</v>
      </c>
    </row>
    <row r="617">
      <c r="A617" s="4" t="s">
        <v>1232</v>
      </c>
      <c r="B617" s="5" t="s">
        <v>1233</v>
      </c>
      <c r="C617" s="6">
        <v>30000.0</v>
      </c>
      <c r="D617" s="6">
        <v>4.686602871</v>
      </c>
      <c r="E617" s="6">
        <v>418.0</v>
      </c>
    </row>
    <row r="618">
      <c r="A618" s="4" t="s">
        <v>1234</v>
      </c>
      <c r="B618" s="5" t="s">
        <v>1235</v>
      </c>
      <c r="C618" s="6">
        <v>30000.0</v>
      </c>
      <c r="D618" s="6">
        <v>3.443514644</v>
      </c>
      <c r="E618" s="6">
        <v>239.0</v>
      </c>
    </row>
    <row r="619">
      <c r="A619" s="4" t="s">
        <v>1236</v>
      </c>
      <c r="B619" s="5" t="s">
        <v>1237</v>
      </c>
      <c r="C619" s="6">
        <v>30000.0</v>
      </c>
      <c r="D619" s="6">
        <v>3.375</v>
      </c>
      <c r="E619" s="6">
        <v>40.0</v>
      </c>
    </row>
    <row r="620">
      <c r="A620" s="4" t="s">
        <v>1238</v>
      </c>
      <c r="B620" s="5" t="s">
        <v>1239</v>
      </c>
      <c r="C620" s="6">
        <v>30000.0</v>
      </c>
      <c r="D620" s="6">
        <v>4.4</v>
      </c>
      <c r="E620" s="6">
        <v>20.0</v>
      </c>
    </row>
    <row r="621">
      <c r="A621" s="4" t="s">
        <v>1240</v>
      </c>
      <c r="B621" s="5" t="s">
        <v>1241</v>
      </c>
      <c r="C621" s="6">
        <v>30000.0</v>
      </c>
      <c r="D621" s="6">
        <v>4.311827957</v>
      </c>
      <c r="E621" s="6">
        <v>93.0</v>
      </c>
    </row>
    <row r="622">
      <c r="A622" s="4" t="s">
        <v>1242</v>
      </c>
      <c r="B622" s="5" t="s">
        <v>1243</v>
      </c>
      <c r="C622" s="6">
        <v>30000.0</v>
      </c>
      <c r="D622" s="6">
        <v>3.634782609</v>
      </c>
      <c r="E622" s="6">
        <v>115.0</v>
      </c>
    </row>
    <row r="623">
      <c r="A623" s="4" t="s">
        <v>1244</v>
      </c>
      <c r="B623" s="5" t="s">
        <v>1245</v>
      </c>
      <c r="C623" s="6">
        <v>30000.0</v>
      </c>
      <c r="D623" s="6">
        <v>5.0</v>
      </c>
      <c r="E623" s="6">
        <v>4.0</v>
      </c>
    </row>
    <row r="624">
      <c r="A624" s="4" t="s">
        <v>1246</v>
      </c>
      <c r="B624" s="5" t="s">
        <v>1247</v>
      </c>
      <c r="C624" s="6">
        <v>30000.0</v>
      </c>
      <c r="D624" s="9"/>
      <c r="E624" s="9"/>
    </row>
    <row r="625">
      <c r="A625" s="4" t="s">
        <v>1248</v>
      </c>
      <c r="B625" s="5" t="s">
        <v>1249</v>
      </c>
      <c r="C625" s="6">
        <v>30000.0</v>
      </c>
      <c r="D625" s="6">
        <v>3.211267606</v>
      </c>
      <c r="E625" s="6">
        <v>71.0</v>
      </c>
    </row>
    <row r="626">
      <c r="A626" s="4" t="s">
        <v>1250</v>
      </c>
      <c r="B626" s="5" t="s">
        <v>1251</v>
      </c>
      <c r="C626" s="6">
        <v>30000.0</v>
      </c>
      <c r="D626" s="6">
        <v>4.323076923</v>
      </c>
      <c r="E626" s="6">
        <v>65.0</v>
      </c>
    </row>
    <row r="627">
      <c r="A627" s="4" t="s">
        <v>1252</v>
      </c>
      <c r="B627" s="5" t="s">
        <v>1253</v>
      </c>
      <c r="C627" s="6">
        <v>30000.0</v>
      </c>
      <c r="D627" s="6">
        <v>4.721311475</v>
      </c>
      <c r="E627" s="6">
        <v>61.0</v>
      </c>
    </row>
    <row r="628">
      <c r="A628" s="4" t="s">
        <v>1254</v>
      </c>
      <c r="B628" s="5" t="s">
        <v>1255</v>
      </c>
      <c r="C628" s="6">
        <v>30000.0</v>
      </c>
      <c r="D628" s="6">
        <v>4.537931034</v>
      </c>
      <c r="E628" s="6">
        <v>145.0</v>
      </c>
    </row>
    <row r="629">
      <c r="A629" s="4" t="s">
        <v>1256</v>
      </c>
      <c r="B629" s="5" t="s">
        <v>1257</v>
      </c>
      <c r="C629" s="6">
        <v>30000.0</v>
      </c>
      <c r="D629" s="6">
        <v>4.407407407</v>
      </c>
      <c r="E629" s="6">
        <v>27.0</v>
      </c>
    </row>
    <row r="630">
      <c r="A630" s="4" t="s">
        <v>1258</v>
      </c>
      <c r="B630" s="5" t="s">
        <v>1259</v>
      </c>
      <c r="C630" s="6">
        <v>30000.0</v>
      </c>
      <c r="D630" s="6">
        <v>3.658119658</v>
      </c>
      <c r="E630" s="6">
        <v>117.0</v>
      </c>
    </row>
    <row r="631">
      <c r="A631" s="4" t="s">
        <v>1260</v>
      </c>
      <c r="B631" s="5" t="s">
        <v>1261</v>
      </c>
      <c r="C631" s="6">
        <v>30000.0</v>
      </c>
      <c r="D631" s="6">
        <v>4.488372093</v>
      </c>
      <c r="E631" s="6">
        <v>43.0</v>
      </c>
    </row>
    <row r="632">
      <c r="A632" s="4" t="s">
        <v>1262</v>
      </c>
      <c r="B632" s="5" t="s">
        <v>1263</v>
      </c>
      <c r="C632" s="6">
        <v>30000.0</v>
      </c>
      <c r="D632" s="6">
        <v>3.666666667</v>
      </c>
      <c r="E632" s="6">
        <v>24.0</v>
      </c>
    </row>
    <row r="633">
      <c r="A633" s="4" t="s">
        <v>1264</v>
      </c>
      <c r="B633" s="5" t="s">
        <v>1265</v>
      </c>
      <c r="C633" s="6">
        <v>30000.0</v>
      </c>
      <c r="D633" s="6">
        <v>3.875</v>
      </c>
      <c r="E633" s="6">
        <v>48.0</v>
      </c>
    </row>
    <row r="634">
      <c r="A634" s="4" t="s">
        <v>1266</v>
      </c>
      <c r="B634" s="5" t="s">
        <v>1267</v>
      </c>
      <c r="C634" s="6">
        <v>30000.0</v>
      </c>
      <c r="D634" s="6">
        <v>4.310160428</v>
      </c>
      <c r="E634" s="6">
        <v>187.0</v>
      </c>
    </row>
    <row r="635">
      <c r="A635" s="4" t="s">
        <v>1268</v>
      </c>
      <c r="B635" s="5" t="s">
        <v>1269</v>
      </c>
      <c r="C635" s="6">
        <v>30000.0</v>
      </c>
      <c r="D635" s="6">
        <v>2.333333333</v>
      </c>
      <c r="E635" s="6">
        <v>3.0</v>
      </c>
    </row>
    <row r="636">
      <c r="A636" s="4" t="s">
        <v>1270</v>
      </c>
      <c r="B636" s="5" t="s">
        <v>1271</v>
      </c>
      <c r="C636" s="6">
        <v>30000.0</v>
      </c>
      <c r="D636" s="6">
        <v>4.666666667</v>
      </c>
      <c r="E636" s="6">
        <v>24.0</v>
      </c>
    </row>
    <row r="637">
      <c r="A637" s="4" t="s">
        <v>1272</v>
      </c>
      <c r="B637" s="5" t="s">
        <v>1273</v>
      </c>
      <c r="C637" s="6">
        <v>30000.0</v>
      </c>
      <c r="D637" s="6">
        <v>4.346153846</v>
      </c>
      <c r="E637" s="6">
        <v>26.0</v>
      </c>
    </row>
    <row r="638">
      <c r="A638" s="4" t="s">
        <v>1274</v>
      </c>
      <c r="B638" s="5" t="s">
        <v>1275</v>
      </c>
      <c r="C638" s="6">
        <v>30000.0</v>
      </c>
      <c r="D638" s="6">
        <v>4.342465753</v>
      </c>
      <c r="E638" s="6">
        <v>73.0</v>
      </c>
    </row>
    <row r="639">
      <c r="A639" s="4" t="s">
        <v>1276</v>
      </c>
      <c r="B639" s="5" t="s">
        <v>1277</v>
      </c>
      <c r="C639" s="6">
        <v>30000.0</v>
      </c>
      <c r="D639" s="6">
        <v>4.05</v>
      </c>
      <c r="E639" s="6">
        <v>300.0</v>
      </c>
    </row>
    <row r="640">
      <c r="A640" s="4" t="s">
        <v>1278</v>
      </c>
      <c r="B640" s="5" t="s">
        <v>1279</v>
      </c>
      <c r="C640" s="6">
        <v>30000.0</v>
      </c>
      <c r="D640" s="6">
        <v>4.351851852</v>
      </c>
      <c r="E640" s="6">
        <v>162.0</v>
      </c>
    </row>
    <row r="641">
      <c r="A641" s="4" t="s">
        <v>1280</v>
      </c>
      <c r="B641" s="5" t="s">
        <v>1281</v>
      </c>
      <c r="C641" s="6">
        <v>30000.0</v>
      </c>
      <c r="D641" s="6">
        <v>4.630769231</v>
      </c>
      <c r="E641" s="6">
        <v>195.0</v>
      </c>
    </row>
    <row r="642">
      <c r="A642" s="4" t="s">
        <v>1282</v>
      </c>
      <c r="B642" s="5" t="s">
        <v>1283</v>
      </c>
      <c r="C642" s="6">
        <v>30000.0</v>
      </c>
      <c r="D642" s="6">
        <v>3.5</v>
      </c>
      <c r="E642" s="6">
        <v>18.0</v>
      </c>
    </row>
    <row r="643">
      <c r="A643" s="4" t="s">
        <v>1284</v>
      </c>
      <c r="B643" s="5" t="s">
        <v>1285</v>
      </c>
      <c r="C643" s="6">
        <v>30000.0</v>
      </c>
      <c r="D643" s="6">
        <v>4.186550976</v>
      </c>
      <c r="E643" s="6">
        <v>461.0</v>
      </c>
    </row>
    <row r="644">
      <c r="A644" s="4" t="s">
        <v>1286</v>
      </c>
      <c r="B644" s="5" t="s">
        <v>1287</v>
      </c>
      <c r="C644" s="6">
        <v>30000.0</v>
      </c>
      <c r="D644" s="6">
        <v>3.714285714</v>
      </c>
      <c r="E644" s="6">
        <v>182.0</v>
      </c>
    </row>
    <row r="645">
      <c r="A645" s="4" t="s">
        <v>1288</v>
      </c>
      <c r="B645" s="5" t="s">
        <v>1289</v>
      </c>
      <c r="C645" s="6">
        <v>30000.0</v>
      </c>
      <c r="D645" s="6">
        <v>3.325</v>
      </c>
      <c r="E645" s="6">
        <v>40.0</v>
      </c>
    </row>
    <row r="646">
      <c r="A646" s="4" t="s">
        <v>1290</v>
      </c>
      <c r="B646" s="5" t="s">
        <v>1291</v>
      </c>
      <c r="C646" s="6">
        <v>30000.0</v>
      </c>
      <c r="D646" s="6">
        <v>4.465478842</v>
      </c>
      <c r="E646" s="6">
        <v>449.0</v>
      </c>
    </row>
    <row r="647">
      <c r="A647" s="4" t="s">
        <v>1292</v>
      </c>
      <c r="B647" s="5" t="s">
        <v>1293</v>
      </c>
      <c r="C647" s="6">
        <v>30000.0</v>
      </c>
      <c r="D647" s="6">
        <v>3.971962617</v>
      </c>
      <c r="E647" s="6">
        <v>107.0</v>
      </c>
    </row>
    <row r="648">
      <c r="A648" s="4" t="s">
        <v>1294</v>
      </c>
      <c r="B648" s="5" t="s">
        <v>1295</v>
      </c>
      <c r="C648" s="6">
        <v>30000.0</v>
      </c>
      <c r="D648" s="6">
        <v>1.822580645</v>
      </c>
      <c r="E648" s="6">
        <v>62.0</v>
      </c>
    </row>
    <row r="649">
      <c r="A649" s="4" t="s">
        <v>1296</v>
      </c>
      <c r="B649" s="5" t="s">
        <v>1297</v>
      </c>
      <c r="C649" s="6">
        <v>30000.0</v>
      </c>
      <c r="D649" s="6">
        <v>1.769230769</v>
      </c>
      <c r="E649" s="6">
        <v>13.0</v>
      </c>
    </row>
    <row r="650">
      <c r="A650" s="4" t="s">
        <v>1298</v>
      </c>
      <c r="B650" s="5" t="s">
        <v>1299</v>
      </c>
      <c r="C650" s="6">
        <v>30000.0</v>
      </c>
      <c r="D650" s="6">
        <v>4.245398773</v>
      </c>
      <c r="E650" s="6">
        <v>163.0</v>
      </c>
    </row>
    <row r="651">
      <c r="A651" s="4" t="s">
        <v>1300</v>
      </c>
      <c r="B651" s="5" t="s">
        <v>1301</v>
      </c>
      <c r="C651" s="6">
        <v>30000.0</v>
      </c>
      <c r="D651" s="6">
        <v>3.796721311</v>
      </c>
      <c r="E651" s="6">
        <v>305.0</v>
      </c>
    </row>
    <row r="652">
      <c r="A652" s="4" t="s">
        <v>1302</v>
      </c>
      <c r="B652" s="5" t="s">
        <v>1303</v>
      </c>
      <c r="C652" s="6">
        <v>30000.0</v>
      </c>
      <c r="D652" s="6">
        <v>4.273684211</v>
      </c>
      <c r="E652" s="6">
        <v>95.0</v>
      </c>
    </row>
    <row r="653">
      <c r="A653" s="4" t="s">
        <v>1304</v>
      </c>
      <c r="B653" s="5" t="s">
        <v>1305</v>
      </c>
      <c r="C653" s="6">
        <v>30000.0</v>
      </c>
      <c r="D653" s="6">
        <v>4.57232376</v>
      </c>
      <c r="E653" s="6">
        <v>1915.0</v>
      </c>
    </row>
    <row r="654">
      <c r="A654" s="4" t="s">
        <v>1306</v>
      </c>
      <c r="B654" s="5" t="s">
        <v>1307</v>
      </c>
      <c r="C654" s="6">
        <v>30000.0</v>
      </c>
      <c r="D654" s="6">
        <v>3.92</v>
      </c>
      <c r="E654" s="6">
        <v>50.0</v>
      </c>
    </row>
    <row r="655">
      <c r="A655" s="4" t="s">
        <v>1308</v>
      </c>
      <c r="B655" s="5" t="s">
        <v>1309</v>
      </c>
      <c r="C655" s="6">
        <v>30000.0</v>
      </c>
      <c r="D655" s="6">
        <v>4.346405229</v>
      </c>
      <c r="E655" s="6">
        <v>153.0</v>
      </c>
    </row>
    <row r="656">
      <c r="A656" s="4" t="s">
        <v>1310</v>
      </c>
      <c r="B656" s="5" t="s">
        <v>1311</v>
      </c>
      <c r="C656" s="6">
        <v>30000.0</v>
      </c>
      <c r="D656" s="6">
        <v>3.759868421</v>
      </c>
      <c r="E656" s="6">
        <v>304.0</v>
      </c>
    </row>
    <row r="657">
      <c r="A657" s="4" t="s">
        <v>1312</v>
      </c>
      <c r="B657" s="5" t="s">
        <v>1313</v>
      </c>
      <c r="C657" s="6">
        <v>30000.0</v>
      </c>
      <c r="D657" s="6">
        <v>3.921428571</v>
      </c>
      <c r="E657" s="6">
        <v>140.0</v>
      </c>
    </row>
    <row r="658">
      <c r="A658" s="4" t="s">
        <v>1314</v>
      </c>
      <c r="B658" s="5" t="s">
        <v>1315</v>
      </c>
      <c r="C658" s="6">
        <v>30000.0</v>
      </c>
      <c r="D658" s="6">
        <v>3.92</v>
      </c>
      <c r="E658" s="6">
        <v>25.0</v>
      </c>
    </row>
    <row r="659">
      <c r="A659" s="4" t="s">
        <v>1316</v>
      </c>
      <c r="B659" s="5" t="s">
        <v>1317</v>
      </c>
      <c r="C659" s="6">
        <v>30000.0</v>
      </c>
      <c r="D659" s="6">
        <v>3.968468468</v>
      </c>
      <c r="E659" s="6">
        <v>444.0</v>
      </c>
    </row>
    <row r="660">
      <c r="A660" s="4" t="s">
        <v>1318</v>
      </c>
      <c r="B660" s="5" t="s">
        <v>1319</v>
      </c>
      <c r="C660" s="6">
        <v>30000.0</v>
      </c>
      <c r="D660" s="6">
        <v>4.628318584</v>
      </c>
      <c r="E660" s="6">
        <v>339.0</v>
      </c>
    </row>
    <row r="661">
      <c r="A661" s="4" t="s">
        <v>1320</v>
      </c>
      <c r="B661" s="5" t="s">
        <v>1321</v>
      </c>
      <c r="C661" s="6">
        <v>30000.0</v>
      </c>
      <c r="D661" s="6">
        <v>4.064</v>
      </c>
      <c r="E661" s="6">
        <v>125.0</v>
      </c>
    </row>
    <row r="662">
      <c r="A662" s="4" t="s">
        <v>1322</v>
      </c>
      <c r="B662" s="5" t="s">
        <v>1323</v>
      </c>
      <c r="C662" s="6">
        <v>30000.0</v>
      </c>
      <c r="D662" s="6">
        <v>1.413793103</v>
      </c>
      <c r="E662" s="6">
        <v>29.0</v>
      </c>
    </row>
    <row r="663">
      <c r="A663" s="4" t="s">
        <v>1324</v>
      </c>
      <c r="B663" s="5" t="s">
        <v>1325</v>
      </c>
      <c r="C663" s="6">
        <v>30000.0</v>
      </c>
      <c r="D663" s="6">
        <v>4.962962963</v>
      </c>
      <c r="E663" s="6">
        <v>27.0</v>
      </c>
    </row>
    <row r="664">
      <c r="A664" s="4" t="s">
        <v>1326</v>
      </c>
      <c r="B664" s="5" t="s">
        <v>1327</v>
      </c>
      <c r="C664" s="6">
        <v>30000.0</v>
      </c>
      <c r="D664" s="6">
        <v>4.125</v>
      </c>
      <c r="E664" s="6">
        <v>96.0</v>
      </c>
    </row>
    <row r="665">
      <c r="A665" s="4" t="s">
        <v>1328</v>
      </c>
      <c r="B665" s="5" t="s">
        <v>1329</v>
      </c>
      <c r="C665" s="6">
        <v>30000.0</v>
      </c>
      <c r="D665" s="6">
        <v>4.707317073</v>
      </c>
      <c r="E665" s="6">
        <v>41.0</v>
      </c>
    </row>
    <row r="666">
      <c r="A666" s="4" t="s">
        <v>1330</v>
      </c>
      <c r="B666" s="5" t="s">
        <v>1331</v>
      </c>
      <c r="C666" s="6">
        <v>30000.0</v>
      </c>
      <c r="D666" s="6">
        <v>3.0</v>
      </c>
      <c r="E666" s="6">
        <v>2.0</v>
      </c>
    </row>
    <row r="667">
      <c r="A667" s="4" t="s">
        <v>1332</v>
      </c>
      <c r="B667" s="5" t="s">
        <v>1333</v>
      </c>
      <c r="C667" s="6">
        <v>30000.0</v>
      </c>
      <c r="D667" s="6">
        <v>4.071684588</v>
      </c>
      <c r="E667" s="6">
        <v>279.0</v>
      </c>
    </row>
    <row r="668">
      <c r="A668" s="4" t="s">
        <v>1334</v>
      </c>
      <c r="B668" s="5" t="s">
        <v>1335</v>
      </c>
      <c r="C668" s="6">
        <v>30000.0</v>
      </c>
      <c r="D668" s="6">
        <v>2.426008969</v>
      </c>
      <c r="E668" s="6">
        <v>223.0</v>
      </c>
    </row>
    <row r="669">
      <c r="A669" s="4" t="s">
        <v>1336</v>
      </c>
      <c r="B669" s="5" t="s">
        <v>1337</v>
      </c>
      <c r="C669" s="6">
        <v>30000.0</v>
      </c>
      <c r="D669" s="6">
        <v>1.640186916</v>
      </c>
      <c r="E669" s="6">
        <v>214.0</v>
      </c>
    </row>
    <row r="670">
      <c r="A670" s="4" t="s">
        <v>1338</v>
      </c>
      <c r="B670" s="5" t="s">
        <v>1339</v>
      </c>
      <c r="C670" s="6">
        <v>30000.0</v>
      </c>
      <c r="D670" s="6">
        <v>2.142857143</v>
      </c>
      <c r="E670" s="6">
        <v>21.0</v>
      </c>
    </row>
    <row r="671">
      <c r="A671" s="4" t="s">
        <v>1340</v>
      </c>
      <c r="B671" s="5" t="s">
        <v>1341</v>
      </c>
      <c r="C671" s="6">
        <v>30000.0</v>
      </c>
      <c r="D671" s="6">
        <v>3.652173913</v>
      </c>
      <c r="E671" s="6">
        <v>92.0</v>
      </c>
    </row>
    <row r="672">
      <c r="A672" s="4" t="s">
        <v>1342</v>
      </c>
      <c r="B672" s="5" t="s">
        <v>1343</v>
      </c>
      <c r="C672" s="6">
        <v>30000.0</v>
      </c>
      <c r="D672" s="6">
        <v>3.926829268</v>
      </c>
      <c r="E672" s="6">
        <v>41.0</v>
      </c>
    </row>
    <row r="673">
      <c r="A673" s="4" t="s">
        <v>1344</v>
      </c>
      <c r="B673" s="5" t="s">
        <v>1345</v>
      </c>
      <c r="C673" s="6">
        <v>30000.0</v>
      </c>
      <c r="D673" s="6">
        <v>3.654545455</v>
      </c>
      <c r="E673" s="6">
        <v>55.0</v>
      </c>
    </row>
    <row r="674">
      <c r="A674" s="4" t="s">
        <v>1346</v>
      </c>
      <c r="B674" s="5" t="s">
        <v>1347</v>
      </c>
      <c r="C674" s="6">
        <v>30000.0</v>
      </c>
      <c r="D674" s="6">
        <v>4.109223301</v>
      </c>
      <c r="E674" s="6">
        <v>412.0</v>
      </c>
    </row>
    <row r="675">
      <c r="A675" s="4" t="s">
        <v>1348</v>
      </c>
      <c r="B675" s="5" t="s">
        <v>1349</v>
      </c>
      <c r="C675" s="6">
        <v>30000.0</v>
      </c>
      <c r="D675" s="6">
        <v>4.230769231</v>
      </c>
      <c r="E675" s="6">
        <v>39.0</v>
      </c>
    </row>
    <row r="676">
      <c r="A676" s="4" t="s">
        <v>1350</v>
      </c>
      <c r="B676" s="5" t="s">
        <v>1351</v>
      </c>
      <c r="C676" s="6">
        <v>30000.0</v>
      </c>
      <c r="D676" s="6">
        <v>4.685381356</v>
      </c>
      <c r="E676" s="6">
        <v>944.0</v>
      </c>
    </row>
    <row r="677">
      <c r="A677" s="4" t="s">
        <v>1352</v>
      </c>
      <c r="B677" s="5" t="s">
        <v>1353</v>
      </c>
      <c r="C677" s="6">
        <v>30000.0</v>
      </c>
      <c r="D677" s="6">
        <v>4.015209125</v>
      </c>
      <c r="E677" s="6">
        <v>263.0</v>
      </c>
    </row>
    <row r="678">
      <c r="A678" s="4" t="s">
        <v>1354</v>
      </c>
      <c r="B678" s="5" t="s">
        <v>1355</v>
      </c>
      <c r="C678" s="6">
        <v>30000.0</v>
      </c>
      <c r="D678" s="6">
        <v>3.0</v>
      </c>
      <c r="E678" s="6">
        <v>3.0</v>
      </c>
    </row>
    <row r="679">
      <c r="A679" s="4" t="s">
        <v>1356</v>
      </c>
      <c r="B679" s="5" t="s">
        <v>1357</v>
      </c>
      <c r="C679" s="6">
        <v>30000.0</v>
      </c>
      <c r="D679" s="6">
        <v>4.3</v>
      </c>
      <c r="E679" s="6">
        <v>20.0</v>
      </c>
    </row>
    <row r="680">
      <c r="A680" s="4" t="s">
        <v>1358</v>
      </c>
      <c r="B680" s="5" t="s">
        <v>1359</v>
      </c>
      <c r="C680" s="6">
        <v>30000.0</v>
      </c>
      <c r="D680" s="6">
        <v>4.19266055</v>
      </c>
      <c r="E680" s="6">
        <v>109.0</v>
      </c>
    </row>
    <row r="681">
      <c r="A681" s="4" t="s">
        <v>1360</v>
      </c>
      <c r="B681" s="5" t="s">
        <v>1361</v>
      </c>
      <c r="C681" s="6">
        <v>30000.0</v>
      </c>
      <c r="D681" s="6">
        <v>3.365269461</v>
      </c>
      <c r="E681" s="6">
        <v>334.0</v>
      </c>
    </row>
    <row r="682">
      <c r="A682" s="4" t="s">
        <v>1362</v>
      </c>
      <c r="B682" s="5" t="s">
        <v>1363</v>
      </c>
      <c r="C682" s="6">
        <v>30000.0</v>
      </c>
      <c r="D682" s="6">
        <v>2.87654321</v>
      </c>
      <c r="E682" s="6">
        <v>81.0</v>
      </c>
    </row>
    <row r="683">
      <c r="A683" s="4" t="s">
        <v>1364</v>
      </c>
      <c r="B683" s="5" t="s">
        <v>1365</v>
      </c>
      <c r="C683" s="6">
        <v>30000.0</v>
      </c>
      <c r="D683" s="6">
        <v>4.351351351</v>
      </c>
      <c r="E683" s="6">
        <v>37.0</v>
      </c>
    </row>
    <row r="684">
      <c r="A684" s="4" t="s">
        <v>1366</v>
      </c>
      <c r="B684" s="5" t="s">
        <v>1367</v>
      </c>
      <c r="C684" s="6">
        <v>30000.0</v>
      </c>
      <c r="D684" s="6">
        <v>4.495412844</v>
      </c>
      <c r="E684" s="6">
        <v>109.0</v>
      </c>
    </row>
    <row r="685">
      <c r="A685" s="4" t="s">
        <v>1368</v>
      </c>
      <c r="B685" s="5" t="s">
        <v>1369</v>
      </c>
      <c r="C685" s="6">
        <v>30000.0</v>
      </c>
      <c r="D685" s="6">
        <v>4.154929577</v>
      </c>
      <c r="E685" s="6">
        <v>142.0</v>
      </c>
    </row>
    <row r="686">
      <c r="A686" s="4" t="s">
        <v>1370</v>
      </c>
      <c r="B686" s="5" t="s">
        <v>1371</v>
      </c>
      <c r="C686" s="6">
        <v>30000.0</v>
      </c>
      <c r="D686" s="6">
        <v>3.166666667</v>
      </c>
      <c r="E686" s="6">
        <v>6.0</v>
      </c>
    </row>
    <row r="687">
      <c r="A687" s="4" t="s">
        <v>1372</v>
      </c>
      <c r="B687" s="5" t="s">
        <v>1373</v>
      </c>
      <c r="C687" s="6">
        <v>30000.0</v>
      </c>
      <c r="D687" s="6">
        <v>3.666666667</v>
      </c>
      <c r="E687" s="6">
        <v>72.0</v>
      </c>
    </row>
    <row r="688">
      <c r="A688" s="4" t="s">
        <v>1374</v>
      </c>
      <c r="B688" s="5" t="s">
        <v>1375</v>
      </c>
      <c r="C688" s="6">
        <v>30000.0</v>
      </c>
      <c r="D688" s="6">
        <v>4.117647059</v>
      </c>
      <c r="E688" s="6">
        <v>34.0</v>
      </c>
    </row>
    <row r="689">
      <c r="A689" s="4" t="s">
        <v>1376</v>
      </c>
      <c r="B689" s="5" t="s">
        <v>1377</v>
      </c>
      <c r="C689" s="6">
        <v>30000.0</v>
      </c>
      <c r="D689" s="6">
        <v>3.489130435</v>
      </c>
      <c r="E689" s="6">
        <v>184.0</v>
      </c>
    </row>
    <row r="690">
      <c r="A690" s="4" t="s">
        <v>1378</v>
      </c>
      <c r="B690" s="5" t="s">
        <v>1379</v>
      </c>
      <c r="C690" s="6">
        <v>30000.0</v>
      </c>
      <c r="D690" s="6">
        <v>4.535714286</v>
      </c>
      <c r="E690" s="6">
        <v>28.0</v>
      </c>
    </row>
    <row r="691">
      <c r="A691" s="4" t="s">
        <v>1380</v>
      </c>
      <c r="B691" s="5" t="s">
        <v>1381</v>
      </c>
      <c r="C691" s="6">
        <v>30000.0</v>
      </c>
      <c r="D691" s="6">
        <v>3.321543408</v>
      </c>
      <c r="E691" s="6">
        <v>311.0</v>
      </c>
    </row>
    <row r="692">
      <c r="A692" s="4" t="s">
        <v>1382</v>
      </c>
      <c r="B692" s="5" t="s">
        <v>1383</v>
      </c>
      <c r="C692" s="6">
        <v>30000.0</v>
      </c>
      <c r="D692" s="6">
        <v>3.916395223</v>
      </c>
      <c r="E692" s="6">
        <v>921.0</v>
      </c>
    </row>
    <row r="693">
      <c r="A693" s="4" t="s">
        <v>1384</v>
      </c>
      <c r="B693" s="5" t="s">
        <v>1385</v>
      </c>
      <c r="C693" s="6">
        <v>30000.0</v>
      </c>
      <c r="D693" s="6">
        <v>4.6</v>
      </c>
      <c r="E693" s="6">
        <v>45.0</v>
      </c>
    </row>
    <row r="694">
      <c r="A694" s="4" t="s">
        <v>1386</v>
      </c>
      <c r="B694" s="5" t="s">
        <v>1387</v>
      </c>
      <c r="C694" s="6">
        <v>30000.0</v>
      </c>
      <c r="D694" s="9"/>
      <c r="E694" s="9"/>
    </row>
    <row r="695">
      <c r="A695" s="4" t="s">
        <v>1388</v>
      </c>
      <c r="B695" s="5" t="s">
        <v>1389</v>
      </c>
      <c r="C695" s="6">
        <v>30000.0</v>
      </c>
      <c r="D695" s="6">
        <v>3.9</v>
      </c>
      <c r="E695" s="6">
        <v>10.0</v>
      </c>
    </row>
    <row r="696">
      <c r="A696" s="4" t="s">
        <v>1390</v>
      </c>
      <c r="B696" s="5" t="s">
        <v>1391</v>
      </c>
      <c r="C696" s="6">
        <v>30000.0</v>
      </c>
      <c r="D696" s="6">
        <v>4.816326531</v>
      </c>
      <c r="E696" s="6">
        <v>49.0</v>
      </c>
    </row>
    <row r="697">
      <c r="A697" s="4" t="s">
        <v>1392</v>
      </c>
      <c r="B697" s="5" t="s">
        <v>1393</v>
      </c>
      <c r="C697" s="6">
        <v>30000.0</v>
      </c>
      <c r="D697" s="6">
        <v>3.076167076</v>
      </c>
      <c r="E697" s="6">
        <v>407.0</v>
      </c>
    </row>
    <row r="698">
      <c r="A698" s="4" t="s">
        <v>1394</v>
      </c>
      <c r="B698" s="5" t="s">
        <v>1395</v>
      </c>
      <c r="C698" s="6">
        <v>30000.0</v>
      </c>
      <c r="D698" s="6">
        <v>3.64</v>
      </c>
      <c r="E698" s="6">
        <v>25.0</v>
      </c>
    </row>
    <row r="699">
      <c r="A699" s="4" t="s">
        <v>1396</v>
      </c>
      <c r="B699" s="5" t="s">
        <v>1397</v>
      </c>
      <c r="C699" s="6">
        <v>30000.0</v>
      </c>
      <c r="D699" s="6">
        <v>4.786764706</v>
      </c>
      <c r="E699" s="6">
        <v>136.0</v>
      </c>
    </row>
    <row r="700">
      <c r="A700" s="4" t="s">
        <v>1398</v>
      </c>
      <c r="B700" s="5" t="s">
        <v>1399</v>
      </c>
      <c r="C700" s="6">
        <v>30000.0</v>
      </c>
      <c r="D700" s="6">
        <v>2.990566038</v>
      </c>
      <c r="E700" s="6">
        <v>212.0</v>
      </c>
    </row>
    <row r="701">
      <c r="A701" s="4" t="s">
        <v>1400</v>
      </c>
      <c r="B701" s="5" t="s">
        <v>1401</v>
      </c>
      <c r="C701" s="6">
        <v>30000.0</v>
      </c>
      <c r="D701" s="6">
        <v>4.362318841</v>
      </c>
      <c r="E701" s="6">
        <v>414.0</v>
      </c>
    </row>
    <row r="702">
      <c r="A702" s="4" t="s">
        <v>1402</v>
      </c>
      <c r="B702" s="5" t="s">
        <v>1403</v>
      </c>
      <c r="C702" s="6">
        <v>30000.0</v>
      </c>
      <c r="D702" s="6">
        <v>4.435897436</v>
      </c>
      <c r="E702" s="6">
        <v>780.0</v>
      </c>
    </row>
    <row r="703">
      <c r="A703" s="4" t="s">
        <v>1404</v>
      </c>
      <c r="B703" s="5" t="s">
        <v>1405</v>
      </c>
      <c r="C703" s="6">
        <v>30000.0</v>
      </c>
      <c r="D703" s="6">
        <v>4.342120181</v>
      </c>
      <c r="E703" s="6">
        <v>3528.0</v>
      </c>
    </row>
    <row r="704">
      <c r="A704" s="4" t="s">
        <v>1406</v>
      </c>
      <c r="B704" s="5" t="s">
        <v>1407</v>
      </c>
      <c r="C704" s="6">
        <v>30000.0</v>
      </c>
      <c r="D704" s="6">
        <v>4.910714286</v>
      </c>
      <c r="E704" s="6">
        <v>112.0</v>
      </c>
    </row>
    <row r="705">
      <c r="A705" s="4" t="s">
        <v>1408</v>
      </c>
      <c r="B705" s="5" t="s">
        <v>1409</v>
      </c>
      <c r="C705" s="6">
        <v>30000.0</v>
      </c>
      <c r="D705" s="6">
        <v>4.428571429</v>
      </c>
      <c r="E705" s="6">
        <v>14.0</v>
      </c>
    </row>
    <row r="706">
      <c r="A706" s="4" t="s">
        <v>1410</v>
      </c>
      <c r="B706" s="5" t="s">
        <v>1411</v>
      </c>
      <c r="C706" s="6">
        <v>30000.0</v>
      </c>
      <c r="D706" s="6">
        <v>3.559006211</v>
      </c>
      <c r="E706" s="6">
        <v>161.0</v>
      </c>
    </row>
    <row r="707">
      <c r="A707" s="4" t="s">
        <v>1412</v>
      </c>
      <c r="B707" s="5" t="s">
        <v>1413</v>
      </c>
      <c r="C707" s="6">
        <v>30000.0</v>
      </c>
      <c r="D707" s="6">
        <v>3.294117647</v>
      </c>
      <c r="E707" s="6">
        <v>17.0</v>
      </c>
    </row>
    <row r="708">
      <c r="A708" s="4" t="s">
        <v>1414</v>
      </c>
      <c r="B708" s="5" t="s">
        <v>1415</v>
      </c>
      <c r="C708" s="6">
        <v>30000.0</v>
      </c>
      <c r="D708" s="6">
        <v>3.864285714</v>
      </c>
      <c r="E708" s="6">
        <v>140.0</v>
      </c>
    </row>
    <row r="709">
      <c r="A709" s="4" t="s">
        <v>1416</v>
      </c>
      <c r="B709" s="5" t="s">
        <v>1417</v>
      </c>
      <c r="C709" s="6">
        <v>30000.0</v>
      </c>
      <c r="D709" s="6">
        <v>3.834951456</v>
      </c>
      <c r="E709" s="6">
        <v>103.0</v>
      </c>
    </row>
    <row r="710">
      <c r="A710" s="4" t="s">
        <v>1418</v>
      </c>
      <c r="B710" s="5" t="s">
        <v>1419</v>
      </c>
      <c r="C710" s="6">
        <v>30000.0</v>
      </c>
      <c r="D710" s="9"/>
      <c r="E710" s="9"/>
    </row>
    <row r="711">
      <c r="A711" s="4" t="s">
        <v>1420</v>
      </c>
      <c r="B711" s="5" t="s">
        <v>1421</v>
      </c>
      <c r="C711" s="6">
        <v>30000.0</v>
      </c>
      <c r="D711" s="6">
        <v>3.934883721</v>
      </c>
      <c r="E711" s="6">
        <v>645.0</v>
      </c>
    </row>
    <row r="712">
      <c r="A712" s="4" t="s">
        <v>1422</v>
      </c>
      <c r="B712" s="5" t="s">
        <v>1423</v>
      </c>
      <c r="C712" s="6">
        <v>30000.0</v>
      </c>
      <c r="D712" s="6">
        <v>4.406779661</v>
      </c>
      <c r="E712" s="6">
        <v>59.0</v>
      </c>
    </row>
    <row r="713">
      <c r="A713" s="4" t="s">
        <v>1424</v>
      </c>
      <c r="B713" s="5" t="s">
        <v>1425</v>
      </c>
      <c r="C713" s="6">
        <v>30000.0</v>
      </c>
      <c r="D713" s="6">
        <v>3.193989071</v>
      </c>
      <c r="E713" s="6">
        <v>366.0</v>
      </c>
    </row>
    <row r="714">
      <c r="A714" s="4" t="s">
        <v>1426</v>
      </c>
      <c r="B714" s="5" t="s">
        <v>1427</v>
      </c>
      <c r="C714" s="6">
        <v>30000.0</v>
      </c>
      <c r="D714" s="6">
        <v>4.331606218</v>
      </c>
      <c r="E714" s="6">
        <v>193.0</v>
      </c>
    </row>
    <row r="715">
      <c r="A715" s="4" t="s">
        <v>1428</v>
      </c>
      <c r="B715" s="5" t="s">
        <v>1429</v>
      </c>
      <c r="C715" s="6">
        <v>30000.0</v>
      </c>
      <c r="D715" s="6">
        <v>4.234042553</v>
      </c>
      <c r="E715" s="6">
        <v>47.0</v>
      </c>
    </row>
    <row r="716">
      <c r="A716" s="4" t="s">
        <v>1430</v>
      </c>
      <c r="B716" s="5" t="s">
        <v>1431</v>
      </c>
      <c r="C716" s="6">
        <v>30000.0</v>
      </c>
      <c r="D716" s="6">
        <v>2.244444444</v>
      </c>
      <c r="E716" s="6">
        <v>45.0</v>
      </c>
    </row>
    <row r="717">
      <c r="A717" s="4" t="s">
        <v>1432</v>
      </c>
      <c r="B717" s="5" t="s">
        <v>1433</v>
      </c>
      <c r="C717" s="6">
        <v>30000.0</v>
      </c>
      <c r="D717" s="6">
        <v>2.739130435</v>
      </c>
      <c r="E717" s="6">
        <v>23.0</v>
      </c>
    </row>
    <row r="718">
      <c r="A718" s="4" t="s">
        <v>1434</v>
      </c>
      <c r="B718" s="5" t="s">
        <v>1435</v>
      </c>
      <c r="C718" s="6">
        <v>30000.0</v>
      </c>
      <c r="D718" s="6">
        <v>3.671328671</v>
      </c>
      <c r="E718" s="6">
        <v>143.0</v>
      </c>
    </row>
    <row r="719">
      <c r="A719" s="4" t="s">
        <v>1436</v>
      </c>
      <c r="B719" s="5" t="s">
        <v>1437</v>
      </c>
      <c r="C719" s="6">
        <v>30000.0</v>
      </c>
      <c r="D719" s="6">
        <v>3.9</v>
      </c>
      <c r="E719" s="6">
        <v>30.0</v>
      </c>
    </row>
    <row r="720">
      <c r="A720" s="4" t="s">
        <v>1438</v>
      </c>
      <c r="B720" s="5" t="s">
        <v>1439</v>
      </c>
      <c r="C720" s="6">
        <v>30000.0</v>
      </c>
      <c r="D720" s="6">
        <v>4.767540004</v>
      </c>
      <c r="E720" s="6">
        <v>11374.0</v>
      </c>
    </row>
    <row r="721">
      <c r="A721" s="4" t="s">
        <v>1440</v>
      </c>
      <c r="B721" s="5" t="s">
        <v>1441</v>
      </c>
      <c r="C721" s="6">
        <v>30000.0</v>
      </c>
      <c r="D721" s="6">
        <v>2.653846154</v>
      </c>
      <c r="E721" s="6">
        <v>52.0</v>
      </c>
    </row>
    <row r="722">
      <c r="A722" s="4" t="s">
        <v>1442</v>
      </c>
      <c r="B722" s="5" t="s">
        <v>1443</v>
      </c>
      <c r="C722" s="6">
        <v>30000.0</v>
      </c>
      <c r="D722" s="6">
        <v>4.369230769</v>
      </c>
      <c r="E722" s="6">
        <v>65.0</v>
      </c>
    </row>
    <row r="723">
      <c r="A723" s="4" t="s">
        <v>1444</v>
      </c>
      <c r="B723" s="5" t="s">
        <v>1445</v>
      </c>
      <c r="C723" s="6">
        <v>30000.0</v>
      </c>
      <c r="D723" s="6">
        <v>4.333333333</v>
      </c>
      <c r="E723" s="6">
        <v>21.0</v>
      </c>
    </row>
    <row r="724">
      <c r="A724" s="4" t="s">
        <v>1446</v>
      </c>
      <c r="B724" s="5" t="s">
        <v>1447</v>
      </c>
      <c r="C724" s="6">
        <v>30000.0</v>
      </c>
      <c r="D724" s="6">
        <v>4.233766234</v>
      </c>
      <c r="E724" s="6">
        <v>77.0</v>
      </c>
    </row>
    <row r="725">
      <c r="A725" s="4" t="s">
        <v>1448</v>
      </c>
      <c r="B725" s="5" t="s">
        <v>1449</v>
      </c>
      <c r="C725" s="6">
        <v>30000.0</v>
      </c>
      <c r="D725" s="6">
        <v>3.261455526</v>
      </c>
      <c r="E725" s="6">
        <v>371.0</v>
      </c>
    </row>
    <row r="726">
      <c r="A726" s="4" t="s">
        <v>1450</v>
      </c>
      <c r="B726" s="5" t="s">
        <v>1451</v>
      </c>
      <c r="C726" s="6">
        <v>30000.0</v>
      </c>
      <c r="D726" s="6">
        <v>4.375</v>
      </c>
      <c r="E726" s="6">
        <v>16.0</v>
      </c>
    </row>
    <row r="727">
      <c r="A727" s="4" t="s">
        <v>1452</v>
      </c>
      <c r="B727" s="5" t="s">
        <v>1453</v>
      </c>
      <c r="C727" s="6">
        <v>30000.0</v>
      </c>
      <c r="D727" s="6">
        <v>3.596153846</v>
      </c>
      <c r="E727" s="6">
        <v>104.0</v>
      </c>
    </row>
    <row r="728">
      <c r="A728" s="4" t="s">
        <v>1454</v>
      </c>
      <c r="B728" s="5" t="s">
        <v>1455</v>
      </c>
      <c r="C728" s="6">
        <v>30000.0</v>
      </c>
      <c r="D728" s="6">
        <v>4.38</v>
      </c>
      <c r="E728" s="6">
        <v>150.0</v>
      </c>
    </row>
    <row r="729">
      <c r="A729" s="4" t="s">
        <v>1456</v>
      </c>
      <c r="B729" s="5" t="s">
        <v>1457</v>
      </c>
      <c r="C729" s="6">
        <v>30000.0</v>
      </c>
      <c r="D729" s="6">
        <v>3.574712644</v>
      </c>
      <c r="E729" s="6">
        <v>87.0</v>
      </c>
    </row>
    <row r="730">
      <c r="A730" s="4" t="s">
        <v>1458</v>
      </c>
      <c r="B730" s="5" t="s">
        <v>1459</v>
      </c>
      <c r="C730" s="6">
        <v>30000.0</v>
      </c>
      <c r="D730" s="6">
        <v>3.479768786</v>
      </c>
      <c r="E730" s="6">
        <v>173.0</v>
      </c>
    </row>
    <row r="731">
      <c r="A731" s="4" t="s">
        <v>1460</v>
      </c>
      <c r="B731" s="5" t="s">
        <v>1461</v>
      </c>
      <c r="C731" s="6">
        <v>30000.0</v>
      </c>
      <c r="D731" s="6">
        <v>4.097765363</v>
      </c>
      <c r="E731" s="6">
        <v>358.0</v>
      </c>
    </row>
    <row r="732">
      <c r="A732" s="4" t="s">
        <v>1462</v>
      </c>
      <c r="B732" s="5" t="s">
        <v>1463</v>
      </c>
      <c r="C732" s="6">
        <v>30000.0</v>
      </c>
      <c r="D732" s="6">
        <v>4.263157895</v>
      </c>
      <c r="E732" s="6">
        <v>57.0</v>
      </c>
    </row>
    <row r="733">
      <c r="A733" s="4" t="s">
        <v>1464</v>
      </c>
      <c r="B733" s="5" t="s">
        <v>1465</v>
      </c>
      <c r="C733" s="6">
        <v>30000.0</v>
      </c>
      <c r="D733" s="6">
        <v>4.588461538</v>
      </c>
      <c r="E733" s="6">
        <v>260.0</v>
      </c>
    </row>
    <row r="734">
      <c r="A734" s="4" t="s">
        <v>1466</v>
      </c>
      <c r="B734" s="5" t="s">
        <v>1467</v>
      </c>
      <c r="C734" s="6">
        <v>30000.0</v>
      </c>
      <c r="D734" s="6">
        <v>4.532916867</v>
      </c>
      <c r="E734" s="6">
        <v>2081.0</v>
      </c>
    </row>
    <row r="735">
      <c r="A735" s="4" t="s">
        <v>1468</v>
      </c>
      <c r="B735" s="5" t="s">
        <v>1469</v>
      </c>
      <c r="C735" s="6">
        <v>30000.0</v>
      </c>
      <c r="D735" s="6">
        <v>4.048780488</v>
      </c>
      <c r="E735" s="6">
        <v>451.0</v>
      </c>
    </row>
    <row r="736">
      <c r="A736" s="4" t="s">
        <v>1470</v>
      </c>
      <c r="B736" s="5" t="s">
        <v>1471</v>
      </c>
      <c r="C736" s="6">
        <v>30000.0</v>
      </c>
      <c r="D736" s="6">
        <v>4.015037594</v>
      </c>
      <c r="E736" s="6">
        <v>133.0</v>
      </c>
    </row>
    <row r="737">
      <c r="A737" s="4" t="s">
        <v>1472</v>
      </c>
      <c r="B737" s="5" t="s">
        <v>1473</v>
      </c>
      <c r="C737" s="6">
        <v>30000.0</v>
      </c>
      <c r="D737" s="6">
        <v>4.529411765</v>
      </c>
      <c r="E737" s="6">
        <v>51.0</v>
      </c>
    </row>
    <row r="738">
      <c r="A738" s="4" t="s">
        <v>1474</v>
      </c>
      <c r="B738" s="5" t="s">
        <v>1475</v>
      </c>
      <c r="C738" s="6">
        <v>30000.0</v>
      </c>
      <c r="D738" s="6">
        <v>1.461538462</v>
      </c>
      <c r="E738" s="6">
        <v>26.0</v>
      </c>
    </row>
    <row r="739">
      <c r="A739" s="4" t="s">
        <v>1476</v>
      </c>
      <c r="B739" s="5" t="s">
        <v>1477</v>
      </c>
      <c r="C739" s="6">
        <v>30000.0</v>
      </c>
      <c r="D739" s="6">
        <v>3.592592593</v>
      </c>
      <c r="E739" s="6">
        <v>135.0</v>
      </c>
    </row>
    <row r="740">
      <c r="A740" s="4" t="s">
        <v>1478</v>
      </c>
      <c r="B740" s="5" t="s">
        <v>1479</v>
      </c>
      <c r="C740" s="6">
        <v>30000.0</v>
      </c>
      <c r="D740" s="6">
        <v>3.82320442</v>
      </c>
      <c r="E740" s="6">
        <v>181.0</v>
      </c>
    </row>
    <row r="741">
      <c r="A741" s="4" t="s">
        <v>1480</v>
      </c>
      <c r="B741" s="5" t="s">
        <v>1481</v>
      </c>
      <c r="C741" s="6">
        <v>30000.0</v>
      </c>
      <c r="D741" s="6">
        <v>4.438554217</v>
      </c>
      <c r="E741" s="6">
        <v>415.0</v>
      </c>
    </row>
    <row r="742">
      <c r="A742" s="4" t="s">
        <v>1482</v>
      </c>
      <c r="B742" s="5" t="s">
        <v>1483</v>
      </c>
      <c r="C742" s="6">
        <v>30000.0</v>
      </c>
      <c r="D742" s="6">
        <v>4.575757576</v>
      </c>
      <c r="E742" s="6">
        <v>33.0</v>
      </c>
    </row>
    <row r="743">
      <c r="A743" s="4" t="s">
        <v>1484</v>
      </c>
      <c r="B743" s="5" t="s">
        <v>1485</v>
      </c>
      <c r="C743" s="6">
        <v>30000.0</v>
      </c>
      <c r="D743" s="6">
        <v>3.330357143</v>
      </c>
      <c r="E743" s="6">
        <v>112.0</v>
      </c>
    </row>
    <row r="744">
      <c r="A744" s="4" t="s">
        <v>1486</v>
      </c>
      <c r="B744" s="5" t="s">
        <v>1487</v>
      </c>
      <c r="C744" s="6">
        <v>30000.0</v>
      </c>
      <c r="D744" s="6">
        <v>4.175</v>
      </c>
      <c r="E744" s="6">
        <v>40.0</v>
      </c>
    </row>
    <row r="745">
      <c r="A745" s="4" t="s">
        <v>1488</v>
      </c>
      <c r="B745" s="5" t="s">
        <v>1489</v>
      </c>
      <c r="C745" s="6">
        <v>30000.0</v>
      </c>
      <c r="D745" s="6">
        <v>4.16</v>
      </c>
      <c r="E745" s="6">
        <v>25.0</v>
      </c>
    </row>
    <row r="746">
      <c r="A746" s="4" t="s">
        <v>1490</v>
      </c>
      <c r="B746" s="5" t="s">
        <v>1491</v>
      </c>
      <c r="C746" s="6">
        <v>30000.0</v>
      </c>
      <c r="D746" s="6">
        <v>4.597701149</v>
      </c>
      <c r="E746" s="6">
        <v>174.0</v>
      </c>
    </row>
    <row r="747">
      <c r="A747" s="4" t="s">
        <v>1492</v>
      </c>
      <c r="B747" s="5" t="s">
        <v>1493</v>
      </c>
      <c r="C747" s="6">
        <v>30000.0</v>
      </c>
      <c r="D747" s="9"/>
      <c r="E747" s="9"/>
    </row>
    <row r="748">
      <c r="A748" s="4" t="s">
        <v>1494</v>
      </c>
      <c r="B748" s="5" t="s">
        <v>1495</v>
      </c>
      <c r="C748" s="6">
        <v>30000.0</v>
      </c>
      <c r="D748" s="6">
        <v>3.744186047</v>
      </c>
      <c r="E748" s="6">
        <v>43.0</v>
      </c>
    </row>
    <row r="749">
      <c r="A749" s="4" t="s">
        <v>1496</v>
      </c>
      <c r="B749" s="5" t="s">
        <v>1497</v>
      </c>
      <c r="C749" s="6">
        <v>30000.0</v>
      </c>
      <c r="D749" s="6">
        <v>3.489096573</v>
      </c>
      <c r="E749" s="6">
        <v>321.0</v>
      </c>
    </row>
    <row r="750">
      <c r="A750" s="4" t="s">
        <v>1498</v>
      </c>
      <c r="B750" s="5" t="s">
        <v>1499</v>
      </c>
      <c r="C750" s="6">
        <v>30000.0</v>
      </c>
      <c r="D750" s="6">
        <v>3.333333333</v>
      </c>
      <c r="E750" s="6">
        <v>48.0</v>
      </c>
    </row>
    <row r="751">
      <c r="A751" s="4" t="s">
        <v>1500</v>
      </c>
      <c r="B751" s="5" t="s">
        <v>1501</v>
      </c>
      <c r="C751" s="6">
        <v>30000.0</v>
      </c>
      <c r="D751" s="6">
        <v>4.761904762</v>
      </c>
      <c r="E751" s="6">
        <v>21.0</v>
      </c>
    </row>
    <row r="752">
      <c r="A752" s="4" t="s">
        <v>1502</v>
      </c>
      <c r="B752" s="5" t="s">
        <v>1503</v>
      </c>
      <c r="C752" s="6">
        <v>30000.0</v>
      </c>
      <c r="D752" s="6">
        <v>3.684210526</v>
      </c>
      <c r="E752" s="6">
        <v>19.0</v>
      </c>
    </row>
    <row r="753">
      <c r="A753" s="4" t="s">
        <v>1504</v>
      </c>
      <c r="B753" s="5" t="s">
        <v>1505</v>
      </c>
      <c r="C753" s="6">
        <v>30000.0</v>
      </c>
      <c r="D753" s="6">
        <v>4.588235294</v>
      </c>
      <c r="E753" s="6">
        <v>17.0</v>
      </c>
    </row>
    <row r="754">
      <c r="A754" s="4" t="s">
        <v>1506</v>
      </c>
      <c r="B754" s="5" t="s">
        <v>1507</v>
      </c>
      <c r="C754" s="6">
        <v>30000.0</v>
      </c>
      <c r="D754" s="6">
        <v>4.52862254</v>
      </c>
      <c r="E754" s="6">
        <v>2236.0</v>
      </c>
    </row>
    <row r="755">
      <c r="A755" s="4" t="s">
        <v>1508</v>
      </c>
      <c r="B755" s="5" t="s">
        <v>1509</v>
      </c>
      <c r="C755" s="6">
        <v>30000.0</v>
      </c>
      <c r="D755" s="6">
        <v>3.592105263</v>
      </c>
      <c r="E755" s="6">
        <v>76.0</v>
      </c>
    </row>
    <row r="756">
      <c r="A756" s="4" t="s">
        <v>1510</v>
      </c>
      <c r="B756" s="5" t="s">
        <v>1511</v>
      </c>
      <c r="C756" s="6">
        <v>30000.0</v>
      </c>
      <c r="D756" s="6">
        <v>4.545454545</v>
      </c>
      <c r="E756" s="6">
        <v>99.0</v>
      </c>
    </row>
    <row r="757">
      <c r="A757" s="4" t="s">
        <v>1512</v>
      </c>
      <c r="B757" s="5" t="s">
        <v>1513</v>
      </c>
      <c r="C757" s="6">
        <v>30000.0</v>
      </c>
      <c r="D757" s="6">
        <v>3.220930233</v>
      </c>
      <c r="E757" s="6">
        <v>344.0</v>
      </c>
    </row>
    <row r="758">
      <c r="A758" s="4" t="s">
        <v>1514</v>
      </c>
      <c r="B758" s="5" t="s">
        <v>1515</v>
      </c>
      <c r="C758" s="6">
        <v>30000.0</v>
      </c>
      <c r="D758" s="6">
        <v>4.572580645</v>
      </c>
      <c r="E758" s="6">
        <v>124.0</v>
      </c>
    </row>
    <row r="759">
      <c r="A759" s="4" t="s">
        <v>1516</v>
      </c>
      <c r="B759" s="5" t="s">
        <v>1517</v>
      </c>
      <c r="C759" s="6">
        <v>30000.0</v>
      </c>
      <c r="D759" s="6">
        <v>4.212765957</v>
      </c>
      <c r="E759" s="6">
        <v>47.0</v>
      </c>
    </row>
    <row r="760">
      <c r="A760" s="4" t="s">
        <v>1518</v>
      </c>
      <c r="B760" s="5" t="s">
        <v>1519</v>
      </c>
      <c r="C760" s="6">
        <v>30000.0</v>
      </c>
      <c r="D760" s="6">
        <v>4.555555556</v>
      </c>
      <c r="E760" s="6">
        <v>126.0</v>
      </c>
    </row>
    <row r="761">
      <c r="A761" s="4" t="s">
        <v>1520</v>
      </c>
      <c r="B761" s="5" t="s">
        <v>1521</v>
      </c>
      <c r="C761" s="7">
        <v>30000.0</v>
      </c>
      <c r="D761" s="6">
        <v>4.5</v>
      </c>
      <c r="E761" s="6">
        <v>782.0</v>
      </c>
    </row>
    <row r="762">
      <c r="A762" s="4" t="s">
        <v>1522</v>
      </c>
      <c r="B762" s="5" t="s">
        <v>1523</v>
      </c>
      <c r="C762" s="7">
        <v>20000.0</v>
      </c>
      <c r="D762" s="6">
        <v>3.8</v>
      </c>
      <c r="E762" s="6">
        <v>26.0</v>
      </c>
    </row>
    <row r="763">
      <c r="A763" s="4" t="s">
        <v>1524</v>
      </c>
      <c r="B763" s="5" t="s">
        <v>1525</v>
      </c>
      <c r="C763" s="11">
        <v>20000.0</v>
      </c>
      <c r="D763" s="6">
        <v>4.5</v>
      </c>
      <c r="E763" s="6">
        <v>353.0</v>
      </c>
    </row>
    <row r="764">
      <c r="A764" s="4" t="s">
        <v>1526</v>
      </c>
      <c r="B764" s="5" t="s">
        <v>1527</v>
      </c>
      <c r="C764" s="7">
        <v>20000.0</v>
      </c>
      <c r="D764" s="6">
        <v>3.8</v>
      </c>
      <c r="E764" s="6">
        <v>12.0</v>
      </c>
    </row>
    <row r="765">
      <c r="A765" s="4" t="s">
        <v>1528</v>
      </c>
      <c r="B765" s="5" t="s">
        <v>1529</v>
      </c>
      <c r="C765" s="7">
        <v>20000.0</v>
      </c>
      <c r="D765" s="6">
        <v>3.9</v>
      </c>
      <c r="E765" s="6">
        <v>137.0</v>
      </c>
    </row>
    <row r="766">
      <c r="A766" s="4" t="s">
        <v>1530</v>
      </c>
      <c r="B766" s="5" t="s">
        <v>1531</v>
      </c>
      <c r="C766" s="6">
        <v>20000.0</v>
      </c>
      <c r="D766" s="6">
        <v>4.36746988</v>
      </c>
      <c r="E766" s="6">
        <v>332.0</v>
      </c>
    </row>
    <row r="767">
      <c r="A767" s="4" t="s">
        <v>1532</v>
      </c>
      <c r="B767" s="5" t="s">
        <v>1533</v>
      </c>
      <c r="C767" s="6">
        <v>20000.0</v>
      </c>
      <c r="D767" s="6">
        <v>4.119565217</v>
      </c>
      <c r="E767" s="6">
        <v>92.0</v>
      </c>
    </row>
    <row r="768">
      <c r="A768" s="4" t="s">
        <v>1534</v>
      </c>
      <c r="B768" s="5" t="s">
        <v>1535</v>
      </c>
      <c r="C768" s="6">
        <v>20000.0</v>
      </c>
      <c r="D768" s="6">
        <v>4.642023346</v>
      </c>
      <c r="E768" s="6">
        <v>257.0</v>
      </c>
    </row>
    <row r="769">
      <c r="A769" s="4" t="s">
        <v>1536</v>
      </c>
      <c r="B769" s="5" t="s">
        <v>1537</v>
      </c>
      <c r="C769" s="6">
        <v>20000.0</v>
      </c>
      <c r="D769" s="6">
        <v>4.153846154</v>
      </c>
      <c r="E769" s="6">
        <v>91.0</v>
      </c>
    </row>
    <row r="770">
      <c r="A770" s="4" t="s">
        <v>1538</v>
      </c>
      <c r="B770" s="5" t="s">
        <v>1539</v>
      </c>
      <c r="C770" s="6">
        <v>20000.0</v>
      </c>
      <c r="D770" s="6">
        <v>4.642857143</v>
      </c>
      <c r="E770" s="6">
        <v>14.0</v>
      </c>
    </row>
    <row r="771">
      <c r="A771" s="5" t="s">
        <v>1540</v>
      </c>
      <c r="B771" s="5" t="s">
        <v>1541</v>
      </c>
      <c r="C771" s="6">
        <v>20000.0</v>
      </c>
      <c r="D771" s="6">
        <v>5.0</v>
      </c>
      <c r="E771" s="6">
        <v>3.0</v>
      </c>
    </row>
    <row r="772">
      <c r="A772" s="4" t="s">
        <v>1542</v>
      </c>
      <c r="B772" s="5" t="s">
        <v>1543</v>
      </c>
      <c r="C772" s="6">
        <v>20000.0</v>
      </c>
      <c r="D772" s="6">
        <v>4.793478261</v>
      </c>
      <c r="E772" s="6">
        <v>92.0</v>
      </c>
    </row>
    <row r="773">
      <c r="A773" s="4" t="s">
        <v>1544</v>
      </c>
      <c r="B773" s="5" t="s">
        <v>1545</v>
      </c>
      <c r="C773" s="6">
        <v>20000.0</v>
      </c>
      <c r="D773" s="6">
        <v>1.88</v>
      </c>
      <c r="E773" s="6">
        <v>25.0</v>
      </c>
    </row>
    <row r="774">
      <c r="A774" s="4" t="s">
        <v>1546</v>
      </c>
      <c r="B774" s="5" t="s">
        <v>1547</v>
      </c>
      <c r="C774" s="6">
        <v>20000.0</v>
      </c>
      <c r="D774" s="6">
        <v>4.637426901</v>
      </c>
      <c r="E774" s="6">
        <v>513.0</v>
      </c>
    </row>
    <row r="775">
      <c r="A775" s="4" t="s">
        <v>1548</v>
      </c>
      <c r="B775" s="5" t="s">
        <v>1549</v>
      </c>
      <c r="C775" s="6">
        <v>20000.0</v>
      </c>
      <c r="D775" s="6">
        <v>4.649122807</v>
      </c>
      <c r="E775" s="6">
        <v>114.0</v>
      </c>
    </row>
    <row r="776">
      <c r="A776" s="4" t="s">
        <v>1550</v>
      </c>
      <c r="B776" s="5" t="s">
        <v>1551</v>
      </c>
      <c r="C776" s="6">
        <v>20000.0</v>
      </c>
      <c r="D776" s="6">
        <v>4.561797753</v>
      </c>
      <c r="E776" s="6">
        <v>89.0</v>
      </c>
    </row>
    <row r="777">
      <c r="A777" s="4" t="s">
        <v>1552</v>
      </c>
      <c r="B777" s="5" t="s">
        <v>1553</v>
      </c>
      <c r="C777" s="6">
        <v>20000.0</v>
      </c>
      <c r="D777" s="6">
        <v>3.88</v>
      </c>
      <c r="E777" s="6">
        <v>25.0</v>
      </c>
    </row>
    <row r="778">
      <c r="A778" s="4" t="s">
        <v>1554</v>
      </c>
      <c r="B778" s="5" t="s">
        <v>1555</v>
      </c>
      <c r="C778" s="6">
        <v>20000.0</v>
      </c>
      <c r="D778" s="6">
        <v>4.345238095</v>
      </c>
      <c r="E778" s="6">
        <v>1428.0</v>
      </c>
    </row>
    <row r="779">
      <c r="A779" s="4" t="s">
        <v>1556</v>
      </c>
      <c r="B779" s="5" t="s">
        <v>1557</v>
      </c>
      <c r="C779" s="6">
        <v>20000.0</v>
      </c>
      <c r="D779" s="6">
        <v>3.75</v>
      </c>
      <c r="E779" s="6">
        <v>4.0</v>
      </c>
    </row>
    <row r="780">
      <c r="A780" s="4" t="s">
        <v>1558</v>
      </c>
      <c r="B780" s="5" t="s">
        <v>1559</v>
      </c>
      <c r="C780" s="6">
        <v>20000.0</v>
      </c>
      <c r="D780" s="6">
        <v>3.90625</v>
      </c>
      <c r="E780" s="6">
        <v>32.0</v>
      </c>
    </row>
    <row r="781">
      <c r="A781" s="4" t="s">
        <v>1560</v>
      </c>
      <c r="B781" s="5" t="s">
        <v>1561</v>
      </c>
      <c r="C781" s="6">
        <v>20000.0</v>
      </c>
      <c r="D781" s="6">
        <v>4.333333333</v>
      </c>
      <c r="E781" s="6">
        <v>6.0</v>
      </c>
    </row>
    <row r="782">
      <c r="A782" s="4" t="s">
        <v>1562</v>
      </c>
      <c r="B782" s="5" t="s">
        <v>1563</v>
      </c>
      <c r="C782" s="6">
        <v>20000.0</v>
      </c>
      <c r="D782" s="6">
        <v>4.718487395</v>
      </c>
      <c r="E782" s="6">
        <v>238.0</v>
      </c>
    </row>
    <row r="783">
      <c r="A783" s="4" t="s">
        <v>1564</v>
      </c>
      <c r="B783" s="5" t="s">
        <v>1565</v>
      </c>
      <c r="C783" s="6">
        <v>20000.0</v>
      </c>
      <c r="D783" s="6">
        <v>1.0</v>
      </c>
      <c r="E783" s="6">
        <v>2.0</v>
      </c>
    </row>
    <row r="784">
      <c r="A784" s="4" t="s">
        <v>1566</v>
      </c>
      <c r="B784" s="5" t="s">
        <v>1567</v>
      </c>
      <c r="C784" s="6">
        <v>20000.0</v>
      </c>
      <c r="D784" s="6">
        <v>3.714285714</v>
      </c>
      <c r="E784" s="6">
        <v>105.0</v>
      </c>
    </row>
    <row r="785">
      <c r="A785" s="4" t="s">
        <v>1568</v>
      </c>
      <c r="B785" s="5" t="s">
        <v>1569</v>
      </c>
      <c r="C785" s="6">
        <v>20000.0</v>
      </c>
      <c r="D785" s="6">
        <v>4.505747126</v>
      </c>
      <c r="E785" s="6">
        <v>174.0</v>
      </c>
    </row>
    <row r="786">
      <c r="A786" s="4" t="s">
        <v>1570</v>
      </c>
      <c r="B786" s="5" t="s">
        <v>1571</v>
      </c>
      <c r="C786" s="6">
        <v>20000.0</v>
      </c>
      <c r="D786" s="6">
        <v>4.5</v>
      </c>
      <c r="E786" s="6">
        <v>2.0</v>
      </c>
    </row>
    <row r="787">
      <c r="A787" s="4" t="s">
        <v>1572</v>
      </c>
      <c r="B787" s="5" t="s">
        <v>1573</v>
      </c>
      <c r="C787" s="6">
        <v>20000.0</v>
      </c>
      <c r="D787" s="6">
        <v>4.171511628</v>
      </c>
      <c r="E787" s="6">
        <v>344.0</v>
      </c>
    </row>
    <row r="788">
      <c r="A788" s="4" t="s">
        <v>1574</v>
      </c>
      <c r="B788" s="5" t="s">
        <v>1575</v>
      </c>
      <c r="C788" s="6">
        <v>20000.0</v>
      </c>
      <c r="D788" s="6">
        <v>2.773755656</v>
      </c>
      <c r="E788" s="6">
        <v>663.0</v>
      </c>
    </row>
    <row r="789">
      <c r="A789" s="4" t="s">
        <v>1576</v>
      </c>
      <c r="B789" s="5" t="s">
        <v>1577</v>
      </c>
      <c r="C789" s="6">
        <v>20000.0</v>
      </c>
      <c r="D789" s="6">
        <v>3.111111111</v>
      </c>
      <c r="E789" s="6">
        <v>9.0</v>
      </c>
    </row>
    <row r="790">
      <c r="A790" s="4" t="s">
        <v>1578</v>
      </c>
      <c r="B790" s="5" t="s">
        <v>1579</v>
      </c>
      <c r="C790" s="6">
        <v>20000.0</v>
      </c>
      <c r="D790" s="6">
        <v>2.834008097</v>
      </c>
      <c r="E790" s="6">
        <v>247.0</v>
      </c>
    </row>
    <row r="791">
      <c r="A791" s="4" t="s">
        <v>1580</v>
      </c>
      <c r="B791" s="5" t="s">
        <v>1581</v>
      </c>
      <c r="C791" s="6">
        <v>20000.0</v>
      </c>
      <c r="D791" s="6">
        <v>4.717431193</v>
      </c>
      <c r="E791" s="6">
        <v>545.0</v>
      </c>
    </row>
    <row r="792">
      <c r="A792" s="4" t="s">
        <v>1582</v>
      </c>
      <c r="B792" s="5" t="s">
        <v>1583</v>
      </c>
      <c r="C792" s="6">
        <v>20000.0</v>
      </c>
      <c r="D792" s="6">
        <v>4.869806094</v>
      </c>
      <c r="E792" s="6">
        <v>361.0</v>
      </c>
    </row>
    <row r="793">
      <c r="A793" s="4" t="s">
        <v>1584</v>
      </c>
      <c r="B793" s="5" t="s">
        <v>1585</v>
      </c>
      <c r="C793" s="6">
        <v>20000.0</v>
      </c>
      <c r="D793" s="6">
        <v>4.811722913</v>
      </c>
      <c r="E793" s="6">
        <v>563.0</v>
      </c>
    </row>
    <row r="794">
      <c r="A794" s="4" t="s">
        <v>1586</v>
      </c>
      <c r="B794" s="5" t="s">
        <v>1587</v>
      </c>
      <c r="C794" s="6">
        <v>20000.0</v>
      </c>
      <c r="D794" s="6">
        <v>4.551020408</v>
      </c>
      <c r="E794" s="6">
        <v>49.0</v>
      </c>
    </row>
    <row r="795">
      <c r="A795" s="4" t="s">
        <v>1588</v>
      </c>
      <c r="B795" s="5" t="s">
        <v>1589</v>
      </c>
      <c r="C795" s="6">
        <v>20000.0</v>
      </c>
      <c r="D795" s="6">
        <v>4.53968254</v>
      </c>
      <c r="E795" s="6">
        <v>378.0</v>
      </c>
    </row>
    <row r="796">
      <c r="A796" s="4" t="s">
        <v>1590</v>
      </c>
      <c r="B796" s="5" t="s">
        <v>1591</v>
      </c>
      <c r="C796" s="6">
        <v>20000.0</v>
      </c>
      <c r="D796" s="6">
        <v>4.296296296</v>
      </c>
      <c r="E796" s="6">
        <v>54.0</v>
      </c>
    </row>
    <row r="797">
      <c r="A797" s="4" t="s">
        <v>1592</v>
      </c>
      <c r="B797" s="5" t="s">
        <v>1593</v>
      </c>
      <c r="C797" s="6">
        <v>20000.0</v>
      </c>
      <c r="D797" s="6">
        <v>3.290909091</v>
      </c>
      <c r="E797" s="6">
        <v>55.0</v>
      </c>
    </row>
    <row r="798">
      <c r="A798" s="4" t="s">
        <v>1594</v>
      </c>
      <c r="B798" s="5" t="s">
        <v>1595</v>
      </c>
      <c r="C798" s="6">
        <v>20000.0</v>
      </c>
      <c r="D798" s="6">
        <v>4.253521127</v>
      </c>
      <c r="E798" s="6">
        <v>71.0</v>
      </c>
    </row>
    <row r="799">
      <c r="A799" s="4" t="s">
        <v>1596</v>
      </c>
      <c r="B799" s="5" t="s">
        <v>1597</v>
      </c>
      <c r="C799" s="6">
        <v>20000.0</v>
      </c>
      <c r="D799" s="6">
        <v>4.178571429</v>
      </c>
      <c r="E799" s="6">
        <v>28.0</v>
      </c>
    </row>
    <row r="800">
      <c r="A800" s="4" t="s">
        <v>1598</v>
      </c>
      <c r="B800" s="5" t="s">
        <v>1599</v>
      </c>
      <c r="C800" s="6">
        <v>20000.0</v>
      </c>
      <c r="D800" s="6">
        <v>4.428571429</v>
      </c>
      <c r="E800" s="6">
        <v>217.0</v>
      </c>
    </row>
    <row r="801">
      <c r="A801" s="4" t="s">
        <v>1600</v>
      </c>
      <c r="B801" s="5" t="s">
        <v>1601</v>
      </c>
      <c r="C801" s="6">
        <v>20000.0</v>
      </c>
      <c r="D801" s="6">
        <v>4.340909091</v>
      </c>
      <c r="E801" s="6">
        <v>264.0</v>
      </c>
    </row>
    <row r="802">
      <c r="A802" s="4" t="s">
        <v>1602</v>
      </c>
      <c r="B802" s="5" t="s">
        <v>1603</v>
      </c>
      <c r="C802" s="6">
        <v>20000.0</v>
      </c>
      <c r="D802" s="6">
        <v>4.452380952</v>
      </c>
      <c r="E802" s="6">
        <v>42.0</v>
      </c>
    </row>
    <row r="803">
      <c r="A803" s="4" t="s">
        <v>1604</v>
      </c>
      <c r="B803" s="5" t="s">
        <v>1605</v>
      </c>
      <c r="C803" s="6">
        <v>20000.0</v>
      </c>
      <c r="D803" s="6">
        <v>4.25</v>
      </c>
      <c r="E803" s="6">
        <v>16.0</v>
      </c>
    </row>
    <row r="804">
      <c r="A804" s="4" t="s">
        <v>1606</v>
      </c>
      <c r="B804" s="5" t="s">
        <v>1607</v>
      </c>
      <c r="C804" s="6">
        <v>20000.0</v>
      </c>
      <c r="D804" s="6">
        <v>2.86</v>
      </c>
      <c r="E804" s="6">
        <v>100.0</v>
      </c>
    </row>
    <row r="805">
      <c r="A805" s="4" t="s">
        <v>1608</v>
      </c>
      <c r="B805" s="5" t="s">
        <v>1609</v>
      </c>
      <c r="C805" s="6">
        <v>20000.0</v>
      </c>
      <c r="D805" s="6">
        <v>4.473684211</v>
      </c>
      <c r="E805" s="6">
        <v>38.0</v>
      </c>
    </row>
    <row r="806">
      <c r="A806" s="4" t="s">
        <v>1610</v>
      </c>
      <c r="B806" s="5" t="s">
        <v>1611</v>
      </c>
      <c r="C806" s="6">
        <v>20000.0</v>
      </c>
      <c r="D806" s="6">
        <v>4.785714286</v>
      </c>
      <c r="E806" s="6">
        <v>28.0</v>
      </c>
    </row>
    <row r="807">
      <c r="A807" s="4" t="s">
        <v>1612</v>
      </c>
      <c r="B807" s="5" t="s">
        <v>1613</v>
      </c>
      <c r="C807" s="6">
        <v>20000.0</v>
      </c>
      <c r="D807" s="6">
        <v>4.861111111</v>
      </c>
      <c r="E807" s="6">
        <v>36.0</v>
      </c>
    </row>
    <row r="808">
      <c r="A808" s="4" t="s">
        <v>1614</v>
      </c>
      <c r="B808" s="5" t="s">
        <v>1615</v>
      </c>
      <c r="C808" s="6">
        <v>20000.0</v>
      </c>
      <c r="D808" s="6">
        <v>3.909090909</v>
      </c>
      <c r="E808" s="6">
        <v>22.0</v>
      </c>
    </row>
    <row r="809">
      <c r="A809" s="4" t="s">
        <v>1616</v>
      </c>
      <c r="B809" s="5" t="s">
        <v>1617</v>
      </c>
      <c r="C809" s="6">
        <v>20000.0</v>
      </c>
      <c r="D809" s="6">
        <v>4.625514403</v>
      </c>
      <c r="E809" s="6">
        <v>243.0</v>
      </c>
    </row>
    <row r="810">
      <c r="A810" s="4" t="s">
        <v>1618</v>
      </c>
      <c r="B810" s="5" t="s">
        <v>1619</v>
      </c>
      <c r="C810" s="6">
        <v>20000.0</v>
      </c>
      <c r="D810" s="6">
        <v>4.336206897</v>
      </c>
      <c r="E810" s="6">
        <v>348.0</v>
      </c>
    </row>
    <row r="811">
      <c r="A811" s="4" t="s">
        <v>1620</v>
      </c>
      <c r="B811" s="5" t="s">
        <v>1621</v>
      </c>
      <c r="C811" s="6">
        <v>20000.0</v>
      </c>
      <c r="D811" s="6">
        <v>4.431034483</v>
      </c>
      <c r="E811" s="6">
        <v>58.0</v>
      </c>
    </row>
    <row r="812">
      <c r="A812" s="4" t="s">
        <v>1622</v>
      </c>
      <c r="B812" s="5" t="s">
        <v>1623</v>
      </c>
      <c r="C812" s="6">
        <v>20000.0</v>
      </c>
      <c r="D812" s="6">
        <v>4.048780488</v>
      </c>
      <c r="E812" s="6">
        <v>41.0</v>
      </c>
    </row>
    <row r="813">
      <c r="A813" s="4" t="s">
        <v>1624</v>
      </c>
      <c r="B813" s="5" t="s">
        <v>1625</v>
      </c>
      <c r="C813" s="6">
        <v>20000.0</v>
      </c>
      <c r="D813" s="6">
        <v>3.818181818</v>
      </c>
      <c r="E813" s="6">
        <v>11.0</v>
      </c>
    </row>
    <row r="814">
      <c r="A814" s="4" t="s">
        <v>1626</v>
      </c>
      <c r="B814" s="5" t="s">
        <v>1627</v>
      </c>
      <c r="C814" s="6">
        <v>20000.0</v>
      </c>
      <c r="D814" s="6">
        <v>4.109756098</v>
      </c>
      <c r="E814" s="6">
        <v>82.0</v>
      </c>
    </row>
    <row r="815">
      <c r="A815" s="4" t="s">
        <v>1628</v>
      </c>
      <c r="B815" s="5" t="s">
        <v>1629</v>
      </c>
      <c r="C815" s="6">
        <v>20000.0</v>
      </c>
      <c r="D815" s="6">
        <v>3.625</v>
      </c>
      <c r="E815" s="6">
        <v>24.0</v>
      </c>
    </row>
    <row r="816">
      <c r="A816" s="4" t="s">
        <v>1630</v>
      </c>
      <c r="B816" s="5" t="s">
        <v>1631</v>
      </c>
      <c r="C816" s="6">
        <v>20000.0</v>
      </c>
      <c r="D816" s="6">
        <v>4.047126437</v>
      </c>
      <c r="E816" s="6">
        <v>870.0</v>
      </c>
    </row>
    <row r="817">
      <c r="A817" s="4" t="s">
        <v>1632</v>
      </c>
      <c r="B817" s="5" t="s">
        <v>1633</v>
      </c>
      <c r="C817" s="6">
        <v>20000.0</v>
      </c>
      <c r="D817" s="6">
        <v>1.130434783</v>
      </c>
      <c r="E817" s="6">
        <v>23.0</v>
      </c>
    </row>
    <row r="818">
      <c r="A818" s="4" t="s">
        <v>1634</v>
      </c>
      <c r="B818" s="5" t="s">
        <v>1635</v>
      </c>
      <c r="C818" s="6">
        <v>20000.0</v>
      </c>
      <c r="D818" s="6">
        <v>2.965811966</v>
      </c>
      <c r="E818" s="6">
        <v>117.0</v>
      </c>
    </row>
    <row r="819">
      <c r="A819" s="4" t="s">
        <v>1636</v>
      </c>
      <c r="B819" s="5" t="s">
        <v>1637</v>
      </c>
      <c r="C819" s="6">
        <v>20000.0</v>
      </c>
      <c r="D819" s="6">
        <v>3.623853211</v>
      </c>
      <c r="E819" s="6">
        <v>109.0</v>
      </c>
    </row>
    <row r="820">
      <c r="A820" s="4" t="s">
        <v>1638</v>
      </c>
      <c r="B820" s="5" t="s">
        <v>1639</v>
      </c>
      <c r="C820" s="6">
        <v>20000.0</v>
      </c>
      <c r="D820" s="6">
        <v>4.826666667</v>
      </c>
      <c r="E820" s="6">
        <v>225.0</v>
      </c>
    </row>
    <row r="821">
      <c r="A821" s="4" t="s">
        <v>1640</v>
      </c>
      <c r="B821" s="5" t="s">
        <v>1641</v>
      </c>
      <c r="C821" s="6">
        <v>20000.0</v>
      </c>
      <c r="D821" s="6">
        <v>3.976744186</v>
      </c>
      <c r="E821" s="6">
        <v>43.0</v>
      </c>
    </row>
    <row r="822">
      <c r="A822" s="4" t="s">
        <v>1642</v>
      </c>
      <c r="B822" s="5" t="s">
        <v>1643</v>
      </c>
      <c r="C822" s="6">
        <v>20000.0</v>
      </c>
      <c r="D822" s="6">
        <v>4.755319149</v>
      </c>
      <c r="E822" s="6">
        <v>188.0</v>
      </c>
    </row>
    <row r="823">
      <c r="A823" s="10" t="s">
        <v>1644</v>
      </c>
      <c r="B823" s="5" t="s">
        <v>1645</v>
      </c>
      <c r="C823" s="6">
        <v>20000.0</v>
      </c>
      <c r="D823" s="6">
        <v>3.0</v>
      </c>
      <c r="E823" s="6">
        <v>4.0</v>
      </c>
    </row>
    <row r="824">
      <c r="A824" s="4" t="s">
        <v>1646</v>
      </c>
      <c r="B824" s="5" t="s">
        <v>1647</v>
      </c>
      <c r="C824" s="6">
        <v>20000.0</v>
      </c>
      <c r="D824" s="6">
        <v>4.645833333</v>
      </c>
      <c r="E824" s="6">
        <v>96.0</v>
      </c>
    </row>
    <row r="825">
      <c r="A825" s="4" t="s">
        <v>1648</v>
      </c>
      <c r="B825" s="5" t="s">
        <v>1649</v>
      </c>
      <c r="C825" s="6">
        <v>20000.0</v>
      </c>
      <c r="D825" s="6">
        <v>4.5</v>
      </c>
      <c r="E825" s="6">
        <v>16.0</v>
      </c>
    </row>
    <row r="826">
      <c r="A826" s="4" t="s">
        <v>1650</v>
      </c>
      <c r="B826" s="5" t="s">
        <v>1651</v>
      </c>
      <c r="C826" s="6">
        <v>20000.0</v>
      </c>
      <c r="D826" s="6">
        <v>4.071428571</v>
      </c>
      <c r="E826" s="6">
        <v>14.0</v>
      </c>
    </row>
    <row r="827">
      <c r="A827" s="4" t="s">
        <v>1652</v>
      </c>
      <c r="B827" s="5" t="s">
        <v>1653</v>
      </c>
      <c r="C827" s="6">
        <v>20000.0</v>
      </c>
      <c r="D827" s="6">
        <v>4.157894737</v>
      </c>
      <c r="E827" s="6">
        <v>76.0</v>
      </c>
    </row>
    <row r="828">
      <c r="A828" s="4" t="s">
        <v>1654</v>
      </c>
      <c r="B828" s="5" t="s">
        <v>1655</v>
      </c>
      <c r="C828" s="6">
        <v>20000.0</v>
      </c>
      <c r="D828" s="9"/>
      <c r="E828" s="9"/>
    </row>
    <row r="829">
      <c r="A829" s="4" t="s">
        <v>1656</v>
      </c>
      <c r="B829" s="5" t="s">
        <v>1657</v>
      </c>
      <c r="C829" s="6">
        <v>20000.0</v>
      </c>
      <c r="D829" s="6">
        <v>4.364672365</v>
      </c>
      <c r="E829" s="6">
        <v>351.0</v>
      </c>
    </row>
    <row r="830">
      <c r="A830" s="4" t="s">
        <v>1658</v>
      </c>
      <c r="B830" s="5" t="s">
        <v>1659</v>
      </c>
      <c r="C830" s="6">
        <v>20000.0</v>
      </c>
      <c r="D830" s="6">
        <v>4.0</v>
      </c>
      <c r="E830" s="6">
        <v>90.0</v>
      </c>
    </row>
    <row r="831">
      <c r="A831" s="4" t="s">
        <v>1660</v>
      </c>
      <c r="B831" s="5" t="s">
        <v>1661</v>
      </c>
      <c r="C831" s="6">
        <v>20000.0</v>
      </c>
      <c r="D831" s="6">
        <v>4.263565891</v>
      </c>
      <c r="E831" s="6">
        <v>129.0</v>
      </c>
    </row>
    <row r="832">
      <c r="A832" s="4" t="s">
        <v>1662</v>
      </c>
      <c r="B832" s="5" t="s">
        <v>1663</v>
      </c>
      <c r="C832" s="6">
        <v>20000.0</v>
      </c>
      <c r="D832" s="6">
        <v>3.747368421</v>
      </c>
      <c r="E832" s="6">
        <v>95.0</v>
      </c>
    </row>
    <row r="833">
      <c r="A833" s="4" t="s">
        <v>1664</v>
      </c>
      <c r="B833" s="5" t="s">
        <v>1665</v>
      </c>
      <c r="C833" s="6">
        <v>20000.0</v>
      </c>
      <c r="D833" s="6">
        <v>3.726086957</v>
      </c>
      <c r="E833" s="6">
        <v>230.0</v>
      </c>
    </row>
    <row r="834">
      <c r="A834" s="4" t="s">
        <v>1666</v>
      </c>
      <c r="B834" s="5" t="s">
        <v>1667</v>
      </c>
      <c r="C834" s="6">
        <v>20000.0</v>
      </c>
      <c r="D834" s="6">
        <v>3.4</v>
      </c>
      <c r="E834" s="6">
        <v>35.0</v>
      </c>
    </row>
    <row r="835">
      <c r="A835" s="4" t="s">
        <v>1668</v>
      </c>
      <c r="B835" s="5" t="s">
        <v>1669</v>
      </c>
      <c r="C835" s="6">
        <v>20000.0</v>
      </c>
      <c r="D835" s="6">
        <v>2.746031746</v>
      </c>
      <c r="E835" s="6">
        <v>126.0</v>
      </c>
    </row>
    <row r="836">
      <c r="A836" s="4" t="s">
        <v>1670</v>
      </c>
      <c r="B836" s="5" t="s">
        <v>1671</v>
      </c>
      <c r="C836" s="6">
        <v>20000.0</v>
      </c>
      <c r="D836" s="6">
        <v>4.756302521</v>
      </c>
      <c r="E836" s="6">
        <v>119.0</v>
      </c>
    </row>
    <row r="837">
      <c r="A837" s="4" t="s">
        <v>1672</v>
      </c>
      <c r="B837" s="5" t="s">
        <v>1673</v>
      </c>
      <c r="C837" s="6">
        <v>20000.0</v>
      </c>
      <c r="D837" s="6">
        <v>2.973684211</v>
      </c>
      <c r="E837" s="6">
        <v>38.0</v>
      </c>
    </row>
    <row r="838">
      <c r="A838" s="4" t="s">
        <v>1674</v>
      </c>
      <c r="B838" s="5" t="s">
        <v>1675</v>
      </c>
      <c r="C838" s="6">
        <v>20000.0</v>
      </c>
      <c r="D838" s="6">
        <v>4.5</v>
      </c>
      <c r="E838" s="6">
        <v>30.0</v>
      </c>
    </row>
    <row r="839">
      <c r="A839" s="4" t="s">
        <v>1676</v>
      </c>
      <c r="B839" s="5" t="s">
        <v>1677</v>
      </c>
      <c r="C839" s="6">
        <v>20000.0</v>
      </c>
      <c r="D839" s="6">
        <v>4.652173913</v>
      </c>
      <c r="E839" s="6">
        <v>46.0</v>
      </c>
    </row>
    <row r="840">
      <c r="A840" s="4" t="s">
        <v>1678</v>
      </c>
      <c r="B840" s="5" t="s">
        <v>1679</v>
      </c>
      <c r="C840" s="6">
        <v>20000.0</v>
      </c>
      <c r="D840" s="6">
        <v>4.502617801</v>
      </c>
      <c r="E840" s="6">
        <v>191.0</v>
      </c>
    </row>
    <row r="841">
      <c r="A841" s="4" t="s">
        <v>1680</v>
      </c>
      <c r="B841" s="5" t="s">
        <v>1681</v>
      </c>
      <c r="C841" s="6">
        <v>20000.0</v>
      </c>
      <c r="D841" s="6">
        <v>3.727272727</v>
      </c>
      <c r="E841" s="6">
        <v>44.0</v>
      </c>
    </row>
    <row r="842">
      <c r="A842" s="4" t="s">
        <v>1682</v>
      </c>
      <c r="B842" s="5" t="s">
        <v>1683</v>
      </c>
      <c r="C842" s="6">
        <v>20000.0</v>
      </c>
      <c r="D842" s="6">
        <v>4.268115942</v>
      </c>
      <c r="E842" s="6">
        <v>138.0</v>
      </c>
    </row>
    <row r="843">
      <c r="A843" s="4" t="s">
        <v>1684</v>
      </c>
      <c r="B843" s="5" t="s">
        <v>1685</v>
      </c>
      <c r="C843" s="6">
        <v>20000.0</v>
      </c>
      <c r="D843" s="6">
        <v>4.788043478</v>
      </c>
      <c r="E843" s="6">
        <v>184.0</v>
      </c>
    </row>
    <row r="844">
      <c r="A844" s="4" t="s">
        <v>1686</v>
      </c>
      <c r="B844" s="5" t="s">
        <v>1687</v>
      </c>
      <c r="C844" s="6">
        <v>20000.0</v>
      </c>
      <c r="D844" s="6">
        <v>4.467362924</v>
      </c>
      <c r="E844" s="6">
        <v>383.0</v>
      </c>
    </row>
    <row r="845">
      <c r="A845" s="4" t="s">
        <v>1688</v>
      </c>
      <c r="B845" s="5" t="s">
        <v>1689</v>
      </c>
      <c r="C845" s="6">
        <v>20000.0</v>
      </c>
      <c r="D845" s="6">
        <v>3.430555556</v>
      </c>
      <c r="E845" s="6">
        <v>72.0</v>
      </c>
    </row>
    <row r="846">
      <c r="A846" s="4" t="s">
        <v>1690</v>
      </c>
      <c r="B846" s="5" t="s">
        <v>1691</v>
      </c>
      <c r="C846" s="6">
        <v>20000.0</v>
      </c>
      <c r="D846" s="6">
        <v>3.125560538</v>
      </c>
      <c r="E846" s="6">
        <v>223.0</v>
      </c>
    </row>
    <row r="847">
      <c r="A847" s="4" t="s">
        <v>1692</v>
      </c>
      <c r="B847" s="5" t="s">
        <v>1693</v>
      </c>
      <c r="C847" s="6">
        <v>20000.0</v>
      </c>
      <c r="D847" s="6">
        <v>3.827868852</v>
      </c>
      <c r="E847" s="6">
        <v>610.0</v>
      </c>
    </row>
    <row r="848">
      <c r="A848" s="4" t="s">
        <v>1694</v>
      </c>
      <c r="B848" s="12" t="s">
        <v>1695</v>
      </c>
      <c r="C848" s="7">
        <v>20000.0</v>
      </c>
      <c r="D848" s="6">
        <v>3.4</v>
      </c>
      <c r="E848" s="6">
        <v>250.0</v>
      </c>
    </row>
    <row r="849">
      <c r="A849" s="4" t="s">
        <v>1696</v>
      </c>
      <c r="B849" s="5" t="s">
        <v>1697</v>
      </c>
      <c r="C849" s="6">
        <v>20000.0</v>
      </c>
      <c r="D849" s="6">
        <v>2.966216216</v>
      </c>
      <c r="E849" s="6">
        <v>296.0</v>
      </c>
    </row>
    <row r="850">
      <c r="A850" s="4" t="s">
        <v>1698</v>
      </c>
      <c r="B850" s="5" t="s">
        <v>1699</v>
      </c>
      <c r="C850" s="6">
        <v>20000.0</v>
      </c>
      <c r="D850" s="6">
        <v>4.32826087</v>
      </c>
      <c r="E850" s="6">
        <v>460.0</v>
      </c>
    </row>
    <row r="851">
      <c r="A851" s="4" t="s">
        <v>1700</v>
      </c>
      <c r="B851" s="5" t="s">
        <v>1701</v>
      </c>
      <c r="C851" s="6">
        <v>20000.0</v>
      </c>
      <c r="D851" s="6">
        <v>1.764705882</v>
      </c>
      <c r="E851" s="6">
        <v>340.0</v>
      </c>
    </row>
    <row r="852">
      <c r="A852" s="4" t="s">
        <v>1702</v>
      </c>
      <c r="B852" s="5" t="s">
        <v>1703</v>
      </c>
      <c r="C852" s="6">
        <v>20000.0</v>
      </c>
      <c r="D852" s="6">
        <v>3.533333333</v>
      </c>
      <c r="E852" s="6">
        <v>15.0</v>
      </c>
    </row>
    <row r="853">
      <c r="A853" s="4" t="s">
        <v>1704</v>
      </c>
      <c r="B853" s="5" t="s">
        <v>1705</v>
      </c>
      <c r="C853" s="6">
        <v>20000.0</v>
      </c>
      <c r="D853" s="6">
        <v>4.620481928</v>
      </c>
      <c r="E853" s="6">
        <v>166.0</v>
      </c>
    </row>
    <row r="854">
      <c r="A854" s="4" t="s">
        <v>1706</v>
      </c>
      <c r="B854" s="5" t="s">
        <v>1707</v>
      </c>
      <c r="C854" s="6">
        <v>20000.0</v>
      </c>
      <c r="D854" s="6">
        <v>3.516129032</v>
      </c>
      <c r="E854" s="6">
        <v>31.0</v>
      </c>
    </row>
    <row r="855">
      <c r="A855" s="4" t="s">
        <v>1708</v>
      </c>
      <c r="B855" s="5" t="s">
        <v>1709</v>
      </c>
      <c r="C855" s="6">
        <v>20000.0</v>
      </c>
      <c r="D855" s="6">
        <v>3.702479339</v>
      </c>
      <c r="E855" s="6">
        <v>242.0</v>
      </c>
    </row>
    <row r="856">
      <c r="A856" s="4" t="s">
        <v>1710</v>
      </c>
      <c r="B856" s="5" t="s">
        <v>1711</v>
      </c>
      <c r="C856" s="6">
        <v>20000.0</v>
      </c>
      <c r="D856" s="6">
        <v>3.058823529</v>
      </c>
      <c r="E856" s="6">
        <v>17.0</v>
      </c>
    </row>
    <row r="857">
      <c r="A857" s="4" t="s">
        <v>1712</v>
      </c>
      <c r="B857" s="5" t="s">
        <v>1713</v>
      </c>
      <c r="C857" s="6">
        <v>20000.0</v>
      </c>
      <c r="D857" s="6">
        <v>3.87755102</v>
      </c>
      <c r="E857" s="6">
        <v>49.0</v>
      </c>
    </row>
    <row r="858">
      <c r="A858" s="4" t="s">
        <v>1714</v>
      </c>
      <c r="B858" s="5" t="s">
        <v>1715</v>
      </c>
      <c r="C858" s="6">
        <v>20000.0</v>
      </c>
      <c r="D858" s="6">
        <v>4.5</v>
      </c>
      <c r="E858" s="6">
        <v>20.0</v>
      </c>
    </row>
    <row r="859">
      <c r="A859" s="4" t="s">
        <v>1716</v>
      </c>
      <c r="B859" s="5" t="s">
        <v>1717</v>
      </c>
      <c r="C859" s="6">
        <v>20000.0</v>
      </c>
      <c r="D859" s="6">
        <v>3.988179669</v>
      </c>
      <c r="E859" s="6">
        <v>423.0</v>
      </c>
    </row>
    <row r="860">
      <c r="A860" s="4" t="s">
        <v>1718</v>
      </c>
      <c r="B860" s="5" t="s">
        <v>1719</v>
      </c>
      <c r="C860" s="6">
        <v>20000.0</v>
      </c>
      <c r="D860" s="6">
        <v>4.319148936</v>
      </c>
      <c r="E860" s="6">
        <v>47.0</v>
      </c>
    </row>
    <row r="861">
      <c r="A861" s="4" t="s">
        <v>1720</v>
      </c>
      <c r="B861" s="5" t="s">
        <v>1721</v>
      </c>
      <c r="C861" s="6">
        <v>20000.0</v>
      </c>
      <c r="D861" s="6">
        <v>4.363636364</v>
      </c>
      <c r="E861" s="6">
        <v>11.0</v>
      </c>
    </row>
    <row r="862">
      <c r="A862" s="4" t="s">
        <v>1722</v>
      </c>
      <c r="B862" s="5" t="s">
        <v>1723</v>
      </c>
      <c r="C862" s="6">
        <v>20000.0</v>
      </c>
      <c r="D862" s="6">
        <v>4.857142857</v>
      </c>
      <c r="E862" s="6">
        <v>7.0</v>
      </c>
    </row>
    <row r="863">
      <c r="A863" s="4" t="s">
        <v>1724</v>
      </c>
      <c r="B863" s="5" t="s">
        <v>1725</v>
      </c>
      <c r="C863" s="6">
        <v>20000.0</v>
      </c>
      <c r="D863" s="6">
        <v>2.333333333</v>
      </c>
      <c r="E863" s="6">
        <v>3.0</v>
      </c>
    </row>
    <row r="864">
      <c r="A864" s="4" t="s">
        <v>1726</v>
      </c>
      <c r="B864" s="5" t="s">
        <v>1727</v>
      </c>
      <c r="C864" s="6">
        <v>20000.0</v>
      </c>
      <c r="D864" s="6">
        <v>4.27</v>
      </c>
      <c r="E864" s="6">
        <v>100.0</v>
      </c>
    </row>
    <row r="865">
      <c r="A865" s="4" t="s">
        <v>1728</v>
      </c>
      <c r="B865" s="5" t="s">
        <v>1729</v>
      </c>
      <c r="C865" s="6">
        <v>20000.0</v>
      </c>
      <c r="D865" s="6">
        <v>3.0</v>
      </c>
      <c r="E865" s="6">
        <v>6.0</v>
      </c>
    </row>
    <row r="866">
      <c r="A866" s="4" t="s">
        <v>1730</v>
      </c>
      <c r="B866" s="5" t="s">
        <v>1731</v>
      </c>
      <c r="C866" s="6">
        <v>20000.0</v>
      </c>
      <c r="D866" s="6">
        <v>3.421686747</v>
      </c>
      <c r="E866" s="6">
        <v>83.0</v>
      </c>
    </row>
    <row r="867">
      <c r="A867" s="4" t="s">
        <v>1732</v>
      </c>
      <c r="B867" s="5" t="s">
        <v>1733</v>
      </c>
      <c r="C867" s="6">
        <v>20000.0</v>
      </c>
      <c r="D867" s="6">
        <v>4.454545455</v>
      </c>
      <c r="E867" s="6">
        <v>44.0</v>
      </c>
    </row>
    <row r="868">
      <c r="A868" s="4" t="s">
        <v>1734</v>
      </c>
      <c r="B868" s="5" t="s">
        <v>1735</v>
      </c>
      <c r="C868" s="6">
        <v>20000.0</v>
      </c>
      <c r="D868" s="6">
        <v>3.275862069</v>
      </c>
      <c r="E868" s="6">
        <v>29.0</v>
      </c>
    </row>
    <row r="869">
      <c r="A869" s="4" t="s">
        <v>1736</v>
      </c>
      <c r="B869" s="5" t="s">
        <v>1737</v>
      </c>
      <c r="C869" s="6">
        <v>20000.0</v>
      </c>
      <c r="D869" s="6">
        <v>3.228813559</v>
      </c>
      <c r="E869" s="6">
        <v>118.0</v>
      </c>
    </row>
    <row r="870">
      <c r="A870" s="4" t="s">
        <v>1738</v>
      </c>
      <c r="B870" s="5" t="s">
        <v>1739</v>
      </c>
      <c r="C870" s="6">
        <v>20000.0</v>
      </c>
      <c r="D870" s="6">
        <v>2.62962963</v>
      </c>
      <c r="E870" s="6">
        <v>27.0</v>
      </c>
    </row>
    <row r="871">
      <c r="A871" s="4" t="s">
        <v>1740</v>
      </c>
      <c r="B871" s="5" t="s">
        <v>1741</v>
      </c>
      <c r="C871" s="6">
        <v>20000.0</v>
      </c>
      <c r="D871" s="6">
        <v>4.218045113</v>
      </c>
      <c r="E871" s="6">
        <v>133.0</v>
      </c>
    </row>
    <row r="872">
      <c r="A872" s="4" t="s">
        <v>1742</v>
      </c>
      <c r="B872" s="5" t="s">
        <v>1743</v>
      </c>
      <c r="C872" s="6">
        <v>20000.0</v>
      </c>
      <c r="D872" s="6">
        <v>4.063829787</v>
      </c>
      <c r="E872" s="6">
        <v>47.0</v>
      </c>
    </row>
    <row r="873">
      <c r="A873" s="4" t="s">
        <v>1744</v>
      </c>
      <c r="B873" s="5" t="s">
        <v>1745</v>
      </c>
      <c r="C873" s="6">
        <v>20000.0</v>
      </c>
      <c r="D873" s="6">
        <v>4.518518519</v>
      </c>
      <c r="E873" s="6">
        <v>108.0</v>
      </c>
    </row>
    <row r="874">
      <c r="A874" s="4" t="s">
        <v>1746</v>
      </c>
      <c r="B874" s="5" t="s">
        <v>1747</v>
      </c>
      <c r="C874" s="6">
        <v>20000.0</v>
      </c>
      <c r="D874" s="6">
        <v>4.96969697</v>
      </c>
      <c r="E874" s="6">
        <v>33.0</v>
      </c>
    </row>
    <row r="875">
      <c r="A875" s="4" t="s">
        <v>1748</v>
      </c>
      <c r="B875" s="5" t="s">
        <v>1749</v>
      </c>
      <c r="C875" s="6">
        <v>20000.0</v>
      </c>
      <c r="D875" s="6">
        <v>4.014492754</v>
      </c>
      <c r="E875" s="6">
        <v>414.0</v>
      </c>
    </row>
    <row r="876">
      <c r="A876" s="4" t="s">
        <v>1750</v>
      </c>
      <c r="B876" s="5" t="s">
        <v>1751</v>
      </c>
      <c r="C876" s="6">
        <v>20000.0</v>
      </c>
      <c r="D876" s="6">
        <v>4.333333333</v>
      </c>
      <c r="E876" s="6">
        <v>33.0</v>
      </c>
    </row>
    <row r="877">
      <c r="A877" s="4" t="s">
        <v>1752</v>
      </c>
      <c r="B877" s="5" t="s">
        <v>1753</v>
      </c>
      <c r="C877" s="6">
        <v>20000.0</v>
      </c>
      <c r="D877" s="6">
        <v>4.603773585</v>
      </c>
      <c r="E877" s="6">
        <v>371.0</v>
      </c>
    </row>
    <row r="878">
      <c r="A878" s="4" t="s">
        <v>1754</v>
      </c>
      <c r="B878" s="5" t="s">
        <v>1755</v>
      </c>
      <c r="C878" s="6">
        <v>20000.0</v>
      </c>
      <c r="D878" s="6">
        <v>4.4375</v>
      </c>
      <c r="E878" s="6">
        <v>528.0</v>
      </c>
    </row>
    <row r="879">
      <c r="A879" s="4" t="s">
        <v>1756</v>
      </c>
      <c r="B879" s="5" t="s">
        <v>1757</v>
      </c>
      <c r="C879" s="6">
        <v>20000.0</v>
      </c>
      <c r="D879" s="6">
        <v>3.863636364</v>
      </c>
      <c r="E879" s="6">
        <v>22.0</v>
      </c>
    </row>
    <row r="880">
      <c r="A880" s="4" t="s">
        <v>1758</v>
      </c>
      <c r="B880" s="5" t="s">
        <v>1759</v>
      </c>
      <c r="C880" s="6">
        <v>20000.0</v>
      </c>
      <c r="D880" s="6">
        <v>3.904716981</v>
      </c>
      <c r="E880" s="6">
        <v>2120.0</v>
      </c>
    </row>
    <row r="881">
      <c r="A881" s="4" t="s">
        <v>1760</v>
      </c>
      <c r="B881" s="5" t="s">
        <v>1761</v>
      </c>
      <c r="C881" s="6">
        <v>20000.0</v>
      </c>
      <c r="D881" s="6">
        <v>4.441176471</v>
      </c>
      <c r="E881" s="6">
        <v>34.0</v>
      </c>
    </row>
    <row r="882">
      <c r="A882" s="4" t="s">
        <v>1762</v>
      </c>
      <c r="B882" s="5" t="s">
        <v>1763</v>
      </c>
      <c r="C882" s="6">
        <v>20000.0</v>
      </c>
      <c r="D882" s="6">
        <v>4.1</v>
      </c>
      <c r="E882" s="6">
        <v>10.0</v>
      </c>
    </row>
    <row r="883">
      <c r="A883" s="4" t="s">
        <v>1764</v>
      </c>
      <c r="B883" s="5" t="s">
        <v>1765</v>
      </c>
      <c r="C883" s="6">
        <v>20000.0</v>
      </c>
      <c r="D883" s="6">
        <v>4.285714286</v>
      </c>
      <c r="E883" s="6">
        <v>7.0</v>
      </c>
    </row>
    <row r="884">
      <c r="A884" s="4" t="s">
        <v>1766</v>
      </c>
      <c r="B884" s="5" t="s">
        <v>1767</v>
      </c>
      <c r="C884" s="6">
        <v>20000.0</v>
      </c>
      <c r="D884" s="6">
        <v>4.483333333</v>
      </c>
      <c r="E884" s="6">
        <v>60.0</v>
      </c>
    </row>
    <row r="885">
      <c r="A885" s="4" t="s">
        <v>1768</v>
      </c>
      <c r="B885" s="5" t="s">
        <v>1769</v>
      </c>
      <c r="C885" s="6">
        <v>20000.0</v>
      </c>
      <c r="D885" s="6">
        <v>4.4</v>
      </c>
      <c r="E885" s="6">
        <v>60.0</v>
      </c>
    </row>
    <row r="886">
      <c r="A886" s="4" t="s">
        <v>1770</v>
      </c>
      <c r="B886" s="5" t="s">
        <v>1771</v>
      </c>
      <c r="C886" s="6">
        <v>20000.0</v>
      </c>
      <c r="D886" s="6">
        <v>4.404432133</v>
      </c>
      <c r="E886" s="6">
        <v>361.0</v>
      </c>
    </row>
    <row r="887">
      <c r="A887" s="4" t="s">
        <v>1772</v>
      </c>
      <c r="B887" s="5" t="s">
        <v>1773</v>
      </c>
      <c r="C887" s="6">
        <v>20000.0</v>
      </c>
      <c r="D887" s="6">
        <v>3.742424242</v>
      </c>
      <c r="E887" s="6">
        <v>66.0</v>
      </c>
    </row>
    <row r="888">
      <c r="A888" s="4" t="s">
        <v>1774</v>
      </c>
      <c r="B888" s="5" t="s">
        <v>1775</v>
      </c>
      <c r="C888" s="6">
        <v>20000.0</v>
      </c>
      <c r="D888" s="6">
        <v>3.903743316</v>
      </c>
      <c r="E888" s="6">
        <v>187.0</v>
      </c>
    </row>
    <row r="889">
      <c r="A889" s="4" t="s">
        <v>1776</v>
      </c>
      <c r="B889" s="5" t="s">
        <v>1777</v>
      </c>
      <c r="C889" s="6">
        <v>20000.0</v>
      </c>
      <c r="D889" s="6">
        <v>4.514285714</v>
      </c>
      <c r="E889" s="6">
        <v>35.0</v>
      </c>
    </row>
    <row r="890">
      <c r="A890" s="4" t="s">
        <v>1778</v>
      </c>
      <c r="B890" s="5" t="s">
        <v>1779</v>
      </c>
      <c r="C890" s="6">
        <v>20000.0</v>
      </c>
      <c r="D890" s="6">
        <v>5.0</v>
      </c>
      <c r="E890" s="6">
        <v>7.0</v>
      </c>
    </row>
    <row r="891">
      <c r="A891" s="4" t="s">
        <v>1780</v>
      </c>
      <c r="B891" s="5" t="s">
        <v>1781</v>
      </c>
      <c r="C891" s="6">
        <v>20000.0</v>
      </c>
      <c r="D891" s="6">
        <v>4.5625</v>
      </c>
      <c r="E891" s="6">
        <v>32.0</v>
      </c>
    </row>
    <row r="892">
      <c r="A892" s="4" t="s">
        <v>1782</v>
      </c>
      <c r="B892" s="5" t="s">
        <v>1783</v>
      </c>
      <c r="C892" s="6">
        <v>20000.0</v>
      </c>
      <c r="D892" s="6">
        <v>4.308626974</v>
      </c>
      <c r="E892" s="6">
        <v>823.0</v>
      </c>
    </row>
    <row r="893">
      <c r="A893" s="4" t="s">
        <v>1784</v>
      </c>
      <c r="B893" s="5" t="s">
        <v>1785</v>
      </c>
      <c r="C893" s="6">
        <v>20000.0</v>
      </c>
      <c r="D893" s="6">
        <v>4.217877095</v>
      </c>
      <c r="E893" s="6">
        <v>358.0</v>
      </c>
    </row>
    <row r="894">
      <c r="A894" s="4" t="s">
        <v>1786</v>
      </c>
      <c r="B894" s="5" t="s">
        <v>1787</v>
      </c>
      <c r="C894" s="6">
        <v>20000.0</v>
      </c>
      <c r="D894" s="6">
        <v>4.119047619</v>
      </c>
      <c r="E894" s="6">
        <v>42.0</v>
      </c>
    </row>
    <row r="895">
      <c r="A895" s="4" t="s">
        <v>1788</v>
      </c>
      <c r="B895" s="5" t="s">
        <v>1789</v>
      </c>
      <c r="C895" s="6">
        <v>20000.0</v>
      </c>
      <c r="D895" s="6">
        <v>3.752688172</v>
      </c>
      <c r="E895" s="6">
        <v>93.0</v>
      </c>
    </row>
    <row r="896">
      <c r="A896" s="4" t="s">
        <v>1790</v>
      </c>
      <c r="B896" s="5" t="s">
        <v>1791</v>
      </c>
      <c r="C896" s="6">
        <v>20000.0</v>
      </c>
      <c r="D896" s="6">
        <v>3.75</v>
      </c>
      <c r="E896" s="6">
        <v>36.0</v>
      </c>
    </row>
    <row r="897">
      <c r="A897" s="4" t="s">
        <v>1792</v>
      </c>
      <c r="B897" s="5" t="s">
        <v>1793</v>
      </c>
      <c r="C897" s="6">
        <v>20000.0</v>
      </c>
      <c r="D897" s="6">
        <v>4.0</v>
      </c>
      <c r="E897" s="6">
        <v>47.0</v>
      </c>
    </row>
    <row r="898">
      <c r="A898" s="4" t="s">
        <v>1794</v>
      </c>
      <c r="B898" s="5" t="s">
        <v>1795</v>
      </c>
      <c r="C898" s="6">
        <v>20000.0</v>
      </c>
      <c r="D898" s="6">
        <v>4.326086957</v>
      </c>
      <c r="E898" s="6">
        <v>92.0</v>
      </c>
    </row>
    <row r="899">
      <c r="A899" s="4" t="s">
        <v>1796</v>
      </c>
      <c r="B899" s="5" t="s">
        <v>1797</v>
      </c>
      <c r="C899" s="6">
        <v>20000.0</v>
      </c>
      <c r="D899" s="6">
        <v>3.307692308</v>
      </c>
      <c r="E899" s="6">
        <v>26.0</v>
      </c>
    </row>
    <row r="900">
      <c r="A900" s="4" t="s">
        <v>1798</v>
      </c>
      <c r="B900" s="5" t="s">
        <v>1799</v>
      </c>
      <c r="C900" s="6">
        <v>20000.0</v>
      </c>
      <c r="D900" s="6">
        <v>5.0</v>
      </c>
      <c r="E900" s="6">
        <v>1.0</v>
      </c>
    </row>
    <row r="901">
      <c r="A901" s="4" t="s">
        <v>1800</v>
      </c>
      <c r="B901" s="5" t="s">
        <v>1801</v>
      </c>
      <c r="C901" s="6">
        <v>20000.0</v>
      </c>
      <c r="D901" s="6">
        <v>3.608695652</v>
      </c>
      <c r="E901" s="6">
        <v>46.0</v>
      </c>
    </row>
    <row r="902">
      <c r="A902" s="4" t="s">
        <v>1802</v>
      </c>
      <c r="B902" s="5" t="s">
        <v>1803</v>
      </c>
      <c r="C902" s="6">
        <v>20000.0</v>
      </c>
      <c r="D902" s="6">
        <v>3.041666667</v>
      </c>
      <c r="E902" s="6">
        <v>24.0</v>
      </c>
    </row>
    <row r="903">
      <c r="A903" s="4" t="s">
        <v>1804</v>
      </c>
      <c r="B903" s="5" t="s">
        <v>1805</v>
      </c>
      <c r="C903" s="6">
        <v>20000.0</v>
      </c>
      <c r="D903" s="6">
        <v>4.365853659</v>
      </c>
      <c r="E903" s="6">
        <v>205.0</v>
      </c>
    </row>
    <row r="904">
      <c r="A904" s="4" t="s">
        <v>1806</v>
      </c>
      <c r="B904" s="5" t="s">
        <v>1807</v>
      </c>
      <c r="C904" s="6">
        <v>20000.0</v>
      </c>
      <c r="D904" s="6">
        <v>3.0</v>
      </c>
      <c r="E904" s="6">
        <v>15.0</v>
      </c>
    </row>
    <row r="905">
      <c r="A905" s="4" t="s">
        <v>1808</v>
      </c>
      <c r="B905" s="5" t="s">
        <v>1809</v>
      </c>
      <c r="C905" s="6">
        <v>20000.0</v>
      </c>
      <c r="D905" s="6">
        <v>3.503448276</v>
      </c>
      <c r="E905" s="6">
        <v>145.0</v>
      </c>
    </row>
    <row r="906">
      <c r="A906" s="4" t="s">
        <v>1810</v>
      </c>
      <c r="B906" s="5" t="s">
        <v>1811</v>
      </c>
      <c r="C906" s="6">
        <v>20000.0</v>
      </c>
      <c r="D906" s="6">
        <v>4.5</v>
      </c>
      <c r="E906" s="6">
        <v>14.0</v>
      </c>
    </row>
    <row r="907">
      <c r="A907" s="4" t="s">
        <v>1812</v>
      </c>
      <c r="B907" s="5" t="s">
        <v>1813</v>
      </c>
      <c r="C907" s="6">
        <v>20000.0</v>
      </c>
      <c r="D907" s="6">
        <v>4.714285714</v>
      </c>
      <c r="E907" s="6">
        <v>7.0</v>
      </c>
    </row>
    <row r="908">
      <c r="A908" s="4" t="s">
        <v>1814</v>
      </c>
      <c r="B908" s="5" t="s">
        <v>1815</v>
      </c>
      <c r="C908" s="6">
        <v>20000.0</v>
      </c>
      <c r="D908" s="6">
        <v>4.120418848</v>
      </c>
      <c r="E908" s="6">
        <v>382.0</v>
      </c>
    </row>
    <row r="909">
      <c r="A909" s="4" t="s">
        <v>1816</v>
      </c>
      <c r="B909" s="5" t="s">
        <v>1817</v>
      </c>
      <c r="C909" s="6">
        <v>20000.0</v>
      </c>
      <c r="D909" s="6">
        <v>3.274193548</v>
      </c>
      <c r="E909" s="6">
        <v>124.0</v>
      </c>
    </row>
    <row r="910">
      <c r="A910" s="4" t="s">
        <v>1818</v>
      </c>
      <c r="B910" s="5" t="s">
        <v>1819</v>
      </c>
      <c r="C910" s="6">
        <v>20000.0</v>
      </c>
      <c r="D910" s="6">
        <v>4.5</v>
      </c>
      <c r="E910" s="6">
        <v>10.0</v>
      </c>
    </row>
    <row r="911">
      <c r="A911" s="4" t="s">
        <v>1820</v>
      </c>
      <c r="B911" s="5" t="s">
        <v>1821</v>
      </c>
      <c r="C911" s="6">
        <v>20000.0</v>
      </c>
      <c r="D911" s="6">
        <v>3.792626728</v>
      </c>
      <c r="E911" s="6">
        <v>217.0</v>
      </c>
    </row>
    <row r="912">
      <c r="A912" s="4" t="s">
        <v>1822</v>
      </c>
      <c r="B912" s="5" t="s">
        <v>1823</v>
      </c>
      <c r="C912" s="6">
        <v>20000.0</v>
      </c>
      <c r="D912" s="6">
        <v>4.354609929</v>
      </c>
      <c r="E912" s="6">
        <v>141.0</v>
      </c>
    </row>
    <row r="913">
      <c r="A913" s="4" t="s">
        <v>1824</v>
      </c>
      <c r="B913" s="5" t="s">
        <v>1825</v>
      </c>
      <c r="C913" s="6">
        <v>20000.0</v>
      </c>
      <c r="D913" s="6">
        <v>4.764705882</v>
      </c>
      <c r="E913" s="6">
        <v>17.0</v>
      </c>
    </row>
    <row r="914">
      <c r="A914" s="4" t="s">
        <v>1826</v>
      </c>
      <c r="B914" s="5" t="s">
        <v>1827</v>
      </c>
      <c r="C914" s="6">
        <v>20000.0</v>
      </c>
      <c r="D914" s="6">
        <v>4.333948339</v>
      </c>
      <c r="E914" s="6">
        <v>542.0</v>
      </c>
    </row>
    <row r="915">
      <c r="A915" s="4" t="s">
        <v>1828</v>
      </c>
      <c r="B915" s="5" t="s">
        <v>1829</v>
      </c>
      <c r="C915" s="6">
        <v>20000.0</v>
      </c>
      <c r="D915" s="6">
        <v>4.452830189</v>
      </c>
      <c r="E915" s="6">
        <v>53.0</v>
      </c>
    </row>
    <row r="916">
      <c r="A916" s="4" t="s">
        <v>1830</v>
      </c>
      <c r="B916" s="5" t="s">
        <v>1831</v>
      </c>
      <c r="C916" s="6">
        <v>20000.0</v>
      </c>
      <c r="D916" s="6">
        <v>3.0</v>
      </c>
      <c r="E916" s="6">
        <v>2.0</v>
      </c>
    </row>
    <row r="917">
      <c r="A917" s="4" t="s">
        <v>1832</v>
      </c>
      <c r="B917" s="5" t="s">
        <v>1833</v>
      </c>
      <c r="C917" s="6">
        <v>20000.0</v>
      </c>
      <c r="D917" s="6">
        <v>4.388603696</v>
      </c>
      <c r="E917" s="6">
        <v>5844.0</v>
      </c>
    </row>
    <row r="918">
      <c r="A918" s="4" t="s">
        <v>1834</v>
      </c>
      <c r="B918" s="5" t="s">
        <v>1835</v>
      </c>
      <c r="C918" s="6">
        <v>20000.0</v>
      </c>
      <c r="D918" s="6">
        <v>3.238095238</v>
      </c>
      <c r="E918" s="6">
        <v>42.0</v>
      </c>
    </row>
    <row r="919">
      <c r="A919" s="4" t="s">
        <v>1836</v>
      </c>
      <c r="B919" s="5" t="s">
        <v>1837</v>
      </c>
      <c r="C919" s="6">
        <v>20000.0</v>
      </c>
      <c r="D919" s="6">
        <v>5.0</v>
      </c>
      <c r="E919" s="6">
        <v>18.0</v>
      </c>
    </row>
    <row r="920">
      <c r="A920" s="4" t="s">
        <v>1838</v>
      </c>
      <c r="B920" s="5" t="s">
        <v>1839</v>
      </c>
      <c r="C920" s="6">
        <v>20000.0</v>
      </c>
      <c r="D920" s="6">
        <v>4.8</v>
      </c>
      <c r="E920" s="6">
        <v>110.0</v>
      </c>
    </row>
    <row r="921">
      <c r="A921" s="4" t="s">
        <v>1840</v>
      </c>
      <c r="B921" s="5" t="s">
        <v>1841</v>
      </c>
      <c r="C921" s="6">
        <v>20000.0</v>
      </c>
      <c r="D921" s="6">
        <v>3.533333333</v>
      </c>
      <c r="E921" s="6">
        <v>15.0</v>
      </c>
    </row>
    <row r="922">
      <c r="A922" s="4" t="s">
        <v>1842</v>
      </c>
      <c r="B922" s="5" t="s">
        <v>1843</v>
      </c>
      <c r="C922" s="6">
        <v>20000.0</v>
      </c>
      <c r="D922" s="6">
        <v>3.266666667</v>
      </c>
      <c r="E922" s="6">
        <v>15.0</v>
      </c>
    </row>
    <row r="923">
      <c r="A923" s="4" t="s">
        <v>1844</v>
      </c>
      <c r="B923" s="5" t="s">
        <v>1845</v>
      </c>
      <c r="C923" s="6">
        <v>20000.0</v>
      </c>
      <c r="D923" s="6">
        <v>4.742857143</v>
      </c>
      <c r="E923" s="6">
        <v>35.0</v>
      </c>
    </row>
    <row r="924">
      <c r="A924" s="4" t="s">
        <v>1846</v>
      </c>
      <c r="B924" s="5" t="s">
        <v>1847</v>
      </c>
      <c r="C924" s="6">
        <v>20000.0</v>
      </c>
      <c r="D924" s="6">
        <v>3.968253968</v>
      </c>
      <c r="E924" s="6">
        <v>126.0</v>
      </c>
    </row>
    <row r="925">
      <c r="A925" s="4" t="s">
        <v>1848</v>
      </c>
      <c r="B925" s="5" t="s">
        <v>1849</v>
      </c>
      <c r="C925" s="6">
        <v>20000.0</v>
      </c>
      <c r="D925" s="6">
        <v>2.038461538</v>
      </c>
      <c r="E925" s="6">
        <v>26.0</v>
      </c>
    </row>
    <row r="926">
      <c r="A926" s="4" t="s">
        <v>1850</v>
      </c>
      <c r="B926" s="5" t="s">
        <v>1851</v>
      </c>
      <c r="C926" s="6">
        <v>20000.0</v>
      </c>
      <c r="D926" s="6">
        <v>4.334572491</v>
      </c>
      <c r="E926" s="6">
        <v>538.0</v>
      </c>
    </row>
    <row r="927">
      <c r="A927" s="4" t="s">
        <v>1852</v>
      </c>
      <c r="B927" s="5" t="s">
        <v>1853</v>
      </c>
      <c r="C927" s="6">
        <v>20000.0</v>
      </c>
      <c r="D927" s="6">
        <v>3.804878049</v>
      </c>
      <c r="E927" s="6">
        <v>164.0</v>
      </c>
    </row>
    <row r="928">
      <c r="A928" s="4" t="s">
        <v>1854</v>
      </c>
      <c r="B928" s="5" t="s">
        <v>1855</v>
      </c>
      <c r="C928" s="6">
        <v>20000.0</v>
      </c>
      <c r="D928" s="6">
        <v>4.043478261</v>
      </c>
      <c r="E928" s="6">
        <v>23.0</v>
      </c>
    </row>
    <row r="929">
      <c r="A929" s="4" t="s">
        <v>1306</v>
      </c>
      <c r="B929" s="5" t="s">
        <v>1856</v>
      </c>
      <c r="C929" s="6">
        <v>20000.0</v>
      </c>
      <c r="D929" s="6">
        <v>3.928571429</v>
      </c>
      <c r="E929" s="6">
        <v>14.0</v>
      </c>
    </row>
    <row r="930">
      <c r="A930" s="4" t="s">
        <v>1857</v>
      </c>
      <c r="B930" s="5" t="s">
        <v>1858</v>
      </c>
      <c r="C930" s="6">
        <v>20000.0</v>
      </c>
      <c r="D930" s="6">
        <v>3.0</v>
      </c>
      <c r="E930" s="6">
        <v>21.0</v>
      </c>
    </row>
    <row r="931">
      <c r="A931" s="4" t="s">
        <v>1859</v>
      </c>
      <c r="B931" s="5" t="s">
        <v>1860</v>
      </c>
      <c r="C931" s="6">
        <v>20000.0</v>
      </c>
      <c r="D931" s="6">
        <v>4.382978723</v>
      </c>
      <c r="E931" s="6">
        <v>47.0</v>
      </c>
    </row>
    <row r="932">
      <c r="A932" s="4" t="s">
        <v>1861</v>
      </c>
      <c r="B932" s="5" t="s">
        <v>1862</v>
      </c>
      <c r="C932" s="6">
        <v>20000.0</v>
      </c>
      <c r="D932" s="6">
        <v>4.15</v>
      </c>
      <c r="E932" s="6">
        <v>380.0</v>
      </c>
    </row>
    <row r="933">
      <c r="A933" s="4" t="s">
        <v>1863</v>
      </c>
      <c r="B933" s="5" t="s">
        <v>1864</v>
      </c>
      <c r="C933" s="6">
        <v>20000.0</v>
      </c>
      <c r="D933" s="6">
        <v>4.197452229</v>
      </c>
      <c r="E933" s="6">
        <v>314.0</v>
      </c>
    </row>
    <row r="934">
      <c r="A934" s="4" t="s">
        <v>1865</v>
      </c>
      <c r="B934" s="5" t="s">
        <v>1866</v>
      </c>
      <c r="C934" s="6">
        <v>20000.0</v>
      </c>
      <c r="D934" s="6">
        <v>2.216216216</v>
      </c>
      <c r="E934" s="6">
        <v>37.0</v>
      </c>
    </row>
    <row r="935">
      <c r="A935" s="4" t="s">
        <v>1867</v>
      </c>
      <c r="B935" s="5" t="s">
        <v>1868</v>
      </c>
      <c r="C935" s="6">
        <v>20000.0</v>
      </c>
      <c r="D935" s="6">
        <v>3.785714286</v>
      </c>
      <c r="E935" s="6">
        <v>14.0</v>
      </c>
    </row>
    <row r="936">
      <c r="A936" s="4" t="s">
        <v>1869</v>
      </c>
      <c r="B936" s="5" t="s">
        <v>1870</v>
      </c>
      <c r="C936" s="6">
        <v>20000.0</v>
      </c>
      <c r="D936" s="6">
        <v>2.3125</v>
      </c>
      <c r="E936" s="6">
        <v>16.0</v>
      </c>
    </row>
    <row r="937">
      <c r="A937" s="4" t="s">
        <v>1871</v>
      </c>
      <c r="B937" s="5" t="s">
        <v>1872</v>
      </c>
      <c r="C937" s="6">
        <v>20000.0</v>
      </c>
      <c r="D937" s="6">
        <v>1.571428571</v>
      </c>
      <c r="E937" s="6">
        <v>7.0</v>
      </c>
    </row>
    <row r="938">
      <c r="A938" s="4" t="s">
        <v>1873</v>
      </c>
      <c r="B938" s="5" t="s">
        <v>1874</v>
      </c>
      <c r="C938" s="6">
        <v>20000.0</v>
      </c>
      <c r="D938" s="6">
        <v>4.02970297</v>
      </c>
      <c r="E938" s="6">
        <v>505.0</v>
      </c>
    </row>
    <row r="939">
      <c r="A939" s="4" t="s">
        <v>1875</v>
      </c>
      <c r="B939" s="5" t="s">
        <v>1876</v>
      </c>
      <c r="C939" s="6">
        <v>20000.0</v>
      </c>
      <c r="D939" s="6">
        <v>4.0</v>
      </c>
      <c r="E939" s="6">
        <v>10.0</v>
      </c>
    </row>
    <row r="940">
      <c r="A940" s="4" t="s">
        <v>1877</v>
      </c>
      <c r="B940" s="5" t="s">
        <v>1878</v>
      </c>
      <c r="C940" s="6">
        <v>20000.0</v>
      </c>
      <c r="D940" s="6">
        <v>4.37254902</v>
      </c>
      <c r="E940" s="6">
        <v>51.0</v>
      </c>
    </row>
    <row r="941">
      <c r="A941" s="5" t="s">
        <v>1879</v>
      </c>
      <c r="B941" s="5" t="s">
        <v>1880</v>
      </c>
      <c r="C941" s="6">
        <v>20000.0</v>
      </c>
      <c r="D941" s="6">
        <v>3.586206897</v>
      </c>
      <c r="E941" s="6">
        <v>29.0</v>
      </c>
    </row>
    <row r="942">
      <c r="A942" s="4" t="s">
        <v>1881</v>
      </c>
      <c r="B942" s="5" t="s">
        <v>1882</v>
      </c>
      <c r="C942" s="6">
        <v>20000.0</v>
      </c>
      <c r="D942" s="6">
        <v>4.416666667</v>
      </c>
      <c r="E942" s="6">
        <v>132.0</v>
      </c>
    </row>
    <row r="943">
      <c r="A943" s="4" t="s">
        <v>1883</v>
      </c>
      <c r="B943" s="5" t="s">
        <v>1884</v>
      </c>
      <c r="C943" s="6">
        <v>20000.0</v>
      </c>
      <c r="D943" s="6">
        <v>3.880952381</v>
      </c>
      <c r="E943" s="6">
        <v>84.0</v>
      </c>
    </row>
    <row r="944">
      <c r="A944" s="4" t="s">
        <v>1885</v>
      </c>
      <c r="B944" s="5" t="s">
        <v>1886</v>
      </c>
      <c r="C944" s="6">
        <v>20000.0</v>
      </c>
      <c r="D944" s="6">
        <v>4.881818182</v>
      </c>
      <c r="E944" s="6">
        <v>110.0</v>
      </c>
    </row>
    <row r="945">
      <c r="A945" s="4" t="s">
        <v>1887</v>
      </c>
      <c r="B945" s="5" t="s">
        <v>1888</v>
      </c>
      <c r="C945" s="6">
        <v>20000.0</v>
      </c>
      <c r="D945" s="6">
        <v>3.983957219</v>
      </c>
      <c r="E945" s="6">
        <v>187.0</v>
      </c>
    </row>
    <row r="946">
      <c r="A946" s="4" t="s">
        <v>1889</v>
      </c>
      <c r="B946" s="5" t="s">
        <v>1890</v>
      </c>
      <c r="C946" s="6">
        <v>20000.0</v>
      </c>
      <c r="D946" s="6">
        <v>4.714285714</v>
      </c>
      <c r="E946" s="6">
        <v>14.0</v>
      </c>
    </row>
    <row r="947">
      <c r="A947" s="4" t="s">
        <v>1891</v>
      </c>
      <c r="B947" s="5" t="s">
        <v>1892</v>
      </c>
      <c r="C947" s="6">
        <v>20000.0</v>
      </c>
      <c r="D947" s="6">
        <v>2.0</v>
      </c>
      <c r="E947" s="6">
        <v>4.0</v>
      </c>
    </row>
    <row r="948">
      <c r="A948" s="4" t="s">
        <v>1893</v>
      </c>
      <c r="B948" s="5" t="s">
        <v>1894</v>
      </c>
      <c r="C948" s="6">
        <v>20000.0</v>
      </c>
      <c r="D948" s="6">
        <v>2.456790123</v>
      </c>
      <c r="E948" s="6">
        <v>81.0</v>
      </c>
    </row>
    <row r="949">
      <c r="A949" s="4" t="s">
        <v>1895</v>
      </c>
      <c r="B949" s="5" t="s">
        <v>1896</v>
      </c>
      <c r="C949" s="6">
        <v>20000.0</v>
      </c>
      <c r="D949" s="6">
        <v>2.142857143</v>
      </c>
      <c r="E949" s="6">
        <v>7.0</v>
      </c>
    </row>
    <row r="950">
      <c r="A950" s="4" t="s">
        <v>1897</v>
      </c>
      <c r="B950" s="5" t="s">
        <v>1898</v>
      </c>
      <c r="C950" s="6">
        <v>20000.0</v>
      </c>
      <c r="D950" s="6">
        <v>4.455882353</v>
      </c>
      <c r="E950" s="6">
        <v>68.0</v>
      </c>
    </row>
    <row r="951">
      <c r="A951" s="4" t="s">
        <v>1899</v>
      </c>
      <c r="B951" s="5" t="s">
        <v>1900</v>
      </c>
      <c r="C951" s="6">
        <v>20000.0</v>
      </c>
      <c r="D951" s="6">
        <v>2.841772152</v>
      </c>
      <c r="E951" s="6">
        <v>158.0</v>
      </c>
    </row>
    <row r="952">
      <c r="A952" s="4" t="s">
        <v>1901</v>
      </c>
      <c r="B952" s="5" t="s">
        <v>1902</v>
      </c>
      <c r="C952" s="6">
        <v>20000.0</v>
      </c>
      <c r="D952" s="6">
        <v>2.25</v>
      </c>
      <c r="E952" s="6">
        <v>32.0</v>
      </c>
    </row>
    <row r="953">
      <c r="A953" s="4" t="s">
        <v>1903</v>
      </c>
      <c r="B953" s="5" t="s">
        <v>1904</v>
      </c>
      <c r="C953" s="6">
        <v>20000.0</v>
      </c>
      <c r="D953" s="6">
        <v>4.051724138</v>
      </c>
      <c r="E953" s="6">
        <v>58.0</v>
      </c>
    </row>
    <row r="954">
      <c r="A954" s="4" t="s">
        <v>1905</v>
      </c>
      <c r="B954" s="5" t="s">
        <v>1906</v>
      </c>
      <c r="C954" s="6">
        <v>20000.0</v>
      </c>
      <c r="D954" s="6">
        <v>4.460465116</v>
      </c>
      <c r="E954" s="6">
        <v>215.0</v>
      </c>
    </row>
    <row r="955">
      <c r="A955" s="4" t="s">
        <v>1907</v>
      </c>
      <c r="B955" s="5" t="s">
        <v>1908</v>
      </c>
      <c r="C955" s="6">
        <v>20000.0</v>
      </c>
      <c r="D955" s="6">
        <v>4.959459459</v>
      </c>
      <c r="E955" s="6">
        <v>74.0</v>
      </c>
    </row>
    <row r="956">
      <c r="A956" s="4" t="s">
        <v>1909</v>
      </c>
      <c r="B956" s="5" t="s">
        <v>1910</v>
      </c>
      <c r="C956" s="6">
        <v>20000.0</v>
      </c>
      <c r="D956" s="6">
        <v>4.086956522</v>
      </c>
      <c r="E956" s="6">
        <v>92.0</v>
      </c>
    </row>
    <row r="957">
      <c r="A957" s="4" t="s">
        <v>1911</v>
      </c>
      <c r="B957" s="5" t="s">
        <v>1912</v>
      </c>
      <c r="C957" s="6">
        <v>20000.0</v>
      </c>
      <c r="D957" s="6">
        <v>3.466292135</v>
      </c>
      <c r="E957" s="6">
        <v>178.0</v>
      </c>
    </row>
    <row r="958">
      <c r="A958" s="4" t="s">
        <v>1913</v>
      </c>
      <c r="B958" s="5" t="s">
        <v>1914</v>
      </c>
      <c r="C958" s="6">
        <v>20000.0</v>
      </c>
      <c r="D958" s="6">
        <v>2.287671233</v>
      </c>
      <c r="E958" s="6">
        <v>73.0</v>
      </c>
    </row>
    <row r="959">
      <c r="A959" s="4" t="s">
        <v>1915</v>
      </c>
      <c r="B959" s="5" t="s">
        <v>1916</v>
      </c>
      <c r="C959" s="6">
        <v>20000.0</v>
      </c>
      <c r="D959" s="6">
        <v>3.615384615</v>
      </c>
      <c r="E959" s="6">
        <v>169.0</v>
      </c>
    </row>
    <row r="960">
      <c r="A960" s="4" t="s">
        <v>1917</v>
      </c>
      <c r="B960" s="5" t="s">
        <v>1918</v>
      </c>
      <c r="C960" s="6">
        <v>20000.0</v>
      </c>
      <c r="D960" s="6">
        <v>4.196969697</v>
      </c>
      <c r="E960" s="6">
        <v>66.0</v>
      </c>
    </row>
    <row r="961">
      <c r="A961" s="4" t="s">
        <v>1919</v>
      </c>
      <c r="B961" s="5" t="s">
        <v>1920</v>
      </c>
      <c r="C961" s="6">
        <v>20000.0</v>
      </c>
      <c r="D961" s="6">
        <v>4.234042553</v>
      </c>
      <c r="E961" s="6">
        <v>188.0</v>
      </c>
    </row>
    <row r="962">
      <c r="A962" s="4" t="s">
        <v>1921</v>
      </c>
      <c r="B962" s="5" t="s">
        <v>1922</v>
      </c>
      <c r="C962" s="6">
        <v>20000.0</v>
      </c>
      <c r="D962" s="6">
        <v>4.490196078</v>
      </c>
      <c r="E962" s="6">
        <v>51.0</v>
      </c>
    </row>
    <row r="963">
      <c r="A963" s="4" t="s">
        <v>1923</v>
      </c>
      <c r="B963" s="5" t="s">
        <v>1924</v>
      </c>
      <c r="C963" s="6">
        <v>20000.0</v>
      </c>
      <c r="D963" s="6">
        <v>3.461538462</v>
      </c>
      <c r="E963" s="6">
        <v>13.0</v>
      </c>
    </row>
    <row r="964">
      <c r="A964" s="4" t="s">
        <v>1925</v>
      </c>
      <c r="B964" s="5" t="s">
        <v>1926</v>
      </c>
      <c r="C964" s="6">
        <v>20000.0</v>
      </c>
      <c r="D964" s="6">
        <v>4.337662338</v>
      </c>
      <c r="E964" s="6">
        <v>154.0</v>
      </c>
    </row>
    <row r="965">
      <c r="A965" s="4" t="s">
        <v>1927</v>
      </c>
      <c r="B965" s="5" t="s">
        <v>1928</v>
      </c>
      <c r="C965" s="6">
        <v>20000.0</v>
      </c>
      <c r="D965" s="6">
        <v>4.25127551</v>
      </c>
      <c r="E965" s="6">
        <v>784.0</v>
      </c>
    </row>
    <row r="966">
      <c r="A966" s="4" t="s">
        <v>1929</v>
      </c>
      <c r="B966" s="5" t="s">
        <v>1930</v>
      </c>
      <c r="C966" s="6">
        <v>20000.0</v>
      </c>
      <c r="D966" s="6">
        <v>3.909090909</v>
      </c>
      <c r="E966" s="6">
        <v>11.0</v>
      </c>
    </row>
    <row r="967">
      <c r="A967" s="4" t="s">
        <v>1931</v>
      </c>
      <c r="B967" s="5" t="s">
        <v>1932</v>
      </c>
      <c r="C967" s="6">
        <v>20000.0</v>
      </c>
      <c r="D967" s="6">
        <v>4.259615385</v>
      </c>
      <c r="E967" s="6">
        <v>104.0</v>
      </c>
    </row>
    <row r="968">
      <c r="A968" s="4" t="s">
        <v>1933</v>
      </c>
      <c r="B968" s="5" t="s">
        <v>1934</v>
      </c>
      <c r="C968" s="6">
        <v>20000.0</v>
      </c>
      <c r="D968" s="6">
        <v>3.659574468</v>
      </c>
      <c r="E968" s="6">
        <v>47.0</v>
      </c>
    </row>
    <row r="969">
      <c r="A969" s="4" t="s">
        <v>1935</v>
      </c>
      <c r="B969" s="5" t="s">
        <v>1936</v>
      </c>
      <c r="C969" s="6">
        <v>20000.0</v>
      </c>
      <c r="D969" s="6">
        <v>4.025</v>
      </c>
      <c r="E969" s="6">
        <v>40.0</v>
      </c>
    </row>
    <row r="970">
      <c r="A970" s="4" t="s">
        <v>1937</v>
      </c>
      <c r="B970" s="5" t="s">
        <v>1938</v>
      </c>
      <c r="C970" s="6">
        <v>20000.0</v>
      </c>
      <c r="D970" s="6">
        <v>3.815789474</v>
      </c>
      <c r="E970" s="6">
        <v>38.0</v>
      </c>
    </row>
    <row r="971">
      <c r="A971" s="4" t="s">
        <v>1939</v>
      </c>
      <c r="B971" s="5" t="s">
        <v>1940</v>
      </c>
      <c r="C971" s="6">
        <v>20000.0</v>
      </c>
      <c r="D971" s="9"/>
      <c r="E971" s="9"/>
    </row>
    <row r="972">
      <c r="A972" s="4" t="s">
        <v>1941</v>
      </c>
      <c r="B972" s="5" t="s">
        <v>1942</v>
      </c>
      <c r="C972" s="6">
        <v>20000.0</v>
      </c>
      <c r="D972" s="6">
        <v>4.627659574</v>
      </c>
      <c r="E972" s="6">
        <v>188.0</v>
      </c>
    </row>
    <row r="973">
      <c r="A973" s="4" t="s">
        <v>1943</v>
      </c>
      <c r="B973" s="5" t="s">
        <v>1944</v>
      </c>
      <c r="C973" s="6">
        <v>20000.0</v>
      </c>
      <c r="D973" s="6">
        <v>4.330275229</v>
      </c>
      <c r="E973" s="6">
        <v>109.0</v>
      </c>
    </row>
    <row r="974">
      <c r="A974" s="4" t="s">
        <v>1945</v>
      </c>
      <c r="B974" s="5" t="s">
        <v>1946</v>
      </c>
      <c r="C974" s="6">
        <v>20000.0</v>
      </c>
      <c r="D974" s="6">
        <v>3.59375</v>
      </c>
      <c r="E974" s="6">
        <v>32.0</v>
      </c>
    </row>
    <row r="975">
      <c r="A975" s="4" t="s">
        <v>1947</v>
      </c>
      <c r="B975" s="5" t="s">
        <v>1948</v>
      </c>
      <c r="C975" s="6">
        <v>20000.0</v>
      </c>
      <c r="D975" s="6">
        <v>4.599078341</v>
      </c>
      <c r="E975" s="6">
        <v>217.0</v>
      </c>
    </row>
    <row r="976">
      <c r="A976" s="4" t="s">
        <v>1949</v>
      </c>
      <c r="B976" s="5" t="s">
        <v>1950</v>
      </c>
      <c r="C976" s="6">
        <v>20000.0</v>
      </c>
      <c r="D976" s="6">
        <v>4.493506494</v>
      </c>
      <c r="E976" s="6">
        <v>77.0</v>
      </c>
    </row>
    <row r="977">
      <c r="A977" s="4" t="s">
        <v>1951</v>
      </c>
      <c r="B977" s="5" t="s">
        <v>1952</v>
      </c>
      <c r="C977" s="6">
        <v>20000.0</v>
      </c>
      <c r="D977" s="6">
        <v>3.956521739</v>
      </c>
      <c r="E977" s="6">
        <v>23.0</v>
      </c>
    </row>
    <row r="978">
      <c r="A978" s="10" t="s">
        <v>1953</v>
      </c>
      <c r="B978" s="5" t="s">
        <v>1954</v>
      </c>
      <c r="C978" s="6">
        <v>20000.0</v>
      </c>
      <c r="D978" s="6">
        <v>4.055555556</v>
      </c>
      <c r="E978" s="6">
        <v>18.0</v>
      </c>
    </row>
    <row r="979">
      <c r="A979" s="4" t="s">
        <v>1955</v>
      </c>
      <c r="B979" s="5" t="s">
        <v>1956</v>
      </c>
      <c r="C979" s="6">
        <v>20000.0</v>
      </c>
      <c r="D979" s="6">
        <v>3.021276596</v>
      </c>
      <c r="E979" s="6">
        <v>47.0</v>
      </c>
    </row>
    <row r="980">
      <c r="A980" s="4" t="s">
        <v>1957</v>
      </c>
      <c r="B980" s="5" t="s">
        <v>1958</v>
      </c>
      <c r="C980" s="6">
        <v>20000.0</v>
      </c>
      <c r="D980" s="6">
        <v>4.253012048</v>
      </c>
      <c r="E980" s="6">
        <v>83.0</v>
      </c>
    </row>
    <row r="981">
      <c r="A981" s="4" t="s">
        <v>1959</v>
      </c>
      <c r="B981" s="5" t="s">
        <v>1960</v>
      </c>
      <c r="C981" s="6">
        <v>20000.0</v>
      </c>
      <c r="D981" s="6">
        <v>4.588235294</v>
      </c>
      <c r="E981" s="6">
        <v>17.0</v>
      </c>
    </row>
    <row r="982">
      <c r="A982" s="4" t="s">
        <v>1961</v>
      </c>
      <c r="B982" s="5" t="s">
        <v>1962</v>
      </c>
      <c r="C982" s="6">
        <v>20000.0</v>
      </c>
      <c r="D982" s="6">
        <v>3.909090909</v>
      </c>
      <c r="E982" s="6">
        <v>22.0</v>
      </c>
    </row>
    <row r="983">
      <c r="A983" s="4" t="s">
        <v>1963</v>
      </c>
      <c r="B983" s="5" t="s">
        <v>1964</v>
      </c>
      <c r="C983" s="6">
        <v>20000.0</v>
      </c>
      <c r="D983" s="6">
        <v>4.363636364</v>
      </c>
      <c r="E983" s="6">
        <v>22.0</v>
      </c>
    </row>
    <row r="984">
      <c r="A984" s="4" t="s">
        <v>1965</v>
      </c>
      <c r="B984" s="5" t="s">
        <v>1966</v>
      </c>
      <c r="C984" s="6">
        <v>20000.0</v>
      </c>
      <c r="D984" s="6">
        <v>3.807692308</v>
      </c>
      <c r="E984" s="6">
        <v>26.0</v>
      </c>
    </row>
    <row r="985">
      <c r="A985" s="4" t="s">
        <v>1967</v>
      </c>
      <c r="B985" s="5" t="s">
        <v>1968</v>
      </c>
      <c r="C985" s="6">
        <v>20000.0</v>
      </c>
      <c r="D985" s="6">
        <v>4.097222222</v>
      </c>
      <c r="E985" s="6">
        <v>72.0</v>
      </c>
    </row>
    <row r="986">
      <c r="A986" s="4" t="s">
        <v>1969</v>
      </c>
      <c r="B986" s="5" t="s">
        <v>1970</v>
      </c>
      <c r="C986" s="6">
        <v>20000.0</v>
      </c>
      <c r="D986" s="6">
        <v>4.5</v>
      </c>
      <c r="E986" s="6">
        <v>14.0</v>
      </c>
    </row>
    <row r="987">
      <c r="A987" s="4" t="s">
        <v>1971</v>
      </c>
      <c r="B987" s="5" t="s">
        <v>1972</v>
      </c>
      <c r="C987" s="6">
        <v>20000.0</v>
      </c>
      <c r="D987" s="6">
        <v>4.846590909</v>
      </c>
      <c r="E987" s="6">
        <v>528.0</v>
      </c>
    </row>
    <row r="988">
      <c r="A988" s="4" t="s">
        <v>1973</v>
      </c>
      <c r="B988" s="5" t="s">
        <v>1974</v>
      </c>
      <c r="C988" s="6">
        <v>20000.0</v>
      </c>
      <c r="D988" s="6">
        <v>4.007042254</v>
      </c>
      <c r="E988" s="6">
        <v>142.0</v>
      </c>
    </row>
    <row r="989">
      <c r="A989" s="4" t="s">
        <v>1975</v>
      </c>
      <c r="B989" s="5" t="s">
        <v>1976</v>
      </c>
      <c r="C989" s="6">
        <v>20000.0</v>
      </c>
      <c r="D989" s="6">
        <v>1.581395349</v>
      </c>
      <c r="E989" s="6">
        <v>43.0</v>
      </c>
    </row>
    <row r="990">
      <c r="A990" s="4" t="s">
        <v>1977</v>
      </c>
      <c r="B990" s="5" t="s">
        <v>1978</v>
      </c>
      <c r="C990" s="6">
        <v>20000.0</v>
      </c>
      <c r="D990" s="6">
        <v>2.818181818</v>
      </c>
      <c r="E990" s="6">
        <v>187.0</v>
      </c>
    </row>
    <row r="991">
      <c r="A991" s="4" t="s">
        <v>1979</v>
      </c>
      <c r="B991" s="5" t="s">
        <v>1980</v>
      </c>
      <c r="C991" s="6">
        <v>20000.0</v>
      </c>
      <c r="D991" s="6">
        <v>2.805555556</v>
      </c>
      <c r="E991" s="6">
        <v>612.0</v>
      </c>
    </row>
    <row r="992">
      <c r="A992" s="4" t="s">
        <v>1981</v>
      </c>
      <c r="B992" s="5" t="s">
        <v>1982</v>
      </c>
      <c r="C992" s="6">
        <v>20000.0</v>
      </c>
      <c r="D992" s="6">
        <v>3.962962963</v>
      </c>
      <c r="E992" s="6">
        <v>27.0</v>
      </c>
    </row>
    <row r="993">
      <c r="A993" s="4" t="s">
        <v>1983</v>
      </c>
      <c r="B993" s="5" t="s">
        <v>1984</v>
      </c>
      <c r="C993" s="6">
        <v>20000.0</v>
      </c>
      <c r="D993" s="6">
        <v>4.888888889</v>
      </c>
      <c r="E993" s="6">
        <v>9.0</v>
      </c>
    </row>
    <row r="994">
      <c r="A994" s="4" t="s">
        <v>1985</v>
      </c>
      <c r="B994" s="5" t="s">
        <v>1986</v>
      </c>
      <c r="C994" s="6">
        <v>20000.0</v>
      </c>
      <c r="D994" s="6">
        <v>2.106060606</v>
      </c>
      <c r="E994" s="6">
        <v>66.0</v>
      </c>
    </row>
    <row r="995">
      <c r="A995" s="4" t="s">
        <v>1987</v>
      </c>
      <c r="B995" s="5" t="s">
        <v>1988</v>
      </c>
      <c r="C995" s="6">
        <v>20000.0</v>
      </c>
      <c r="D995" s="6">
        <v>4.071428571</v>
      </c>
      <c r="E995" s="6">
        <v>140.0</v>
      </c>
    </row>
    <row r="996">
      <c r="A996" s="4" t="s">
        <v>1989</v>
      </c>
      <c r="B996" s="5" t="s">
        <v>1990</v>
      </c>
      <c r="C996" s="6">
        <v>20000.0</v>
      </c>
      <c r="D996" s="6">
        <v>3.603524229</v>
      </c>
      <c r="E996" s="6">
        <v>908.0</v>
      </c>
    </row>
    <row r="997">
      <c r="A997" s="4" t="s">
        <v>1991</v>
      </c>
      <c r="B997" s="5" t="s">
        <v>1992</v>
      </c>
      <c r="C997" s="6">
        <v>20000.0</v>
      </c>
      <c r="D997" s="6">
        <v>4.770464135</v>
      </c>
      <c r="E997" s="6">
        <v>1185.0</v>
      </c>
    </row>
    <row r="998">
      <c r="A998" s="4" t="s">
        <v>1993</v>
      </c>
      <c r="B998" s="5" t="s">
        <v>1994</v>
      </c>
      <c r="C998" s="6">
        <v>20000.0</v>
      </c>
      <c r="D998" s="6">
        <v>4.017094017</v>
      </c>
      <c r="E998" s="6">
        <v>234.0</v>
      </c>
    </row>
    <row r="999">
      <c r="A999" s="4" t="s">
        <v>1995</v>
      </c>
      <c r="B999" s="5" t="s">
        <v>1996</v>
      </c>
      <c r="C999" s="6">
        <v>20000.0</v>
      </c>
      <c r="D999" s="6">
        <v>4.298611111</v>
      </c>
      <c r="E999" s="6">
        <v>144.0</v>
      </c>
    </row>
    <row r="1000">
      <c r="A1000" s="4" t="s">
        <v>1997</v>
      </c>
      <c r="B1000" s="5" t="s">
        <v>1998</v>
      </c>
      <c r="C1000" s="6">
        <v>20000.0</v>
      </c>
      <c r="D1000" s="6">
        <v>3.577777778</v>
      </c>
      <c r="E1000" s="6">
        <v>45.0</v>
      </c>
    </row>
    <row r="1001">
      <c r="A1001" s="4" t="s">
        <v>1999</v>
      </c>
      <c r="B1001" s="5" t="s">
        <v>2000</v>
      </c>
      <c r="C1001" s="6">
        <v>20000.0</v>
      </c>
      <c r="D1001" s="6">
        <v>4.911764706</v>
      </c>
      <c r="E1001" s="6">
        <v>34.0</v>
      </c>
    </row>
    <row r="1002">
      <c r="A1002" s="4" t="s">
        <v>2001</v>
      </c>
      <c r="B1002" s="5" t="s">
        <v>2002</v>
      </c>
      <c r="C1002" s="6">
        <v>20000.0</v>
      </c>
      <c r="D1002" s="6">
        <v>1.8</v>
      </c>
      <c r="E1002" s="6">
        <v>10.0</v>
      </c>
    </row>
    <row r="1003">
      <c r="A1003" s="4" t="s">
        <v>2003</v>
      </c>
      <c r="B1003" s="5" t="s">
        <v>2004</v>
      </c>
      <c r="C1003" s="6">
        <v>20000.0</v>
      </c>
      <c r="D1003" s="6">
        <v>4.333333333</v>
      </c>
      <c r="E1003" s="6">
        <v>9.0</v>
      </c>
    </row>
    <row r="1004">
      <c r="A1004" s="4" t="s">
        <v>2005</v>
      </c>
      <c r="B1004" s="5" t="s">
        <v>2006</v>
      </c>
      <c r="C1004" s="6">
        <v>20000.0</v>
      </c>
      <c r="D1004" s="6">
        <v>3.971428571</v>
      </c>
      <c r="E1004" s="6">
        <v>245.0</v>
      </c>
    </row>
    <row r="1005">
      <c r="A1005" s="4" t="s">
        <v>2007</v>
      </c>
      <c r="B1005" s="5" t="s">
        <v>2008</v>
      </c>
      <c r="C1005" s="6">
        <v>20000.0</v>
      </c>
      <c r="D1005" s="6">
        <v>5.0</v>
      </c>
      <c r="E1005" s="6">
        <v>2.0</v>
      </c>
    </row>
    <row r="1006">
      <c r="A1006" s="4" t="s">
        <v>2009</v>
      </c>
      <c r="B1006" s="5" t="s">
        <v>2010</v>
      </c>
      <c r="C1006" s="6">
        <v>20000.0</v>
      </c>
      <c r="D1006" s="6">
        <v>4.434782609</v>
      </c>
      <c r="E1006" s="6">
        <v>46.0</v>
      </c>
    </row>
    <row r="1007">
      <c r="A1007" s="4" t="s">
        <v>2011</v>
      </c>
      <c r="B1007" s="5" t="s">
        <v>2012</v>
      </c>
      <c r="C1007" s="6">
        <v>20000.0</v>
      </c>
      <c r="D1007" s="6">
        <v>2.0</v>
      </c>
      <c r="E1007" s="6">
        <v>4.0</v>
      </c>
    </row>
    <row r="1008">
      <c r="A1008" s="4" t="s">
        <v>2013</v>
      </c>
      <c r="B1008" s="5" t="s">
        <v>2014</v>
      </c>
      <c r="C1008" s="6">
        <v>20000.0</v>
      </c>
      <c r="D1008" s="6">
        <v>3.285714286</v>
      </c>
      <c r="E1008" s="6">
        <v>133.0</v>
      </c>
    </row>
    <row r="1009">
      <c r="A1009" s="4" t="s">
        <v>2015</v>
      </c>
      <c r="B1009" s="5" t="s">
        <v>2016</v>
      </c>
      <c r="C1009" s="6">
        <v>20000.0</v>
      </c>
      <c r="D1009" s="6">
        <v>3.957746479</v>
      </c>
      <c r="E1009" s="6">
        <v>71.0</v>
      </c>
    </row>
    <row r="1010">
      <c r="A1010" s="4" t="s">
        <v>2017</v>
      </c>
      <c r="B1010" s="5" t="s">
        <v>2018</v>
      </c>
      <c r="C1010" s="6">
        <v>20000.0</v>
      </c>
      <c r="D1010" s="6">
        <v>4.058365759</v>
      </c>
      <c r="E1010" s="6">
        <v>257.0</v>
      </c>
    </row>
    <row r="1011">
      <c r="A1011" s="4" t="s">
        <v>2019</v>
      </c>
      <c r="B1011" s="5" t="s">
        <v>2020</v>
      </c>
      <c r="C1011" s="6">
        <v>20000.0</v>
      </c>
      <c r="D1011" s="6">
        <v>4.694915254</v>
      </c>
      <c r="E1011" s="6">
        <v>295.0</v>
      </c>
    </row>
    <row r="1012">
      <c r="A1012" s="4" t="s">
        <v>2021</v>
      </c>
      <c r="B1012" s="5" t="s">
        <v>2022</v>
      </c>
      <c r="C1012" s="6">
        <v>20000.0</v>
      </c>
      <c r="D1012" s="6">
        <v>5.0</v>
      </c>
      <c r="E1012" s="6">
        <v>2.0</v>
      </c>
    </row>
    <row r="1013">
      <c r="A1013" s="4" t="s">
        <v>2023</v>
      </c>
      <c r="B1013" s="5" t="s">
        <v>2024</v>
      </c>
      <c r="C1013" s="6">
        <v>20000.0</v>
      </c>
      <c r="D1013" s="6">
        <v>4.6</v>
      </c>
      <c r="E1013" s="6">
        <v>5.0</v>
      </c>
    </row>
    <row r="1014">
      <c r="A1014" s="4" t="s">
        <v>2025</v>
      </c>
      <c r="B1014" s="5" t="s">
        <v>2026</v>
      </c>
      <c r="C1014" s="6">
        <v>20000.0</v>
      </c>
      <c r="D1014" s="6">
        <v>3.881818182</v>
      </c>
      <c r="E1014" s="6">
        <v>440.0</v>
      </c>
    </row>
    <row r="1015">
      <c r="A1015" s="4" t="s">
        <v>2027</v>
      </c>
      <c r="B1015" s="5" t="s">
        <v>2028</v>
      </c>
      <c r="C1015" s="6">
        <v>20000.0</v>
      </c>
      <c r="D1015" s="6">
        <v>4.288135593</v>
      </c>
      <c r="E1015" s="6">
        <v>59.0</v>
      </c>
    </row>
    <row r="1016">
      <c r="A1016" s="4" t="s">
        <v>2029</v>
      </c>
      <c r="B1016" s="5" t="s">
        <v>2030</v>
      </c>
      <c r="C1016" s="6">
        <v>20000.0</v>
      </c>
      <c r="D1016" s="6">
        <v>4.762886598</v>
      </c>
      <c r="E1016" s="6">
        <v>97.0</v>
      </c>
    </row>
    <row r="1017">
      <c r="A1017" s="4" t="s">
        <v>2031</v>
      </c>
      <c r="B1017" s="5" t="s">
        <v>2032</v>
      </c>
      <c r="C1017" s="6">
        <v>20000.0</v>
      </c>
      <c r="D1017" s="6">
        <v>3.96969697</v>
      </c>
      <c r="E1017" s="6">
        <v>66.0</v>
      </c>
    </row>
    <row r="1018">
      <c r="A1018" s="4" t="s">
        <v>2033</v>
      </c>
      <c r="B1018" s="5" t="s">
        <v>2034</v>
      </c>
      <c r="C1018" s="6">
        <v>20000.0</v>
      </c>
      <c r="D1018" s="6">
        <v>4.780209324</v>
      </c>
      <c r="E1018" s="6">
        <v>1051.0</v>
      </c>
    </row>
    <row r="1019">
      <c r="A1019" s="4" t="s">
        <v>2035</v>
      </c>
      <c r="B1019" s="5" t="s">
        <v>2036</v>
      </c>
      <c r="C1019" s="6">
        <v>20000.0</v>
      </c>
      <c r="D1019" s="6">
        <v>3.804511278</v>
      </c>
      <c r="E1019" s="6">
        <v>133.0</v>
      </c>
    </row>
    <row r="1020">
      <c r="A1020" s="4" t="s">
        <v>2037</v>
      </c>
      <c r="B1020" s="5" t="s">
        <v>2038</v>
      </c>
      <c r="C1020" s="6">
        <v>20000.0</v>
      </c>
      <c r="D1020" s="6">
        <v>5.0</v>
      </c>
      <c r="E1020" s="6">
        <v>4.0</v>
      </c>
    </row>
    <row r="1021">
      <c r="A1021" s="4" t="s">
        <v>2039</v>
      </c>
      <c r="B1021" s="5" t="s">
        <v>2040</v>
      </c>
      <c r="C1021" s="6">
        <v>20000.0</v>
      </c>
      <c r="D1021" s="6">
        <v>3.65625</v>
      </c>
      <c r="E1021" s="6">
        <v>480.0</v>
      </c>
    </row>
    <row r="1022">
      <c r="A1022" s="4" t="s">
        <v>2041</v>
      </c>
      <c r="B1022" s="5" t="s">
        <v>2042</v>
      </c>
      <c r="C1022" s="6">
        <v>20000.0</v>
      </c>
      <c r="D1022" s="6">
        <v>4.531517094</v>
      </c>
      <c r="E1022" s="6">
        <v>1872.0</v>
      </c>
    </row>
    <row r="1023">
      <c r="A1023" s="4" t="s">
        <v>2043</v>
      </c>
      <c r="B1023" s="5" t="s">
        <v>2044</v>
      </c>
      <c r="C1023" s="6">
        <v>20000.0</v>
      </c>
      <c r="D1023" s="6">
        <v>3.761904762</v>
      </c>
      <c r="E1023" s="6">
        <v>84.0</v>
      </c>
    </row>
    <row r="1024">
      <c r="A1024" s="4" t="s">
        <v>2045</v>
      </c>
      <c r="B1024" s="5" t="s">
        <v>2046</v>
      </c>
      <c r="C1024" s="6">
        <v>20000.0</v>
      </c>
      <c r="D1024" s="6">
        <v>4.210526316</v>
      </c>
      <c r="E1024" s="6">
        <v>38.0</v>
      </c>
    </row>
    <row r="1025">
      <c r="A1025" s="4" t="s">
        <v>2047</v>
      </c>
      <c r="B1025" s="5" t="s">
        <v>2048</v>
      </c>
      <c r="C1025" s="6">
        <v>20000.0</v>
      </c>
      <c r="D1025" s="6">
        <v>4.934782609</v>
      </c>
      <c r="E1025" s="6">
        <v>46.0</v>
      </c>
    </row>
    <row r="1026">
      <c r="A1026" s="4" t="s">
        <v>21</v>
      </c>
      <c r="B1026" s="5" t="s">
        <v>2049</v>
      </c>
      <c r="C1026" s="6">
        <v>20000.0</v>
      </c>
      <c r="D1026" s="6">
        <v>4.666666667</v>
      </c>
      <c r="E1026" s="6">
        <v>6.0</v>
      </c>
    </row>
    <row r="1027">
      <c r="A1027" s="4" t="s">
        <v>2050</v>
      </c>
      <c r="B1027" s="5" t="s">
        <v>2051</v>
      </c>
      <c r="C1027" s="6">
        <v>20000.0</v>
      </c>
      <c r="D1027" s="6">
        <v>4.472422062</v>
      </c>
      <c r="E1027" s="6">
        <v>417.0</v>
      </c>
    </row>
    <row r="1028">
      <c r="A1028" s="4" t="s">
        <v>2052</v>
      </c>
      <c r="B1028" s="5" t="s">
        <v>2053</v>
      </c>
      <c r="C1028" s="6">
        <v>20000.0</v>
      </c>
      <c r="D1028" s="6">
        <v>3.817679558</v>
      </c>
      <c r="E1028" s="6">
        <v>181.0</v>
      </c>
    </row>
    <row r="1029">
      <c r="A1029" s="4" t="s">
        <v>2054</v>
      </c>
      <c r="B1029" s="5" t="s">
        <v>2055</v>
      </c>
      <c r="C1029" s="6">
        <v>20000.0</v>
      </c>
      <c r="D1029" s="6">
        <v>4.710526316</v>
      </c>
      <c r="E1029" s="6">
        <v>76.0</v>
      </c>
    </row>
    <row r="1030">
      <c r="A1030" s="4" t="s">
        <v>2056</v>
      </c>
      <c r="B1030" s="5" t="s">
        <v>2057</v>
      </c>
      <c r="C1030" s="6">
        <v>20000.0</v>
      </c>
      <c r="D1030" s="6">
        <v>5.0</v>
      </c>
      <c r="E1030" s="6">
        <v>2.0</v>
      </c>
    </row>
    <row r="1031">
      <c r="A1031" s="4" t="s">
        <v>2058</v>
      </c>
      <c r="B1031" s="5" t="s">
        <v>2059</v>
      </c>
      <c r="C1031" s="6">
        <v>20000.0</v>
      </c>
      <c r="D1031" s="6">
        <v>3.063492063</v>
      </c>
      <c r="E1031" s="6">
        <v>63.0</v>
      </c>
    </row>
    <row r="1032">
      <c r="A1032" s="4" t="s">
        <v>2060</v>
      </c>
      <c r="B1032" s="5" t="s">
        <v>2061</v>
      </c>
      <c r="C1032" s="6">
        <v>20000.0</v>
      </c>
      <c r="D1032" s="6">
        <v>4.565217391</v>
      </c>
      <c r="E1032" s="6">
        <v>322.0</v>
      </c>
    </row>
    <row r="1033">
      <c r="A1033" s="4" t="s">
        <v>2062</v>
      </c>
      <c r="B1033" s="5" t="s">
        <v>2063</v>
      </c>
      <c r="C1033" s="6">
        <v>20000.0</v>
      </c>
      <c r="D1033" s="6">
        <v>3.796296296</v>
      </c>
      <c r="E1033" s="6">
        <v>162.0</v>
      </c>
    </row>
    <row r="1034">
      <c r="A1034" s="4" t="s">
        <v>2064</v>
      </c>
      <c r="B1034" s="5" t="s">
        <v>2065</v>
      </c>
      <c r="C1034" s="6">
        <v>20000.0</v>
      </c>
      <c r="D1034" s="6">
        <v>4.25</v>
      </c>
      <c r="E1034" s="6">
        <v>12.0</v>
      </c>
    </row>
    <row r="1035">
      <c r="A1035" s="4" t="s">
        <v>541</v>
      </c>
      <c r="B1035" s="5" t="s">
        <v>2066</v>
      </c>
      <c r="C1035" s="6">
        <v>20000.0</v>
      </c>
      <c r="D1035" s="6">
        <v>4.37</v>
      </c>
      <c r="E1035" s="6">
        <v>100.0</v>
      </c>
    </row>
    <row r="1036">
      <c r="A1036" s="4" t="s">
        <v>2067</v>
      </c>
      <c r="B1036" s="5" t="s">
        <v>2068</v>
      </c>
      <c r="C1036" s="6">
        <v>20000.0</v>
      </c>
      <c r="D1036" s="6">
        <v>4.153846154</v>
      </c>
      <c r="E1036" s="6">
        <v>13.0</v>
      </c>
    </row>
    <row r="1037">
      <c r="A1037" s="4" t="s">
        <v>1442</v>
      </c>
      <c r="B1037" s="5" t="s">
        <v>2069</v>
      </c>
      <c r="C1037" s="6">
        <v>20000.0</v>
      </c>
      <c r="D1037" s="6">
        <v>1.948717949</v>
      </c>
      <c r="E1037" s="6">
        <v>156.0</v>
      </c>
    </row>
    <row r="1038">
      <c r="A1038" s="4" t="s">
        <v>2070</v>
      </c>
      <c r="B1038" s="5" t="s">
        <v>2071</v>
      </c>
      <c r="C1038" s="6">
        <v>20000.0</v>
      </c>
      <c r="D1038" s="6">
        <v>4.558823529</v>
      </c>
      <c r="E1038" s="6">
        <v>34.0</v>
      </c>
    </row>
    <row r="1039">
      <c r="A1039" s="4" t="s">
        <v>2072</v>
      </c>
      <c r="B1039" s="5" t="s">
        <v>2073</v>
      </c>
      <c r="C1039" s="6">
        <v>20000.0</v>
      </c>
      <c r="D1039" s="6">
        <v>4.800078401</v>
      </c>
      <c r="E1039" s="6">
        <v>2551.0</v>
      </c>
    </row>
    <row r="1040">
      <c r="A1040" s="4" t="s">
        <v>2074</v>
      </c>
      <c r="B1040" s="5" t="s">
        <v>2075</v>
      </c>
      <c r="C1040" s="6">
        <v>20000.0</v>
      </c>
      <c r="D1040" s="6">
        <v>2.94375</v>
      </c>
      <c r="E1040" s="6">
        <v>160.0</v>
      </c>
    </row>
    <row r="1041">
      <c r="A1041" s="10" t="s">
        <v>2076</v>
      </c>
      <c r="B1041" s="5" t="s">
        <v>2077</v>
      </c>
      <c r="C1041" s="6">
        <v>20000.0</v>
      </c>
      <c r="D1041" s="6">
        <v>4.458333333</v>
      </c>
      <c r="E1041" s="6">
        <v>72.0</v>
      </c>
    </row>
    <row r="1042">
      <c r="A1042" s="4" t="s">
        <v>2078</v>
      </c>
      <c r="B1042" s="5" t="s">
        <v>2079</v>
      </c>
      <c r="C1042" s="6">
        <v>20000.0</v>
      </c>
      <c r="D1042" s="6">
        <v>3.666666667</v>
      </c>
      <c r="E1042" s="6">
        <v>33.0</v>
      </c>
    </row>
    <row r="1043">
      <c r="A1043" s="4" t="s">
        <v>2080</v>
      </c>
      <c r="B1043" s="5" t="s">
        <v>2081</v>
      </c>
      <c r="C1043" s="6">
        <v>20000.0</v>
      </c>
      <c r="D1043" s="6">
        <v>4.256513026</v>
      </c>
      <c r="E1043" s="6">
        <v>499.0</v>
      </c>
    </row>
    <row r="1044">
      <c r="A1044" s="4" t="s">
        <v>2082</v>
      </c>
      <c r="B1044" s="5" t="s">
        <v>2083</v>
      </c>
      <c r="C1044" s="6">
        <v>20000.0</v>
      </c>
      <c r="D1044" s="6">
        <v>4.214285714</v>
      </c>
      <c r="E1044" s="6">
        <v>14.0</v>
      </c>
    </row>
    <row r="1045">
      <c r="A1045" s="4" t="s">
        <v>2084</v>
      </c>
      <c r="B1045" s="5" t="s">
        <v>2085</v>
      </c>
      <c r="C1045" s="6">
        <v>20000.0</v>
      </c>
      <c r="D1045" s="6">
        <v>4.672413793</v>
      </c>
      <c r="E1045" s="6">
        <v>58.0</v>
      </c>
    </row>
    <row r="1046">
      <c r="A1046" s="4" t="s">
        <v>2086</v>
      </c>
      <c r="B1046" s="5" t="s">
        <v>2087</v>
      </c>
      <c r="C1046" s="6">
        <v>20000.0</v>
      </c>
      <c r="D1046" s="6">
        <v>4.113924051</v>
      </c>
      <c r="E1046" s="6">
        <v>79.0</v>
      </c>
    </row>
    <row r="1047">
      <c r="A1047" s="4" t="s">
        <v>2088</v>
      </c>
      <c r="B1047" s="5" t="s">
        <v>2089</v>
      </c>
      <c r="C1047" s="6">
        <v>20000.0</v>
      </c>
      <c r="D1047" s="6">
        <v>4.496</v>
      </c>
      <c r="E1047" s="6">
        <v>125.0</v>
      </c>
    </row>
    <row r="1048">
      <c r="A1048" s="4" t="s">
        <v>2090</v>
      </c>
      <c r="B1048" s="5" t="s">
        <v>2091</v>
      </c>
      <c r="C1048" s="6">
        <v>20000.0</v>
      </c>
      <c r="D1048" s="6">
        <v>5.0</v>
      </c>
      <c r="E1048" s="6">
        <v>2.0</v>
      </c>
    </row>
    <row r="1049">
      <c r="A1049" s="4" t="s">
        <v>2092</v>
      </c>
      <c r="B1049" s="5" t="s">
        <v>2093</v>
      </c>
      <c r="C1049" s="6">
        <v>20000.0</v>
      </c>
      <c r="D1049" s="6">
        <v>3.105263158</v>
      </c>
      <c r="E1049" s="6">
        <v>19.0</v>
      </c>
    </row>
    <row r="1050">
      <c r="A1050" s="4" t="s">
        <v>2094</v>
      </c>
      <c r="B1050" s="5" t="s">
        <v>2095</v>
      </c>
      <c r="C1050" s="6">
        <v>20000.0</v>
      </c>
      <c r="D1050" s="6">
        <v>4.260869565</v>
      </c>
      <c r="E1050" s="6">
        <v>46.0</v>
      </c>
    </row>
    <row r="1051">
      <c r="A1051" s="4" t="s">
        <v>2096</v>
      </c>
      <c r="B1051" s="5" t="s">
        <v>2097</v>
      </c>
      <c r="C1051" s="7">
        <v>20000.0</v>
      </c>
      <c r="D1051" s="6">
        <v>4.0</v>
      </c>
      <c r="E1051" s="6">
        <v>981.0</v>
      </c>
    </row>
    <row r="1052">
      <c r="A1052" s="4" t="s">
        <v>2098</v>
      </c>
      <c r="B1052" s="5" t="s">
        <v>2099</v>
      </c>
      <c r="C1052" s="7">
        <v>10000.0</v>
      </c>
      <c r="D1052" s="6">
        <v>3.4</v>
      </c>
      <c r="E1052" s="6">
        <v>16.0</v>
      </c>
    </row>
    <row r="1053">
      <c r="A1053" s="4" t="s">
        <v>2100</v>
      </c>
      <c r="B1053" s="5" t="s">
        <v>2101</v>
      </c>
      <c r="C1053" s="6">
        <v>10000.0</v>
      </c>
      <c r="D1053" s="6">
        <v>4.511771995</v>
      </c>
      <c r="E1053" s="6">
        <v>807.0</v>
      </c>
    </row>
    <row r="1054">
      <c r="A1054" s="4" t="s">
        <v>2102</v>
      </c>
      <c r="B1054" s="5" t="s">
        <v>2103</v>
      </c>
      <c r="C1054" s="6">
        <v>10000.0</v>
      </c>
      <c r="D1054" s="6">
        <v>4.362962963</v>
      </c>
      <c r="E1054" s="6">
        <v>135.0</v>
      </c>
    </row>
    <row r="1055">
      <c r="A1055" s="4" t="s">
        <v>2104</v>
      </c>
      <c r="B1055" s="8" t="s">
        <v>2105</v>
      </c>
      <c r="C1055" s="13">
        <v>10000.0</v>
      </c>
      <c r="D1055" s="6">
        <v>3.5</v>
      </c>
      <c r="E1055" s="6">
        <v>171.0</v>
      </c>
    </row>
    <row r="1056">
      <c r="A1056" s="4" t="s">
        <v>2106</v>
      </c>
      <c r="B1056" s="5" t="s">
        <v>2107</v>
      </c>
      <c r="C1056" s="6">
        <v>10000.0</v>
      </c>
      <c r="D1056" s="6">
        <v>4.76</v>
      </c>
      <c r="E1056" s="6">
        <v>25.0</v>
      </c>
    </row>
    <row r="1057">
      <c r="A1057" s="4" t="s">
        <v>2108</v>
      </c>
      <c r="B1057" s="5" t="s">
        <v>2109</v>
      </c>
      <c r="C1057" s="6">
        <v>10000.0</v>
      </c>
      <c r="D1057" s="6">
        <v>4.015625</v>
      </c>
      <c r="E1057" s="6">
        <v>64.0</v>
      </c>
    </row>
    <row r="1058">
      <c r="A1058" s="4" t="s">
        <v>2110</v>
      </c>
      <c r="B1058" s="5" t="s">
        <v>2111</v>
      </c>
      <c r="C1058" s="6">
        <v>10000.0</v>
      </c>
      <c r="D1058" s="6">
        <v>3.955882353</v>
      </c>
      <c r="E1058" s="6">
        <v>68.0</v>
      </c>
    </row>
    <row r="1059">
      <c r="A1059" s="4" t="s">
        <v>2112</v>
      </c>
      <c r="B1059" s="5" t="s">
        <v>2113</v>
      </c>
      <c r="C1059" s="6">
        <v>10000.0</v>
      </c>
      <c r="D1059" s="6">
        <v>3.463157895</v>
      </c>
      <c r="E1059" s="6">
        <v>95.0</v>
      </c>
    </row>
    <row r="1060">
      <c r="A1060" s="4" t="s">
        <v>2114</v>
      </c>
      <c r="B1060" s="5" t="s">
        <v>2115</v>
      </c>
      <c r="C1060" s="6">
        <v>10000.0</v>
      </c>
      <c r="D1060" s="6">
        <v>2.885416667</v>
      </c>
      <c r="E1060" s="6">
        <v>96.0</v>
      </c>
    </row>
    <row r="1061">
      <c r="A1061" s="4" t="s">
        <v>2116</v>
      </c>
      <c r="B1061" s="5" t="s">
        <v>2117</v>
      </c>
      <c r="C1061" s="6">
        <v>10000.0</v>
      </c>
      <c r="D1061" s="6">
        <v>3.818181818</v>
      </c>
      <c r="E1061" s="6">
        <v>55.0</v>
      </c>
    </row>
    <row r="1062">
      <c r="A1062" s="4" t="s">
        <v>2118</v>
      </c>
      <c r="B1062" s="5" t="s">
        <v>2119</v>
      </c>
      <c r="C1062" s="6">
        <v>10000.0</v>
      </c>
      <c r="D1062" s="6">
        <v>4.255689424</v>
      </c>
      <c r="E1062" s="6">
        <v>747.0</v>
      </c>
    </row>
    <row r="1063">
      <c r="A1063" s="4" t="s">
        <v>2120</v>
      </c>
      <c r="B1063" s="5" t="s">
        <v>2121</v>
      </c>
      <c r="C1063" s="6">
        <v>10000.0</v>
      </c>
      <c r="D1063" s="6">
        <v>3.869230769</v>
      </c>
      <c r="E1063" s="6">
        <v>130.0</v>
      </c>
    </row>
    <row r="1064">
      <c r="A1064" s="4" t="s">
        <v>2122</v>
      </c>
      <c r="B1064" s="5" t="s">
        <v>2123</v>
      </c>
      <c r="C1064" s="6">
        <v>10000.0</v>
      </c>
      <c r="D1064" s="6">
        <v>3.225933202</v>
      </c>
      <c r="E1064" s="6">
        <v>509.0</v>
      </c>
    </row>
    <row r="1065">
      <c r="A1065" s="4" t="s">
        <v>2124</v>
      </c>
      <c r="B1065" s="5" t="s">
        <v>2125</v>
      </c>
      <c r="C1065" s="6">
        <v>10000.0</v>
      </c>
      <c r="D1065" s="6">
        <v>4.470588235</v>
      </c>
      <c r="E1065" s="6">
        <v>34.0</v>
      </c>
    </row>
    <row r="1066">
      <c r="A1066" s="4" t="s">
        <v>2126</v>
      </c>
      <c r="B1066" s="5" t="s">
        <v>2127</v>
      </c>
      <c r="C1066" s="6">
        <v>10000.0</v>
      </c>
      <c r="D1066" s="6">
        <v>4.666666667</v>
      </c>
      <c r="E1066" s="6">
        <v>3.0</v>
      </c>
    </row>
    <row r="1067">
      <c r="A1067" s="4" t="s">
        <v>2128</v>
      </c>
      <c r="B1067" s="5" t="s">
        <v>2129</v>
      </c>
      <c r="C1067" s="6">
        <v>10000.0</v>
      </c>
      <c r="D1067" s="6">
        <v>3.028571429</v>
      </c>
      <c r="E1067" s="6">
        <v>35.0</v>
      </c>
    </row>
    <row r="1068">
      <c r="A1068" s="4" t="s">
        <v>227</v>
      </c>
      <c r="B1068" s="5" t="s">
        <v>2130</v>
      </c>
      <c r="C1068" s="6">
        <v>10000.0</v>
      </c>
      <c r="D1068" s="6">
        <v>4.081632653</v>
      </c>
      <c r="E1068" s="6">
        <v>49.0</v>
      </c>
    </row>
    <row r="1069">
      <c r="A1069" s="4" t="s">
        <v>2131</v>
      </c>
      <c r="B1069" s="5" t="s">
        <v>2132</v>
      </c>
      <c r="C1069" s="6">
        <v>10000.0</v>
      </c>
      <c r="D1069" s="6">
        <v>4.339100346</v>
      </c>
      <c r="E1069" s="6">
        <v>289.0</v>
      </c>
    </row>
    <row r="1070">
      <c r="A1070" s="4" t="s">
        <v>2133</v>
      </c>
      <c r="B1070" s="5" t="s">
        <v>2134</v>
      </c>
      <c r="C1070" s="6">
        <v>10000.0</v>
      </c>
      <c r="D1070" s="6">
        <v>3.725806452</v>
      </c>
      <c r="E1070" s="6">
        <v>62.0</v>
      </c>
    </row>
    <row r="1071">
      <c r="A1071" s="4" t="s">
        <v>2135</v>
      </c>
      <c r="B1071" s="5" t="s">
        <v>2136</v>
      </c>
      <c r="C1071" s="6">
        <v>10000.0</v>
      </c>
      <c r="D1071" s="6">
        <v>4.4</v>
      </c>
      <c r="E1071" s="6">
        <v>85.0</v>
      </c>
    </row>
    <row r="1072">
      <c r="A1072" s="4" t="s">
        <v>2137</v>
      </c>
      <c r="B1072" s="5" t="s">
        <v>2138</v>
      </c>
      <c r="C1072" s="6">
        <v>10000.0</v>
      </c>
      <c r="D1072" s="6">
        <v>3.790322581</v>
      </c>
      <c r="E1072" s="6">
        <v>62.0</v>
      </c>
    </row>
    <row r="1073">
      <c r="A1073" s="4" t="s">
        <v>2139</v>
      </c>
      <c r="B1073" s="5" t="s">
        <v>2140</v>
      </c>
      <c r="C1073" s="6">
        <v>10000.0</v>
      </c>
      <c r="D1073" s="6">
        <v>3.5</v>
      </c>
      <c r="E1073" s="6">
        <v>80.0</v>
      </c>
    </row>
    <row r="1074">
      <c r="A1074" s="4" t="s">
        <v>2141</v>
      </c>
      <c r="B1074" s="5" t="s">
        <v>2142</v>
      </c>
      <c r="C1074" s="6">
        <v>10000.0</v>
      </c>
      <c r="D1074" s="6">
        <v>4.714285714</v>
      </c>
      <c r="E1074" s="6">
        <v>21.0</v>
      </c>
    </row>
    <row r="1075">
      <c r="A1075" s="4" t="s">
        <v>2143</v>
      </c>
      <c r="B1075" s="5" t="s">
        <v>2144</v>
      </c>
      <c r="C1075" s="6">
        <v>10000.0</v>
      </c>
      <c r="D1075" s="6">
        <v>2.157894737</v>
      </c>
      <c r="E1075" s="6">
        <v>19.0</v>
      </c>
    </row>
    <row r="1076">
      <c r="A1076" s="4" t="s">
        <v>2145</v>
      </c>
      <c r="B1076" s="5" t="s">
        <v>2146</v>
      </c>
      <c r="C1076" s="6">
        <v>10000.0</v>
      </c>
      <c r="D1076" s="6">
        <v>3.692307692</v>
      </c>
      <c r="E1076" s="6">
        <v>104.0</v>
      </c>
    </row>
    <row r="1077">
      <c r="A1077" s="4" t="s">
        <v>2147</v>
      </c>
      <c r="B1077" s="5" t="s">
        <v>2148</v>
      </c>
      <c r="C1077" s="6">
        <v>10000.0</v>
      </c>
      <c r="D1077" s="6">
        <v>4.212765957</v>
      </c>
      <c r="E1077" s="6">
        <v>47.0</v>
      </c>
    </row>
    <row r="1078">
      <c r="A1078" s="4" t="s">
        <v>2149</v>
      </c>
      <c r="B1078" s="5" t="s">
        <v>2150</v>
      </c>
      <c r="C1078" s="6">
        <v>10000.0</v>
      </c>
      <c r="D1078" s="6">
        <v>4.134020619</v>
      </c>
      <c r="E1078" s="6">
        <v>291.0</v>
      </c>
    </row>
    <row r="1079">
      <c r="A1079" s="4" t="s">
        <v>2151</v>
      </c>
      <c r="B1079" s="5" t="s">
        <v>2152</v>
      </c>
      <c r="C1079" s="6">
        <v>10000.0</v>
      </c>
      <c r="D1079" s="6">
        <v>4.135135135</v>
      </c>
      <c r="E1079" s="6">
        <v>37.0</v>
      </c>
    </row>
    <row r="1080">
      <c r="A1080" s="4" t="s">
        <v>2153</v>
      </c>
      <c r="B1080" s="5" t="s">
        <v>2154</v>
      </c>
      <c r="C1080" s="6">
        <v>10000.0</v>
      </c>
      <c r="D1080" s="6">
        <v>3.8125</v>
      </c>
      <c r="E1080" s="6">
        <v>32.0</v>
      </c>
    </row>
    <row r="1081">
      <c r="A1081" s="4" t="s">
        <v>2155</v>
      </c>
      <c r="B1081" s="5" t="s">
        <v>2156</v>
      </c>
      <c r="C1081" s="6">
        <v>10000.0</v>
      </c>
      <c r="D1081" s="6">
        <v>3.31372549</v>
      </c>
      <c r="E1081" s="6">
        <v>102.0</v>
      </c>
    </row>
    <row r="1082">
      <c r="A1082" s="4" t="s">
        <v>2157</v>
      </c>
      <c r="B1082" s="5" t="s">
        <v>2158</v>
      </c>
      <c r="C1082" s="6">
        <v>10000.0</v>
      </c>
      <c r="D1082" s="6">
        <v>4.483870968</v>
      </c>
      <c r="E1082" s="6">
        <v>31.0</v>
      </c>
    </row>
    <row r="1083">
      <c r="A1083" s="4" t="s">
        <v>2159</v>
      </c>
      <c r="B1083" s="5" t="s">
        <v>2160</v>
      </c>
      <c r="C1083" s="6">
        <v>10000.0</v>
      </c>
      <c r="D1083" s="6">
        <v>3.46969697</v>
      </c>
      <c r="E1083" s="6">
        <v>66.0</v>
      </c>
    </row>
    <row r="1084">
      <c r="A1084" s="4" t="s">
        <v>2161</v>
      </c>
      <c r="B1084" s="5" t="s">
        <v>2162</v>
      </c>
      <c r="C1084" s="6">
        <v>10000.0</v>
      </c>
      <c r="D1084" s="6">
        <v>4.1875</v>
      </c>
      <c r="E1084" s="6">
        <v>16.0</v>
      </c>
    </row>
    <row r="1085">
      <c r="A1085" s="4" t="s">
        <v>2163</v>
      </c>
      <c r="B1085" s="5" t="s">
        <v>2164</v>
      </c>
      <c r="C1085" s="6">
        <v>10000.0</v>
      </c>
      <c r="D1085" s="6">
        <v>4.666666667</v>
      </c>
      <c r="E1085" s="6">
        <v>138.0</v>
      </c>
    </row>
    <row r="1086">
      <c r="A1086" s="4" t="s">
        <v>2165</v>
      </c>
      <c r="B1086" s="5" t="s">
        <v>2166</v>
      </c>
      <c r="C1086" s="6">
        <v>10000.0</v>
      </c>
      <c r="D1086" s="6">
        <v>3.892857143</v>
      </c>
      <c r="E1086" s="6">
        <v>28.0</v>
      </c>
    </row>
    <row r="1087">
      <c r="A1087" s="4" t="s">
        <v>2167</v>
      </c>
      <c r="B1087" s="5" t="s">
        <v>2168</v>
      </c>
      <c r="C1087" s="6">
        <v>10000.0</v>
      </c>
      <c r="D1087" s="6">
        <v>4.0</v>
      </c>
      <c r="E1087" s="6">
        <v>28.0</v>
      </c>
    </row>
    <row r="1088">
      <c r="A1088" s="4" t="s">
        <v>2169</v>
      </c>
      <c r="B1088" s="5" t="s">
        <v>2170</v>
      </c>
      <c r="C1088" s="6">
        <v>10000.0</v>
      </c>
      <c r="D1088" s="6">
        <v>2.823529412</v>
      </c>
      <c r="E1088" s="6">
        <v>17.0</v>
      </c>
    </row>
    <row r="1089">
      <c r="A1089" s="4" t="s">
        <v>2171</v>
      </c>
      <c r="B1089" s="5" t="s">
        <v>2172</v>
      </c>
      <c r="C1089" s="6">
        <v>10000.0</v>
      </c>
      <c r="D1089" s="6">
        <v>3.285714286</v>
      </c>
      <c r="E1089" s="6">
        <v>7.0</v>
      </c>
    </row>
    <row r="1090">
      <c r="A1090" s="4" t="s">
        <v>2173</v>
      </c>
      <c r="B1090" s="5" t="s">
        <v>2174</v>
      </c>
      <c r="C1090" s="6">
        <v>10000.0</v>
      </c>
      <c r="D1090" s="6">
        <v>3.777777778</v>
      </c>
      <c r="E1090" s="6">
        <v>63.0</v>
      </c>
    </row>
    <row r="1091">
      <c r="A1091" s="4" t="s">
        <v>2175</v>
      </c>
      <c r="B1091" s="5" t="s">
        <v>2176</v>
      </c>
      <c r="C1091" s="6">
        <v>10000.0</v>
      </c>
      <c r="D1091" s="6">
        <v>3.0</v>
      </c>
      <c r="E1091" s="6">
        <v>2.0</v>
      </c>
    </row>
    <row r="1092">
      <c r="A1092" s="4" t="s">
        <v>2177</v>
      </c>
      <c r="B1092" s="5" t="s">
        <v>2178</v>
      </c>
      <c r="C1092" s="6">
        <v>10000.0</v>
      </c>
      <c r="D1092" s="6">
        <v>4.526315789</v>
      </c>
      <c r="E1092" s="6">
        <v>38.0</v>
      </c>
    </row>
    <row r="1093">
      <c r="A1093" s="4" t="s">
        <v>2179</v>
      </c>
      <c r="B1093" s="5" t="s">
        <v>2180</v>
      </c>
      <c r="C1093" s="6">
        <v>10000.0</v>
      </c>
      <c r="D1093" s="6">
        <v>1.0</v>
      </c>
      <c r="E1093" s="6">
        <v>1.0</v>
      </c>
    </row>
    <row r="1094">
      <c r="A1094" s="4" t="s">
        <v>2181</v>
      </c>
      <c r="B1094" s="5" t="s">
        <v>2182</v>
      </c>
      <c r="C1094" s="6">
        <v>10000.0</v>
      </c>
      <c r="D1094" s="6">
        <v>4.206896552</v>
      </c>
      <c r="E1094" s="6">
        <v>29.0</v>
      </c>
    </row>
    <row r="1095">
      <c r="A1095" s="4" t="s">
        <v>2183</v>
      </c>
      <c r="B1095" s="5" t="s">
        <v>2184</v>
      </c>
      <c r="C1095" s="6">
        <v>10000.0</v>
      </c>
      <c r="D1095" s="6">
        <v>3.438016529</v>
      </c>
      <c r="E1095" s="6">
        <v>121.0</v>
      </c>
    </row>
    <row r="1096">
      <c r="A1096" s="4" t="s">
        <v>2185</v>
      </c>
      <c r="B1096" s="5" t="s">
        <v>2186</v>
      </c>
      <c r="C1096" s="6">
        <v>10000.0</v>
      </c>
      <c r="D1096" s="6">
        <v>4.733333333</v>
      </c>
      <c r="E1096" s="6">
        <v>75.0</v>
      </c>
    </row>
    <row r="1097">
      <c r="A1097" s="4" t="s">
        <v>2187</v>
      </c>
      <c r="B1097" s="5" t="s">
        <v>2188</v>
      </c>
      <c r="C1097" s="6">
        <v>10000.0</v>
      </c>
      <c r="D1097" s="6">
        <v>3.9</v>
      </c>
      <c r="E1097" s="6">
        <v>40.0</v>
      </c>
    </row>
    <row r="1098">
      <c r="A1098" s="4" t="s">
        <v>2189</v>
      </c>
      <c r="B1098" s="5" t="s">
        <v>2190</v>
      </c>
      <c r="C1098" s="6">
        <v>10000.0</v>
      </c>
      <c r="D1098" s="6">
        <v>3.979166667</v>
      </c>
      <c r="E1098" s="6">
        <v>48.0</v>
      </c>
    </row>
    <row r="1099">
      <c r="A1099" s="4" t="s">
        <v>2191</v>
      </c>
      <c r="B1099" s="5" t="s">
        <v>2192</v>
      </c>
      <c r="C1099" s="6">
        <v>10000.0</v>
      </c>
      <c r="D1099" s="6">
        <v>5.0</v>
      </c>
      <c r="E1099" s="6">
        <v>6.0</v>
      </c>
    </row>
    <row r="1100">
      <c r="A1100" s="10" t="s">
        <v>2193</v>
      </c>
      <c r="B1100" s="5" t="s">
        <v>2194</v>
      </c>
      <c r="C1100" s="6">
        <v>10000.0</v>
      </c>
      <c r="D1100" s="6">
        <v>3.136363636</v>
      </c>
      <c r="E1100" s="6">
        <v>22.0</v>
      </c>
    </row>
    <row r="1101">
      <c r="A1101" s="4" t="s">
        <v>2195</v>
      </c>
      <c r="B1101" s="5" t="s">
        <v>2196</v>
      </c>
      <c r="C1101" s="6">
        <v>10000.0</v>
      </c>
      <c r="D1101" s="6">
        <v>4.824120603</v>
      </c>
      <c r="E1101" s="6">
        <v>796.0</v>
      </c>
    </row>
    <row r="1102">
      <c r="A1102" s="4" t="s">
        <v>2197</v>
      </c>
      <c r="B1102" s="5" t="s">
        <v>2198</v>
      </c>
      <c r="C1102" s="6">
        <v>10000.0</v>
      </c>
      <c r="D1102" s="6">
        <v>4.149700599</v>
      </c>
      <c r="E1102" s="6">
        <v>167.0</v>
      </c>
    </row>
    <row r="1103">
      <c r="A1103" s="4" t="s">
        <v>2199</v>
      </c>
      <c r="B1103" s="5" t="s">
        <v>2200</v>
      </c>
      <c r="C1103" s="6">
        <v>10000.0</v>
      </c>
      <c r="D1103" s="6">
        <v>4.333333333</v>
      </c>
      <c r="E1103" s="6">
        <v>81.0</v>
      </c>
    </row>
    <row r="1104">
      <c r="A1104" s="4" t="s">
        <v>2201</v>
      </c>
      <c r="B1104" s="5" t="s">
        <v>2202</v>
      </c>
      <c r="C1104" s="6">
        <v>10000.0</v>
      </c>
      <c r="D1104" s="6">
        <v>4.181818182</v>
      </c>
      <c r="E1104" s="6">
        <v>11.0</v>
      </c>
    </row>
    <row r="1105">
      <c r="A1105" s="4" t="s">
        <v>2203</v>
      </c>
      <c r="B1105" s="5" t="s">
        <v>2204</v>
      </c>
      <c r="C1105" s="6">
        <v>10000.0</v>
      </c>
      <c r="D1105" s="6">
        <v>4.714285714</v>
      </c>
      <c r="E1105" s="6">
        <v>35.0</v>
      </c>
    </row>
    <row r="1106">
      <c r="A1106" s="4" t="s">
        <v>2205</v>
      </c>
      <c r="B1106" s="5" t="s">
        <v>2206</v>
      </c>
      <c r="C1106" s="6">
        <v>10000.0</v>
      </c>
      <c r="D1106" s="6">
        <v>5.0</v>
      </c>
      <c r="E1106" s="6">
        <v>1.0</v>
      </c>
    </row>
    <row r="1107">
      <c r="A1107" s="4" t="s">
        <v>2207</v>
      </c>
      <c r="B1107" s="5" t="s">
        <v>2208</v>
      </c>
      <c r="C1107" s="6">
        <v>10000.0</v>
      </c>
      <c r="D1107" s="6">
        <v>3.947368421</v>
      </c>
      <c r="E1107" s="6">
        <v>19.0</v>
      </c>
    </row>
    <row r="1108">
      <c r="A1108" s="4" t="s">
        <v>2209</v>
      </c>
      <c r="B1108" s="5" t="s">
        <v>2210</v>
      </c>
      <c r="C1108" s="6">
        <v>10000.0</v>
      </c>
      <c r="D1108" s="6">
        <v>4.466666667</v>
      </c>
      <c r="E1108" s="6">
        <v>15.0</v>
      </c>
    </row>
    <row r="1109">
      <c r="A1109" s="4" t="s">
        <v>2211</v>
      </c>
      <c r="B1109" s="5" t="s">
        <v>2212</v>
      </c>
      <c r="C1109" s="6">
        <v>10000.0</v>
      </c>
      <c r="D1109" s="6">
        <v>5.0</v>
      </c>
      <c r="E1109" s="6">
        <v>14.0</v>
      </c>
    </row>
    <row r="1110">
      <c r="A1110" s="4" t="s">
        <v>2213</v>
      </c>
      <c r="B1110" s="5" t="s">
        <v>2214</v>
      </c>
      <c r="C1110" s="6">
        <v>10000.0</v>
      </c>
      <c r="D1110" s="6">
        <v>4.068965517</v>
      </c>
      <c r="E1110" s="6">
        <v>58.0</v>
      </c>
    </row>
    <row r="1111">
      <c r="A1111" s="4" t="s">
        <v>2215</v>
      </c>
      <c r="B1111" s="5" t="s">
        <v>2216</v>
      </c>
      <c r="C1111" s="6">
        <v>10000.0</v>
      </c>
      <c r="D1111" s="6">
        <v>4.916666667</v>
      </c>
      <c r="E1111" s="6">
        <v>12.0</v>
      </c>
    </row>
    <row r="1112">
      <c r="A1112" s="4" t="s">
        <v>2217</v>
      </c>
      <c r="B1112" s="5" t="s">
        <v>2218</v>
      </c>
      <c r="C1112" s="6">
        <v>10000.0</v>
      </c>
      <c r="D1112" s="6">
        <v>3.618181818</v>
      </c>
      <c r="E1112" s="6">
        <v>110.0</v>
      </c>
    </row>
    <row r="1113">
      <c r="A1113" s="4" t="s">
        <v>2219</v>
      </c>
      <c r="B1113" s="5" t="s">
        <v>2220</v>
      </c>
      <c r="C1113" s="6">
        <v>10000.0</v>
      </c>
      <c r="D1113" s="6">
        <v>4.223214286</v>
      </c>
      <c r="E1113" s="6">
        <v>224.0</v>
      </c>
    </row>
    <row r="1114">
      <c r="A1114" s="4" t="s">
        <v>2221</v>
      </c>
      <c r="B1114" s="5" t="s">
        <v>2222</v>
      </c>
      <c r="C1114" s="6">
        <v>10000.0</v>
      </c>
      <c r="D1114" s="6">
        <v>2.666666667</v>
      </c>
      <c r="E1114" s="6">
        <v>15.0</v>
      </c>
    </row>
    <row r="1115">
      <c r="A1115" s="4" t="s">
        <v>2223</v>
      </c>
      <c r="B1115" s="5" t="s">
        <v>2224</v>
      </c>
      <c r="C1115" s="6">
        <v>10000.0</v>
      </c>
      <c r="D1115" s="6">
        <v>3.706666667</v>
      </c>
      <c r="E1115" s="6">
        <v>75.0</v>
      </c>
    </row>
    <row r="1116">
      <c r="A1116" s="4" t="s">
        <v>2225</v>
      </c>
      <c r="B1116" s="5" t="s">
        <v>2226</v>
      </c>
      <c r="C1116" s="6">
        <v>10000.0</v>
      </c>
      <c r="D1116" s="6">
        <v>4.003267974</v>
      </c>
      <c r="E1116" s="6">
        <v>306.0</v>
      </c>
    </row>
    <row r="1117">
      <c r="A1117" s="4" t="s">
        <v>2227</v>
      </c>
      <c r="B1117" s="5" t="s">
        <v>2228</v>
      </c>
      <c r="C1117" s="6">
        <v>10000.0</v>
      </c>
      <c r="D1117" s="6">
        <v>4.587719298</v>
      </c>
      <c r="E1117" s="6">
        <v>114.0</v>
      </c>
    </row>
    <row r="1118">
      <c r="A1118" s="4" t="s">
        <v>2229</v>
      </c>
      <c r="B1118" s="5" t="s">
        <v>2230</v>
      </c>
      <c r="C1118" s="6">
        <v>10000.0</v>
      </c>
      <c r="D1118" s="6">
        <v>4.637681159</v>
      </c>
      <c r="E1118" s="6">
        <v>69.0</v>
      </c>
    </row>
    <row r="1119">
      <c r="A1119" s="4" t="s">
        <v>2231</v>
      </c>
      <c r="B1119" s="5" t="s">
        <v>2232</v>
      </c>
      <c r="C1119" s="6">
        <v>10000.0</v>
      </c>
      <c r="D1119" s="6">
        <v>3.0</v>
      </c>
      <c r="E1119" s="6">
        <v>2.0</v>
      </c>
    </row>
    <row r="1120">
      <c r="A1120" s="4" t="s">
        <v>2233</v>
      </c>
      <c r="B1120" s="5" t="s">
        <v>2234</v>
      </c>
      <c r="C1120" s="6">
        <v>10000.0</v>
      </c>
      <c r="D1120" s="6">
        <v>4.373443983</v>
      </c>
      <c r="E1120" s="6">
        <v>482.0</v>
      </c>
    </row>
    <row r="1121">
      <c r="A1121" s="4" t="s">
        <v>2235</v>
      </c>
      <c r="B1121" s="5" t="s">
        <v>2236</v>
      </c>
      <c r="C1121" s="6">
        <v>10000.0</v>
      </c>
      <c r="D1121" s="6">
        <v>4.6</v>
      </c>
      <c r="E1121" s="6">
        <v>35.0</v>
      </c>
    </row>
    <row r="1122">
      <c r="A1122" s="4" t="s">
        <v>2237</v>
      </c>
      <c r="B1122" s="5" t="s">
        <v>2238</v>
      </c>
      <c r="C1122" s="6">
        <v>10000.0</v>
      </c>
      <c r="D1122" s="9"/>
      <c r="E1122" s="9"/>
    </row>
    <row r="1123">
      <c r="A1123" s="4" t="s">
        <v>2239</v>
      </c>
      <c r="B1123" s="5" t="s">
        <v>2240</v>
      </c>
      <c r="C1123" s="6">
        <v>10000.0</v>
      </c>
      <c r="D1123" s="6">
        <v>4.333333333</v>
      </c>
      <c r="E1123" s="6">
        <v>12.0</v>
      </c>
    </row>
    <row r="1124">
      <c r="A1124" s="4" t="s">
        <v>2241</v>
      </c>
      <c r="B1124" s="5" t="s">
        <v>2242</v>
      </c>
      <c r="C1124" s="6">
        <v>10000.0</v>
      </c>
      <c r="D1124" s="6">
        <v>3.832432432</v>
      </c>
      <c r="E1124" s="6">
        <v>185.0</v>
      </c>
    </row>
    <row r="1125">
      <c r="A1125" s="4" t="s">
        <v>2243</v>
      </c>
      <c r="B1125" s="5" t="s">
        <v>2244</v>
      </c>
      <c r="C1125" s="6">
        <v>10000.0</v>
      </c>
      <c r="D1125" s="6">
        <v>4.576923077</v>
      </c>
      <c r="E1125" s="6">
        <v>26.0</v>
      </c>
    </row>
    <row r="1126">
      <c r="A1126" s="4" t="s">
        <v>2245</v>
      </c>
      <c r="B1126" s="5" t="s">
        <v>2246</v>
      </c>
      <c r="C1126" s="6">
        <v>10000.0</v>
      </c>
      <c r="D1126" s="6">
        <v>3.489795918</v>
      </c>
      <c r="E1126" s="6">
        <v>49.0</v>
      </c>
    </row>
    <row r="1127">
      <c r="A1127" s="4" t="s">
        <v>2247</v>
      </c>
      <c r="B1127" s="5" t="s">
        <v>2248</v>
      </c>
      <c r="C1127" s="6">
        <v>10000.0</v>
      </c>
      <c r="D1127" s="6">
        <v>3.2</v>
      </c>
      <c r="E1127" s="6">
        <v>10.0</v>
      </c>
    </row>
    <row r="1128">
      <c r="A1128" s="4" t="s">
        <v>2249</v>
      </c>
      <c r="B1128" s="5" t="s">
        <v>2250</v>
      </c>
      <c r="C1128" s="6">
        <v>10000.0</v>
      </c>
      <c r="D1128" s="6">
        <v>3.945945946</v>
      </c>
      <c r="E1128" s="6">
        <v>37.0</v>
      </c>
    </row>
    <row r="1129">
      <c r="A1129" s="4" t="s">
        <v>2251</v>
      </c>
      <c r="B1129" s="5" t="s">
        <v>2252</v>
      </c>
      <c r="C1129" s="6">
        <v>10000.0</v>
      </c>
      <c r="D1129" s="6">
        <v>4.046511628</v>
      </c>
      <c r="E1129" s="6">
        <v>129.0</v>
      </c>
    </row>
    <row r="1130">
      <c r="A1130" s="4" t="s">
        <v>2253</v>
      </c>
      <c r="B1130" s="5" t="s">
        <v>2254</v>
      </c>
      <c r="C1130" s="6">
        <v>10000.0</v>
      </c>
      <c r="D1130" s="6">
        <v>2.977777778</v>
      </c>
      <c r="E1130" s="6">
        <v>45.0</v>
      </c>
    </row>
    <row r="1131">
      <c r="A1131" s="4" t="s">
        <v>2255</v>
      </c>
      <c r="B1131" s="5" t="s">
        <v>2256</v>
      </c>
      <c r="C1131" s="6">
        <v>10000.0</v>
      </c>
      <c r="D1131" s="6">
        <v>3.705882353</v>
      </c>
      <c r="E1131" s="6">
        <v>17.0</v>
      </c>
    </row>
    <row r="1132">
      <c r="A1132" s="4" t="s">
        <v>2257</v>
      </c>
      <c r="B1132" s="5" t="s">
        <v>2258</v>
      </c>
      <c r="C1132" s="6">
        <v>10000.0</v>
      </c>
      <c r="D1132" s="6">
        <v>4.039215686</v>
      </c>
      <c r="E1132" s="6">
        <v>51.0</v>
      </c>
    </row>
    <row r="1133">
      <c r="A1133" s="4" t="s">
        <v>2259</v>
      </c>
      <c r="B1133" s="5" t="s">
        <v>2260</v>
      </c>
      <c r="C1133" s="6">
        <v>10000.0</v>
      </c>
      <c r="D1133" s="9"/>
      <c r="E1133" s="9"/>
    </row>
    <row r="1134">
      <c r="A1134" s="4" t="s">
        <v>2261</v>
      </c>
      <c r="B1134" s="5" t="s">
        <v>2262</v>
      </c>
      <c r="C1134" s="6">
        <v>10000.0</v>
      </c>
      <c r="D1134" s="6">
        <v>2.438559322</v>
      </c>
      <c r="E1134" s="6">
        <v>472.0</v>
      </c>
    </row>
    <row r="1135">
      <c r="A1135" s="4" t="s">
        <v>2263</v>
      </c>
      <c r="B1135" s="5" t="s">
        <v>2264</v>
      </c>
      <c r="C1135" s="6">
        <v>10000.0</v>
      </c>
      <c r="D1135" s="6">
        <v>3.514285714</v>
      </c>
      <c r="E1135" s="6">
        <v>35.0</v>
      </c>
    </row>
    <row r="1136">
      <c r="A1136" s="4" t="s">
        <v>2265</v>
      </c>
      <c r="B1136" s="5" t="s">
        <v>2266</v>
      </c>
      <c r="C1136" s="6">
        <v>10000.0</v>
      </c>
      <c r="D1136" s="6">
        <v>3.197183099</v>
      </c>
      <c r="E1136" s="6">
        <v>71.0</v>
      </c>
    </row>
    <row r="1137">
      <c r="A1137" s="4" t="s">
        <v>2267</v>
      </c>
      <c r="B1137" s="5" t="s">
        <v>2268</v>
      </c>
      <c r="C1137" s="6">
        <v>10000.0</v>
      </c>
      <c r="D1137" s="6">
        <v>3.517857143</v>
      </c>
      <c r="E1137" s="6">
        <v>56.0</v>
      </c>
    </row>
    <row r="1138">
      <c r="A1138" s="4" t="s">
        <v>2269</v>
      </c>
      <c r="B1138" s="5" t="s">
        <v>2270</v>
      </c>
      <c r="C1138" s="6">
        <v>10000.0</v>
      </c>
      <c r="D1138" s="6">
        <v>4.555555556</v>
      </c>
      <c r="E1138" s="6">
        <v>18.0</v>
      </c>
    </row>
    <row r="1139">
      <c r="A1139" s="4" t="s">
        <v>2271</v>
      </c>
      <c r="B1139" s="5" t="s">
        <v>2272</v>
      </c>
      <c r="C1139" s="6">
        <v>10000.0</v>
      </c>
      <c r="D1139" s="9"/>
      <c r="E1139" s="9"/>
    </row>
    <row r="1140">
      <c r="A1140" s="4" t="s">
        <v>2273</v>
      </c>
      <c r="B1140" s="5" t="s">
        <v>2274</v>
      </c>
      <c r="C1140" s="6">
        <v>10000.0</v>
      </c>
      <c r="D1140" s="6">
        <v>4.338709677</v>
      </c>
      <c r="E1140" s="6">
        <v>62.0</v>
      </c>
    </row>
    <row r="1141">
      <c r="A1141" s="4" t="s">
        <v>2275</v>
      </c>
      <c r="B1141" s="5" t="s">
        <v>2276</v>
      </c>
      <c r="C1141" s="6">
        <v>10000.0</v>
      </c>
      <c r="D1141" s="6">
        <v>4.772727273</v>
      </c>
      <c r="E1141" s="6">
        <v>66.0</v>
      </c>
    </row>
    <row r="1142">
      <c r="A1142" s="4" t="s">
        <v>1442</v>
      </c>
      <c r="B1142" s="5" t="s">
        <v>2277</v>
      </c>
      <c r="C1142" s="6">
        <v>10000.0</v>
      </c>
      <c r="D1142" s="6">
        <v>4.454545455</v>
      </c>
      <c r="E1142" s="6">
        <v>22.0</v>
      </c>
    </row>
    <row r="1143">
      <c r="A1143" s="4" t="s">
        <v>2278</v>
      </c>
      <c r="B1143" s="5" t="s">
        <v>2279</v>
      </c>
      <c r="C1143" s="6">
        <v>10000.0</v>
      </c>
      <c r="D1143" s="6">
        <v>3.891891892</v>
      </c>
      <c r="E1143" s="6">
        <v>37.0</v>
      </c>
    </row>
    <row r="1144">
      <c r="A1144" s="4" t="s">
        <v>2280</v>
      </c>
      <c r="B1144" s="5" t="s">
        <v>2281</v>
      </c>
      <c r="C1144" s="6">
        <v>10000.0</v>
      </c>
      <c r="D1144" s="6">
        <v>3.94</v>
      </c>
      <c r="E1144" s="6">
        <v>50.0</v>
      </c>
    </row>
    <row r="1145">
      <c r="A1145" s="4" t="s">
        <v>2282</v>
      </c>
      <c r="B1145" s="5" t="s">
        <v>2283</v>
      </c>
      <c r="C1145" s="6">
        <v>10000.0</v>
      </c>
      <c r="D1145" s="6">
        <v>3.869565217</v>
      </c>
      <c r="E1145" s="6">
        <v>23.0</v>
      </c>
    </row>
    <row r="1146">
      <c r="A1146" s="4" t="s">
        <v>2284</v>
      </c>
      <c r="B1146" s="5" t="s">
        <v>2285</v>
      </c>
      <c r="C1146" s="6">
        <v>10000.0</v>
      </c>
      <c r="D1146" s="6">
        <v>4.735294118</v>
      </c>
      <c r="E1146" s="6">
        <v>68.0</v>
      </c>
    </row>
    <row r="1147">
      <c r="A1147" s="4" t="s">
        <v>2286</v>
      </c>
      <c r="B1147" s="5" t="s">
        <v>2287</v>
      </c>
      <c r="C1147" s="6">
        <v>10000.0</v>
      </c>
      <c r="D1147" s="6">
        <v>3.833333333</v>
      </c>
      <c r="E1147" s="6">
        <v>24.0</v>
      </c>
    </row>
    <row r="1148">
      <c r="A1148" s="4" t="s">
        <v>2288</v>
      </c>
      <c r="B1148" s="5" t="s">
        <v>2289</v>
      </c>
      <c r="C1148" s="6">
        <v>10000.0</v>
      </c>
      <c r="D1148" s="6">
        <v>3.132352941</v>
      </c>
      <c r="E1148" s="6">
        <v>68.0</v>
      </c>
    </row>
    <row r="1149">
      <c r="A1149" s="4" t="s">
        <v>2290</v>
      </c>
      <c r="B1149" s="5" t="s">
        <v>2291</v>
      </c>
      <c r="C1149" s="6">
        <v>10000.0</v>
      </c>
      <c r="D1149" s="6">
        <v>4.497863248</v>
      </c>
      <c r="E1149" s="6">
        <v>468.0</v>
      </c>
    </row>
    <row r="1150">
      <c r="A1150" s="4" t="s">
        <v>2292</v>
      </c>
      <c r="B1150" s="5" t="s">
        <v>2293</v>
      </c>
      <c r="C1150" s="6">
        <v>10000.0</v>
      </c>
      <c r="D1150" s="6">
        <v>2.025</v>
      </c>
      <c r="E1150" s="6">
        <v>40.0</v>
      </c>
    </row>
    <row r="1151">
      <c r="A1151" s="4" t="s">
        <v>2294</v>
      </c>
      <c r="B1151" s="5" t="s">
        <v>2295</v>
      </c>
      <c r="C1151" s="6">
        <v>10000.0</v>
      </c>
      <c r="D1151" s="6">
        <v>3.608695652</v>
      </c>
      <c r="E1151" s="6">
        <v>23.0</v>
      </c>
    </row>
    <row r="1152">
      <c r="A1152" s="4" t="s">
        <v>2296</v>
      </c>
      <c r="B1152" s="5" t="s">
        <v>2297</v>
      </c>
      <c r="C1152" s="6">
        <v>10000.0</v>
      </c>
      <c r="D1152" s="6">
        <v>4.390804598</v>
      </c>
      <c r="E1152" s="6">
        <v>87.0</v>
      </c>
    </row>
    <row r="1153">
      <c r="A1153" s="4" t="s">
        <v>2298</v>
      </c>
      <c r="B1153" s="5" t="s">
        <v>2299</v>
      </c>
      <c r="C1153" s="6">
        <v>10000.0</v>
      </c>
      <c r="D1153" s="6">
        <v>4.3</v>
      </c>
      <c r="E1153" s="6">
        <v>20.0</v>
      </c>
    </row>
    <row r="1154">
      <c r="A1154" s="4" t="s">
        <v>2300</v>
      </c>
      <c r="B1154" s="5" t="s">
        <v>2301</v>
      </c>
      <c r="C1154" s="6">
        <v>10000.0</v>
      </c>
      <c r="D1154" s="6">
        <v>2.931034483</v>
      </c>
      <c r="E1154" s="6">
        <v>29.0</v>
      </c>
    </row>
    <row r="1155">
      <c r="A1155" s="4" t="s">
        <v>2302</v>
      </c>
      <c r="B1155" s="5" t="s">
        <v>2303</v>
      </c>
      <c r="C1155" s="6">
        <v>10000.0</v>
      </c>
      <c r="D1155" s="6">
        <v>1.5</v>
      </c>
      <c r="E1155" s="6">
        <v>22.0</v>
      </c>
    </row>
    <row r="1156">
      <c r="A1156" s="4" t="s">
        <v>2304</v>
      </c>
      <c r="B1156" s="5" t="s">
        <v>2305</v>
      </c>
      <c r="C1156" s="6">
        <v>10000.0</v>
      </c>
      <c r="D1156" s="6">
        <v>3.863636364</v>
      </c>
      <c r="E1156" s="6">
        <v>66.0</v>
      </c>
    </row>
    <row r="1157">
      <c r="A1157" s="4" t="s">
        <v>2306</v>
      </c>
      <c r="B1157" s="5" t="s">
        <v>2307</v>
      </c>
      <c r="C1157" s="6">
        <v>10000.0</v>
      </c>
      <c r="D1157" s="6">
        <v>3.987951807</v>
      </c>
      <c r="E1157" s="6">
        <v>83.0</v>
      </c>
    </row>
    <row r="1158">
      <c r="A1158" s="4" t="s">
        <v>2308</v>
      </c>
      <c r="B1158" s="5" t="s">
        <v>2309</v>
      </c>
      <c r="C1158" s="6">
        <v>10000.0</v>
      </c>
      <c r="D1158" s="6">
        <v>4.935483871</v>
      </c>
      <c r="E1158" s="6">
        <v>31.0</v>
      </c>
    </row>
    <row r="1159">
      <c r="A1159" s="4" t="s">
        <v>2310</v>
      </c>
      <c r="B1159" s="5" t="s">
        <v>2311</v>
      </c>
      <c r="C1159" s="6">
        <v>10000.0</v>
      </c>
      <c r="D1159" s="6">
        <v>4.084507042</v>
      </c>
      <c r="E1159" s="6">
        <v>71.0</v>
      </c>
    </row>
    <row r="1160">
      <c r="A1160" s="4" t="s">
        <v>2312</v>
      </c>
      <c r="B1160" s="5" t="s">
        <v>2313</v>
      </c>
      <c r="C1160" s="6">
        <v>10000.0</v>
      </c>
      <c r="D1160" s="6">
        <v>5.0</v>
      </c>
      <c r="E1160" s="6">
        <v>1.0</v>
      </c>
    </row>
    <row r="1161">
      <c r="A1161" s="4" t="s">
        <v>2314</v>
      </c>
      <c r="B1161" s="5" t="s">
        <v>2315</v>
      </c>
      <c r="C1161" s="6">
        <v>10000.0</v>
      </c>
      <c r="D1161" s="6">
        <v>4.5</v>
      </c>
      <c r="E1161" s="6">
        <v>62.0</v>
      </c>
    </row>
    <row r="1162">
      <c r="A1162" s="4" t="s">
        <v>2316</v>
      </c>
      <c r="B1162" s="5" t="s">
        <v>2317</v>
      </c>
      <c r="C1162" s="6">
        <v>10000.0</v>
      </c>
      <c r="D1162" s="6">
        <v>4.756254467</v>
      </c>
      <c r="E1162" s="6">
        <v>4197.0</v>
      </c>
    </row>
    <row r="1163">
      <c r="A1163" s="4" t="s">
        <v>2318</v>
      </c>
      <c r="B1163" s="5" t="s">
        <v>2319</v>
      </c>
      <c r="C1163" s="6">
        <v>10000.0</v>
      </c>
      <c r="D1163" s="6">
        <v>3.564102564</v>
      </c>
      <c r="E1163" s="6">
        <v>39.0</v>
      </c>
    </row>
    <row r="1164">
      <c r="A1164" s="4" t="s">
        <v>2320</v>
      </c>
      <c r="B1164" s="5" t="s">
        <v>2321</v>
      </c>
      <c r="C1164" s="6">
        <v>10000.0</v>
      </c>
      <c r="D1164" s="6">
        <v>4.0</v>
      </c>
      <c r="E1164" s="6">
        <v>26.0</v>
      </c>
    </row>
    <row r="1165">
      <c r="A1165" s="4" t="s">
        <v>2322</v>
      </c>
      <c r="B1165" s="5" t="s">
        <v>2323</v>
      </c>
      <c r="C1165" s="6">
        <v>10000.0</v>
      </c>
      <c r="D1165" s="6">
        <v>4.855855856</v>
      </c>
      <c r="E1165" s="6">
        <v>111.0</v>
      </c>
    </row>
    <row r="1166">
      <c r="A1166" s="4" t="s">
        <v>2324</v>
      </c>
      <c r="B1166" s="5" t="s">
        <v>2325</v>
      </c>
      <c r="C1166" s="6">
        <v>10000.0</v>
      </c>
      <c r="D1166" s="6">
        <v>4.853174603</v>
      </c>
      <c r="E1166" s="6">
        <v>252.0</v>
      </c>
    </row>
    <row r="1167">
      <c r="A1167" s="4" t="s">
        <v>2326</v>
      </c>
      <c r="B1167" s="5" t="s">
        <v>2327</v>
      </c>
      <c r="C1167" s="6">
        <v>10000.0</v>
      </c>
      <c r="D1167" s="6">
        <v>2.57</v>
      </c>
      <c r="E1167" s="6">
        <v>100.0</v>
      </c>
    </row>
    <row r="1168">
      <c r="A1168" s="4" t="s">
        <v>2328</v>
      </c>
      <c r="B1168" s="5" t="s">
        <v>2329</v>
      </c>
      <c r="C1168" s="6">
        <v>10000.0</v>
      </c>
      <c r="D1168" s="6">
        <v>4.482666667</v>
      </c>
      <c r="E1168" s="6">
        <v>375.0</v>
      </c>
    </row>
    <row r="1169">
      <c r="A1169" s="4" t="s">
        <v>2330</v>
      </c>
      <c r="B1169" s="5" t="s">
        <v>2331</v>
      </c>
      <c r="C1169" s="6">
        <v>10000.0</v>
      </c>
      <c r="D1169" s="6">
        <v>3.798029557</v>
      </c>
      <c r="E1169" s="6">
        <v>203.0</v>
      </c>
    </row>
    <row r="1170">
      <c r="A1170" s="4" t="s">
        <v>2332</v>
      </c>
      <c r="B1170" s="5" t="s">
        <v>2333</v>
      </c>
      <c r="C1170" s="6">
        <v>10000.0</v>
      </c>
      <c r="D1170" s="6">
        <v>3.936305732</v>
      </c>
      <c r="E1170" s="6">
        <v>157.0</v>
      </c>
    </row>
    <row r="1171">
      <c r="A1171" s="4" t="s">
        <v>2334</v>
      </c>
      <c r="B1171" s="5" t="s">
        <v>2335</v>
      </c>
      <c r="C1171" s="6">
        <v>10000.0</v>
      </c>
      <c r="D1171" s="6">
        <v>4.051724138</v>
      </c>
      <c r="E1171" s="6">
        <v>58.0</v>
      </c>
    </row>
    <row r="1172">
      <c r="A1172" s="4" t="s">
        <v>2336</v>
      </c>
      <c r="B1172" s="5" t="s">
        <v>2337</v>
      </c>
      <c r="C1172" s="6">
        <v>10000.0</v>
      </c>
      <c r="D1172" s="6">
        <v>4.1</v>
      </c>
      <c r="E1172" s="6">
        <v>10.0</v>
      </c>
    </row>
    <row r="1173">
      <c r="A1173" s="4" t="s">
        <v>2338</v>
      </c>
      <c r="B1173" s="5" t="s">
        <v>2339</v>
      </c>
      <c r="C1173" s="6">
        <v>10000.0</v>
      </c>
      <c r="D1173" s="6">
        <v>4.721825963</v>
      </c>
      <c r="E1173" s="6">
        <v>701.0</v>
      </c>
    </row>
    <row r="1174">
      <c r="A1174" s="4" t="s">
        <v>2340</v>
      </c>
      <c r="B1174" s="5" t="s">
        <v>2341</v>
      </c>
      <c r="C1174" s="6">
        <v>10000.0</v>
      </c>
      <c r="D1174" s="6">
        <v>5.0</v>
      </c>
      <c r="E1174" s="6">
        <v>2.0</v>
      </c>
    </row>
    <row r="1175">
      <c r="A1175" s="4" t="s">
        <v>2342</v>
      </c>
      <c r="B1175" s="5" t="s">
        <v>2343</v>
      </c>
      <c r="C1175" s="6">
        <v>10000.0</v>
      </c>
      <c r="D1175" s="6">
        <v>5.0</v>
      </c>
      <c r="E1175" s="6">
        <v>2.0</v>
      </c>
    </row>
    <row r="1176">
      <c r="A1176" s="4" t="s">
        <v>2344</v>
      </c>
      <c r="B1176" s="5" t="s">
        <v>2345</v>
      </c>
      <c r="C1176" s="6">
        <v>10000.0</v>
      </c>
      <c r="D1176" s="9"/>
      <c r="E1176" s="9"/>
    </row>
    <row r="1177">
      <c r="A1177" s="4" t="s">
        <v>2346</v>
      </c>
      <c r="B1177" s="5" t="s">
        <v>2347</v>
      </c>
      <c r="C1177" s="6">
        <v>10000.0</v>
      </c>
      <c r="D1177" s="6">
        <v>4.043478261</v>
      </c>
      <c r="E1177" s="6">
        <v>46.0</v>
      </c>
    </row>
    <row r="1178">
      <c r="A1178" s="4" t="s">
        <v>2348</v>
      </c>
      <c r="B1178" s="5" t="s">
        <v>2349</v>
      </c>
      <c r="C1178" s="6">
        <v>10000.0</v>
      </c>
      <c r="D1178" s="6">
        <v>4.487804878</v>
      </c>
      <c r="E1178" s="6">
        <v>41.0</v>
      </c>
    </row>
    <row r="1179">
      <c r="A1179" s="4" t="s">
        <v>2350</v>
      </c>
      <c r="B1179" s="5" t="s">
        <v>2351</v>
      </c>
      <c r="C1179" s="6">
        <v>10000.0</v>
      </c>
      <c r="D1179" s="6">
        <v>5.0</v>
      </c>
      <c r="E1179" s="6">
        <v>6.0</v>
      </c>
    </row>
    <row r="1180">
      <c r="A1180" s="4" t="s">
        <v>2352</v>
      </c>
      <c r="B1180" s="5" t="s">
        <v>2353</v>
      </c>
      <c r="C1180" s="6">
        <v>10000.0</v>
      </c>
      <c r="D1180" s="6">
        <v>4.349056604</v>
      </c>
      <c r="E1180" s="6">
        <v>106.0</v>
      </c>
    </row>
    <row r="1181">
      <c r="A1181" s="4" t="s">
        <v>2354</v>
      </c>
      <c r="B1181" s="5" t="s">
        <v>2355</v>
      </c>
      <c r="C1181" s="6">
        <v>10000.0</v>
      </c>
      <c r="D1181" s="6">
        <v>4.307692308</v>
      </c>
      <c r="E1181" s="6">
        <v>39.0</v>
      </c>
    </row>
    <row r="1182">
      <c r="A1182" s="4" t="s">
        <v>2356</v>
      </c>
      <c r="B1182" s="5" t="s">
        <v>2357</v>
      </c>
      <c r="C1182" s="6">
        <v>10000.0</v>
      </c>
      <c r="D1182" s="6">
        <v>4.545454545</v>
      </c>
      <c r="E1182" s="6">
        <v>77.0</v>
      </c>
    </row>
    <row r="1183">
      <c r="A1183" s="4" t="s">
        <v>2358</v>
      </c>
      <c r="B1183" s="5" t="s">
        <v>2359</v>
      </c>
      <c r="C1183" s="6">
        <v>10000.0</v>
      </c>
      <c r="D1183" s="6">
        <v>5.0</v>
      </c>
      <c r="E1183" s="6">
        <v>2.0</v>
      </c>
    </row>
    <row r="1184">
      <c r="A1184" s="4" t="s">
        <v>2360</v>
      </c>
      <c r="B1184" s="5" t="s">
        <v>2361</v>
      </c>
      <c r="C1184" s="6">
        <v>10000.0</v>
      </c>
      <c r="D1184" s="6">
        <v>3.204946996</v>
      </c>
      <c r="E1184" s="6">
        <v>283.0</v>
      </c>
    </row>
    <row r="1185">
      <c r="A1185" s="4" t="s">
        <v>2362</v>
      </c>
      <c r="B1185" s="5" t="s">
        <v>2363</v>
      </c>
      <c r="C1185" s="6">
        <v>10000.0</v>
      </c>
      <c r="D1185" s="6">
        <v>4.850746269</v>
      </c>
      <c r="E1185" s="6">
        <v>67.0</v>
      </c>
    </row>
    <row r="1186">
      <c r="A1186" s="4" t="s">
        <v>2364</v>
      </c>
      <c r="B1186" s="5" t="s">
        <v>2365</v>
      </c>
      <c r="C1186" s="6">
        <v>10000.0</v>
      </c>
      <c r="D1186" s="6">
        <v>4.5</v>
      </c>
      <c r="E1186" s="6">
        <v>12.0</v>
      </c>
    </row>
    <row r="1187">
      <c r="A1187" s="4" t="s">
        <v>2366</v>
      </c>
      <c r="B1187" s="5" t="s">
        <v>2367</v>
      </c>
      <c r="C1187" s="6">
        <v>10000.0</v>
      </c>
      <c r="D1187" s="6">
        <v>4.141447368</v>
      </c>
      <c r="E1187" s="6">
        <v>304.0</v>
      </c>
    </row>
    <row r="1188">
      <c r="A1188" s="4" t="s">
        <v>2368</v>
      </c>
      <c r="B1188" s="5" t="s">
        <v>2369</v>
      </c>
      <c r="C1188" s="6">
        <v>10000.0</v>
      </c>
      <c r="D1188" s="6">
        <v>5.0</v>
      </c>
      <c r="E1188" s="6">
        <v>8.0</v>
      </c>
    </row>
    <row r="1189">
      <c r="A1189" s="4" t="s">
        <v>2370</v>
      </c>
      <c r="B1189" s="5" t="s">
        <v>2371</v>
      </c>
      <c r="C1189" s="6">
        <v>10000.0</v>
      </c>
      <c r="D1189" s="6">
        <v>4.711538462</v>
      </c>
      <c r="E1189" s="6">
        <v>52.0</v>
      </c>
    </row>
    <row r="1190">
      <c r="A1190" s="4" t="s">
        <v>2372</v>
      </c>
      <c r="B1190" s="5" t="s">
        <v>2373</v>
      </c>
      <c r="C1190" s="6">
        <v>10000.0</v>
      </c>
      <c r="D1190" s="6">
        <v>3.407692308</v>
      </c>
      <c r="E1190" s="6">
        <v>130.0</v>
      </c>
    </row>
    <row r="1191">
      <c r="A1191" s="4" t="s">
        <v>2374</v>
      </c>
      <c r="B1191" s="5" t="s">
        <v>2375</v>
      </c>
      <c r="C1191" s="6">
        <v>10000.0</v>
      </c>
      <c r="D1191" s="6">
        <v>3.87456446</v>
      </c>
      <c r="E1191" s="6">
        <v>287.0</v>
      </c>
    </row>
    <row r="1192">
      <c r="A1192" s="4" t="s">
        <v>1139</v>
      </c>
      <c r="B1192" s="5" t="s">
        <v>2376</v>
      </c>
      <c r="C1192" s="6">
        <v>10000.0</v>
      </c>
      <c r="D1192" s="6">
        <v>3.488372093</v>
      </c>
      <c r="E1192" s="6">
        <v>43.0</v>
      </c>
    </row>
    <row r="1193">
      <c r="A1193" s="4" t="s">
        <v>2377</v>
      </c>
      <c r="B1193" s="5" t="s">
        <v>2378</v>
      </c>
      <c r="C1193" s="6">
        <v>10000.0</v>
      </c>
      <c r="D1193" s="6">
        <v>3.64516129</v>
      </c>
      <c r="E1193" s="6">
        <v>31.0</v>
      </c>
    </row>
    <row r="1194">
      <c r="A1194" s="4" t="s">
        <v>2379</v>
      </c>
      <c r="B1194" s="5" t="s">
        <v>2380</v>
      </c>
      <c r="C1194" s="6">
        <v>10000.0</v>
      </c>
      <c r="D1194" s="6">
        <v>4.725806452</v>
      </c>
      <c r="E1194" s="6">
        <v>62.0</v>
      </c>
    </row>
    <row r="1195">
      <c r="A1195" s="4" t="s">
        <v>2381</v>
      </c>
      <c r="B1195" s="5" t="s">
        <v>2382</v>
      </c>
      <c r="C1195" s="6">
        <v>10000.0</v>
      </c>
      <c r="D1195" s="6">
        <v>3.850746269</v>
      </c>
      <c r="E1195" s="6">
        <v>67.0</v>
      </c>
    </row>
    <row r="1196">
      <c r="A1196" s="4" t="s">
        <v>2383</v>
      </c>
      <c r="B1196" s="5" t="s">
        <v>2384</v>
      </c>
      <c r="C1196" s="6">
        <v>10000.0</v>
      </c>
      <c r="D1196" s="6">
        <v>3.754098361</v>
      </c>
      <c r="E1196" s="6">
        <v>122.0</v>
      </c>
    </row>
    <row r="1197">
      <c r="A1197" s="4" t="s">
        <v>2385</v>
      </c>
      <c r="B1197" s="5" t="s">
        <v>2386</v>
      </c>
      <c r="C1197" s="6">
        <v>10000.0</v>
      </c>
      <c r="D1197" s="6">
        <v>4.926470588</v>
      </c>
      <c r="E1197" s="6">
        <v>68.0</v>
      </c>
    </row>
    <row r="1198">
      <c r="A1198" s="4" t="s">
        <v>2387</v>
      </c>
      <c r="B1198" s="5" t="s">
        <v>2388</v>
      </c>
      <c r="C1198" s="6">
        <v>10000.0</v>
      </c>
      <c r="D1198" s="6">
        <v>4.84</v>
      </c>
      <c r="E1198" s="6">
        <v>25.0</v>
      </c>
    </row>
    <row r="1199">
      <c r="A1199" s="4" t="s">
        <v>2389</v>
      </c>
      <c r="B1199" s="5" t="s">
        <v>2390</v>
      </c>
      <c r="C1199" s="6">
        <v>10000.0</v>
      </c>
      <c r="D1199" s="6">
        <v>1.769230769</v>
      </c>
      <c r="E1199" s="6">
        <v>52.0</v>
      </c>
    </row>
    <row r="1200">
      <c r="A1200" s="4" t="s">
        <v>2391</v>
      </c>
      <c r="B1200" s="5" t="s">
        <v>2392</v>
      </c>
      <c r="C1200" s="6">
        <v>10000.0</v>
      </c>
      <c r="D1200" s="6">
        <v>2.941176471</v>
      </c>
      <c r="E1200" s="6">
        <v>85.0</v>
      </c>
    </row>
    <row r="1201">
      <c r="A1201" s="4" t="s">
        <v>227</v>
      </c>
      <c r="B1201" s="5" t="s">
        <v>2393</v>
      </c>
      <c r="C1201" s="6">
        <v>10000.0</v>
      </c>
      <c r="D1201" s="6">
        <v>4.2</v>
      </c>
      <c r="E1201" s="6">
        <v>5.0</v>
      </c>
    </row>
    <row r="1202">
      <c r="A1202" s="4" t="s">
        <v>2394</v>
      </c>
      <c r="B1202" s="5" t="s">
        <v>2395</v>
      </c>
      <c r="C1202" s="6">
        <v>10000.0</v>
      </c>
      <c r="D1202" s="6">
        <v>2.826989619</v>
      </c>
      <c r="E1202" s="6">
        <v>289.0</v>
      </c>
    </row>
    <row r="1203">
      <c r="A1203" s="4" t="s">
        <v>2396</v>
      </c>
      <c r="B1203" s="5" t="s">
        <v>2397</v>
      </c>
      <c r="C1203" s="6">
        <v>10000.0</v>
      </c>
      <c r="D1203" s="6">
        <v>2.586206897</v>
      </c>
      <c r="E1203" s="6">
        <v>58.0</v>
      </c>
    </row>
    <row r="1204">
      <c r="A1204" s="4" t="s">
        <v>2398</v>
      </c>
      <c r="B1204" s="5" t="s">
        <v>2399</v>
      </c>
      <c r="C1204" s="6">
        <v>10000.0</v>
      </c>
      <c r="D1204" s="6">
        <v>3.933333333</v>
      </c>
      <c r="E1204" s="6">
        <v>240.0</v>
      </c>
    </row>
    <row r="1205">
      <c r="A1205" s="4" t="s">
        <v>2400</v>
      </c>
      <c r="B1205" s="5" t="s">
        <v>2401</v>
      </c>
      <c r="C1205" s="6">
        <v>10000.0</v>
      </c>
      <c r="D1205" s="6">
        <v>4.50617284</v>
      </c>
      <c r="E1205" s="6">
        <v>243.0</v>
      </c>
    </row>
    <row r="1206">
      <c r="A1206" s="4" t="s">
        <v>2402</v>
      </c>
      <c r="B1206" s="5" t="s">
        <v>2403</v>
      </c>
      <c r="C1206" s="6">
        <v>10000.0</v>
      </c>
      <c r="D1206" s="6">
        <v>4.4</v>
      </c>
      <c r="E1206" s="6">
        <v>25.0</v>
      </c>
    </row>
    <row r="1207">
      <c r="A1207" s="4" t="s">
        <v>2404</v>
      </c>
      <c r="B1207" s="5" t="s">
        <v>2405</v>
      </c>
      <c r="C1207" s="6">
        <v>10000.0</v>
      </c>
      <c r="D1207" s="6">
        <v>4.174496644</v>
      </c>
      <c r="E1207" s="6">
        <v>149.0</v>
      </c>
    </row>
    <row r="1208">
      <c r="A1208" s="4" t="s">
        <v>2406</v>
      </c>
      <c r="B1208" s="5" t="s">
        <v>2407</v>
      </c>
      <c r="C1208" s="6">
        <v>10000.0</v>
      </c>
      <c r="D1208" s="6">
        <v>5.0</v>
      </c>
      <c r="E1208" s="6">
        <v>13.0</v>
      </c>
    </row>
    <row r="1209">
      <c r="A1209" s="4" t="s">
        <v>2408</v>
      </c>
      <c r="B1209" s="5" t="s">
        <v>2409</v>
      </c>
      <c r="C1209" s="6">
        <v>10000.0</v>
      </c>
      <c r="D1209" s="6">
        <v>4.055555556</v>
      </c>
      <c r="E1209" s="6">
        <v>54.0</v>
      </c>
    </row>
    <row r="1210">
      <c r="A1210" s="4" t="s">
        <v>2410</v>
      </c>
      <c r="B1210" s="5" t="s">
        <v>2411</v>
      </c>
      <c r="C1210" s="6">
        <v>10000.0</v>
      </c>
      <c r="D1210" s="6">
        <v>5.0</v>
      </c>
      <c r="E1210" s="6">
        <v>1.0</v>
      </c>
    </row>
    <row r="1211">
      <c r="A1211" s="4" t="s">
        <v>2412</v>
      </c>
      <c r="B1211" s="5" t="s">
        <v>2413</v>
      </c>
      <c r="C1211" s="6">
        <v>10000.0</v>
      </c>
      <c r="D1211" s="6">
        <v>3.318181818</v>
      </c>
      <c r="E1211" s="6">
        <v>22.0</v>
      </c>
    </row>
    <row r="1212">
      <c r="A1212" s="4" t="s">
        <v>2414</v>
      </c>
      <c r="B1212" s="5" t="s">
        <v>2415</v>
      </c>
      <c r="C1212" s="6">
        <v>10000.0</v>
      </c>
      <c r="D1212" s="9"/>
      <c r="E1212" s="9"/>
    </row>
    <row r="1213">
      <c r="A1213" s="4" t="s">
        <v>2416</v>
      </c>
      <c r="B1213" s="5" t="s">
        <v>2417</v>
      </c>
      <c r="C1213" s="6">
        <v>10000.0</v>
      </c>
      <c r="D1213" s="6">
        <v>4.716666667</v>
      </c>
      <c r="E1213" s="6">
        <v>60.0</v>
      </c>
    </row>
    <row r="1214">
      <c r="A1214" s="4" t="s">
        <v>2418</v>
      </c>
      <c r="B1214" s="5" t="s">
        <v>2419</v>
      </c>
      <c r="C1214" s="6">
        <v>10000.0</v>
      </c>
      <c r="D1214" s="6">
        <v>2.945578231</v>
      </c>
      <c r="E1214" s="6">
        <v>147.0</v>
      </c>
    </row>
    <row r="1215">
      <c r="A1215" s="4" t="s">
        <v>2420</v>
      </c>
      <c r="B1215" s="5" t="s">
        <v>2421</v>
      </c>
      <c r="C1215" s="6">
        <v>10000.0</v>
      </c>
      <c r="D1215" s="6">
        <v>3.56741573</v>
      </c>
      <c r="E1215" s="6">
        <v>178.0</v>
      </c>
    </row>
    <row r="1216">
      <c r="A1216" s="4" t="s">
        <v>2422</v>
      </c>
      <c r="B1216" s="5" t="s">
        <v>2423</v>
      </c>
      <c r="C1216" s="6">
        <v>10000.0</v>
      </c>
      <c r="D1216" s="6">
        <v>3.435483871</v>
      </c>
      <c r="E1216" s="6">
        <v>62.0</v>
      </c>
    </row>
    <row r="1217">
      <c r="A1217" s="4" t="s">
        <v>2424</v>
      </c>
      <c r="B1217" s="5" t="s">
        <v>2425</v>
      </c>
      <c r="C1217" s="6">
        <v>10000.0</v>
      </c>
      <c r="D1217" s="6">
        <v>4.593220339</v>
      </c>
      <c r="E1217" s="6">
        <v>59.0</v>
      </c>
    </row>
    <row r="1218">
      <c r="A1218" s="4" t="s">
        <v>2426</v>
      </c>
      <c r="B1218" s="5" t="s">
        <v>2427</v>
      </c>
      <c r="C1218" s="6">
        <v>10000.0</v>
      </c>
      <c r="D1218" s="6">
        <v>4.161290323</v>
      </c>
      <c r="E1218" s="6">
        <v>31.0</v>
      </c>
    </row>
    <row r="1219">
      <c r="A1219" s="4" t="s">
        <v>2428</v>
      </c>
      <c r="B1219" s="5" t="s">
        <v>2429</v>
      </c>
      <c r="C1219" s="6">
        <v>10000.0</v>
      </c>
      <c r="D1219" s="6">
        <v>2.0</v>
      </c>
      <c r="E1219" s="6">
        <v>11.0</v>
      </c>
    </row>
    <row r="1220">
      <c r="A1220" s="4" t="s">
        <v>2430</v>
      </c>
      <c r="B1220" s="5" t="s">
        <v>2431</v>
      </c>
      <c r="C1220" s="6">
        <v>10000.0</v>
      </c>
      <c r="D1220" s="6">
        <v>4.2</v>
      </c>
      <c r="E1220" s="6">
        <v>40.0</v>
      </c>
    </row>
    <row r="1221">
      <c r="A1221" s="4" t="s">
        <v>2432</v>
      </c>
      <c r="B1221" s="5" t="s">
        <v>2433</v>
      </c>
      <c r="C1221" s="6">
        <v>10000.0</v>
      </c>
      <c r="D1221" s="6">
        <v>3.294117647</v>
      </c>
      <c r="E1221" s="6">
        <v>17.0</v>
      </c>
    </row>
    <row r="1222">
      <c r="A1222" s="4" t="s">
        <v>2434</v>
      </c>
      <c r="B1222" s="5" t="s">
        <v>2435</v>
      </c>
      <c r="C1222" s="6">
        <v>10000.0</v>
      </c>
      <c r="D1222" s="6">
        <v>4.441558442</v>
      </c>
      <c r="E1222" s="6">
        <v>77.0</v>
      </c>
    </row>
    <row r="1223">
      <c r="A1223" s="4" t="s">
        <v>2436</v>
      </c>
      <c r="B1223" s="5" t="s">
        <v>2437</v>
      </c>
      <c r="C1223" s="6">
        <v>10000.0</v>
      </c>
      <c r="D1223" s="6">
        <v>5.0</v>
      </c>
      <c r="E1223" s="6">
        <v>5.0</v>
      </c>
    </row>
    <row r="1224">
      <c r="A1224" s="4" t="s">
        <v>2438</v>
      </c>
      <c r="B1224" s="5" t="s">
        <v>2439</v>
      </c>
      <c r="C1224" s="6">
        <v>10000.0</v>
      </c>
      <c r="D1224" s="6">
        <v>4.8708159</v>
      </c>
      <c r="E1224" s="6">
        <v>1912.0</v>
      </c>
    </row>
    <row r="1225">
      <c r="A1225" s="4" t="s">
        <v>2440</v>
      </c>
      <c r="B1225" s="5" t="s">
        <v>2441</v>
      </c>
      <c r="C1225" s="6">
        <v>10000.0</v>
      </c>
      <c r="D1225" s="6">
        <v>4.333333333</v>
      </c>
      <c r="E1225" s="6">
        <v>18.0</v>
      </c>
    </row>
    <row r="1226">
      <c r="A1226" s="4" t="s">
        <v>2442</v>
      </c>
      <c r="B1226" s="5" t="s">
        <v>2443</v>
      </c>
      <c r="C1226" s="6">
        <v>10000.0</v>
      </c>
      <c r="D1226" s="6">
        <v>3.619047619</v>
      </c>
      <c r="E1226" s="6">
        <v>126.0</v>
      </c>
    </row>
    <row r="1227">
      <c r="A1227" s="4" t="s">
        <v>2444</v>
      </c>
      <c r="B1227" s="5" t="s">
        <v>2445</v>
      </c>
      <c r="C1227" s="6">
        <v>10000.0</v>
      </c>
      <c r="D1227" s="6">
        <v>4.905660377</v>
      </c>
      <c r="E1227" s="6">
        <v>53.0</v>
      </c>
    </row>
    <row r="1228">
      <c r="A1228" s="4" t="s">
        <v>2446</v>
      </c>
      <c r="B1228" s="5" t="s">
        <v>2447</v>
      </c>
      <c r="C1228" s="6">
        <v>10000.0</v>
      </c>
      <c r="D1228" s="6">
        <v>3.818181818</v>
      </c>
      <c r="E1228" s="6">
        <v>11.0</v>
      </c>
    </row>
    <row r="1229">
      <c r="A1229" s="4" t="s">
        <v>2448</v>
      </c>
      <c r="B1229" s="5" t="s">
        <v>2449</v>
      </c>
      <c r="C1229" s="6">
        <v>10000.0</v>
      </c>
      <c r="D1229" s="6">
        <v>3.7</v>
      </c>
      <c r="E1229" s="6">
        <v>50.0</v>
      </c>
    </row>
    <row r="1230">
      <c r="A1230" s="5" t="s">
        <v>2450</v>
      </c>
      <c r="B1230" s="5" t="s">
        <v>2451</v>
      </c>
      <c r="C1230" s="6">
        <v>10000.0</v>
      </c>
      <c r="D1230" s="6">
        <v>4.733333333</v>
      </c>
      <c r="E1230" s="6">
        <v>15.0</v>
      </c>
    </row>
    <row r="1231">
      <c r="A1231" s="4" t="s">
        <v>2452</v>
      </c>
      <c r="B1231" s="5" t="s">
        <v>2453</v>
      </c>
      <c r="C1231" s="6">
        <v>10000.0</v>
      </c>
      <c r="D1231" s="6">
        <v>4.461538462</v>
      </c>
      <c r="E1231" s="6">
        <v>13.0</v>
      </c>
    </row>
    <row r="1232">
      <c r="A1232" s="4" t="s">
        <v>2454</v>
      </c>
      <c r="B1232" s="5" t="s">
        <v>2455</v>
      </c>
      <c r="C1232" s="6">
        <v>10000.0</v>
      </c>
      <c r="D1232" s="6">
        <v>3.574074074</v>
      </c>
      <c r="E1232" s="6">
        <v>54.0</v>
      </c>
    </row>
    <row r="1233">
      <c r="A1233" s="4" t="s">
        <v>2456</v>
      </c>
      <c r="B1233" s="5" t="s">
        <v>2457</v>
      </c>
      <c r="C1233" s="6">
        <v>10000.0</v>
      </c>
      <c r="D1233" s="6">
        <v>4.5</v>
      </c>
      <c r="E1233" s="6">
        <v>2.0</v>
      </c>
    </row>
    <row r="1234">
      <c r="A1234" s="4" t="s">
        <v>2458</v>
      </c>
      <c r="B1234" s="5" t="s">
        <v>2459</v>
      </c>
      <c r="C1234" s="6">
        <v>10000.0</v>
      </c>
      <c r="D1234" s="6">
        <v>4.23255814</v>
      </c>
      <c r="E1234" s="6">
        <v>43.0</v>
      </c>
    </row>
    <row r="1235">
      <c r="A1235" s="4" t="s">
        <v>2460</v>
      </c>
      <c r="B1235" s="5" t="s">
        <v>2461</v>
      </c>
      <c r="C1235" s="6">
        <v>10000.0</v>
      </c>
      <c r="D1235" s="6">
        <v>4.785714286</v>
      </c>
      <c r="E1235" s="6">
        <v>14.0</v>
      </c>
    </row>
    <row r="1236">
      <c r="A1236" s="4" t="s">
        <v>2462</v>
      </c>
      <c r="B1236" s="5" t="s">
        <v>2463</v>
      </c>
      <c r="C1236" s="6">
        <v>10000.0</v>
      </c>
      <c r="D1236" s="6">
        <v>4.0</v>
      </c>
      <c r="E1236" s="6">
        <v>11.0</v>
      </c>
    </row>
    <row r="1237">
      <c r="A1237" s="4" t="s">
        <v>2464</v>
      </c>
      <c r="B1237" s="5" t="s">
        <v>2465</v>
      </c>
      <c r="C1237" s="6">
        <v>10000.0</v>
      </c>
      <c r="D1237" s="6">
        <v>4.139534884</v>
      </c>
      <c r="E1237" s="6">
        <v>43.0</v>
      </c>
    </row>
    <row r="1238">
      <c r="A1238" s="4" t="s">
        <v>2466</v>
      </c>
      <c r="B1238" s="5" t="s">
        <v>2467</v>
      </c>
      <c r="C1238" s="6">
        <v>10000.0</v>
      </c>
      <c r="D1238" s="6">
        <v>4.826612903</v>
      </c>
      <c r="E1238" s="6">
        <v>248.0</v>
      </c>
    </row>
    <row r="1239">
      <c r="A1239" s="4" t="s">
        <v>2468</v>
      </c>
      <c r="B1239" s="5" t="s">
        <v>2469</v>
      </c>
      <c r="C1239" s="6">
        <v>10000.0</v>
      </c>
      <c r="D1239" s="6">
        <v>4.083333333</v>
      </c>
      <c r="E1239" s="6">
        <v>60.0</v>
      </c>
    </row>
    <row r="1240">
      <c r="A1240" s="4" t="s">
        <v>2470</v>
      </c>
      <c r="B1240" s="5" t="s">
        <v>2471</v>
      </c>
      <c r="C1240" s="6">
        <v>10000.0</v>
      </c>
      <c r="D1240" s="6">
        <v>4.714285714</v>
      </c>
      <c r="E1240" s="6">
        <v>21.0</v>
      </c>
    </row>
    <row r="1241">
      <c r="A1241" s="4" t="s">
        <v>2472</v>
      </c>
      <c r="B1241" s="5" t="s">
        <v>2473</v>
      </c>
      <c r="C1241" s="6">
        <v>10000.0</v>
      </c>
      <c r="D1241" s="6">
        <v>4.0</v>
      </c>
      <c r="E1241" s="6">
        <v>75.0</v>
      </c>
    </row>
    <row r="1242">
      <c r="A1242" s="4" t="s">
        <v>2474</v>
      </c>
      <c r="B1242" s="5" t="s">
        <v>2475</v>
      </c>
      <c r="C1242" s="6">
        <v>10000.0</v>
      </c>
      <c r="D1242" s="6">
        <v>4.9</v>
      </c>
      <c r="E1242" s="6">
        <v>10.0</v>
      </c>
    </row>
    <row r="1243">
      <c r="A1243" s="4" t="s">
        <v>2476</v>
      </c>
      <c r="B1243" s="5" t="s">
        <v>2477</v>
      </c>
      <c r="C1243" s="6">
        <v>10000.0</v>
      </c>
      <c r="D1243" s="6">
        <v>4.273809524</v>
      </c>
      <c r="E1243" s="6">
        <v>84.0</v>
      </c>
    </row>
    <row r="1244">
      <c r="A1244" s="4" t="s">
        <v>2478</v>
      </c>
      <c r="B1244" s="5" t="s">
        <v>2479</v>
      </c>
      <c r="C1244" s="6">
        <v>10000.0</v>
      </c>
      <c r="D1244" s="6">
        <v>4.778110945</v>
      </c>
      <c r="E1244" s="6">
        <v>5336.0</v>
      </c>
    </row>
    <row r="1245">
      <c r="A1245" s="4" t="s">
        <v>2480</v>
      </c>
      <c r="B1245" s="5" t="s">
        <v>2481</v>
      </c>
      <c r="C1245" s="6">
        <v>10000.0</v>
      </c>
      <c r="D1245" s="6">
        <v>4.70212766</v>
      </c>
      <c r="E1245" s="6">
        <v>47.0</v>
      </c>
    </row>
    <row r="1246">
      <c r="A1246" s="4" t="s">
        <v>2482</v>
      </c>
      <c r="B1246" s="5" t="s">
        <v>2483</v>
      </c>
      <c r="C1246" s="6">
        <v>10000.0</v>
      </c>
      <c r="D1246" s="6">
        <v>3.344827586</v>
      </c>
      <c r="E1246" s="6">
        <v>58.0</v>
      </c>
    </row>
    <row r="1247">
      <c r="A1247" s="4" t="s">
        <v>2484</v>
      </c>
      <c r="B1247" s="5" t="s">
        <v>2485</v>
      </c>
      <c r="C1247" s="6">
        <v>10000.0</v>
      </c>
      <c r="D1247" s="6">
        <v>3.655172414</v>
      </c>
      <c r="E1247" s="6">
        <v>29.0</v>
      </c>
    </row>
    <row r="1248">
      <c r="A1248" s="4" t="s">
        <v>2486</v>
      </c>
      <c r="B1248" s="5" t="s">
        <v>2487</v>
      </c>
      <c r="C1248" s="6">
        <v>10000.0</v>
      </c>
      <c r="D1248" s="6">
        <v>3.098039216</v>
      </c>
      <c r="E1248" s="6">
        <v>51.0</v>
      </c>
    </row>
    <row r="1249">
      <c r="A1249" s="4" t="s">
        <v>2488</v>
      </c>
      <c r="B1249" s="5" t="s">
        <v>2489</v>
      </c>
      <c r="C1249" s="6">
        <v>10000.0</v>
      </c>
      <c r="D1249" s="6">
        <v>3.555555556</v>
      </c>
      <c r="E1249" s="6">
        <v>72.0</v>
      </c>
    </row>
    <row r="1250">
      <c r="A1250" s="4" t="s">
        <v>2490</v>
      </c>
      <c r="B1250" s="5" t="s">
        <v>2491</v>
      </c>
      <c r="C1250" s="6">
        <v>10000.0</v>
      </c>
      <c r="D1250" s="6">
        <v>3.822580645</v>
      </c>
      <c r="E1250" s="6">
        <v>62.0</v>
      </c>
    </row>
    <row r="1251">
      <c r="A1251" s="4" t="s">
        <v>2492</v>
      </c>
      <c r="B1251" s="5" t="s">
        <v>2493</v>
      </c>
      <c r="C1251" s="6">
        <v>10000.0</v>
      </c>
      <c r="D1251" s="6">
        <v>3.222222222</v>
      </c>
      <c r="E1251" s="6">
        <v>9.0</v>
      </c>
    </row>
    <row r="1252">
      <c r="A1252" s="4" t="s">
        <v>2494</v>
      </c>
      <c r="B1252" s="5" t="s">
        <v>2495</v>
      </c>
      <c r="C1252" s="6">
        <v>10000.0</v>
      </c>
      <c r="D1252" s="6">
        <v>4.052631579</v>
      </c>
      <c r="E1252" s="6">
        <v>19.0</v>
      </c>
    </row>
    <row r="1253">
      <c r="A1253" s="4" t="s">
        <v>2496</v>
      </c>
      <c r="B1253" s="5" t="s">
        <v>2497</v>
      </c>
      <c r="C1253" s="6">
        <v>10000.0</v>
      </c>
      <c r="D1253" s="6">
        <v>4.315789474</v>
      </c>
      <c r="E1253" s="6">
        <v>19.0</v>
      </c>
    </row>
    <row r="1254">
      <c r="A1254" s="4" t="s">
        <v>2498</v>
      </c>
      <c r="B1254" s="5" t="s">
        <v>2499</v>
      </c>
      <c r="C1254" s="6">
        <v>10000.0</v>
      </c>
      <c r="D1254" s="6">
        <v>4.582511211</v>
      </c>
      <c r="E1254" s="6">
        <v>2230.0</v>
      </c>
    </row>
    <row r="1255">
      <c r="A1255" s="4" t="s">
        <v>2500</v>
      </c>
      <c r="B1255" s="5" t="s">
        <v>2501</v>
      </c>
      <c r="C1255" s="6">
        <v>10000.0</v>
      </c>
      <c r="D1255" s="6">
        <v>3.555555556</v>
      </c>
      <c r="E1255" s="6">
        <v>9.0</v>
      </c>
    </row>
    <row r="1256">
      <c r="A1256" s="4" t="s">
        <v>2502</v>
      </c>
      <c r="B1256" s="5" t="s">
        <v>2503</v>
      </c>
      <c r="C1256" s="6">
        <v>10000.0</v>
      </c>
      <c r="D1256" s="6">
        <v>3.663157895</v>
      </c>
      <c r="E1256" s="6">
        <v>95.0</v>
      </c>
    </row>
    <row r="1257">
      <c r="A1257" s="4" t="s">
        <v>2504</v>
      </c>
      <c r="B1257" s="5" t="s">
        <v>2505</v>
      </c>
      <c r="C1257" s="6">
        <v>10000.0</v>
      </c>
      <c r="D1257" s="6">
        <v>3.875</v>
      </c>
      <c r="E1257" s="6">
        <v>24.0</v>
      </c>
    </row>
    <row r="1258">
      <c r="A1258" s="4" t="s">
        <v>2506</v>
      </c>
      <c r="B1258" s="5" t="s">
        <v>2507</v>
      </c>
      <c r="C1258" s="6">
        <v>10000.0</v>
      </c>
      <c r="D1258" s="6">
        <v>4.230769231</v>
      </c>
      <c r="E1258" s="6">
        <v>26.0</v>
      </c>
    </row>
    <row r="1259">
      <c r="A1259" s="4" t="s">
        <v>2508</v>
      </c>
      <c r="B1259" s="5" t="s">
        <v>2509</v>
      </c>
      <c r="C1259" s="6">
        <v>10000.0</v>
      </c>
      <c r="D1259" s="6">
        <v>3.01510574</v>
      </c>
      <c r="E1259" s="6">
        <v>331.0</v>
      </c>
    </row>
    <row r="1260">
      <c r="A1260" s="4" t="s">
        <v>2510</v>
      </c>
      <c r="B1260" s="5" t="s">
        <v>2511</v>
      </c>
      <c r="C1260" s="6">
        <v>10000.0</v>
      </c>
      <c r="D1260" s="6">
        <v>4.288088643</v>
      </c>
      <c r="E1260" s="6">
        <v>361.0</v>
      </c>
    </row>
    <row r="1261">
      <c r="A1261" s="4" t="s">
        <v>2512</v>
      </c>
      <c r="B1261" s="5" t="s">
        <v>2513</v>
      </c>
      <c r="C1261" s="6">
        <v>10000.0</v>
      </c>
      <c r="D1261" s="6">
        <v>3.821428571</v>
      </c>
      <c r="E1261" s="6">
        <v>56.0</v>
      </c>
    </row>
    <row r="1262">
      <c r="A1262" s="4" t="s">
        <v>2514</v>
      </c>
      <c r="B1262" s="5" t="s">
        <v>2515</v>
      </c>
      <c r="C1262" s="6">
        <v>10000.0</v>
      </c>
      <c r="D1262" s="6">
        <v>4.238636364</v>
      </c>
      <c r="E1262" s="6">
        <v>88.0</v>
      </c>
    </row>
    <row r="1263">
      <c r="A1263" s="4" t="s">
        <v>2516</v>
      </c>
      <c r="B1263" s="5" t="s">
        <v>2517</v>
      </c>
      <c r="C1263" s="6">
        <v>10000.0</v>
      </c>
      <c r="D1263" s="6">
        <v>3.761904762</v>
      </c>
      <c r="E1263" s="6">
        <v>42.0</v>
      </c>
    </row>
    <row r="1264">
      <c r="A1264" s="4" t="s">
        <v>2518</v>
      </c>
      <c r="B1264" s="5" t="s">
        <v>2519</v>
      </c>
      <c r="C1264" s="6">
        <v>10000.0</v>
      </c>
      <c r="D1264" s="6">
        <v>4.615384615</v>
      </c>
      <c r="E1264" s="6">
        <v>13.0</v>
      </c>
    </row>
    <row r="1265">
      <c r="A1265" s="4" t="s">
        <v>2520</v>
      </c>
      <c r="B1265" s="5" t="s">
        <v>2521</v>
      </c>
      <c r="C1265" s="6">
        <v>10000.0</v>
      </c>
      <c r="D1265" s="6">
        <v>5.0</v>
      </c>
      <c r="E1265" s="6">
        <v>2.0</v>
      </c>
    </row>
    <row r="1266">
      <c r="A1266" s="4" t="s">
        <v>2522</v>
      </c>
      <c r="B1266" s="5" t="s">
        <v>2523</v>
      </c>
      <c r="C1266" s="6">
        <v>10000.0</v>
      </c>
      <c r="D1266" s="6">
        <v>5.0</v>
      </c>
      <c r="E1266" s="6">
        <v>6.0</v>
      </c>
    </row>
    <row r="1267">
      <c r="A1267" s="4" t="s">
        <v>2524</v>
      </c>
      <c r="B1267" s="5" t="s">
        <v>2525</v>
      </c>
      <c r="C1267" s="6">
        <v>10000.0</v>
      </c>
      <c r="D1267" s="6">
        <v>4.588235294</v>
      </c>
      <c r="E1267" s="6">
        <v>68.0</v>
      </c>
    </row>
    <row r="1268">
      <c r="A1268" s="4" t="s">
        <v>2526</v>
      </c>
      <c r="B1268" s="5" t="s">
        <v>2527</v>
      </c>
      <c r="C1268" s="6">
        <v>10000.0</v>
      </c>
      <c r="D1268" s="6">
        <v>3.0</v>
      </c>
      <c r="E1268" s="6">
        <v>6.0</v>
      </c>
    </row>
    <row r="1269">
      <c r="A1269" s="4" t="s">
        <v>2528</v>
      </c>
      <c r="B1269" s="5" t="s">
        <v>2529</v>
      </c>
      <c r="C1269" s="6">
        <v>10000.0</v>
      </c>
      <c r="D1269" s="6">
        <v>4.8125</v>
      </c>
      <c r="E1269" s="6">
        <v>64.0</v>
      </c>
    </row>
    <row r="1270">
      <c r="A1270" s="4" t="s">
        <v>2530</v>
      </c>
      <c r="B1270" s="5" t="s">
        <v>2531</v>
      </c>
      <c r="C1270" s="6">
        <v>10000.0</v>
      </c>
      <c r="D1270" s="6">
        <v>4.456140351</v>
      </c>
      <c r="E1270" s="6">
        <v>57.0</v>
      </c>
    </row>
    <row r="1271">
      <c r="A1271" s="4" t="s">
        <v>2532</v>
      </c>
      <c r="B1271" s="5" t="s">
        <v>2533</v>
      </c>
      <c r="C1271" s="6">
        <v>10000.0</v>
      </c>
      <c r="D1271" s="6">
        <v>3.777777778</v>
      </c>
      <c r="E1271" s="6">
        <v>9.0</v>
      </c>
    </row>
    <row r="1272">
      <c r="A1272" s="4" t="s">
        <v>2534</v>
      </c>
      <c r="B1272" s="5" t="s">
        <v>2535</v>
      </c>
      <c r="C1272" s="6">
        <v>10000.0</v>
      </c>
      <c r="D1272" s="6">
        <v>4.142857143</v>
      </c>
      <c r="E1272" s="6">
        <v>77.0</v>
      </c>
    </row>
    <row r="1273">
      <c r="A1273" s="4" t="s">
        <v>2536</v>
      </c>
      <c r="B1273" s="5" t="s">
        <v>2537</v>
      </c>
      <c r="C1273" s="6">
        <v>10000.0</v>
      </c>
      <c r="D1273" s="6">
        <v>4.285714286</v>
      </c>
      <c r="E1273" s="6">
        <v>21.0</v>
      </c>
    </row>
    <row r="1274">
      <c r="A1274" s="4" t="s">
        <v>2538</v>
      </c>
      <c r="B1274" s="5" t="s">
        <v>2539</v>
      </c>
      <c r="C1274" s="6">
        <v>10000.0</v>
      </c>
      <c r="D1274" s="6">
        <v>4.617886179</v>
      </c>
      <c r="E1274" s="6">
        <v>123.0</v>
      </c>
    </row>
    <row r="1275">
      <c r="A1275" s="4" t="s">
        <v>2540</v>
      </c>
      <c r="B1275" s="5" t="s">
        <v>2541</v>
      </c>
      <c r="C1275" s="6">
        <v>10000.0</v>
      </c>
      <c r="D1275" s="6">
        <v>4.15625</v>
      </c>
      <c r="E1275" s="6">
        <v>32.0</v>
      </c>
    </row>
    <row r="1276">
      <c r="A1276" s="4" t="s">
        <v>2542</v>
      </c>
      <c r="B1276" s="5" t="s">
        <v>2543</v>
      </c>
      <c r="C1276" s="6">
        <v>10000.0</v>
      </c>
      <c r="D1276" s="6">
        <v>3.185185185</v>
      </c>
      <c r="E1276" s="6">
        <v>27.0</v>
      </c>
    </row>
    <row r="1277">
      <c r="A1277" s="4" t="s">
        <v>2544</v>
      </c>
      <c r="B1277" s="5" t="s">
        <v>2545</v>
      </c>
      <c r="C1277" s="6">
        <v>10000.0</v>
      </c>
      <c r="D1277" s="6">
        <v>3.409090909</v>
      </c>
      <c r="E1277" s="6">
        <v>22.0</v>
      </c>
    </row>
    <row r="1278">
      <c r="A1278" s="4" t="s">
        <v>2546</v>
      </c>
      <c r="B1278" s="5" t="s">
        <v>2547</v>
      </c>
      <c r="C1278" s="6">
        <v>10000.0</v>
      </c>
      <c r="D1278" s="6">
        <v>4.0</v>
      </c>
      <c r="E1278" s="6">
        <v>7.0</v>
      </c>
    </row>
    <row r="1279">
      <c r="A1279" s="4" t="s">
        <v>2548</v>
      </c>
      <c r="B1279" s="5" t="s">
        <v>2549</v>
      </c>
      <c r="C1279" s="6">
        <v>10000.0</v>
      </c>
      <c r="D1279" s="6">
        <v>3.8125</v>
      </c>
      <c r="E1279" s="6">
        <v>64.0</v>
      </c>
    </row>
    <row r="1280">
      <c r="A1280" s="4" t="s">
        <v>2550</v>
      </c>
      <c r="B1280" s="5" t="s">
        <v>2551</v>
      </c>
      <c r="C1280" s="6">
        <v>10000.0</v>
      </c>
      <c r="D1280" s="6">
        <v>4.145833333</v>
      </c>
      <c r="E1280" s="6">
        <v>48.0</v>
      </c>
    </row>
    <row r="1281">
      <c r="A1281" s="4" t="s">
        <v>2552</v>
      </c>
      <c r="B1281" s="5" t="s">
        <v>2553</v>
      </c>
      <c r="C1281" s="6">
        <v>10000.0</v>
      </c>
      <c r="D1281" s="6">
        <v>4.25</v>
      </c>
      <c r="E1281" s="6">
        <v>12.0</v>
      </c>
    </row>
    <row r="1282">
      <c r="A1282" s="4" t="s">
        <v>2554</v>
      </c>
      <c r="B1282" s="5" t="s">
        <v>2555</v>
      </c>
      <c r="C1282" s="6">
        <v>10000.0</v>
      </c>
      <c r="D1282" s="6">
        <v>4.0</v>
      </c>
      <c r="E1282" s="6">
        <v>10.0</v>
      </c>
    </row>
    <row r="1283">
      <c r="A1283" s="4" t="s">
        <v>2556</v>
      </c>
      <c r="B1283" s="5" t="s">
        <v>2557</v>
      </c>
      <c r="C1283" s="6">
        <v>10000.0</v>
      </c>
      <c r="D1283" s="6">
        <v>4.945945946</v>
      </c>
      <c r="E1283" s="6">
        <v>37.0</v>
      </c>
    </row>
    <row r="1284">
      <c r="A1284" s="10" t="s">
        <v>2558</v>
      </c>
      <c r="B1284" s="5" t="s">
        <v>2559</v>
      </c>
      <c r="C1284" s="6">
        <v>10000.0</v>
      </c>
      <c r="D1284" s="6">
        <v>2.111111111</v>
      </c>
      <c r="E1284" s="6">
        <v>9.0</v>
      </c>
    </row>
    <row r="1285">
      <c r="A1285" s="4" t="s">
        <v>2560</v>
      </c>
      <c r="B1285" s="5" t="s">
        <v>2561</v>
      </c>
      <c r="C1285" s="6">
        <v>10000.0</v>
      </c>
      <c r="D1285" s="6">
        <v>4.535031847</v>
      </c>
      <c r="E1285" s="6">
        <v>157.0</v>
      </c>
    </row>
    <row r="1286">
      <c r="A1286" s="4" t="s">
        <v>2562</v>
      </c>
      <c r="B1286" s="5" t="s">
        <v>2563</v>
      </c>
      <c r="C1286" s="6">
        <v>10000.0</v>
      </c>
      <c r="D1286" s="6">
        <v>2.8</v>
      </c>
      <c r="E1286" s="6">
        <v>5.0</v>
      </c>
    </row>
    <row r="1287">
      <c r="A1287" s="4" t="s">
        <v>2564</v>
      </c>
      <c r="B1287" s="5" t="s">
        <v>2565</v>
      </c>
      <c r="C1287" s="6">
        <v>10000.0</v>
      </c>
      <c r="D1287" s="9"/>
      <c r="E1287" s="9"/>
    </row>
    <row r="1288">
      <c r="A1288" s="4" t="s">
        <v>2566</v>
      </c>
      <c r="B1288" s="5" t="s">
        <v>2567</v>
      </c>
      <c r="C1288" s="6">
        <v>10000.0</v>
      </c>
      <c r="D1288" s="6">
        <v>4.546875</v>
      </c>
      <c r="E1288" s="6">
        <v>64.0</v>
      </c>
    </row>
    <row r="1289">
      <c r="A1289" s="4" t="s">
        <v>2568</v>
      </c>
      <c r="B1289" s="5" t="s">
        <v>2569</v>
      </c>
      <c r="C1289" s="6">
        <v>10000.0</v>
      </c>
      <c r="D1289" s="6">
        <v>3.363636364</v>
      </c>
      <c r="E1289" s="6">
        <v>11.0</v>
      </c>
    </row>
    <row r="1290">
      <c r="A1290" s="4" t="s">
        <v>2570</v>
      </c>
      <c r="B1290" s="5" t="s">
        <v>2571</v>
      </c>
      <c r="C1290" s="6">
        <v>10000.0</v>
      </c>
      <c r="D1290" s="6">
        <v>4.20610687</v>
      </c>
      <c r="E1290" s="6">
        <v>131.0</v>
      </c>
    </row>
    <row r="1291">
      <c r="A1291" s="4" t="s">
        <v>2572</v>
      </c>
      <c r="B1291" s="5" t="s">
        <v>2573</v>
      </c>
      <c r="C1291" s="6">
        <v>10000.0</v>
      </c>
      <c r="D1291" s="6">
        <v>2.980392157</v>
      </c>
      <c r="E1291" s="6">
        <v>51.0</v>
      </c>
    </row>
    <row r="1292">
      <c r="A1292" s="4" t="s">
        <v>2574</v>
      </c>
      <c r="B1292" s="5" t="s">
        <v>2575</v>
      </c>
      <c r="C1292" s="6">
        <v>10000.0</v>
      </c>
      <c r="D1292" s="6">
        <v>5.0</v>
      </c>
      <c r="E1292" s="6">
        <v>4.0</v>
      </c>
    </row>
    <row r="1293">
      <c r="A1293" s="4" t="s">
        <v>2576</v>
      </c>
      <c r="B1293" s="5" t="s">
        <v>2577</v>
      </c>
      <c r="C1293" s="6">
        <v>10000.0</v>
      </c>
      <c r="D1293" s="6">
        <v>4.518324607</v>
      </c>
      <c r="E1293" s="6">
        <v>191.0</v>
      </c>
    </row>
    <row r="1294">
      <c r="A1294" s="4" t="s">
        <v>2578</v>
      </c>
      <c r="B1294" s="5" t="s">
        <v>2579</v>
      </c>
      <c r="C1294" s="6">
        <v>10000.0</v>
      </c>
      <c r="D1294" s="6">
        <v>4.25</v>
      </c>
      <c r="E1294" s="6">
        <v>8.0</v>
      </c>
    </row>
    <row r="1295">
      <c r="A1295" s="4" t="s">
        <v>2580</v>
      </c>
      <c r="B1295" s="5" t="s">
        <v>2581</v>
      </c>
      <c r="C1295" s="6">
        <v>10000.0</v>
      </c>
      <c r="D1295" s="6">
        <v>3.888888889</v>
      </c>
      <c r="E1295" s="6">
        <v>18.0</v>
      </c>
    </row>
    <row r="1296">
      <c r="A1296" s="4" t="s">
        <v>2582</v>
      </c>
      <c r="B1296" s="5" t="s">
        <v>2583</v>
      </c>
      <c r="C1296" s="6">
        <v>10000.0</v>
      </c>
      <c r="D1296" s="6">
        <v>4.442718447</v>
      </c>
      <c r="E1296" s="6">
        <v>515.0</v>
      </c>
    </row>
    <row r="1297">
      <c r="A1297" s="4" t="s">
        <v>2584</v>
      </c>
      <c r="B1297" s="5" t="s">
        <v>2585</v>
      </c>
      <c r="C1297" s="6">
        <v>10000.0</v>
      </c>
      <c r="D1297" s="6">
        <v>4.418994413</v>
      </c>
      <c r="E1297" s="6">
        <v>179.0</v>
      </c>
    </row>
    <row r="1298">
      <c r="A1298" s="4" t="s">
        <v>2586</v>
      </c>
      <c r="B1298" s="5" t="s">
        <v>2587</v>
      </c>
      <c r="C1298" s="6">
        <v>10000.0</v>
      </c>
      <c r="D1298" s="6">
        <v>3.96</v>
      </c>
      <c r="E1298" s="6">
        <v>50.0</v>
      </c>
    </row>
    <row r="1299">
      <c r="A1299" s="4" t="s">
        <v>2588</v>
      </c>
      <c r="B1299" s="5" t="s">
        <v>2589</v>
      </c>
      <c r="C1299" s="6">
        <v>10000.0</v>
      </c>
      <c r="D1299" s="6">
        <v>4.111111111</v>
      </c>
      <c r="E1299" s="6">
        <v>9.0</v>
      </c>
    </row>
    <row r="1300">
      <c r="A1300" s="4" t="s">
        <v>2590</v>
      </c>
      <c r="B1300" s="5" t="s">
        <v>2591</v>
      </c>
      <c r="C1300" s="6">
        <v>10000.0</v>
      </c>
      <c r="D1300" s="6">
        <v>4.093167702</v>
      </c>
      <c r="E1300" s="6">
        <v>161.0</v>
      </c>
    </row>
    <row r="1301">
      <c r="A1301" s="4" t="s">
        <v>2592</v>
      </c>
      <c r="B1301" s="5" t="s">
        <v>2593</v>
      </c>
      <c r="C1301" s="6">
        <v>10000.0</v>
      </c>
      <c r="D1301" s="6">
        <v>3.384615385</v>
      </c>
      <c r="E1301" s="6">
        <v>26.0</v>
      </c>
    </row>
    <row r="1302">
      <c r="A1302" s="4" t="s">
        <v>2594</v>
      </c>
      <c r="B1302" s="5" t="s">
        <v>2595</v>
      </c>
      <c r="C1302" s="6">
        <v>10000.0</v>
      </c>
      <c r="D1302" s="6">
        <v>4.020408163</v>
      </c>
      <c r="E1302" s="6">
        <v>98.0</v>
      </c>
    </row>
    <row r="1303">
      <c r="A1303" s="4" t="s">
        <v>2596</v>
      </c>
      <c r="B1303" s="5" t="s">
        <v>2597</v>
      </c>
      <c r="C1303" s="6">
        <v>10000.0</v>
      </c>
      <c r="D1303" s="6">
        <v>4.417910448</v>
      </c>
      <c r="E1303" s="6">
        <v>134.0</v>
      </c>
    </row>
    <row r="1304">
      <c r="A1304" s="4" t="s">
        <v>2598</v>
      </c>
      <c r="B1304" s="5" t="s">
        <v>2599</v>
      </c>
      <c r="C1304" s="6">
        <v>10000.0</v>
      </c>
      <c r="D1304" s="6">
        <v>5.0</v>
      </c>
      <c r="E1304" s="6">
        <v>4.0</v>
      </c>
    </row>
    <row r="1305">
      <c r="A1305" s="4" t="s">
        <v>2600</v>
      </c>
      <c r="B1305" s="5" t="s">
        <v>2601</v>
      </c>
      <c r="C1305" s="6">
        <v>10000.0</v>
      </c>
      <c r="D1305" s="9"/>
      <c r="E1305" s="9"/>
    </row>
    <row r="1306">
      <c r="A1306" s="4" t="s">
        <v>2602</v>
      </c>
      <c r="B1306" s="5" t="s">
        <v>2603</v>
      </c>
      <c r="C1306" s="6">
        <v>10000.0</v>
      </c>
      <c r="D1306" s="6">
        <v>4.366438356</v>
      </c>
      <c r="E1306" s="6">
        <v>292.0</v>
      </c>
    </row>
    <row r="1307">
      <c r="A1307" s="4" t="s">
        <v>2604</v>
      </c>
      <c r="B1307" s="5" t="s">
        <v>2605</v>
      </c>
      <c r="C1307" s="6">
        <v>10000.0</v>
      </c>
      <c r="D1307" s="6">
        <v>3.5</v>
      </c>
      <c r="E1307" s="6">
        <v>8.0</v>
      </c>
    </row>
    <row r="1308">
      <c r="A1308" s="4" t="s">
        <v>2606</v>
      </c>
      <c r="B1308" s="5" t="s">
        <v>2607</v>
      </c>
      <c r="C1308" s="6">
        <v>10000.0</v>
      </c>
      <c r="D1308" s="6">
        <v>4.285714286</v>
      </c>
      <c r="E1308" s="6">
        <v>7.0</v>
      </c>
    </row>
    <row r="1309">
      <c r="A1309" s="4" t="s">
        <v>2608</v>
      </c>
      <c r="B1309" s="5" t="s">
        <v>2609</v>
      </c>
      <c r="C1309" s="6">
        <v>10000.0</v>
      </c>
      <c r="D1309" s="6">
        <v>4.542857143</v>
      </c>
      <c r="E1309" s="6">
        <v>35.0</v>
      </c>
    </row>
    <row r="1310">
      <c r="A1310" s="4" t="s">
        <v>2610</v>
      </c>
      <c r="B1310" s="5" t="s">
        <v>2611</v>
      </c>
      <c r="C1310" s="6">
        <v>10000.0</v>
      </c>
      <c r="D1310" s="6">
        <v>4.330827068</v>
      </c>
      <c r="E1310" s="6">
        <v>133.0</v>
      </c>
    </row>
    <row r="1311">
      <c r="A1311" s="4" t="s">
        <v>2612</v>
      </c>
      <c r="B1311" s="5" t="s">
        <v>2613</v>
      </c>
      <c r="C1311" s="6">
        <v>10000.0</v>
      </c>
      <c r="D1311" s="6">
        <v>4.806610755</v>
      </c>
      <c r="E1311" s="6">
        <v>2027.0</v>
      </c>
    </row>
    <row r="1312">
      <c r="A1312" s="4" t="s">
        <v>2614</v>
      </c>
      <c r="B1312" s="5" t="s">
        <v>2615</v>
      </c>
      <c r="C1312" s="6">
        <v>10000.0</v>
      </c>
      <c r="D1312" s="6">
        <v>4.696202532</v>
      </c>
      <c r="E1312" s="6">
        <v>79.0</v>
      </c>
    </row>
    <row r="1313">
      <c r="A1313" s="4" t="s">
        <v>2616</v>
      </c>
      <c r="B1313" s="12" t="s">
        <v>2617</v>
      </c>
      <c r="C1313" s="7">
        <v>10000.0</v>
      </c>
      <c r="D1313" s="6">
        <v>3.1</v>
      </c>
      <c r="E1313" s="6">
        <v>24.0</v>
      </c>
    </row>
    <row r="1314">
      <c r="A1314" s="4" t="s">
        <v>2618</v>
      </c>
      <c r="B1314" s="5" t="s">
        <v>2619</v>
      </c>
      <c r="C1314" s="6">
        <v>10000.0</v>
      </c>
      <c r="D1314" s="6">
        <v>3.558685446</v>
      </c>
      <c r="E1314" s="6">
        <v>213.0</v>
      </c>
    </row>
    <row r="1315">
      <c r="A1315" s="4" t="s">
        <v>2620</v>
      </c>
      <c r="B1315" s="5" t="s">
        <v>2621</v>
      </c>
      <c r="C1315" s="6">
        <v>10000.0</v>
      </c>
      <c r="D1315" s="6">
        <v>3.791666667</v>
      </c>
      <c r="E1315" s="6">
        <v>24.0</v>
      </c>
    </row>
    <row r="1316">
      <c r="A1316" s="4" t="s">
        <v>2622</v>
      </c>
      <c r="B1316" s="5" t="s">
        <v>2623</v>
      </c>
      <c r="C1316" s="6">
        <v>10000.0</v>
      </c>
      <c r="D1316" s="6">
        <v>5.0</v>
      </c>
      <c r="E1316" s="6">
        <v>4.0</v>
      </c>
    </row>
    <row r="1317">
      <c r="A1317" s="4" t="s">
        <v>2624</v>
      </c>
      <c r="B1317" s="5" t="s">
        <v>2625</v>
      </c>
      <c r="C1317" s="6">
        <v>10000.0</v>
      </c>
      <c r="D1317" s="6">
        <v>4.625</v>
      </c>
      <c r="E1317" s="6">
        <v>32.0</v>
      </c>
    </row>
    <row r="1318">
      <c r="A1318" s="4" t="s">
        <v>2626</v>
      </c>
      <c r="B1318" s="5" t="s">
        <v>2627</v>
      </c>
      <c r="C1318" s="6">
        <v>10000.0</v>
      </c>
      <c r="D1318" s="6">
        <v>3.608695652</v>
      </c>
      <c r="E1318" s="6">
        <v>23.0</v>
      </c>
    </row>
    <row r="1319">
      <c r="A1319" s="4" t="s">
        <v>2628</v>
      </c>
      <c r="B1319" s="5" t="s">
        <v>2629</v>
      </c>
      <c r="C1319" s="6">
        <v>10000.0</v>
      </c>
      <c r="D1319" s="6">
        <v>4.175257732</v>
      </c>
      <c r="E1319" s="6">
        <v>291.0</v>
      </c>
    </row>
    <row r="1320">
      <c r="A1320" s="4" t="s">
        <v>2630</v>
      </c>
      <c r="B1320" s="5" t="s">
        <v>2631</v>
      </c>
      <c r="C1320" s="6">
        <v>10000.0</v>
      </c>
      <c r="D1320" s="6">
        <v>3.311111111</v>
      </c>
      <c r="E1320" s="6">
        <v>45.0</v>
      </c>
    </row>
    <row r="1321">
      <c r="A1321" s="4" t="s">
        <v>2632</v>
      </c>
      <c r="B1321" s="5" t="s">
        <v>2633</v>
      </c>
      <c r="C1321" s="6">
        <v>10000.0</v>
      </c>
      <c r="D1321" s="6">
        <v>4.309090909</v>
      </c>
      <c r="E1321" s="6">
        <v>55.0</v>
      </c>
    </row>
    <row r="1322">
      <c r="A1322" s="4" t="s">
        <v>2634</v>
      </c>
      <c r="B1322" s="5" t="s">
        <v>2635</v>
      </c>
      <c r="C1322" s="6">
        <v>10000.0</v>
      </c>
      <c r="D1322" s="6">
        <v>4.59032967</v>
      </c>
      <c r="E1322" s="6">
        <v>2275.0</v>
      </c>
    </row>
    <row r="1323">
      <c r="A1323" s="4" t="s">
        <v>2636</v>
      </c>
      <c r="B1323" s="5" t="s">
        <v>2637</v>
      </c>
      <c r="C1323" s="6">
        <v>10000.0</v>
      </c>
      <c r="D1323" s="6">
        <v>4.56</v>
      </c>
      <c r="E1323" s="6">
        <v>25.0</v>
      </c>
    </row>
    <row r="1324">
      <c r="A1324" s="4" t="s">
        <v>2638</v>
      </c>
      <c r="B1324" s="5" t="s">
        <v>2639</v>
      </c>
      <c r="C1324" s="6">
        <v>10000.0</v>
      </c>
      <c r="D1324" s="6">
        <v>4.517241379</v>
      </c>
      <c r="E1324" s="6">
        <v>29.0</v>
      </c>
    </row>
    <row r="1325">
      <c r="A1325" s="4" t="s">
        <v>2640</v>
      </c>
      <c r="B1325" s="5" t="s">
        <v>2641</v>
      </c>
      <c r="C1325" s="6">
        <v>10000.0</v>
      </c>
      <c r="D1325" s="6">
        <v>3.714285714</v>
      </c>
      <c r="E1325" s="6">
        <v>28.0</v>
      </c>
    </row>
    <row r="1326">
      <c r="A1326" s="4" t="s">
        <v>2642</v>
      </c>
      <c r="B1326" s="5" t="s">
        <v>2643</v>
      </c>
      <c r="C1326" s="6">
        <v>10000.0</v>
      </c>
      <c r="D1326" s="6">
        <v>4.352</v>
      </c>
      <c r="E1326" s="6">
        <v>125.0</v>
      </c>
    </row>
    <row r="1327">
      <c r="A1327" s="4" t="s">
        <v>2644</v>
      </c>
      <c r="B1327" s="5" t="s">
        <v>2645</v>
      </c>
      <c r="C1327" s="6">
        <v>10000.0</v>
      </c>
      <c r="D1327" s="6">
        <v>3.297297297</v>
      </c>
      <c r="E1327" s="6">
        <v>37.0</v>
      </c>
    </row>
    <row r="1328">
      <c r="A1328" s="4" t="s">
        <v>2646</v>
      </c>
      <c r="B1328" s="5" t="s">
        <v>2647</v>
      </c>
      <c r="C1328" s="6">
        <v>10000.0</v>
      </c>
      <c r="D1328" s="6">
        <v>4.141304348</v>
      </c>
      <c r="E1328" s="6">
        <v>92.0</v>
      </c>
    </row>
    <row r="1329">
      <c r="A1329" s="4" t="s">
        <v>2648</v>
      </c>
      <c r="B1329" s="5" t="s">
        <v>2649</v>
      </c>
      <c r="C1329" s="6">
        <v>10000.0</v>
      </c>
      <c r="D1329" s="6">
        <v>3.892857143</v>
      </c>
      <c r="E1329" s="6">
        <v>28.0</v>
      </c>
    </row>
    <row r="1330">
      <c r="A1330" s="4" t="s">
        <v>2650</v>
      </c>
      <c r="B1330" s="5" t="s">
        <v>2651</v>
      </c>
      <c r="C1330" s="6">
        <v>10000.0</v>
      </c>
      <c r="D1330" s="6">
        <v>4.834586466</v>
      </c>
      <c r="E1330" s="6">
        <v>133.0</v>
      </c>
    </row>
    <row r="1331">
      <c r="A1331" s="4" t="s">
        <v>2652</v>
      </c>
      <c r="B1331" s="5" t="s">
        <v>2653</v>
      </c>
      <c r="C1331" s="6">
        <v>10000.0</v>
      </c>
      <c r="D1331" s="6">
        <v>3.909090909</v>
      </c>
      <c r="E1331" s="6">
        <v>11.0</v>
      </c>
    </row>
    <row r="1332">
      <c r="A1332" s="4" t="s">
        <v>2654</v>
      </c>
      <c r="B1332" s="5" t="s">
        <v>2655</v>
      </c>
      <c r="C1332" s="6">
        <v>10000.0</v>
      </c>
      <c r="D1332" s="6">
        <v>3.75862069</v>
      </c>
      <c r="E1332" s="6">
        <v>29.0</v>
      </c>
    </row>
    <row r="1333">
      <c r="A1333" s="4" t="s">
        <v>2656</v>
      </c>
      <c r="B1333" s="5" t="s">
        <v>2657</v>
      </c>
      <c r="C1333" s="6">
        <v>10000.0</v>
      </c>
      <c r="D1333" s="6">
        <v>4.5</v>
      </c>
      <c r="E1333" s="6">
        <v>520.0</v>
      </c>
    </row>
    <row r="1334">
      <c r="A1334" s="4" t="s">
        <v>2658</v>
      </c>
      <c r="B1334" s="5" t="s">
        <v>2659</v>
      </c>
      <c r="C1334" s="6">
        <v>10000.0</v>
      </c>
      <c r="D1334" s="6">
        <v>4.039215686</v>
      </c>
      <c r="E1334" s="6">
        <v>102.0</v>
      </c>
    </row>
    <row r="1335">
      <c r="A1335" s="4" t="s">
        <v>2660</v>
      </c>
      <c r="B1335" s="5" t="s">
        <v>2661</v>
      </c>
      <c r="C1335" s="6">
        <v>10000.0</v>
      </c>
      <c r="D1335" s="6">
        <v>3.851311953</v>
      </c>
      <c r="E1335" s="6">
        <v>343.0</v>
      </c>
    </row>
    <row r="1336">
      <c r="A1336" s="4" t="s">
        <v>2662</v>
      </c>
      <c r="B1336" s="5" t="s">
        <v>2663</v>
      </c>
      <c r="C1336" s="6">
        <v>10000.0</v>
      </c>
      <c r="D1336" s="6">
        <v>2.318181818</v>
      </c>
      <c r="E1336" s="6">
        <v>22.0</v>
      </c>
    </row>
    <row r="1337">
      <c r="A1337" s="4" t="s">
        <v>2664</v>
      </c>
      <c r="B1337" s="5" t="s">
        <v>2665</v>
      </c>
      <c r="C1337" s="6">
        <v>10000.0</v>
      </c>
      <c r="D1337" s="9"/>
      <c r="E1337" s="9"/>
    </row>
    <row r="1338">
      <c r="A1338" s="4" t="s">
        <v>2666</v>
      </c>
      <c r="B1338" s="5" t="s">
        <v>2667</v>
      </c>
      <c r="C1338" s="6">
        <v>10000.0</v>
      </c>
      <c r="D1338" s="6">
        <v>3.510416667</v>
      </c>
      <c r="E1338" s="6">
        <v>96.0</v>
      </c>
    </row>
    <row r="1339">
      <c r="A1339" s="4" t="s">
        <v>2668</v>
      </c>
      <c r="B1339" s="5" t="s">
        <v>2669</v>
      </c>
      <c r="C1339" s="6">
        <v>10000.0</v>
      </c>
      <c r="D1339" s="6">
        <v>4.1875</v>
      </c>
      <c r="E1339" s="6">
        <v>32.0</v>
      </c>
    </row>
    <row r="1340">
      <c r="A1340" s="4" t="s">
        <v>2670</v>
      </c>
      <c r="B1340" s="5" t="s">
        <v>2671</v>
      </c>
      <c r="C1340" s="6">
        <v>10000.0</v>
      </c>
      <c r="D1340" s="6">
        <v>4.666666667</v>
      </c>
      <c r="E1340" s="6">
        <v>6.0</v>
      </c>
    </row>
    <row r="1341">
      <c r="A1341" s="4" t="s">
        <v>2672</v>
      </c>
      <c r="B1341" s="5" t="s">
        <v>2673</v>
      </c>
      <c r="C1341" s="6">
        <v>10000.0</v>
      </c>
      <c r="D1341" s="6">
        <v>4.61971831</v>
      </c>
      <c r="E1341" s="6">
        <v>71.0</v>
      </c>
    </row>
    <row r="1342">
      <c r="A1342" s="4" t="s">
        <v>1828</v>
      </c>
      <c r="B1342" s="5" t="s">
        <v>2674</v>
      </c>
      <c r="C1342" s="6">
        <v>10000.0</v>
      </c>
      <c r="D1342" s="6">
        <v>4.619883041</v>
      </c>
      <c r="E1342" s="6">
        <v>171.0</v>
      </c>
    </row>
    <row r="1343">
      <c r="A1343" s="4" t="s">
        <v>2675</v>
      </c>
      <c r="B1343" s="5" t="s">
        <v>2676</v>
      </c>
      <c r="C1343" s="6">
        <v>10000.0</v>
      </c>
      <c r="D1343" s="6">
        <v>1.75</v>
      </c>
      <c r="E1343" s="6">
        <v>52.0</v>
      </c>
    </row>
    <row r="1344">
      <c r="A1344" s="4" t="s">
        <v>2677</v>
      </c>
      <c r="B1344" s="5" t="s">
        <v>2678</v>
      </c>
      <c r="C1344" s="6">
        <v>10000.0</v>
      </c>
      <c r="D1344" s="6">
        <v>4.227272727</v>
      </c>
      <c r="E1344" s="6">
        <v>22.0</v>
      </c>
    </row>
    <row r="1345">
      <c r="A1345" s="4" t="s">
        <v>2679</v>
      </c>
      <c r="B1345" s="5" t="s">
        <v>2680</v>
      </c>
      <c r="C1345" s="6">
        <v>10000.0</v>
      </c>
      <c r="D1345" s="6">
        <v>3.357142857</v>
      </c>
      <c r="E1345" s="6">
        <v>14.0</v>
      </c>
    </row>
    <row r="1346">
      <c r="A1346" s="4" t="s">
        <v>2681</v>
      </c>
      <c r="B1346" s="5" t="s">
        <v>2682</v>
      </c>
      <c r="C1346" s="6">
        <v>10000.0</v>
      </c>
      <c r="D1346" s="6">
        <v>4.597826087</v>
      </c>
      <c r="E1346" s="6">
        <v>92.0</v>
      </c>
    </row>
    <row r="1347">
      <c r="A1347" s="4" t="s">
        <v>2683</v>
      </c>
      <c r="B1347" s="5" t="s">
        <v>2684</v>
      </c>
      <c r="C1347" s="6">
        <v>10000.0</v>
      </c>
      <c r="D1347" s="6">
        <v>4.857142857</v>
      </c>
      <c r="E1347" s="6">
        <v>7.0</v>
      </c>
    </row>
    <row r="1348">
      <c r="A1348" s="4" t="s">
        <v>2685</v>
      </c>
      <c r="B1348" s="5" t="s">
        <v>2686</v>
      </c>
      <c r="C1348" s="6">
        <v>10000.0</v>
      </c>
      <c r="D1348" s="6">
        <v>2.538461538</v>
      </c>
      <c r="E1348" s="6">
        <v>13.0</v>
      </c>
    </row>
    <row r="1349">
      <c r="A1349" s="4" t="s">
        <v>2687</v>
      </c>
      <c r="B1349" s="5" t="s">
        <v>2688</v>
      </c>
      <c r="C1349" s="6">
        <v>10000.0</v>
      </c>
      <c r="D1349" s="6">
        <v>3.432432432</v>
      </c>
      <c r="E1349" s="6">
        <v>74.0</v>
      </c>
    </row>
    <row r="1350">
      <c r="A1350" s="4" t="s">
        <v>2689</v>
      </c>
      <c r="B1350" s="5" t="s">
        <v>2690</v>
      </c>
      <c r="C1350" s="6">
        <v>10000.0</v>
      </c>
      <c r="D1350" s="6">
        <v>4.714285714</v>
      </c>
      <c r="E1350" s="6">
        <v>28.0</v>
      </c>
    </row>
    <row r="1351">
      <c r="A1351" s="4" t="s">
        <v>2691</v>
      </c>
      <c r="B1351" s="5" t="s">
        <v>2692</v>
      </c>
      <c r="C1351" s="6">
        <v>10000.0</v>
      </c>
      <c r="D1351" s="6">
        <v>4.843137255</v>
      </c>
      <c r="E1351" s="6">
        <v>51.0</v>
      </c>
    </row>
    <row r="1352">
      <c r="A1352" s="4" t="s">
        <v>2693</v>
      </c>
      <c r="B1352" s="5" t="s">
        <v>2694</v>
      </c>
      <c r="C1352" s="6">
        <v>10000.0</v>
      </c>
      <c r="D1352" s="6">
        <v>3.99047619</v>
      </c>
      <c r="E1352" s="6">
        <v>210.0</v>
      </c>
    </row>
    <row r="1353">
      <c r="A1353" s="4" t="s">
        <v>2695</v>
      </c>
      <c r="B1353" s="5" t="s">
        <v>2696</v>
      </c>
      <c r="C1353" s="6">
        <v>10000.0</v>
      </c>
      <c r="D1353" s="6">
        <v>4.862068966</v>
      </c>
      <c r="E1353" s="6">
        <v>87.0</v>
      </c>
    </row>
    <row r="1354">
      <c r="A1354" s="4" t="s">
        <v>2697</v>
      </c>
      <c r="B1354" s="5" t="s">
        <v>2698</v>
      </c>
      <c r="C1354" s="6">
        <v>10000.0</v>
      </c>
      <c r="D1354" s="6">
        <v>3.94214876</v>
      </c>
      <c r="E1354" s="6">
        <v>121.0</v>
      </c>
    </row>
    <row r="1355">
      <c r="A1355" s="4" t="s">
        <v>2699</v>
      </c>
      <c r="B1355" s="5" t="s">
        <v>2700</v>
      </c>
      <c r="C1355" s="6">
        <v>10000.0</v>
      </c>
      <c r="D1355" s="6">
        <v>4.550561798</v>
      </c>
      <c r="E1355" s="6">
        <v>89.0</v>
      </c>
    </row>
    <row r="1356">
      <c r="A1356" s="4" t="s">
        <v>2701</v>
      </c>
      <c r="B1356" s="5" t="s">
        <v>2702</v>
      </c>
      <c r="C1356" s="6">
        <v>10000.0</v>
      </c>
      <c r="D1356" s="6">
        <v>4.051282051</v>
      </c>
      <c r="E1356" s="6">
        <v>78.0</v>
      </c>
    </row>
    <row r="1357">
      <c r="A1357" s="4" t="s">
        <v>2703</v>
      </c>
      <c r="B1357" s="5" t="s">
        <v>2704</v>
      </c>
      <c r="C1357" s="6">
        <v>10000.0</v>
      </c>
      <c r="D1357" s="6">
        <v>3.487804878</v>
      </c>
      <c r="E1357" s="6">
        <v>41.0</v>
      </c>
    </row>
    <row r="1358">
      <c r="A1358" s="4" t="s">
        <v>2705</v>
      </c>
      <c r="B1358" s="5" t="s">
        <v>2706</v>
      </c>
      <c r="C1358" s="6">
        <v>10000.0</v>
      </c>
      <c r="D1358" s="6">
        <v>4.071794872</v>
      </c>
      <c r="E1358" s="6">
        <v>195.0</v>
      </c>
    </row>
    <row r="1359">
      <c r="A1359" s="4" t="s">
        <v>2707</v>
      </c>
      <c r="B1359" s="5" t="s">
        <v>2708</v>
      </c>
      <c r="C1359" s="6">
        <v>10000.0</v>
      </c>
      <c r="D1359" s="6">
        <v>3.111111111</v>
      </c>
      <c r="E1359" s="6">
        <v>9.0</v>
      </c>
    </row>
    <row r="1360">
      <c r="A1360" s="4" t="s">
        <v>2709</v>
      </c>
      <c r="B1360" s="5" t="s">
        <v>2710</v>
      </c>
      <c r="C1360" s="6">
        <v>10000.0</v>
      </c>
      <c r="D1360" s="6">
        <v>1.391891892</v>
      </c>
      <c r="E1360" s="6">
        <v>74.0</v>
      </c>
    </row>
    <row r="1361">
      <c r="A1361" s="4" t="s">
        <v>2711</v>
      </c>
      <c r="B1361" s="5" t="s">
        <v>2712</v>
      </c>
      <c r="C1361" s="6">
        <v>10000.0</v>
      </c>
      <c r="D1361" s="6">
        <v>4.877358491</v>
      </c>
      <c r="E1361" s="6">
        <v>106.0</v>
      </c>
    </row>
    <row r="1362">
      <c r="A1362" s="4" t="s">
        <v>2713</v>
      </c>
      <c r="B1362" s="5" t="s">
        <v>2714</v>
      </c>
      <c r="C1362" s="6">
        <v>10000.0</v>
      </c>
      <c r="D1362" s="6">
        <v>4.8</v>
      </c>
      <c r="E1362" s="6">
        <v>10.0</v>
      </c>
    </row>
    <row r="1363">
      <c r="A1363" s="4" t="s">
        <v>2715</v>
      </c>
      <c r="B1363" s="5" t="s">
        <v>2716</v>
      </c>
      <c r="C1363" s="6">
        <v>10000.0</v>
      </c>
      <c r="D1363" s="6">
        <v>3.246153846</v>
      </c>
      <c r="E1363" s="6">
        <v>65.0</v>
      </c>
    </row>
    <row r="1364">
      <c r="A1364" s="4" t="s">
        <v>2717</v>
      </c>
      <c r="B1364" s="5" t="s">
        <v>2718</v>
      </c>
      <c r="C1364" s="6">
        <v>10000.0</v>
      </c>
      <c r="D1364" s="6">
        <v>4.202185792</v>
      </c>
      <c r="E1364" s="6">
        <v>366.0</v>
      </c>
    </row>
    <row r="1365">
      <c r="A1365" s="4" t="s">
        <v>2719</v>
      </c>
      <c r="B1365" s="5" t="s">
        <v>2720</v>
      </c>
      <c r="C1365" s="6">
        <v>10000.0</v>
      </c>
      <c r="D1365" s="6">
        <v>4.217391304</v>
      </c>
      <c r="E1365" s="6">
        <v>46.0</v>
      </c>
    </row>
    <row r="1366">
      <c r="A1366" s="4" t="s">
        <v>2721</v>
      </c>
      <c r="B1366" s="5" t="s">
        <v>2722</v>
      </c>
      <c r="C1366" s="6">
        <v>10000.0</v>
      </c>
      <c r="D1366" s="6">
        <v>4.167664671</v>
      </c>
      <c r="E1366" s="6">
        <v>167.0</v>
      </c>
    </row>
    <row r="1367">
      <c r="A1367" s="4" t="s">
        <v>2723</v>
      </c>
      <c r="B1367" s="5" t="s">
        <v>2724</v>
      </c>
      <c r="C1367" s="6">
        <v>10000.0</v>
      </c>
      <c r="D1367" s="6">
        <v>4.680555556</v>
      </c>
      <c r="E1367" s="6">
        <v>72.0</v>
      </c>
    </row>
    <row r="1368">
      <c r="A1368" s="4" t="s">
        <v>2725</v>
      </c>
      <c r="B1368" s="5" t="s">
        <v>2726</v>
      </c>
      <c r="C1368" s="6">
        <v>10000.0</v>
      </c>
      <c r="D1368" s="6">
        <v>4.574344023</v>
      </c>
      <c r="E1368" s="6">
        <v>343.0</v>
      </c>
    </row>
    <row r="1369">
      <c r="A1369" s="4" t="s">
        <v>2727</v>
      </c>
      <c r="B1369" s="5" t="s">
        <v>2728</v>
      </c>
      <c r="C1369" s="6">
        <v>10000.0</v>
      </c>
      <c r="D1369" s="6">
        <v>2.945945946</v>
      </c>
      <c r="E1369" s="6">
        <v>37.0</v>
      </c>
    </row>
    <row r="1370">
      <c r="A1370" s="4" t="s">
        <v>2729</v>
      </c>
      <c r="B1370" s="5" t="s">
        <v>2730</v>
      </c>
      <c r="C1370" s="6">
        <v>10000.0</v>
      </c>
      <c r="D1370" s="6">
        <v>4.265957447</v>
      </c>
      <c r="E1370" s="6">
        <v>94.0</v>
      </c>
    </row>
    <row r="1371">
      <c r="A1371" s="4" t="s">
        <v>2731</v>
      </c>
      <c r="B1371" s="5" t="s">
        <v>2732</v>
      </c>
      <c r="C1371" s="6">
        <v>10000.0</v>
      </c>
      <c r="D1371" s="6">
        <v>4.076923077</v>
      </c>
      <c r="E1371" s="6">
        <v>13.0</v>
      </c>
    </row>
    <row r="1372">
      <c r="A1372" s="4" t="s">
        <v>2733</v>
      </c>
      <c r="B1372" s="5" t="s">
        <v>2734</v>
      </c>
      <c r="C1372" s="6">
        <v>10000.0</v>
      </c>
      <c r="D1372" s="6">
        <v>4.428571429</v>
      </c>
      <c r="E1372" s="6">
        <v>14.0</v>
      </c>
    </row>
    <row r="1373">
      <c r="A1373" s="4" t="s">
        <v>2735</v>
      </c>
      <c r="B1373" s="5" t="s">
        <v>2736</v>
      </c>
      <c r="C1373" s="6">
        <v>10000.0</v>
      </c>
      <c r="D1373" s="6">
        <v>4.440251572</v>
      </c>
      <c r="E1373" s="6">
        <v>159.0</v>
      </c>
    </row>
    <row r="1374">
      <c r="A1374" s="4" t="s">
        <v>2737</v>
      </c>
      <c r="B1374" s="5" t="s">
        <v>2738</v>
      </c>
      <c r="C1374" s="6">
        <v>10000.0</v>
      </c>
      <c r="D1374" s="6">
        <v>4.690298507</v>
      </c>
      <c r="E1374" s="6">
        <v>268.0</v>
      </c>
    </row>
    <row r="1375">
      <c r="A1375" s="4" t="s">
        <v>2739</v>
      </c>
      <c r="B1375" s="5" t="s">
        <v>2740</v>
      </c>
      <c r="C1375" s="6">
        <v>10000.0</v>
      </c>
      <c r="D1375" s="6">
        <v>4.211981567</v>
      </c>
      <c r="E1375" s="6">
        <v>434.0</v>
      </c>
    </row>
    <row r="1376">
      <c r="A1376" s="4" t="s">
        <v>2741</v>
      </c>
      <c r="B1376" s="5" t="s">
        <v>2742</v>
      </c>
      <c r="C1376" s="6">
        <v>10000.0</v>
      </c>
      <c r="D1376" s="6">
        <v>4.870967742</v>
      </c>
      <c r="E1376" s="6">
        <v>31.0</v>
      </c>
    </row>
    <row r="1377">
      <c r="A1377" s="4" t="s">
        <v>2743</v>
      </c>
      <c r="B1377" s="5" t="s">
        <v>2744</v>
      </c>
      <c r="C1377" s="6">
        <v>10000.0</v>
      </c>
      <c r="D1377" s="6">
        <v>3.929889299</v>
      </c>
      <c r="E1377" s="6">
        <v>271.0</v>
      </c>
    </row>
    <row r="1378">
      <c r="A1378" s="4" t="s">
        <v>2745</v>
      </c>
      <c r="B1378" s="5" t="s">
        <v>2746</v>
      </c>
      <c r="C1378" s="6">
        <v>10000.0</v>
      </c>
      <c r="D1378" s="6">
        <v>4.27751938</v>
      </c>
      <c r="E1378" s="6">
        <v>645.0</v>
      </c>
    </row>
    <row r="1379">
      <c r="A1379" s="4" t="s">
        <v>2747</v>
      </c>
      <c r="B1379" s="5" t="s">
        <v>2748</v>
      </c>
      <c r="C1379" s="6">
        <v>10000.0</v>
      </c>
      <c r="D1379" s="6">
        <v>4.14</v>
      </c>
      <c r="E1379" s="6">
        <v>50.0</v>
      </c>
    </row>
    <row r="1380">
      <c r="A1380" s="4" t="s">
        <v>227</v>
      </c>
      <c r="B1380" s="5" t="s">
        <v>2749</v>
      </c>
      <c r="C1380" s="6">
        <v>10000.0</v>
      </c>
      <c r="D1380" s="6">
        <v>5.0</v>
      </c>
      <c r="E1380" s="6">
        <v>2.0</v>
      </c>
    </row>
    <row r="1381">
      <c r="A1381" s="4" t="s">
        <v>2750</v>
      </c>
      <c r="B1381" s="5" t="s">
        <v>2751</v>
      </c>
      <c r="C1381" s="6">
        <v>10000.0</v>
      </c>
      <c r="D1381" s="6">
        <v>4.538461538</v>
      </c>
      <c r="E1381" s="6">
        <v>13.0</v>
      </c>
    </row>
    <row r="1382">
      <c r="A1382" s="4" t="s">
        <v>2752</v>
      </c>
      <c r="B1382" s="5" t="s">
        <v>2753</v>
      </c>
      <c r="C1382" s="6">
        <v>10000.0</v>
      </c>
      <c r="D1382" s="6">
        <v>2.120805369</v>
      </c>
      <c r="E1382" s="6">
        <v>149.0</v>
      </c>
    </row>
    <row r="1383">
      <c r="A1383" s="4" t="s">
        <v>2754</v>
      </c>
      <c r="B1383" s="5" t="s">
        <v>2755</v>
      </c>
      <c r="C1383" s="6">
        <v>10000.0</v>
      </c>
      <c r="D1383" s="6">
        <v>3.161764706</v>
      </c>
      <c r="E1383" s="6">
        <v>68.0</v>
      </c>
    </row>
    <row r="1384">
      <c r="A1384" s="4" t="s">
        <v>2756</v>
      </c>
      <c r="B1384" s="5" t="s">
        <v>2757</v>
      </c>
      <c r="C1384" s="6">
        <v>10000.0</v>
      </c>
      <c r="D1384" s="6">
        <v>2.0</v>
      </c>
      <c r="E1384" s="6">
        <v>3.0</v>
      </c>
    </row>
    <row r="1385">
      <c r="A1385" s="4" t="s">
        <v>2758</v>
      </c>
      <c r="B1385" s="5" t="s">
        <v>2759</v>
      </c>
      <c r="C1385" s="6">
        <v>10000.0</v>
      </c>
      <c r="D1385" s="6">
        <v>4.247311828</v>
      </c>
      <c r="E1385" s="6">
        <v>93.0</v>
      </c>
    </row>
    <row r="1386">
      <c r="A1386" s="4" t="s">
        <v>2760</v>
      </c>
      <c r="B1386" s="5" t="s">
        <v>2761</v>
      </c>
      <c r="C1386" s="6">
        <v>10000.0</v>
      </c>
      <c r="D1386" s="6">
        <v>4.349431818</v>
      </c>
      <c r="E1386" s="6">
        <v>352.0</v>
      </c>
    </row>
    <row r="1387">
      <c r="A1387" s="4" t="s">
        <v>2762</v>
      </c>
      <c r="B1387" s="5" t="s">
        <v>2763</v>
      </c>
      <c r="C1387" s="6">
        <v>10000.0</v>
      </c>
      <c r="D1387" s="6">
        <v>4.476190476</v>
      </c>
      <c r="E1387" s="6">
        <v>21.0</v>
      </c>
    </row>
    <row r="1388">
      <c r="A1388" s="4" t="s">
        <v>2764</v>
      </c>
      <c r="B1388" s="5" t="s">
        <v>2765</v>
      </c>
      <c r="C1388" s="6">
        <v>10000.0</v>
      </c>
      <c r="D1388" s="6">
        <v>4.043478261</v>
      </c>
      <c r="E1388" s="6">
        <v>23.0</v>
      </c>
    </row>
    <row r="1389">
      <c r="A1389" s="4" t="s">
        <v>2766</v>
      </c>
      <c r="B1389" s="5" t="s">
        <v>2767</v>
      </c>
      <c r="C1389" s="6">
        <v>10000.0</v>
      </c>
      <c r="D1389" s="6">
        <v>3.0</v>
      </c>
      <c r="E1389" s="6">
        <v>54.0</v>
      </c>
    </row>
    <row r="1390">
      <c r="A1390" s="4" t="s">
        <v>2768</v>
      </c>
      <c r="B1390" s="5" t="s">
        <v>2769</v>
      </c>
      <c r="C1390" s="6">
        <v>10000.0</v>
      </c>
      <c r="D1390" s="6">
        <v>3.709090909</v>
      </c>
      <c r="E1390" s="6">
        <v>55.0</v>
      </c>
    </row>
    <row r="1391">
      <c r="A1391" s="4" t="s">
        <v>1159</v>
      </c>
      <c r="B1391" s="5" t="s">
        <v>2770</v>
      </c>
      <c r="C1391" s="6">
        <v>10000.0</v>
      </c>
      <c r="D1391" s="6">
        <v>3.55862069</v>
      </c>
      <c r="E1391" s="6">
        <v>145.0</v>
      </c>
    </row>
    <row r="1392">
      <c r="A1392" s="4" t="s">
        <v>2771</v>
      </c>
      <c r="B1392" s="5" t="s">
        <v>2772</v>
      </c>
      <c r="C1392" s="6">
        <v>10000.0</v>
      </c>
      <c r="D1392" s="6">
        <v>3.743902439</v>
      </c>
      <c r="E1392" s="6">
        <v>82.0</v>
      </c>
    </row>
    <row r="1393">
      <c r="A1393" s="4" t="s">
        <v>2773</v>
      </c>
      <c r="B1393" s="5" t="s">
        <v>2774</v>
      </c>
      <c r="C1393" s="6">
        <v>10000.0</v>
      </c>
      <c r="D1393" s="6">
        <v>2.333333333</v>
      </c>
      <c r="E1393" s="6">
        <v>3.0</v>
      </c>
    </row>
    <row r="1394">
      <c r="A1394" s="4" t="s">
        <v>2775</v>
      </c>
      <c r="B1394" s="5" t="s">
        <v>2776</v>
      </c>
      <c r="C1394" s="6">
        <v>10000.0</v>
      </c>
      <c r="D1394" s="6">
        <v>3.621212121</v>
      </c>
      <c r="E1394" s="6">
        <v>66.0</v>
      </c>
    </row>
    <row r="1395">
      <c r="A1395" s="4" t="s">
        <v>2777</v>
      </c>
      <c r="B1395" s="5" t="s">
        <v>2778</v>
      </c>
      <c r="C1395" s="6">
        <v>10000.0</v>
      </c>
      <c r="D1395" s="6">
        <v>1.903614458</v>
      </c>
      <c r="E1395" s="6">
        <v>83.0</v>
      </c>
    </row>
    <row r="1396">
      <c r="A1396" s="4" t="s">
        <v>2779</v>
      </c>
      <c r="B1396" s="5" t="s">
        <v>2780</v>
      </c>
      <c r="C1396" s="6">
        <v>10000.0</v>
      </c>
      <c r="D1396" s="6">
        <v>4.684210526</v>
      </c>
      <c r="E1396" s="6">
        <v>38.0</v>
      </c>
    </row>
    <row r="1397">
      <c r="A1397" s="4" t="s">
        <v>2781</v>
      </c>
      <c r="B1397" s="5" t="s">
        <v>2782</v>
      </c>
      <c r="C1397" s="6">
        <v>10000.0</v>
      </c>
      <c r="D1397" s="6">
        <v>4.204545455</v>
      </c>
      <c r="E1397" s="6">
        <v>44.0</v>
      </c>
    </row>
    <row r="1398">
      <c r="A1398" s="4" t="s">
        <v>2783</v>
      </c>
      <c r="B1398" s="5" t="s">
        <v>2784</v>
      </c>
      <c r="C1398" s="6">
        <v>10000.0</v>
      </c>
      <c r="D1398" s="6">
        <v>3.883333333</v>
      </c>
      <c r="E1398" s="6">
        <v>120.0</v>
      </c>
    </row>
    <row r="1399">
      <c r="A1399" s="4" t="s">
        <v>2785</v>
      </c>
      <c r="B1399" s="5" t="s">
        <v>2786</v>
      </c>
      <c r="C1399" s="6">
        <v>10000.0</v>
      </c>
      <c r="D1399" s="6">
        <v>4.117647059</v>
      </c>
      <c r="E1399" s="6">
        <v>34.0</v>
      </c>
    </row>
    <row r="1400">
      <c r="A1400" s="4" t="s">
        <v>2787</v>
      </c>
      <c r="B1400" s="5" t="s">
        <v>2788</v>
      </c>
      <c r="C1400" s="6">
        <v>10000.0</v>
      </c>
      <c r="D1400" s="6">
        <v>4.052631579</v>
      </c>
      <c r="E1400" s="6">
        <v>38.0</v>
      </c>
    </row>
    <row r="1401">
      <c r="A1401" s="4" t="s">
        <v>2789</v>
      </c>
      <c r="B1401" s="5" t="s">
        <v>2790</v>
      </c>
      <c r="C1401" s="6">
        <v>10000.0</v>
      </c>
      <c r="D1401" s="6">
        <v>4.408396947</v>
      </c>
      <c r="E1401" s="6">
        <v>262.0</v>
      </c>
    </row>
    <row r="1402">
      <c r="A1402" s="4" t="s">
        <v>2791</v>
      </c>
      <c r="B1402" s="5" t="s">
        <v>2792</v>
      </c>
      <c r="C1402" s="6">
        <v>10000.0</v>
      </c>
      <c r="D1402" s="6">
        <v>2.214285714</v>
      </c>
      <c r="E1402" s="6">
        <v>14.0</v>
      </c>
    </row>
    <row r="1403">
      <c r="A1403" s="4" t="s">
        <v>2793</v>
      </c>
      <c r="B1403" s="5" t="s">
        <v>2794</v>
      </c>
      <c r="C1403" s="6">
        <v>10000.0</v>
      </c>
      <c r="D1403" s="6">
        <v>3.358024691</v>
      </c>
      <c r="E1403" s="6">
        <v>81.0</v>
      </c>
    </row>
    <row r="1404">
      <c r="A1404" s="4" t="s">
        <v>2795</v>
      </c>
      <c r="B1404" s="5" t="s">
        <v>2796</v>
      </c>
      <c r="C1404" s="6">
        <v>10000.0</v>
      </c>
      <c r="D1404" s="6">
        <v>4.333333333</v>
      </c>
      <c r="E1404" s="6">
        <v>33.0</v>
      </c>
    </row>
    <row r="1405">
      <c r="A1405" s="4" t="s">
        <v>2797</v>
      </c>
      <c r="B1405" s="5" t="s">
        <v>2798</v>
      </c>
      <c r="C1405" s="6">
        <v>10000.0</v>
      </c>
      <c r="D1405" s="6">
        <v>4.5</v>
      </c>
      <c r="E1405" s="6">
        <v>6.0</v>
      </c>
    </row>
    <row r="1406">
      <c r="A1406" s="4" t="s">
        <v>2799</v>
      </c>
      <c r="B1406" s="12" t="s">
        <v>2800</v>
      </c>
      <c r="C1406" s="7">
        <v>10000.0</v>
      </c>
      <c r="D1406" s="6">
        <v>4.1</v>
      </c>
      <c r="E1406" s="6">
        <v>8.0</v>
      </c>
    </row>
    <row r="1407">
      <c r="A1407" s="4" t="s">
        <v>2801</v>
      </c>
      <c r="B1407" s="5" t="s">
        <v>2802</v>
      </c>
      <c r="C1407" s="6">
        <v>10000.0</v>
      </c>
      <c r="D1407" s="6">
        <v>4.619047619</v>
      </c>
      <c r="E1407" s="6">
        <v>42.0</v>
      </c>
    </row>
    <row r="1408">
      <c r="A1408" s="4" t="s">
        <v>2803</v>
      </c>
      <c r="B1408" s="5" t="s">
        <v>2804</v>
      </c>
      <c r="C1408" s="6">
        <v>10000.0</v>
      </c>
      <c r="D1408" s="6">
        <v>4.0</v>
      </c>
      <c r="E1408" s="6">
        <v>4.0</v>
      </c>
    </row>
    <row r="1409">
      <c r="A1409" s="4" t="s">
        <v>2805</v>
      </c>
      <c r="B1409" s="5" t="s">
        <v>2806</v>
      </c>
      <c r="C1409" s="6">
        <v>10000.0</v>
      </c>
      <c r="D1409" s="6">
        <v>2.861111111</v>
      </c>
      <c r="E1409" s="6">
        <v>36.0</v>
      </c>
    </row>
    <row r="1410">
      <c r="A1410" s="4" t="s">
        <v>2807</v>
      </c>
      <c r="B1410" s="5" t="s">
        <v>2808</v>
      </c>
      <c r="C1410" s="6">
        <v>10000.0</v>
      </c>
      <c r="D1410" s="6">
        <v>3.636363636</v>
      </c>
      <c r="E1410" s="6">
        <v>11.0</v>
      </c>
    </row>
    <row r="1411">
      <c r="A1411" s="4" t="s">
        <v>2809</v>
      </c>
      <c r="B1411" s="5" t="s">
        <v>2810</v>
      </c>
      <c r="C1411" s="6">
        <v>10000.0</v>
      </c>
      <c r="D1411" s="9"/>
      <c r="E1411" s="9"/>
    </row>
    <row r="1412">
      <c r="A1412" s="4" t="s">
        <v>2811</v>
      </c>
      <c r="B1412" s="5" t="s">
        <v>2812</v>
      </c>
      <c r="C1412" s="6">
        <v>10000.0</v>
      </c>
      <c r="D1412" s="6">
        <v>4.225941423</v>
      </c>
      <c r="E1412" s="6">
        <v>239.0</v>
      </c>
    </row>
    <row r="1413">
      <c r="A1413" s="4" t="s">
        <v>2813</v>
      </c>
      <c r="B1413" s="5" t="s">
        <v>2814</v>
      </c>
      <c r="C1413" s="6">
        <v>10000.0</v>
      </c>
      <c r="D1413" s="6">
        <v>3.0</v>
      </c>
      <c r="E1413" s="6">
        <v>10.0</v>
      </c>
    </row>
    <row r="1414">
      <c r="A1414" s="5" t="s">
        <v>2815</v>
      </c>
      <c r="B1414" s="5" t="s">
        <v>2816</v>
      </c>
      <c r="C1414" s="6">
        <v>10000.0</v>
      </c>
      <c r="D1414" s="6">
        <v>2.591666667</v>
      </c>
      <c r="E1414" s="6">
        <v>120.0</v>
      </c>
    </row>
    <row r="1415">
      <c r="A1415" s="4" t="s">
        <v>2817</v>
      </c>
      <c r="B1415" s="5" t="s">
        <v>2818</v>
      </c>
      <c r="C1415" s="6">
        <v>10000.0</v>
      </c>
      <c r="D1415" s="6">
        <v>3.516129032</v>
      </c>
      <c r="E1415" s="6">
        <v>31.0</v>
      </c>
    </row>
    <row r="1416">
      <c r="A1416" s="4" t="s">
        <v>2819</v>
      </c>
      <c r="B1416" s="5" t="s">
        <v>2820</v>
      </c>
      <c r="C1416" s="6">
        <v>10000.0</v>
      </c>
      <c r="D1416" s="6">
        <v>4.339622642</v>
      </c>
      <c r="E1416" s="6">
        <v>53.0</v>
      </c>
    </row>
    <row r="1417">
      <c r="A1417" s="4" t="s">
        <v>2821</v>
      </c>
      <c r="B1417" s="5" t="s">
        <v>2822</v>
      </c>
      <c r="C1417" s="6">
        <v>10000.0</v>
      </c>
      <c r="D1417" s="6">
        <v>4.657894737</v>
      </c>
      <c r="E1417" s="6">
        <v>76.0</v>
      </c>
    </row>
    <row r="1418">
      <c r="A1418" s="4" t="s">
        <v>2823</v>
      </c>
      <c r="B1418" s="5" t="s">
        <v>2824</v>
      </c>
      <c r="C1418" s="6">
        <v>10000.0</v>
      </c>
      <c r="D1418" s="6">
        <v>4.736196319</v>
      </c>
      <c r="E1418" s="6">
        <v>163.0</v>
      </c>
    </row>
    <row r="1419">
      <c r="A1419" s="4" t="s">
        <v>2825</v>
      </c>
      <c r="B1419" s="5" t="s">
        <v>2826</v>
      </c>
      <c r="C1419" s="6">
        <v>10000.0</v>
      </c>
      <c r="D1419" s="6">
        <v>4.5</v>
      </c>
      <c r="E1419" s="6">
        <v>20.0</v>
      </c>
    </row>
    <row r="1420">
      <c r="A1420" s="4" t="s">
        <v>2827</v>
      </c>
      <c r="B1420" s="5" t="s">
        <v>2828</v>
      </c>
      <c r="C1420" s="6">
        <v>10000.0</v>
      </c>
      <c r="D1420" s="6">
        <v>3.268907563</v>
      </c>
      <c r="E1420" s="6">
        <v>119.0</v>
      </c>
    </row>
    <row r="1421">
      <c r="A1421" s="4" t="s">
        <v>2829</v>
      </c>
      <c r="B1421" s="5" t="s">
        <v>2830</v>
      </c>
      <c r="C1421" s="6">
        <v>10000.0</v>
      </c>
      <c r="D1421" s="6">
        <v>4.6875</v>
      </c>
      <c r="E1421" s="6">
        <v>16.0</v>
      </c>
    </row>
    <row r="1422">
      <c r="A1422" s="4" t="s">
        <v>2831</v>
      </c>
      <c r="B1422" s="5" t="s">
        <v>2832</v>
      </c>
      <c r="C1422" s="6">
        <v>10000.0</v>
      </c>
      <c r="D1422" s="6">
        <v>4.909090909</v>
      </c>
      <c r="E1422" s="6">
        <v>33.0</v>
      </c>
    </row>
    <row r="1423">
      <c r="A1423" s="4" t="s">
        <v>2833</v>
      </c>
      <c r="B1423" s="5" t="s">
        <v>2834</v>
      </c>
      <c r="C1423" s="6">
        <v>10000.0</v>
      </c>
      <c r="D1423" s="6">
        <v>4.306122449</v>
      </c>
      <c r="E1423" s="6">
        <v>196.0</v>
      </c>
    </row>
    <row r="1424">
      <c r="A1424" s="4" t="s">
        <v>2835</v>
      </c>
      <c r="B1424" s="5" t="s">
        <v>2836</v>
      </c>
      <c r="C1424" s="6">
        <v>10000.0</v>
      </c>
      <c r="D1424" s="6">
        <v>2.473684211</v>
      </c>
      <c r="E1424" s="6">
        <v>19.0</v>
      </c>
    </row>
    <row r="1425">
      <c r="A1425" s="4" t="s">
        <v>2837</v>
      </c>
      <c r="B1425" s="5" t="s">
        <v>2838</v>
      </c>
      <c r="C1425" s="6">
        <v>10000.0</v>
      </c>
      <c r="D1425" s="6">
        <v>3.459016393</v>
      </c>
      <c r="E1425" s="6">
        <v>61.0</v>
      </c>
    </row>
    <row r="1426">
      <c r="A1426" s="4" t="s">
        <v>2839</v>
      </c>
      <c r="B1426" s="5" t="s">
        <v>2840</v>
      </c>
      <c r="C1426" s="6">
        <v>10000.0</v>
      </c>
      <c r="D1426" s="6">
        <v>4.227272727</v>
      </c>
      <c r="E1426" s="6">
        <v>44.0</v>
      </c>
    </row>
    <row r="1427">
      <c r="A1427" s="4" t="s">
        <v>2841</v>
      </c>
      <c r="B1427" s="5" t="s">
        <v>2842</v>
      </c>
      <c r="C1427" s="6">
        <v>10000.0</v>
      </c>
      <c r="D1427" s="6">
        <v>3.884615385</v>
      </c>
      <c r="E1427" s="6">
        <v>26.0</v>
      </c>
    </row>
    <row r="1428">
      <c r="A1428" s="4" t="s">
        <v>2843</v>
      </c>
      <c r="B1428" s="5" t="s">
        <v>2844</v>
      </c>
      <c r="C1428" s="6">
        <v>10000.0</v>
      </c>
      <c r="D1428" s="6">
        <v>2.154859381</v>
      </c>
      <c r="E1428" s="6">
        <v>2809.0</v>
      </c>
    </row>
    <row r="1429">
      <c r="A1429" s="4" t="s">
        <v>2845</v>
      </c>
      <c r="B1429" s="5" t="s">
        <v>2846</v>
      </c>
      <c r="C1429" s="6">
        <v>10000.0</v>
      </c>
      <c r="D1429" s="6">
        <v>3.931034483</v>
      </c>
      <c r="E1429" s="6">
        <v>29.0</v>
      </c>
    </row>
    <row r="1430">
      <c r="A1430" s="4" t="s">
        <v>2847</v>
      </c>
      <c r="B1430" s="5" t="s">
        <v>2848</v>
      </c>
      <c r="C1430" s="6">
        <v>10000.0</v>
      </c>
      <c r="D1430" s="6">
        <v>4.588235294</v>
      </c>
      <c r="E1430" s="6">
        <v>17.0</v>
      </c>
    </row>
    <row r="1431">
      <c r="A1431" s="4" t="s">
        <v>2849</v>
      </c>
      <c r="B1431" s="5" t="s">
        <v>2850</v>
      </c>
      <c r="C1431" s="6">
        <v>10000.0</v>
      </c>
      <c r="D1431" s="6">
        <v>4.090909091</v>
      </c>
      <c r="E1431" s="6">
        <v>11.0</v>
      </c>
    </row>
    <row r="1432">
      <c r="A1432" s="4" t="s">
        <v>2851</v>
      </c>
      <c r="B1432" s="5" t="s">
        <v>2852</v>
      </c>
      <c r="C1432" s="6">
        <v>10000.0</v>
      </c>
      <c r="D1432" s="6">
        <v>4.125</v>
      </c>
      <c r="E1432" s="6">
        <v>8.0</v>
      </c>
    </row>
    <row r="1433">
      <c r="A1433" s="4" t="s">
        <v>2853</v>
      </c>
      <c r="B1433" s="5" t="s">
        <v>2854</v>
      </c>
      <c r="C1433" s="6">
        <v>10000.0</v>
      </c>
      <c r="D1433" s="6">
        <v>3.36</v>
      </c>
      <c r="E1433" s="6">
        <v>25.0</v>
      </c>
    </row>
    <row r="1434">
      <c r="A1434" s="4" t="s">
        <v>2855</v>
      </c>
      <c r="B1434" s="5" t="s">
        <v>2856</v>
      </c>
      <c r="C1434" s="6">
        <v>10000.0</v>
      </c>
      <c r="D1434" s="6">
        <v>3.0</v>
      </c>
      <c r="E1434" s="6">
        <v>2.0</v>
      </c>
    </row>
    <row r="1435">
      <c r="A1435" s="4" t="s">
        <v>2857</v>
      </c>
      <c r="B1435" s="5" t="s">
        <v>2858</v>
      </c>
      <c r="C1435" s="6">
        <v>10000.0</v>
      </c>
      <c r="D1435" s="6">
        <v>4.413273002</v>
      </c>
      <c r="E1435" s="6">
        <v>1326.0</v>
      </c>
    </row>
    <row r="1436">
      <c r="A1436" s="4" t="s">
        <v>2859</v>
      </c>
      <c r="B1436" s="5" t="s">
        <v>2860</v>
      </c>
      <c r="C1436" s="6">
        <v>10000.0</v>
      </c>
      <c r="D1436" s="6">
        <v>3.666666667</v>
      </c>
      <c r="E1436" s="6">
        <v>6.0</v>
      </c>
    </row>
    <row r="1437">
      <c r="A1437" s="4" t="s">
        <v>2861</v>
      </c>
      <c r="B1437" s="5" t="s">
        <v>2862</v>
      </c>
      <c r="C1437" s="6">
        <v>10000.0</v>
      </c>
      <c r="D1437" s="6">
        <v>2.858695652</v>
      </c>
      <c r="E1437" s="6">
        <v>92.0</v>
      </c>
    </row>
    <row r="1438">
      <c r="A1438" s="4" t="s">
        <v>2863</v>
      </c>
      <c r="B1438" s="5" t="s">
        <v>2864</v>
      </c>
      <c r="C1438" s="6">
        <v>10000.0</v>
      </c>
      <c r="D1438" s="6">
        <v>4.371921182</v>
      </c>
      <c r="E1438" s="6">
        <v>812.0</v>
      </c>
    </row>
    <row r="1439">
      <c r="A1439" s="4" t="s">
        <v>2865</v>
      </c>
      <c r="B1439" s="5" t="s">
        <v>2866</v>
      </c>
      <c r="C1439" s="6">
        <v>10000.0</v>
      </c>
      <c r="D1439" s="6">
        <v>3.66</v>
      </c>
      <c r="E1439" s="6">
        <v>50.0</v>
      </c>
    </row>
    <row r="1440">
      <c r="A1440" s="4" t="s">
        <v>2867</v>
      </c>
      <c r="B1440" s="5" t="s">
        <v>2868</v>
      </c>
      <c r="C1440" s="6">
        <v>10000.0</v>
      </c>
      <c r="D1440" s="6">
        <v>3.128205128</v>
      </c>
      <c r="E1440" s="6">
        <v>39.0</v>
      </c>
    </row>
    <row r="1441">
      <c r="A1441" s="4" t="s">
        <v>2869</v>
      </c>
      <c r="B1441" s="5" t="s">
        <v>2870</v>
      </c>
      <c r="C1441" s="6">
        <v>10000.0</v>
      </c>
      <c r="D1441" s="6">
        <v>2.944444444</v>
      </c>
      <c r="E1441" s="6">
        <v>18.0</v>
      </c>
    </row>
    <row r="1442">
      <c r="A1442" s="4" t="s">
        <v>431</v>
      </c>
      <c r="B1442" s="5" t="s">
        <v>2871</v>
      </c>
      <c r="C1442" s="6">
        <v>10000.0</v>
      </c>
      <c r="D1442" s="6">
        <v>4.440860215</v>
      </c>
      <c r="E1442" s="6">
        <v>93.0</v>
      </c>
    </row>
    <row r="1443">
      <c r="A1443" s="4" t="s">
        <v>2872</v>
      </c>
      <c r="B1443" s="5" t="s">
        <v>2873</v>
      </c>
      <c r="C1443" s="6">
        <v>10000.0</v>
      </c>
      <c r="D1443" s="6">
        <v>4.271428571</v>
      </c>
      <c r="E1443" s="6">
        <v>70.0</v>
      </c>
    </row>
    <row r="1444">
      <c r="A1444" s="4" t="s">
        <v>2874</v>
      </c>
      <c r="B1444" s="5" t="s">
        <v>2875</v>
      </c>
      <c r="C1444" s="6">
        <v>10000.0</v>
      </c>
      <c r="D1444" s="6">
        <v>5.0</v>
      </c>
      <c r="E1444" s="6">
        <v>6.0</v>
      </c>
    </row>
    <row r="1445">
      <c r="A1445" s="4" t="s">
        <v>2876</v>
      </c>
      <c r="B1445" s="5" t="s">
        <v>2877</v>
      </c>
      <c r="C1445" s="6">
        <v>10000.0</v>
      </c>
      <c r="D1445" s="6">
        <v>2.25</v>
      </c>
      <c r="E1445" s="6">
        <v>4.0</v>
      </c>
    </row>
    <row r="1446">
      <c r="A1446" s="4" t="s">
        <v>2878</v>
      </c>
      <c r="B1446" s="5" t="s">
        <v>2879</v>
      </c>
      <c r="C1446" s="6">
        <v>10000.0</v>
      </c>
      <c r="D1446" s="6">
        <v>5.0</v>
      </c>
      <c r="E1446" s="6">
        <v>14.0</v>
      </c>
    </row>
    <row r="1447">
      <c r="A1447" s="4" t="s">
        <v>2880</v>
      </c>
      <c r="B1447" s="5" t="s">
        <v>2881</v>
      </c>
      <c r="C1447" s="6">
        <v>10000.0</v>
      </c>
      <c r="D1447" s="6">
        <v>3.75</v>
      </c>
      <c r="E1447" s="6">
        <v>48.0</v>
      </c>
    </row>
    <row r="1448">
      <c r="A1448" s="4" t="s">
        <v>2882</v>
      </c>
      <c r="B1448" s="5" t="s">
        <v>2883</v>
      </c>
      <c r="C1448" s="6">
        <v>10000.0</v>
      </c>
      <c r="D1448" s="6">
        <v>4.470588235</v>
      </c>
      <c r="E1448" s="6">
        <v>51.0</v>
      </c>
    </row>
    <row r="1449">
      <c r="A1449" s="4" t="s">
        <v>2884</v>
      </c>
      <c r="B1449" s="5" t="s">
        <v>2885</v>
      </c>
      <c r="C1449" s="6">
        <v>10000.0</v>
      </c>
      <c r="D1449" s="6">
        <v>3.25</v>
      </c>
      <c r="E1449" s="6">
        <v>112.0</v>
      </c>
    </row>
    <row r="1450">
      <c r="A1450" s="4" t="s">
        <v>2886</v>
      </c>
      <c r="B1450" s="5" t="s">
        <v>2887</v>
      </c>
      <c r="C1450" s="6">
        <v>10000.0</v>
      </c>
      <c r="D1450" s="6">
        <v>4.051282051</v>
      </c>
      <c r="E1450" s="6">
        <v>39.0</v>
      </c>
    </row>
    <row r="1451">
      <c r="A1451" s="4" t="s">
        <v>2888</v>
      </c>
      <c r="B1451" s="5" t="s">
        <v>2889</v>
      </c>
      <c r="C1451" s="6">
        <v>10000.0</v>
      </c>
      <c r="D1451" s="6">
        <v>3.614130435</v>
      </c>
      <c r="E1451" s="6">
        <v>184.0</v>
      </c>
    </row>
    <row r="1452">
      <c r="A1452" s="4" t="s">
        <v>2890</v>
      </c>
      <c r="B1452" s="5" t="s">
        <v>2891</v>
      </c>
      <c r="C1452" s="6">
        <v>10000.0</v>
      </c>
      <c r="D1452" s="6">
        <v>3.714285714</v>
      </c>
      <c r="E1452" s="6">
        <v>14.0</v>
      </c>
    </row>
    <row r="1453">
      <c r="A1453" s="4" t="s">
        <v>2892</v>
      </c>
      <c r="B1453" s="5" t="s">
        <v>2893</v>
      </c>
      <c r="C1453" s="6">
        <v>10000.0</v>
      </c>
      <c r="D1453" s="6">
        <v>4.875</v>
      </c>
      <c r="E1453" s="6">
        <v>16.0</v>
      </c>
    </row>
    <row r="1454">
      <c r="A1454" s="4" t="s">
        <v>2894</v>
      </c>
      <c r="B1454" s="5" t="s">
        <v>2895</v>
      </c>
      <c r="C1454" s="6">
        <v>10000.0</v>
      </c>
      <c r="D1454" s="6">
        <v>4.267605634</v>
      </c>
      <c r="E1454" s="6">
        <v>71.0</v>
      </c>
    </row>
    <row r="1455">
      <c r="A1455" s="4" t="s">
        <v>2896</v>
      </c>
      <c r="B1455" s="5" t="s">
        <v>2897</v>
      </c>
      <c r="C1455" s="6">
        <v>10000.0</v>
      </c>
      <c r="D1455" s="6">
        <v>4.692307692</v>
      </c>
      <c r="E1455" s="6">
        <v>13.0</v>
      </c>
    </row>
    <row r="1456">
      <c r="A1456" s="4" t="s">
        <v>2898</v>
      </c>
      <c r="B1456" s="5" t="s">
        <v>2899</v>
      </c>
      <c r="C1456" s="6">
        <v>10000.0</v>
      </c>
      <c r="D1456" s="9"/>
      <c r="E1456" s="9"/>
    </row>
    <row r="1457">
      <c r="A1457" s="4" t="s">
        <v>1850</v>
      </c>
      <c r="B1457" s="5" t="s">
        <v>2900</v>
      </c>
      <c r="C1457" s="6">
        <v>10000.0</v>
      </c>
      <c r="D1457" s="6">
        <v>3.747252747</v>
      </c>
      <c r="E1457" s="6">
        <v>182.0</v>
      </c>
    </row>
    <row r="1458">
      <c r="A1458" s="4" t="s">
        <v>2901</v>
      </c>
      <c r="B1458" s="5" t="s">
        <v>2902</v>
      </c>
      <c r="C1458" s="6">
        <v>10000.0</v>
      </c>
      <c r="D1458" s="6">
        <v>4.486075949</v>
      </c>
      <c r="E1458" s="6">
        <v>395.0</v>
      </c>
    </row>
    <row r="1459">
      <c r="A1459" s="4" t="s">
        <v>2903</v>
      </c>
      <c r="B1459" s="5" t="s">
        <v>2904</v>
      </c>
      <c r="C1459" s="6">
        <v>10000.0</v>
      </c>
      <c r="D1459" s="6">
        <v>3.115942029</v>
      </c>
      <c r="E1459" s="6">
        <v>69.0</v>
      </c>
    </row>
    <row r="1460">
      <c r="A1460" s="4" t="s">
        <v>2905</v>
      </c>
      <c r="B1460" s="5" t="s">
        <v>2906</v>
      </c>
      <c r="C1460" s="6">
        <v>10000.0</v>
      </c>
      <c r="D1460" s="6">
        <v>3.654676259</v>
      </c>
      <c r="E1460" s="6">
        <v>139.0</v>
      </c>
    </row>
    <row r="1461">
      <c r="A1461" s="4" t="s">
        <v>2907</v>
      </c>
      <c r="B1461" s="5" t="s">
        <v>2908</v>
      </c>
      <c r="C1461" s="6">
        <v>10000.0</v>
      </c>
      <c r="D1461" s="6">
        <v>4.921052632</v>
      </c>
      <c r="E1461" s="6">
        <v>38.0</v>
      </c>
    </row>
    <row r="1462">
      <c r="A1462" s="4" t="s">
        <v>2909</v>
      </c>
      <c r="B1462" s="5" t="s">
        <v>2910</v>
      </c>
      <c r="C1462" s="6">
        <v>10000.0</v>
      </c>
      <c r="D1462" s="6">
        <v>3.717948718</v>
      </c>
      <c r="E1462" s="6">
        <v>39.0</v>
      </c>
    </row>
    <row r="1463">
      <c r="A1463" s="4" t="s">
        <v>2911</v>
      </c>
      <c r="B1463" s="5" t="s">
        <v>2912</v>
      </c>
      <c r="C1463" s="6">
        <v>10000.0</v>
      </c>
      <c r="D1463" s="6">
        <v>3.802281369</v>
      </c>
      <c r="E1463" s="6">
        <v>263.0</v>
      </c>
    </row>
    <row r="1464">
      <c r="A1464" s="4" t="s">
        <v>2913</v>
      </c>
      <c r="B1464" s="5" t="s">
        <v>2914</v>
      </c>
      <c r="C1464" s="6">
        <v>10000.0</v>
      </c>
      <c r="D1464" s="6">
        <v>2.789473684</v>
      </c>
      <c r="E1464" s="6">
        <v>19.0</v>
      </c>
    </row>
    <row r="1465">
      <c r="A1465" s="4" t="s">
        <v>2915</v>
      </c>
      <c r="B1465" s="5" t="s">
        <v>2916</v>
      </c>
      <c r="C1465" s="6">
        <v>10000.0</v>
      </c>
      <c r="D1465" s="6">
        <v>3.777777778</v>
      </c>
      <c r="E1465" s="6">
        <v>36.0</v>
      </c>
    </row>
    <row r="1466">
      <c r="A1466" s="4" t="s">
        <v>2917</v>
      </c>
      <c r="B1466" s="5" t="s">
        <v>2918</v>
      </c>
      <c r="C1466" s="6">
        <v>10000.0</v>
      </c>
      <c r="D1466" s="6">
        <v>2.866666667</v>
      </c>
      <c r="E1466" s="6">
        <v>15.0</v>
      </c>
    </row>
    <row r="1467">
      <c r="A1467" s="4" t="s">
        <v>2919</v>
      </c>
      <c r="B1467" s="5" t="s">
        <v>2920</v>
      </c>
      <c r="C1467" s="6">
        <v>10000.0</v>
      </c>
      <c r="D1467" s="6">
        <v>4.738095238</v>
      </c>
      <c r="E1467" s="6">
        <v>42.0</v>
      </c>
    </row>
    <row r="1468">
      <c r="A1468" s="4" t="s">
        <v>2921</v>
      </c>
      <c r="B1468" s="5" t="s">
        <v>2922</v>
      </c>
      <c r="C1468" s="6">
        <v>10000.0</v>
      </c>
      <c r="D1468" s="6">
        <v>3.5</v>
      </c>
      <c r="E1468" s="6">
        <v>14.0</v>
      </c>
    </row>
    <row r="1469">
      <c r="A1469" s="4" t="s">
        <v>2923</v>
      </c>
      <c r="B1469" s="5" t="s">
        <v>2924</v>
      </c>
      <c r="C1469" s="6">
        <v>10000.0</v>
      </c>
      <c r="D1469" s="6">
        <v>4.411111111</v>
      </c>
      <c r="E1469" s="6">
        <v>90.0</v>
      </c>
    </row>
    <row r="1470">
      <c r="A1470" s="4" t="s">
        <v>2925</v>
      </c>
      <c r="B1470" s="5" t="s">
        <v>2926</v>
      </c>
      <c r="C1470" s="6">
        <v>10000.0</v>
      </c>
      <c r="D1470" s="6">
        <v>4.604166667</v>
      </c>
      <c r="E1470" s="6">
        <v>48.0</v>
      </c>
    </row>
    <row r="1471">
      <c r="A1471" s="4" t="s">
        <v>2927</v>
      </c>
      <c r="B1471" s="5" t="s">
        <v>2928</v>
      </c>
      <c r="C1471" s="6">
        <v>10000.0</v>
      </c>
      <c r="D1471" s="6">
        <v>3.677419355</v>
      </c>
      <c r="E1471" s="6">
        <v>31.0</v>
      </c>
    </row>
    <row r="1472">
      <c r="A1472" s="4" t="s">
        <v>2929</v>
      </c>
      <c r="B1472" s="5" t="s">
        <v>2930</v>
      </c>
      <c r="C1472" s="6">
        <v>10000.0</v>
      </c>
      <c r="D1472" s="6">
        <v>4.533442088</v>
      </c>
      <c r="E1472" s="6">
        <v>613.0</v>
      </c>
    </row>
    <row r="1473">
      <c r="A1473" s="4" t="s">
        <v>2931</v>
      </c>
      <c r="B1473" s="5" t="s">
        <v>2932</v>
      </c>
      <c r="C1473" s="6">
        <v>10000.0</v>
      </c>
      <c r="D1473" s="6">
        <v>4.837209302</v>
      </c>
      <c r="E1473" s="6">
        <v>43.0</v>
      </c>
    </row>
    <row r="1474">
      <c r="A1474" s="4" t="s">
        <v>2933</v>
      </c>
      <c r="B1474" s="5" t="s">
        <v>2934</v>
      </c>
      <c r="C1474" s="6">
        <v>10000.0</v>
      </c>
      <c r="D1474" s="6">
        <v>3.920110193</v>
      </c>
      <c r="E1474" s="6">
        <v>363.0</v>
      </c>
    </row>
    <row r="1475">
      <c r="A1475" s="4" t="s">
        <v>2935</v>
      </c>
      <c r="B1475" s="5" t="s">
        <v>2936</v>
      </c>
      <c r="C1475" s="6">
        <v>10000.0</v>
      </c>
      <c r="D1475" s="6">
        <v>3.987730061</v>
      </c>
      <c r="E1475" s="6">
        <v>163.0</v>
      </c>
    </row>
    <row r="1476">
      <c r="A1476" s="4" t="s">
        <v>2937</v>
      </c>
      <c r="B1476" s="5" t="s">
        <v>2938</v>
      </c>
      <c r="C1476" s="6">
        <v>10000.0</v>
      </c>
      <c r="D1476" s="6">
        <v>4.0</v>
      </c>
      <c r="E1476" s="6">
        <v>7.0</v>
      </c>
    </row>
    <row r="1477">
      <c r="A1477" s="4" t="s">
        <v>2939</v>
      </c>
      <c r="B1477" s="5" t="s">
        <v>2940</v>
      </c>
      <c r="C1477" s="6">
        <v>10000.0</v>
      </c>
      <c r="D1477" s="6">
        <v>1.916666667</v>
      </c>
      <c r="E1477" s="6">
        <v>12.0</v>
      </c>
    </row>
    <row r="1478">
      <c r="A1478" s="4" t="s">
        <v>2941</v>
      </c>
      <c r="B1478" s="5" t="s">
        <v>2942</v>
      </c>
      <c r="C1478" s="6">
        <v>10000.0</v>
      </c>
      <c r="D1478" s="6">
        <v>5.0</v>
      </c>
      <c r="E1478" s="6">
        <v>5.0</v>
      </c>
    </row>
    <row r="1479">
      <c r="A1479" s="4" t="s">
        <v>2943</v>
      </c>
      <c r="B1479" s="5" t="s">
        <v>2944</v>
      </c>
      <c r="C1479" s="6">
        <v>10000.0</v>
      </c>
      <c r="D1479" s="6">
        <v>4.609788954</v>
      </c>
      <c r="E1479" s="6">
        <v>2227.0</v>
      </c>
    </row>
    <row r="1480">
      <c r="A1480" s="4" t="s">
        <v>2945</v>
      </c>
      <c r="B1480" s="5" t="s">
        <v>2946</v>
      </c>
      <c r="C1480" s="6">
        <v>10000.0</v>
      </c>
      <c r="D1480" s="6">
        <v>4.564516129</v>
      </c>
      <c r="E1480" s="6">
        <v>62.0</v>
      </c>
    </row>
    <row r="1481">
      <c r="A1481" s="4" t="s">
        <v>2947</v>
      </c>
      <c r="B1481" s="5" t="s">
        <v>2948</v>
      </c>
      <c r="C1481" s="6">
        <v>10000.0</v>
      </c>
      <c r="D1481" s="6">
        <v>4.218487395</v>
      </c>
      <c r="E1481" s="6">
        <v>476.0</v>
      </c>
    </row>
    <row r="1482">
      <c r="A1482" s="4" t="s">
        <v>2949</v>
      </c>
      <c r="B1482" s="5" t="s">
        <v>2950</v>
      </c>
      <c r="C1482" s="6">
        <v>10000.0</v>
      </c>
      <c r="D1482" s="6">
        <v>5.0</v>
      </c>
      <c r="E1482" s="6">
        <v>9.0</v>
      </c>
    </row>
    <row r="1483">
      <c r="A1483" s="4" t="s">
        <v>2951</v>
      </c>
      <c r="B1483" s="5" t="s">
        <v>2952</v>
      </c>
      <c r="C1483" s="6">
        <v>10000.0</v>
      </c>
      <c r="D1483" s="6">
        <v>3.029761905</v>
      </c>
      <c r="E1483" s="6">
        <v>168.0</v>
      </c>
    </row>
    <row r="1484">
      <c r="A1484" s="4" t="s">
        <v>2953</v>
      </c>
      <c r="B1484" s="5" t="s">
        <v>2954</v>
      </c>
      <c r="C1484" s="6">
        <v>10000.0</v>
      </c>
      <c r="D1484" s="6">
        <v>2.675675676</v>
      </c>
      <c r="E1484" s="6">
        <v>37.0</v>
      </c>
    </row>
    <row r="1485">
      <c r="A1485" s="4" t="s">
        <v>2955</v>
      </c>
      <c r="B1485" s="5" t="s">
        <v>2956</v>
      </c>
      <c r="C1485" s="6">
        <v>10000.0</v>
      </c>
      <c r="D1485" s="6">
        <v>3.594405594</v>
      </c>
      <c r="E1485" s="6">
        <v>143.0</v>
      </c>
    </row>
    <row r="1486">
      <c r="A1486" s="4" t="s">
        <v>2957</v>
      </c>
      <c r="B1486" s="5" t="s">
        <v>2958</v>
      </c>
      <c r="C1486" s="6">
        <v>10000.0</v>
      </c>
      <c r="D1486" s="6">
        <v>3.0</v>
      </c>
      <c r="E1486" s="6">
        <v>57.0</v>
      </c>
    </row>
    <row r="1487">
      <c r="A1487" s="4" t="s">
        <v>2959</v>
      </c>
      <c r="B1487" s="5" t="s">
        <v>2960</v>
      </c>
      <c r="C1487" s="6">
        <v>10000.0</v>
      </c>
      <c r="D1487" s="6">
        <v>4.0</v>
      </c>
      <c r="E1487" s="6">
        <v>1.0</v>
      </c>
    </row>
    <row r="1488">
      <c r="A1488" s="4" t="s">
        <v>2961</v>
      </c>
      <c r="B1488" s="5" t="s">
        <v>2962</v>
      </c>
      <c r="C1488" s="6">
        <v>10000.0</v>
      </c>
      <c r="D1488" s="6">
        <v>3.9375</v>
      </c>
      <c r="E1488" s="6">
        <v>80.0</v>
      </c>
    </row>
    <row r="1489">
      <c r="A1489" s="4" t="s">
        <v>2963</v>
      </c>
      <c r="B1489" s="5" t="s">
        <v>2964</v>
      </c>
      <c r="C1489" s="6">
        <v>10000.0</v>
      </c>
      <c r="D1489" s="6">
        <v>4.545454545</v>
      </c>
      <c r="E1489" s="6">
        <v>22.0</v>
      </c>
    </row>
    <row r="1490">
      <c r="A1490" s="4" t="s">
        <v>2965</v>
      </c>
      <c r="B1490" s="5" t="s">
        <v>2966</v>
      </c>
      <c r="C1490" s="6">
        <v>10000.0</v>
      </c>
      <c r="D1490" s="6">
        <v>3.117647059</v>
      </c>
      <c r="E1490" s="6">
        <v>17.0</v>
      </c>
    </row>
    <row r="1491">
      <c r="A1491" s="4" t="s">
        <v>2967</v>
      </c>
      <c r="B1491" s="5" t="s">
        <v>2968</v>
      </c>
      <c r="C1491" s="6">
        <v>10000.0</v>
      </c>
      <c r="D1491" s="6">
        <v>4.030534351</v>
      </c>
      <c r="E1491" s="6">
        <v>131.0</v>
      </c>
    </row>
    <row r="1492">
      <c r="A1492" s="4" t="s">
        <v>2969</v>
      </c>
      <c r="B1492" s="5" t="s">
        <v>2970</v>
      </c>
      <c r="C1492" s="6">
        <v>10000.0</v>
      </c>
      <c r="D1492" s="6">
        <v>3.897959184</v>
      </c>
      <c r="E1492" s="6">
        <v>49.0</v>
      </c>
    </row>
    <row r="1493">
      <c r="A1493" s="4" t="s">
        <v>2971</v>
      </c>
      <c r="B1493" s="5" t="s">
        <v>2972</v>
      </c>
      <c r="C1493" s="6">
        <v>10000.0</v>
      </c>
      <c r="D1493" s="6">
        <v>3.857142857</v>
      </c>
      <c r="E1493" s="6">
        <v>14.0</v>
      </c>
    </row>
    <row r="1494">
      <c r="A1494" s="4" t="s">
        <v>2973</v>
      </c>
      <c r="B1494" s="5" t="s">
        <v>2974</v>
      </c>
      <c r="C1494" s="6">
        <v>10000.0</v>
      </c>
      <c r="D1494" s="6">
        <v>5.0</v>
      </c>
      <c r="E1494" s="6">
        <v>25.0</v>
      </c>
    </row>
    <row r="1495">
      <c r="A1495" s="4" t="s">
        <v>2975</v>
      </c>
      <c r="B1495" s="5" t="s">
        <v>2976</v>
      </c>
      <c r="C1495" s="6">
        <v>10000.0</v>
      </c>
      <c r="D1495" s="6">
        <v>4.062790698</v>
      </c>
      <c r="E1495" s="6">
        <v>430.0</v>
      </c>
    </row>
    <row r="1496">
      <c r="A1496" s="4" t="s">
        <v>2977</v>
      </c>
      <c r="B1496" s="5" t="s">
        <v>2978</v>
      </c>
      <c r="C1496" s="6">
        <v>10000.0</v>
      </c>
      <c r="D1496" s="6">
        <v>2.333333333</v>
      </c>
      <c r="E1496" s="6">
        <v>12.0</v>
      </c>
    </row>
    <row r="1497">
      <c r="A1497" s="4" t="s">
        <v>2979</v>
      </c>
      <c r="B1497" s="5" t="s">
        <v>2980</v>
      </c>
      <c r="C1497" s="6">
        <v>10000.0</v>
      </c>
      <c r="D1497" s="6">
        <v>2.119341564</v>
      </c>
      <c r="E1497" s="6">
        <v>243.0</v>
      </c>
    </row>
    <row r="1498">
      <c r="A1498" s="4" t="s">
        <v>2981</v>
      </c>
      <c r="B1498" s="5" t="s">
        <v>2982</v>
      </c>
      <c r="C1498" s="6">
        <v>10000.0</v>
      </c>
      <c r="D1498" s="6">
        <v>3.4</v>
      </c>
      <c r="E1498" s="6">
        <v>10.0</v>
      </c>
    </row>
    <row r="1499">
      <c r="A1499" s="4" t="s">
        <v>2983</v>
      </c>
      <c r="B1499" s="5" t="s">
        <v>2984</v>
      </c>
      <c r="C1499" s="6">
        <v>10000.0</v>
      </c>
      <c r="D1499" s="6">
        <v>3.111111111</v>
      </c>
      <c r="E1499" s="6">
        <v>18.0</v>
      </c>
    </row>
    <row r="1500">
      <c r="A1500" s="4" t="s">
        <v>2985</v>
      </c>
      <c r="B1500" s="5" t="s">
        <v>2986</v>
      </c>
      <c r="C1500" s="6">
        <v>10000.0</v>
      </c>
      <c r="D1500" s="9"/>
      <c r="E1500" s="9"/>
    </row>
    <row r="1501">
      <c r="A1501" s="4" t="s">
        <v>2987</v>
      </c>
      <c r="B1501" s="5" t="s">
        <v>2988</v>
      </c>
      <c r="C1501" s="6">
        <v>10000.0</v>
      </c>
      <c r="D1501" s="6">
        <v>2.534351145</v>
      </c>
      <c r="E1501" s="6">
        <v>131.0</v>
      </c>
    </row>
    <row r="1502">
      <c r="A1502" s="4" t="s">
        <v>2989</v>
      </c>
      <c r="B1502" s="5" t="s">
        <v>2990</v>
      </c>
      <c r="C1502" s="6">
        <v>10000.0</v>
      </c>
      <c r="D1502" s="6">
        <v>4.58490566</v>
      </c>
      <c r="E1502" s="6">
        <v>53.0</v>
      </c>
    </row>
    <row r="1503">
      <c r="A1503" s="4" t="s">
        <v>607</v>
      </c>
      <c r="B1503" s="5" t="s">
        <v>2991</v>
      </c>
      <c r="C1503" s="6">
        <v>10000.0</v>
      </c>
      <c r="D1503" s="9"/>
      <c r="E1503" s="9"/>
    </row>
    <row r="1504">
      <c r="A1504" s="4" t="s">
        <v>2992</v>
      </c>
      <c r="B1504" s="5" t="s">
        <v>2993</v>
      </c>
      <c r="C1504" s="6">
        <v>10000.0</v>
      </c>
      <c r="D1504" s="6">
        <v>3.941747573</v>
      </c>
      <c r="E1504" s="6">
        <v>103.0</v>
      </c>
    </row>
    <row r="1505">
      <c r="A1505" s="4" t="s">
        <v>2994</v>
      </c>
      <c r="B1505" s="5" t="s">
        <v>2995</v>
      </c>
      <c r="C1505" s="6">
        <v>10000.0</v>
      </c>
      <c r="D1505" s="6">
        <v>2.636363636</v>
      </c>
      <c r="E1505" s="6">
        <v>11.0</v>
      </c>
    </row>
    <row r="1506">
      <c r="A1506" s="4" t="s">
        <v>2996</v>
      </c>
      <c r="B1506" s="5" t="s">
        <v>2997</v>
      </c>
      <c r="C1506" s="6">
        <v>10000.0</v>
      </c>
      <c r="D1506" s="6">
        <v>4.573770492</v>
      </c>
      <c r="E1506" s="6">
        <v>61.0</v>
      </c>
    </row>
    <row r="1507">
      <c r="A1507" s="4" t="s">
        <v>2998</v>
      </c>
      <c r="B1507" s="5" t="s">
        <v>2999</v>
      </c>
      <c r="C1507" s="6">
        <v>10000.0</v>
      </c>
      <c r="D1507" s="6">
        <v>4.6</v>
      </c>
      <c r="E1507" s="6">
        <v>10.0</v>
      </c>
    </row>
    <row r="1508">
      <c r="A1508" s="4" t="s">
        <v>3000</v>
      </c>
      <c r="B1508" s="5" t="s">
        <v>3001</v>
      </c>
      <c r="C1508" s="6">
        <v>10000.0</v>
      </c>
      <c r="D1508" s="6">
        <v>4.718309859</v>
      </c>
      <c r="E1508" s="6">
        <v>213.0</v>
      </c>
    </row>
    <row r="1509">
      <c r="A1509" s="4" t="s">
        <v>3002</v>
      </c>
      <c r="B1509" s="5" t="s">
        <v>3003</v>
      </c>
      <c r="C1509" s="6">
        <v>10000.0</v>
      </c>
      <c r="D1509" s="6">
        <v>4.456140351</v>
      </c>
      <c r="E1509" s="6">
        <v>114.0</v>
      </c>
    </row>
    <row r="1510">
      <c r="A1510" s="4" t="s">
        <v>3004</v>
      </c>
      <c r="B1510" s="5" t="s">
        <v>3005</v>
      </c>
      <c r="C1510" s="6">
        <v>10000.0</v>
      </c>
      <c r="D1510" s="6">
        <v>4.689455388</v>
      </c>
      <c r="E1510" s="6">
        <v>863.0</v>
      </c>
    </row>
    <row r="1511">
      <c r="A1511" s="4" t="s">
        <v>3006</v>
      </c>
      <c r="B1511" s="5" t="s">
        <v>3007</v>
      </c>
      <c r="C1511" s="6">
        <v>10000.0</v>
      </c>
      <c r="D1511" s="6">
        <v>4.035087719</v>
      </c>
      <c r="E1511" s="6">
        <v>171.0</v>
      </c>
    </row>
    <row r="1512">
      <c r="A1512" s="4" t="s">
        <v>3008</v>
      </c>
      <c r="B1512" s="5" t="s">
        <v>3009</v>
      </c>
      <c r="C1512" s="6">
        <v>10000.0</v>
      </c>
      <c r="D1512" s="6">
        <v>2.728813559</v>
      </c>
      <c r="E1512" s="6">
        <v>118.0</v>
      </c>
    </row>
    <row r="1513">
      <c r="A1513" s="4" t="s">
        <v>3010</v>
      </c>
      <c r="B1513" s="5" t="s">
        <v>3011</v>
      </c>
      <c r="C1513" s="6">
        <v>10000.0</v>
      </c>
      <c r="D1513" s="6">
        <v>4.704225352</v>
      </c>
      <c r="E1513" s="6">
        <v>71.0</v>
      </c>
    </row>
    <row r="1514">
      <c r="A1514" s="4" t="s">
        <v>3012</v>
      </c>
      <c r="B1514" s="5" t="s">
        <v>3013</v>
      </c>
      <c r="C1514" s="6">
        <v>10000.0</v>
      </c>
      <c r="D1514" s="6">
        <v>3.977272727</v>
      </c>
      <c r="E1514" s="6">
        <v>44.0</v>
      </c>
    </row>
    <row r="1515">
      <c r="A1515" s="4" t="s">
        <v>3014</v>
      </c>
      <c r="B1515" s="5" t="s">
        <v>3015</v>
      </c>
      <c r="C1515" s="6">
        <v>10000.0</v>
      </c>
      <c r="D1515" s="6">
        <v>3.239669421</v>
      </c>
      <c r="E1515" s="6">
        <v>121.0</v>
      </c>
    </row>
    <row r="1516">
      <c r="A1516" s="4" t="s">
        <v>3016</v>
      </c>
      <c r="B1516" s="5" t="s">
        <v>3017</v>
      </c>
      <c r="C1516" s="6">
        <v>10000.0</v>
      </c>
      <c r="D1516" s="6">
        <v>3.759493671</v>
      </c>
      <c r="E1516" s="6">
        <v>79.0</v>
      </c>
    </row>
    <row r="1517">
      <c r="A1517" s="4" t="s">
        <v>3018</v>
      </c>
      <c r="B1517" s="5" t="s">
        <v>3019</v>
      </c>
      <c r="C1517" s="6">
        <v>10000.0</v>
      </c>
      <c r="D1517" s="6">
        <v>4.376470588</v>
      </c>
      <c r="E1517" s="6">
        <v>85.0</v>
      </c>
    </row>
    <row r="1518">
      <c r="A1518" s="4" t="s">
        <v>3020</v>
      </c>
      <c r="B1518" s="5" t="s">
        <v>3021</v>
      </c>
      <c r="C1518" s="6">
        <v>10000.0</v>
      </c>
      <c r="D1518" s="6">
        <v>4.444444444</v>
      </c>
      <c r="E1518" s="6">
        <v>45.0</v>
      </c>
    </row>
    <row r="1519">
      <c r="A1519" s="4" t="s">
        <v>3022</v>
      </c>
      <c r="B1519" s="5" t="s">
        <v>3023</v>
      </c>
      <c r="C1519" s="6">
        <v>10000.0</v>
      </c>
      <c r="D1519" s="6">
        <v>4.057142857</v>
      </c>
      <c r="E1519" s="6">
        <v>70.0</v>
      </c>
    </row>
    <row r="1520">
      <c r="A1520" s="4" t="s">
        <v>3024</v>
      </c>
      <c r="B1520" s="5" t="s">
        <v>3025</v>
      </c>
      <c r="C1520" s="6">
        <v>10000.0</v>
      </c>
      <c r="D1520" s="6">
        <v>4.967741935</v>
      </c>
      <c r="E1520" s="6">
        <v>62.0</v>
      </c>
    </row>
    <row r="1521">
      <c r="A1521" s="4" t="s">
        <v>3026</v>
      </c>
      <c r="B1521" s="5" t="s">
        <v>3027</v>
      </c>
      <c r="C1521" s="6">
        <v>10000.0</v>
      </c>
      <c r="D1521" s="6">
        <v>4.803921569</v>
      </c>
      <c r="E1521" s="6">
        <v>51.0</v>
      </c>
    </row>
    <row r="1522">
      <c r="A1522" s="4" t="s">
        <v>3028</v>
      </c>
      <c r="B1522" s="5" t="s">
        <v>3029</v>
      </c>
      <c r="C1522" s="6">
        <v>10000.0</v>
      </c>
      <c r="D1522" s="6">
        <v>3.36196319</v>
      </c>
      <c r="E1522" s="6">
        <v>163.0</v>
      </c>
    </row>
    <row r="1523">
      <c r="A1523" s="4" t="s">
        <v>3030</v>
      </c>
      <c r="B1523" s="5" t="s">
        <v>3031</v>
      </c>
      <c r="C1523" s="6">
        <v>10000.0</v>
      </c>
      <c r="D1523" s="6">
        <v>5.0</v>
      </c>
      <c r="E1523" s="6">
        <v>1.0</v>
      </c>
    </row>
    <row r="1524">
      <c r="A1524" s="4" t="s">
        <v>3032</v>
      </c>
      <c r="B1524" s="5" t="s">
        <v>3033</v>
      </c>
      <c r="C1524" s="6">
        <v>10000.0</v>
      </c>
      <c r="D1524" s="6">
        <v>3.834951456</v>
      </c>
      <c r="E1524" s="6">
        <v>206.0</v>
      </c>
    </row>
    <row r="1525">
      <c r="A1525" s="4" t="s">
        <v>3034</v>
      </c>
      <c r="B1525" s="5" t="s">
        <v>3035</v>
      </c>
      <c r="C1525" s="6">
        <v>10000.0</v>
      </c>
      <c r="D1525" s="6">
        <v>3.692307692</v>
      </c>
      <c r="E1525" s="6">
        <v>26.0</v>
      </c>
    </row>
    <row r="1526">
      <c r="A1526" s="4" t="s">
        <v>3036</v>
      </c>
      <c r="B1526" s="5" t="s">
        <v>3037</v>
      </c>
      <c r="C1526" s="6">
        <v>10000.0</v>
      </c>
      <c r="D1526" s="6">
        <v>4.304964539</v>
      </c>
      <c r="E1526" s="6">
        <v>141.0</v>
      </c>
    </row>
    <row r="1527">
      <c r="A1527" s="4" t="s">
        <v>3038</v>
      </c>
      <c r="B1527" s="5" t="s">
        <v>3039</v>
      </c>
      <c r="C1527" s="6">
        <v>10000.0</v>
      </c>
      <c r="D1527" s="6">
        <v>4.780952381</v>
      </c>
      <c r="E1527" s="6">
        <v>105.0</v>
      </c>
    </row>
    <row r="1528">
      <c r="A1528" s="4" t="s">
        <v>3040</v>
      </c>
      <c r="B1528" s="5" t="s">
        <v>3041</v>
      </c>
      <c r="C1528" s="6">
        <v>10000.0</v>
      </c>
      <c r="D1528" s="6">
        <v>3.901960784</v>
      </c>
      <c r="E1528" s="6">
        <v>51.0</v>
      </c>
    </row>
    <row r="1529">
      <c r="A1529" s="4" t="s">
        <v>3042</v>
      </c>
      <c r="B1529" s="5" t="s">
        <v>3043</v>
      </c>
      <c r="C1529" s="6">
        <v>10000.0</v>
      </c>
      <c r="D1529" s="6">
        <v>4.492307692</v>
      </c>
      <c r="E1529" s="6">
        <v>65.0</v>
      </c>
    </row>
    <row r="1530">
      <c r="A1530" s="4" t="s">
        <v>3044</v>
      </c>
      <c r="B1530" s="5" t="s">
        <v>3045</v>
      </c>
      <c r="C1530" s="6">
        <v>10000.0</v>
      </c>
      <c r="D1530" s="6">
        <v>4.613445378</v>
      </c>
      <c r="E1530" s="6">
        <v>119.0</v>
      </c>
    </row>
    <row r="1531">
      <c r="A1531" s="4" t="s">
        <v>3046</v>
      </c>
      <c r="B1531" s="5" t="s">
        <v>3047</v>
      </c>
      <c r="C1531" s="6">
        <v>10000.0</v>
      </c>
      <c r="D1531" s="6">
        <v>4.421052632</v>
      </c>
      <c r="E1531" s="6">
        <v>19.0</v>
      </c>
    </row>
    <row r="1532">
      <c r="A1532" s="4" t="s">
        <v>3048</v>
      </c>
      <c r="B1532" s="5" t="s">
        <v>3049</v>
      </c>
      <c r="C1532" s="6">
        <v>10000.0</v>
      </c>
      <c r="D1532" s="6">
        <v>4.318181818</v>
      </c>
      <c r="E1532" s="6">
        <v>22.0</v>
      </c>
    </row>
    <row r="1533">
      <c r="A1533" s="4" t="s">
        <v>3050</v>
      </c>
      <c r="B1533" s="5" t="s">
        <v>3051</v>
      </c>
      <c r="C1533" s="6">
        <v>10000.0</v>
      </c>
      <c r="D1533" s="6">
        <v>4.333333333</v>
      </c>
      <c r="E1533" s="6">
        <v>6.0</v>
      </c>
    </row>
    <row r="1534">
      <c r="A1534" s="4" t="s">
        <v>3052</v>
      </c>
      <c r="B1534" s="5" t="s">
        <v>3053</v>
      </c>
      <c r="C1534" s="6">
        <v>10000.0</v>
      </c>
      <c r="D1534" s="6">
        <v>4.362068966</v>
      </c>
      <c r="E1534" s="6">
        <v>58.0</v>
      </c>
    </row>
    <row r="1535">
      <c r="A1535" s="4" t="s">
        <v>3054</v>
      </c>
      <c r="B1535" s="5" t="s">
        <v>3055</v>
      </c>
      <c r="C1535" s="6">
        <v>10000.0</v>
      </c>
      <c r="D1535" s="6">
        <v>2.769230769</v>
      </c>
      <c r="E1535" s="6">
        <v>26.0</v>
      </c>
    </row>
    <row r="1536">
      <c r="A1536" s="4" t="s">
        <v>3056</v>
      </c>
      <c r="B1536" s="5" t="s">
        <v>3057</v>
      </c>
      <c r="C1536" s="6">
        <v>10000.0</v>
      </c>
      <c r="D1536" s="6">
        <v>3.054054054</v>
      </c>
      <c r="E1536" s="6">
        <v>74.0</v>
      </c>
    </row>
    <row r="1537">
      <c r="A1537" s="4" t="s">
        <v>3058</v>
      </c>
      <c r="B1537" s="5" t="s">
        <v>3059</v>
      </c>
      <c r="C1537" s="6">
        <v>10000.0</v>
      </c>
      <c r="D1537" s="6">
        <v>5.0</v>
      </c>
      <c r="E1537" s="6">
        <v>9.0</v>
      </c>
    </row>
    <row r="1538">
      <c r="A1538" s="4" t="s">
        <v>3060</v>
      </c>
      <c r="B1538" s="5" t="s">
        <v>3061</v>
      </c>
      <c r="C1538" s="6">
        <v>10000.0</v>
      </c>
      <c r="D1538" s="6">
        <v>3.8</v>
      </c>
      <c r="E1538" s="6">
        <v>30.0</v>
      </c>
    </row>
    <row r="1539">
      <c r="A1539" s="4" t="s">
        <v>3062</v>
      </c>
      <c r="B1539" s="5" t="s">
        <v>3063</v>
      </c>
      <c r="C1539" s="6">
        <v>10000.0</v>
      </c>
      <c r="D1539" s="6">
        <v>4.815789474</v>
      </c>
      <c r="E1539" s="6">
        <v>38.0</v>
      </c>
    </row>
    <row r="1540">
      <c r="A1540" s="4" t="s">
        <v>3064</v>
      </c>
      <c r="B1540" s="5" t="s">
        <v>3065</v>
      </c>
      <c r="C1540" s="6">
        <v>10000.0</v>
      </c>
      <c r="D1540" s="6">
        <v>4.175438596</v>
      </c>
      <c r="E1540" s="6">
        <v>57.0</v>
      </c>
    </row>
    <row r="1541">
      <c r="A1541" s="4" t="s">
        <v>3066</v>
      </c>
      <c r="B1541" s="5" t="s">
        <v>3067</v>
      </c>
      <c r="C1541" s="6">
        <v>10000.0</v>
      </c>
      <c r="D1541" s="6">
        <v>4.5</v>
      </c>
      <c r="E1541" s="6">
        <v>16.0</v>
      </c>
    </row>
    <row r="1542">
      <c r="A1542" s="4" t="s">
        <v>3068</v>
      </c>
      <c r="B1542" s="5" t="s">
        <v>3069</v>
      </c>
      <c r="C1542" s="6">
        <v>10000.0</v>
      </c>
      <c r="D1542" s="6">
        <v>4.5</v>
      </c>
      <c r="E1542" s="6">
        <v>16.0</v>
      </c>
    </row>
    <row r="1543">
      <c r="A1543" s="4" t="s">
        <v>3070</v>
      </c>
      <c r="B1543" s="5" t="s">
        <v>3071</v>
      </c>
      <c r="C1543" s="6">
        <v>10000.0</v>
      </c>
      <c r="D1543" s="6">
        <v>3.912280702</v>
      </c>
      <c r="E1543" s="6">
        <v>57.0</v>
      </c>
    </row>
    <row r="1544">
      <c r="A1544" s="4" t="s">
        <v>3072</v>
      </c>
      <c r="B1544" s="5" t="s">
        <v>3073</v>
      </c>
      <c r="C1544" s="6">
        <v>10000.0</v>
      </c>
      <c r="D1544" s="6">
        <v>4.598039216</v>
      </c>
      <c r="E1544" s="6">
        <v>102.0</v>
      </c>
    </row>
    <row r="1545">
      <c r="A1545" s="4" t="s">
        <v>3074</v>
      </c>
      <c r="B1545" s="5" t="s">
        <v>3075</v>
      </c>
      <c r="C1545" s="6">
        <v>10000.0</v>
      </c>
      <c r="D1545" s="6">
        <v>4.249240122</v>
      </c>
      <c r="E1545" s="6">
        <v>329.0</v>
      </c>
    </row>
    <row r="1546">
      <c r="A1546" s="4" t="s">
        <v>3076</v>
      </c>
      <c r="B1546" s="5" t="s">
        <v>3077</v>
      </c>
      <c r="C1546" s="6">
        <v>10000.0</v>
      </c>
      <c r="D1546" s="6">
        <v>4.182926829</v>
      </c>
      <c r="E1546" s="6">
        <v>82.0</v>
      </c>
    </row>
    <row r="1547">
      <c r="A1547" s="4" t="s">
        <v>3078</v>
      </c>
      <c r="B1547" s="5" t="s">
        <v>3079</v>
      </c>
      <c r="C1547" s="6">
        <v>10000.0</v>
      </c>
      <c r="D1547" s="6">
        <v>2.913043478</v>
      </c>
      <c r="E1547" s="6">
        <v>23.0</v>
      </c>
    </row>
    <row r="1548">
      <c r="A1548" s="4" t="s">
        <v>3080</v>
      </c>
      <c r="B1548" s="5" t="s">
        <v>3081</v>
      </c>
      <c r="C1548" s="6">
        <v>10000.0</v>
      </c>
      <c r="D1548" s="6">
        <v>3.569105691</v>
      </c>
      <c r="E1548" s="6">
        <v>123.0</v>
      </c>
    </row>
    <row r="1549">
      <c r="A1549" s="4" t="s">
        <v>3082</v>
      </c>
      <c r="B1549" s="5" t="s">
        <v>3083</v>
      </c>
      <c r="C1549" s="6">
        <v>10000.0</v>
      </c>
      <c r="D1549" s="6">
        <v>3.666666667</v>
      </c>
      <c r="E1549" s="6">
        <v>30.0</v>
      </c>
    </row>
    <row r="1550">
      <c r="A1550" s="4" t="s">
        <v>3084</v>
      </c>
      <c r="B1550" s="5" t="s">
        <v>3085</v>
      </c>
      <c r="C1550" s="6">
        <v>10000.0</v>
      </c>
      <c r="D1550" s="6">
        <v>3.512820513</v>
      </c>
      <c r="E1550" s="6">
        <v>78.0</v>
      </c>
    </row>
    <row r="1551">
      <c r="A1551" s="4" t="s">
        <v>3086</v>
      </c>
      <c r="B1551" s="5" t="s">
        <v>3087</v>
      </c>
      <c r="C1551" s="6">
        <v>10000.0</v>
      </c>
      <c r="D1551" s="6">
        <v>4.363636364</v>
      </c>
      <c r="E1551" s="6">
        <v>22.0</v>
      </c>
    </row>
    <row r="1552">
      <c r="A1552" s="4" t="s">
        <v>3088</v>
      </c>
      <c r="B1552" s="5" t="s">
        <v>3089</v>
      </c>
      <c r="C1552" s="6">
        <v>10000.0</v>
      </c>
      <c r="D1552" s="6">
        <v>5.0</v>
      </c>
      <c r="E1552" s="6">
        <v>11.0</v>
      </c>
    </row>
    <row r="1553">
      <c r="A1553" s="4" t="s">
        <v>3090</v>
      </c>
      <c r="B1553" s="5" t="s">
        <v>3091</v>
      </c>
      <c r="C1553" s="6">
        <v>10000.0</v>
      </c>
      <c r="D1553" s="6">
        <v>4.575</v>
      </c>
      <c r="E1553" s="6">
        <v>80.0</v>
      </c>
    </row>
    <row r="1554">
      <c r="A1554" s="4" t="s">
        <v>3092</v>
      </c>
      <c r="B1554" s="5" t="s">
        <v>3093</v>
      </c>
      <c r="C1554" s="6">
        <v>10000.0</v>
      </c>
      <c r="D1554" s="6">
        <v>4.043478261</v>
      </c>
      <c r="E1554" s="6">
        <v>23.0</v>
      </c>
    </row>
    <row r="1555">
      <c r="A1555" s="4" t="s">
        <v>3094</v>
      </c>
      <c r="B1555" s="5" t="s">
        <v>3095</v>
      </c>
      <c r="C1555" s="6">
        <v>10000.0</v>
      </c>
      <c r="D1555" s="6">
        <v>3.976190476</v>
      </c>
      <c r="E1555" s="6">
        <v>42.0</v>
      </c>
    </row>
    <row r="1556">
      <c r="A1556" s="4" t="s">
        <v>3096</v>
      </c>
      <c r="B1556" s="5" t="s">
        <v>3097</v>
      </c>
      <c r="C1556" s="6">
        <v>10000.0</v>
      </c>
      <c r="D1556" s="6">
        <v>4.53125</v>
      </c>
      <c r="E1556" s="6">
        <v>32.0</v>
      </c>
    </row>
    <row r="1557">
      <c r="A1557" s="4" t="s">
        <v>3098</v>
      </c>
      <c r="B1557" s="5" t="s">
        <v>3099</v>
      </c>
      <c r="C1557" s="6">
        <v>10000.0</v>
      </c>
      <c r="D1557" s="6">
        <v>4.789772727</v>
      </c>
      <c r="E1557" s="6">
        <v>176.0</v>
      </c>
    </row>
    <row r="1558">
      <c r="A1558" s="4" t="s">
        <v>3100</v>
      </c>
      <c r="B1558" s="5" t="s">
        <v>3101</v>
      </c>
      <c r="C1558" s="6">
        <v>10000.0</v>
      </c>
      <c r="D1558" s="9"/>
      <c r="E1558" s="9"/>
    </row>
    <row r="1559">
      <c r="A1559" s="4" t="s">
        <v>3102</v>
      </c>
      <c r="B1559" s="5" t="s">
        <v>3103</v>
      </c>
      <c r="C1559" s="6">
        <v>10000.0</v>
      </c>
      <c r="D1559" s="6">
        <v>2.551724138</v>
      </c>
      <c r="E1559" s="6">
        <v>58.0</v>
      </c>
    </row>
    <row r="1560">
      <c r="A1560" s="4" t="s">
        <v>3104</v>
      </c>
      <c r="B1560" s="5" t="s">
        <v>3105</v>
      </c>
      <c r="C1560" s="6">
        <v>10000.0</v>
      </c>
      <c r="D1560" s="6">
        <v>3.634920635</v>
      </c>
      <c r="E1560" s="6">
        <v>63.0</v>
      </c>
    </row>
    <row r="1561">
      <c r="A1561" s="4" t="s">
        <v>3106</v>
      </c>
      <c r="B1561" s="5" t="s">
        <v>3107</v>
      </c>
      <c r="C1561" s="6">
        <v>10000.0</v>
      </c>
      <c r="D1561" s="6">
        <v>4.34</v>
      </c>
      <c r="E1561" s="6">
        <v>50.0</v>
      </c>
    </row>
    <row r="1562">
      <c r="A1562" s="4" t="s">
        <v>3108</v>
      </c>
      <c r="B1562" s="5" t="s">
        <v>3109</v>
      </c>
      <c r="C1562" s="6">
        <v>10000.0</v>
      </c>
      <c r="D1562" s="6">
        <v>4.057692308</v>
      </c>
      <c r="E1562" s="6">
        <v>52.0</v>
      </c>
    </row>
    <row r="1563">
      <c r="A1563" s="4" t="s">
        <v>3110</v>
      </c>
      <c r="B1563" s="5" t="s">
        <v>3111</v>
      </c>
      <c r="C1563" s="6">
        <v>10000.0</v>
      </c>
      <c r="D1563" s="6">
        <v>3.291828794</v>
      </c>
      <c r="E1563" s="6">
        <v>257.0</v>
      </c>
    </row>
    <row r="1564">
      <c r="A1564" s="4" t="s">
        <v>3112</v>
      </c>
      <c r="B1564" s="5" t="s">
        <v>3113</v>
      </c>
      <c r="C1564" s="6">
        <v>10000.0</v>
      </c>
      <c r="D1564" s="6">
        <v>4.038461538</v>
      </c>
      <c r="E1564" s="6">
        <v>26.0</v>
      </c>
    </row>
    <row r="1565">
      <c r="A1565" s="4" t="s">
        <v>3114</v>
      </c>
      <c r="B1565" s="5" t="s">
        <v>3115</v>
      </c>
      <c r="C1565" s="6">
        <v>10000.0</v>
      </c>
      <c r="D1565" s="6">
        <v>4.666666667</v>
      </c>
      <c r="E1565" s="6">
        <v>78.0</v>
      </c>
    </row>
    <row r="1566">
      <c r="A1566" s="4" t="s">
        <v>3116</v>
      </c>
      <c r="B1566" s="5" t="s">
        <v>3117</v>
      </c>
      <c r="C1566" s="6">
        <v>10000.0</v>
      </c>
      <c r="D1566" s="6">
        <v>3.791666667</v>
      </c>
      <c r="E1566" s="6">
        <v>24.0</v>
      </c>
    </row>
    <row r="1567">
      <c r="A1567" s="4" t="s">
        <v>3118</v>
      </c>
      <c r="B1567" s="5" t="s">
        <v>3119</v>
      </c>
      <c r="C1567" s="6">
        <v>10000.0</v>
      </c>
      <c r="D1567" s="6">
        <v>3.5</v>
      </c>
      <c r="E1567" s="6">
        <v>122.0</v>
      </c>
    </row>
    <row r="1568">
      <c r="A1568" s="4" t="s">
        <v>3120</v>
      </c>
      <c r="B1568" s="5" t="s">
        <v>3121</v>
      </c>
      <c r="C1568" s="6">
        <v>10000.0</v>
      </c>
      <c r="D1568" s="6">
        <v>4.0</v>
      </c>
      <c r="E1568" s="6">
        <v>4.0</v>
      </c>
    </row>
    <row r="1569">
      <c r="A1569" s="4" t="s">
        <v>3122</v>
      </c>
      <c r="B1569" s="5" t="s">
        <v>3123</v>
      </c>
      <c r="C1569" s="6">
        <v>10000.0</v>
      </c>
      <c r="D1569" s="6">
        <v>3.135135135</v>
      </c>
      <c r="E1569" s="6">
        <v>37.0</v>
      </c>
    </row>
    <row r="1570">
      <c r="A1570" s="4" t="s">
        <v>3124</v>
      </c>
      <c r="B1570" s="5" t="s">
        <v>3125</v>
      </c>
      <c r="C1570" s="6">
        <v>10000.0</v>
      </c>
      <c r="D1570" s="6">
        <v>4.391304348</v>
      </c>
      <c r="E1570" s="6">
        <v>23.0</v>
      </c>
    </row>
    <row r="1571">
      <c r="A1571" s="4" t="s">
        <v>3126</v>
      </c>
      <c r="B1571" s="5" t="s">
        <v>3127</v>
      </c>
      <c r="C1571" s="6">
        <v>10000.0</v>
      </c>
      <c r="D1571" s="6">
        <v>2.033333333</v>
      </c>
      <c r="E1571" s="6">
        <v>30.0</v>
      </c>
    </row>
    <row r="1572">
      <c r="A1572" s="4" t="s">
        <v>3128</v>
      </c>
      <c r="B1572" s="5" t="s">
        <v>3129</v>
      </c>
      <c r="C1572" s="6">
        <v>10000.0</v>
      </c>
      <c r="D1572" s="6">
        <v>4.180392157</v>
      </c>
      <c r="E1572" s="6">
        <v>510.0</v>
      </c>
    </row>
    <row r="1573">
      <c r="A1573" s="4" t="s">
        <v>3130</v>
      </c>
      <c r="B1573" s="5" t="s">
        <v>3131</v>
      </c>
      <c r="C1573" s="6">
        <v>10000.0</v>
      </c>
      <c r="D1573" s="6">
        <v>4.112219451</v>
      </c>
      <c r="E1573" s="6">
        <v>401.0</v>
      </c>
    </row>
    <row r="1574">
      <c r="A1574" s="4" t="s">
        <v>3132</v>
      </c>
      <c r="B1574" s="5" t="s">
        <v>3133</v>
      </c>
      <c r="C1574" s="6">
        <v>10000.0</v>
      </c>
      <c r="D1574" s="6">
        <v>4.668604651</v>
      </c>
      <c r="E1574" s="6">
        <v>172.0</v>
      </c>
    </row>
    <row r="1575">
      <c r="A1575" s="4" t="s">
        <v>3134</v>
      </c>
      <c r="B1575" s="5" t="s">
        <v>3135</v>
      </c>
      <c r="C1575" s="6">
        <v>10000.0</v>
      </c>
      <c r="D1575" s="6">
        <v>3.198198198</v>
      </c>
      <c r="E1575" s="6">
        <v>111.0</v>
      </c>
    </row>
    <row r="1576">
      <c r="A1576" s="4" t="s">
        <v>3136</v>
      </c>
      <c r="B1576" s="5" t="s">
        <v>3137</v>
      </c>
      <c r="C1576" s="6">
        <v>10000.0</v>
      </c>
      <c r="D1576" s="6">
        <v>3.1</v>
      </c>
      <c r="E1576" s="6">
        <v>10.0</v>
      </c>
    </row>
    <row r="1577">
      <c r="A1577" s="4" t="s">
        <v>3138</v>
      </c>
      <c r="B1577" s="5" t="s">
        <v>3139</v>
      </c>
      <c r="C1577" s="6">
        <v>10000.0</v>
      </c>
      <c r="D1577" s="6">
        <v>4.120481928</v>
      </c>
      <c r="E1577" s="6">
        <v>83.0</v>
      </c>
    </row>
    <row r="1578">
      <c r="A1578" s="4" t="s">
        <v>3140</v>
      </c>
      <c r="B1578" s="5" t="s">
        <v>3141</v>
      </c>
      <c r="C1578" s="6">
        <v>10000.0</v>
      </c>
      <c r="D1578" s="6">
        <v>4.029411765</v>
      </c>
      <c r="E1578" s="6">
        <v>68.0</v>
      </c>
    </row>
    <row r="1579">
      <c r="A1579" s="4" t="s">
        <v>3142</v>
      </c>
      <c r="B1579" s="5" t="s">
        <v>3143</v>
      </c>
      <c r="C1579" s="6">
        <v>10000.0</v>
      </c>
      <c r="D1579" s="6">
        <v>3.789473684</v>
      </c>
      <c r="E1579" s="6">
        <v>38.0</v>
      </c>
    </row>
    <row r="1580">
      <c r="A1580" s="4" t="s">
        <v>3144</v>
      </c>
      <c r="B1580" s="5" t="s">
        <v>3145</v>
      </c>
      <c r="C1580" s="6">
        <v>10000.0</v>
      </c>
      <c r="D1580" s="9"/>
      <c r="E1580" s="9"/>
    </row>
    <row r="1581">
      <c r="A1581" s="4" t="s">
        <v>3146</v>
      </c>
      <c r="B1581" s="5" t="s">
        <v>3147</v>
      </c>
      <c r="C1581" s="6">
        <v>10000.0</v>
      </c>
      <c r="D1581" s="6">
        <v>4.1875</v>
      </c>
      <c r="E1581" s="6">
        <v>16.0</v>
      </c>
    </row>
    <row r="1582">
      <c r="A1582" s="4" t="s">
        <v>3148</v>
      </c>
      <c r="B1582" s="5" t="s">
        <v>3149</v>
      </c>
      <c r="C1582" s="6">
        <v>10000.0</v>
      </c>
      <c r="D1582" s="6">
        <v>4.639004149</v>
      </c>
      <c r="E1582" s="6">
        <v>241.0</v>
      </c>
    </row>
    <row r="1583">
      <c r="A1583" s="4" t="s">
        <v>3150</v>
      </c>
      <c r="B1583" s="5" t="s">
        <v>3151</v>
      </c>
      <c r="C1583" s="6">
        <v>10000.0</v>
      </c>
      <c r="D1583" s="6">
        <v>4.428571429</v>
      </c>
      <c r="E1583" s="6">
        <v>70.0</v>
      </c>
    </row>
    <row r="1584">
      <c r="A1584" s="4" t="s">
        <v>3152</v>
      </c>
      <c r="B1584" s="5" t="s">
        <v>3153</v>
      </c>
      <c r="C1584" s="6">
        <v>10000.0</v>
      </c>
      <c r="D1584" s="6">
        <v>3.971962617</v>
      </c>
      <c r="E1584" s="6">
        <v>321.0</v>
      </c>
    </row>
    <row r="1585">
      <c r="A1585" s="4" t="s">
        <v>3154</v>
      </c>
      <c r="B1585" s="5" t="s">
        <v>3155</v>
      </c>
      <c r="C1585" s="6">
        <v>10000.0</v>
      </c>
      <c r="D1585" s="6">
        <v>3.833333333</v>
      </c>
      <c r="E1585" s="6">
        <v>30.0</v>
      </c>
    </row>
    <row r="1586">
      <c r="A1586" s="4" t="s">
        <v>3156</v>
      </c>
      <c r="B1586" s="5" t="s">
        <v>3157</v>
      </c>
      <c r="C1586" s="6">
        <v>10000.0</v>
      </c>
      <c r="D1586" s="6">
        <v>4.529411765</v>
      </c>
      <c r="E1586" s="6">
        <v>17.0</v>
      </c>
    </row>
    <row r="1587">
      <c r="A1587" s="4" t="s">
        <v>3158</v>
      </c>
      <c r="B1587" s="5" t="s">
        <v>3159</v>
      </c>
      <c r="C1587" s="6">
        <v>10000.0</v>
      </c>
      <c r="D1587" s="6">
        <v>4.0</v>
      </c>
      <c r="E1587" s="6">
        <v>4.0</v>
      </c>
    </row>
    <row r="1588">
      <c r="A1588" s="4" t="s">
        <v>3160</v>
      </c>
      <c r="B1588" s="5" t="s">
        <v>3161</v>
      </c>
      <c r="C1588" s="6">
        <v>10000.0</v>
      </c>
      <c r="D1588" s="6">
        <v>4.2</v>
      </c>
      <c r="E1588" s="6">
        <v>5.0</v>
      </c>
    </row>
    <row r="1589">
      <c r="A1589" s="4" t="s">
        <v>3162</v>
      </c>
      <c r="B1589" s="5" t="s">
        <v>3163</v>
      </c>
      <c r="C1589" s="6">
        <v>10000.0</v>
      </c>
      <c r="D1589" s="6">
        <v>3.8</v>
      </c>
      <c r="E1589" s="6">
        <v>50.0</v>
      </c>
    </row>
    <row r="1590">
      <c r="A1590" s="4" t="s">
        <v>3164</v>
      </c>
      <c r="B1590" s="5" t="s">
        <v>3165</v>
      </c>
      <c r="C1590" s="6">
        <v>10000.0</v>
      </c>
      <c r="D1590" s="6">
        <v>3.375</v>
      </c>
      <c r="E1590" s="6">
        <v>16.0</v>
      </c>
    </row>
    <row r="1591">
      <c r="A1591" s="4" t="s">
        <v>3166</v>
      </c>
      <c r="B1591" s="5" t="s">
        <v>3167</v>
      </c>
      <c r="C1591" s="6">
        <v>10000.0</v>
      </c>
      <c r="D1591" s="6">
        <v>4.5</v>
      </c>
      <c r="E1591" s="6">
        <v>2.0</v>
      </c>
    </row>
    <row r="1592">
      <c r="A1592" s="4" t="s">
        <v>3168</v>
      </c>
      <c r="B1592" s="5" t="s">
        <v>3169</v>
      </c>
      <c r="C1592" s="6">
        <v>10000.0</v>
      </c>
      <c r="D1592" s="6">
        <v>3.5</v>
      </c>
      <c r="E1592" s="6">
        <v>6.0</v>
      </c>
    </row>
    <row r="1593">
      <c r="A1593" s="4" t="s">
        <v>3170</v>
      </c>
      <c r="B1593" s="5" t="s">
        <v>3171</v>
      </c>
      <c r="C1593" s="6">
        <v>10000.0</v>
      </c>
      <c r="D1593" s="6">
        <v>4.666666667</v>
      </c>
      <c r="E1593" s="6">
        <v>6.0</v>
      </c>
    </row>
    <row r="1594">
      <c r="A1594" s="4" t="s">
        <v>3172</v>
      </c>
      <c r="B1594" s="5" t="s">
        <v>3173</v>
      </c>
      <c r="C1594" s="6">
        <v>10000.0</v>
      </c>
      <c r="D1594" s="6">
        <v>4.666666667</v>
      </c>
      <c r="E1594" s="6">
        <v>30.0</v>
      </c>
    </row>
    <row r="1595">
      <c r="A1595" s="4" t="s">
        <v>3174</v>
      </c>
      <c r="B1595" s="5" t="s">
        <v>3175</v>
      </c>
      <c r="C1595" s="6">
        <v>10000.0</v>
      </c>
      <c r="D1595" s="6">
        <v>2.333333333</v>
      </c>
      <c r="E1595" s="6">
        <v>3.0</v>
      </c>
    </row>
    <row r="1596">
      <c r="A1596" s="4" t="s">
        <v>3176</v>
      </c>
      <c r="B1596" s="5" t="s">
        <v>3177</v>
      </c>
      <c r="C1596" s="6">
        <v>10000.0</v>
      </c>
      <c r="D1596" s="6">
        <v>4.730769231</v>
      </c>
      <c r="E1596" s="6">
        <v>78.0</v>
      </c>
    </row>
    <row r="1597">
      <c r="A1597" s="4" t="s">
        <v>3178</v>
      </c>
      <c r="B1597" s="5" t="s">
        <v>3179</v>
      </c>
      <c r="C1597" s="6">
        <v>10000.0</v>
      </c>
      <c r="D1597" s="6">
        <v>3.509677419</v>
      </c>
      <c r="E1597" s="6">
        <v>310.0</v>
      </c>
    </row>
    <row r="1598">
      <c r="A1598" s="4" t="s">
        <v>3180</v>
      </c>
      <c r="B1598" s="5" t="s">
        <v>3181</v>
      </c>
      <c r="C1598" s="6">
        <v>10000.0</v>
      </c>
      <c r="D1598" s="6">
        <v>4.375</v>
      </c>
      <c r="E1598" s="6">
        <v>8.0</v>
      </c>
    </row>
    <row r="1599">
      <c r="A1599" s="4" t="s">
        <v>3182</v>
      </c>
      <c r="B1599" s="5" t="s">
        <v>3183</v>
      </c>
      <c r="C1599" s="6">
        <v>10000.0</v>
      </c>
      <c r="D1599" s="6">
        <v>4.5</v>
      </c>
      <c r="E1599" s="6">
        <v>16.0</v>
      </c>
    </row>
    <row r="1600">
      <c r="A1600" s="4" t="s">
        <v>3184</v>
      </c>
      <c r="B1600" s="5" t="s">
        <v>3185</v>
      </c>
      <c r="C1600" s="6">
        <v>10000.0</v>
      </c>
      <c r="D1600" s="6">
        <v>4.225806452</v>
      </c>
      <c r="E1600" s="6">
        <v>31.0</v>
      </c>
    </row>
    <row r="1601">
      <c r="A1601" s="4" t="s">
        <v>3186</v>
      </c>
      <c r="B1601" s="5" t="s">
        <v>3187</v>
      </c>
      <c r="C1601" s="6">
        <v>10000.0</v>
      </c>
      <c r="D1601" s="6">
        <v>2.584269663</v>
      </c>
      <c r="E1601" s="6">
        <v>89.0</v>
      </c>
    </row>
    <row r="1602">
      <c r="A1602" s="4" t="s">
        <v>3188</v>
      </c>
      <c r="B1602" s="5" t="s">
        <v>3189</v>
      </c>
      <c r="C1602" s="6">
        <v>10000.0</v>
      </c>
      <c r="D1602" s="6">
        <v>4.136363636</v>
      </c>
      <c r="E1602" s="6">
        <v>44.0</v>
      </c>
    </row>
    <row r="1603">
      <c r="A1603" s="4" t="s">
        <v>3190</v>
      </c>
      <c r="B1603" s="5" t="s">
        <v>3191</v>
      </c>
      <c r="C1603" s="6">
        <v>10000.0</v>
      </c>
      <c r="D1603" s="6">
        <v>2.719858156</v>
      </c>
      <c r="E1603" s="6">
        <v>282.0</v>
      </c>
    </row>
    <row r="1604">
      <c r="A1604" s="4" t="s">
        <v>3192</v>
      </c>
      <c r="B1604" s="5" t="s">
        <v>3193</v>
      </c>
      <c r="C1604" s="6">
        <v>10000.0</v>
      </c>
      <c r="D1604" s="6">
        <v>3.426229508</v>
      </c>
      <c r="E1604" s="6">
        <v>183.0</v>
      </c>
    </row>
    <row r="1605">
      <c r="A1605" s="4" t="s">
        <v>3194</v>
      </c>
      <c r="B1605" s="5" t="s">
        <v>3195</v>
      </c>
      <c r="C1605" s="6">
        <v>10000.0</v>
      </c>
      <c r="D1605" s="6">
        <v>2.819148936</v>
      </c>
      <c r="E1605" s="6">
        <v>94.0</v>
      </c>
    </row>
    <row r="1606">
      <c r="A1606" s="4" t="s">
        <v>3196</v>
      </c>
      <c r="B1606" s="5" t="s">
        <v>3197</v>
      </c>
      <c r="C1606" s="6">
        <v>10000.0</v>
      </c>
      <c r="D1606" s="6">
        <v>2.574468085</v>
      </c>
      <c r="E1606" s="6">
        <v>47.0</v>
      </c>
    </row>
    <row r="1607">
      <c r="A1607" s="4" t="s">
        <v>3198</v>
      </c>
      <c r="B1607" s="5" t="s">
        <v>3199</v>
      </c>
      <c r="C1607" s="6">
        <v>10000.0</v>
      </c>
      <c r="D1607" s="6">
        <v>4.481481481</v>
      </c>
      <c r="E1607" s="6">
        <v>27.0</v>
      </c>
    </row>
    <row r="1608">
      <c r="A1608" s="4" t="s">
        <v>3200</v>
      </c>
      <c r="B1608" s="5" t="s">
        <v>3201</v>
      </c>
      <c r="C1608" s="6">
        <v>10000.0</v>
      </c>
      <c r="D1608" s="6">
        <v>4.072727273</v>
      </c>
      <c r="E1608" s="6">
        <v>55.0</v>
      </c>
    </row>
    <row r="1609">
      <c r="A1609" s="4" t="s">
        <v>3202</v>
      </c>
      <c r="B1609" s="5" t="s">
        <v>3203</v>
      </c>
      <c r="C1609" s="6">
        <v>10000.0</v>
      </c>
      <c r="D1609" s="6">
        <v>2.768707483</v>
      </c>
      <c r="E1609" s="6">
        <v>294.0</v>
      </c>
    </row>
    <row r="1610">
      <c r="A1610" s="4" t="s">
        <v>3204</v>
      </c>
      <c r="B1610" s="5" t="s">
        <v>3205</v>
      </c>
      <c r="C1610" s="6">
        <v>10000.0</v>
      </c>
      <c r="D1610" s="6">
        <v>2.985074627</v>
      </c>
      <c r="E1610" s="6">
        <v>67.0</v>
      </c>
    </row>
    <row r="1611">
      <c r="A1611" s="4" t="s">
        <v>3206</v>
      </c>
      <c r="B1611" s="5" t="s">
        <v>3207</v>
      </c>
      <c r="C1611" s="6">
        <v>10000.0</v>
      </c>
      <c r="D1611" s="6">
        <v>3.836734694</v>
      </c>
      <c r="E1611" s="6">
        <v>49.0</v>
      </c>
    </row>
    <row r="1612">
      <c r="A1612" s="4" t="s">
        <v>3208</v>
      </c>
      <c r="B1612" s="5" t="s">
        <v>3209</v>
      </c>
      <c r="C1612" s="6">
        <v>10000.0</v>
      </c>
      <c r="D1612" s="6">
        <v>4.7</v>
      </c>
      <c r="E1612" s="6">
        <v>120.0</v>
      </c>
    </row>
    <row r="1613">
      <c r="A1613" s="4" t="s">
        <v>3210</v>
      </c>
      <c r="B1613" s="5" t="s">
        <v>3211</v>
      </c>
      <c r="C1613" s="6">
        <v>10000.0</v>
      </c>
      <c r="D1613" s="6">
        <v>4.5</v>
      </c>
      <c r="E1613" s="6">
        <v>14.0</v>
      </c>
    </row>
    <row r="1614">
      <c r="A1614" s="4" t="s">
        <v>3212</v>
      </c>
      <c r="B1614" s="5" t="s">
        <v>3213</v>
      </c>
      <c r="C1614" s="6">
        <v>10000.0</v>
      </c>
      <c r="D1614" s="6">
        <v>4.246575342</v>
      </c>
      <c r="E1614" s="6">
        <v>73.0</v>
      </c>
    </row>
    <row r="1615">
      <c r="A1615" s="4" t="s">
        <v>3214</v>
      </c>
      <c r="B1615" s="5" t="s">
        <v>3215</v>
      </c>
      <c r="C1615" s="6">
        <v>10000.0</v>
      </c>
      <c r="D1615" s="6">
        <v>3.584745763</v>
      </c>
      <c r="E1615" s="6">
        <v>118.0</v>
      </c>
    </row>
    <row r="1616">
      <c r="A1616" s="4" t="s">
        <v>3216</v>
      </c>
      <c r="B1616" s="5" t="s">
        <v>3217</v>
      </c>
      <c r="C1616" s="6">
        <v>10000.0</v>
      </c>
      <c r="D1616" s="6">
        <v>2.5</v>
      </c>
      <c r="E1616" s="6">
        <v>8.0</v>
      </c>
    </row>
    <row r="1617">
      <c r="A1617" s="4" t="s">
        <v>3218</v>
      </c>
      <c r="B1617" s="5" t="s">
        <v>3219</v>
      </c>
      <c r="C1617" s="6">
        <v>10000.0</v>
      </c>
      <c r="D1617" s="6">
        <v>3.388888889</v>
      </c>
      <c r="E1617" s="6">
        <v>18.0</v>
      </c>
    </row>
    <row r="1618">
      <c r="A1618" s="4" t="s">
        <v>3220</v>
      </c>
      <c r="B1618" s="5" t="s">
        <v>3221</v>
      </c>
      <c r="C1618" s="6">
        <v>10000.0</v>
      </c>
      <c r="D1618" s="6">
        <v>4.498168498</v>
      </c>
      <c r="E1618" s="6">
        <v>273.0</v>
      </c>
    </row>
    <row r="1619">
      <c r="A1619" s="4" t="s">
        <v>3222</v>
      </c>
      <c r="B1619" s="5" t="s">
        <v>3223</v>
      </c>
      <c r="C1619" s="6">
        <v>10000.0</v>
      </c>
      <c r="D1619" s="6">
        <v>4.389312977</v>
      </c>
      <c r="E1619" s="6">
        <v>131.0</v>
      </c>
    </row>
    <row r="1620">
      <c r="A1620" s="4" t="s">
        <v>3224</v>
      </c>
      <c r="B1620" s="5" t="s">
        <v>3225</v>
      </c>
      <c r="C1620" s="6">
        <v>10000.0</v>
      </c>
      <c r="D1620" s="6">
        <v>4.24</v>
      </c>
      <c r="E1620" s="6">
        <v>25.0</v>
      </c>
    </row>
    <row r="1621">
      <c r="A1621" s="4" t="s">
        <v>3226</v>
      </c>
      <c r="B1621" s="5" t="s">
        <v>3227</v>
      </c>
      <c r="C1621" s="6">
        <v>10000.0</v>
      </c>
      <c r="D1621" s="6">
        <v>3.34375</v>
      </c>
      <c r="E1621" s="6">
        <v>256.0</v>
      </c>
    </row>
    <row r="1622">
      <c r="A1622" s="4" t="s">
        <v>3228</v>
      </c>
      <c r="B1622" s="5" t="s">
        <v>3229</v>
      </c>
      <c r="C1622" s="6">
        <v>10000.0</v>
      </c>
      <c r="D1622" s="9"/>
      <c r="E1622" s="9"/>
    </row>
    <row r="1623">
      <c r="A1623" s="4" t="s">
        <v>3230</v>
      </c>
      <c r="B1623" s="5" t="s">
        <v>3231</v>
      </c>
      <c r="C1623" s="6">
        <v>10000.0</v>
      </c>
      <c r="D1623" s="6">
        <v>5.0</v>
      </c>
      <c r="E1623" s="6">
        <v>16.0</v>
      </c>
    </row>
    <row r="1624">
      <c r="A1624" s="4" t="s">
        <v>3232</v>
      </c>
      <c r="B1624" s="5" t="s">
        <v>3233</v>
      </c>
      <c r="C1624" s="6">
        <v>10000.0</v>
      </c>
      <c r="D1624" s="6">
        <v>4.242424242</v>
      </c>
      <c r="E1624" s="6">
        <v>132.0</v>
      </c>
    </row>
    <row r="1625">
      <c r="A1625" s="4" t="s">
        <v>3234</v>
      </c>
      <c r="B1625" s="5" t="s">
        <v>3235</v>
      </c>
      <c r="C1625" s="6">
        <v>10000.0</v>
      </c>
      <c r="D1625" s="6">
        <v>3.8</v>
      </c>
      <c r="E1625" s="6">
        <v>15.0</v>
      </c>
    </row>
    <row r="1626">
      <c r="A1626" s="4" t="s">
        <v>3236</v>
      </c>
      <c r="B1626" s="5" t="s">
        <v>3237</v>
      </c>
      <c r="C1626" s="6">
        <v>10000.0</v>
      </c>
      <c r="D1626" s="6">
        <v>4.218309859</v>
      </c>
      <c r="E1626" s="6">
        <v>142.0</v>
      </c>
    </row>
    <row r="1627">
      <c r="A1627" s="4" t="s">
        <v>3238</v>
      </c>
      <c r="B1627" s="12" t="s">
        <v>3239</v>
      </c>
      <c r="C1627" s="7">
        <v>10000.0</v>
      </c>
      <c r="D1627" s="6">
        <v>4.9</v>
      </c>
      <c r="E1627" s="6">
        <v>165.0</v>
      </c>
    </row>
    <row r="1628">
      <c r="A1628" s="4" t="s">
        <v>3240</v>
      </c>
      <c r="B1628" s="5" t="s">
        <v>3241</v>
      </c>
      <c r="C1628" s="6">
        <v>10000.0</v>
      </c>
      <c r="D1628" s="6">
        <v>5.0</v>
      </c>
      <c r="E1628" s="6">
        <v>44.0</v>
      </c>
    </row>
    <row r="1629">
      <c r="A1629" s="4" t="s">
        <v>3242</v>
      </c>
      <c r="B1629" s="5" t="s">
        <v>3243</v>
      </c>
      <c r="C1629" s="6">
        <v>10000.0</v>
      </c>
      <c r="D1629" s="6">
        <v>3.235294118</v>
      </c>
      <c r="E1629" s="6">
        <v>612.0</v>
      </c>
    </row>
    <row r="1630">
      <c r="A1630" s="4" t="s">
        <v>3244</v>
      </c>
      <c r="B1630" s="5" t="s">
        <v>3245</v>
      </c>
      <c r="C1630" s="6">
        <v>10000.0</v>
      </c>
      <c r="D1630" s="6">
        <v>4.32173913</v>
      </c>
      <c r="E1630" s="6">
        <v>115.0</v>
      </c>
    </row>
    <row r="1631">
      <c r="A1631" s="4" t="s">
        <v>3246</v>
      </c>
      <c r="B1631" s="5" t="s">
        <v>3247</v>
      </c>
      <c r="C1631" s="6">
        <v>10000.0</v>
      </c>
      <c r="D1631" s="6">
        <v>4.434782609</v>
      </c>
      <c r="E1631" s="6">
        <v>46.0</v>
      </c>
    </row>
    <row r="1632">
      <c r="A1632" s="4" t="s">
        <v>3248</v>
      </c>
      <c r="B1632" s="5" t="s">
        <v>3249</v>
      </c>
      <c r="C1632" s="6">
        <v>10000.0</v>
      </c>
      <c r="D1632" s="6">
        <v>2.5625</v>
      </c>
      <c r="E1632" s="6">
        <v>16.0</v>
      </c>
    </row>
    <row r="1633">
      <c r="A1633" s="4" t="s">
        <v>3250</v>
      </c>
      <c r="B1633" s="5" t="s">
        <v>3251</v>
      </c>
      <c r="C1633" s="6">
        <v>10000.0</v>
      </c>
      <c r="D1633" s="6">
        <v>4.714285714</v>
      </c>
      <c r="E1633" s="6">
        <v>14.0</v>
      </c>
    </row>
    <row r="1634">
      <c r="A1634" s="4" t="s">
        <v>3252</v>
      </c>
      <c r="B1634" s="5" t="s">
        <v>3253</v>
      </c>
      <c r="C1634" s="6">
        <v>10000.0</v>
      </c>
      <c r="D1634" s="6">
        <v>2.8</v>
      </c>
      <c r="E1634" s="6">
        <v>5.0</v>
      </c>
    </row>
    <row r="1635">
      <c r="A1635" s="4" t="s">
        <v>3254</v>
      </c>
      <c r="B1635" s="5" t="s">
        <v>3255</v>
      </c>
      <c r="C1635" s="6">
        <v>10000.0</v>
      </c>
      <c r="D1635" s="6">
        <v>3.059322034</v>
      </c>
      <c r="E1635" s="6">
        <v>118.0</v>
      </c>
    </row>
    <row r="1636">
      <c r="A1636" s="4" t="s">
        <v>3256</v>
      </c>
      <c r="B1636" s="5" t="s">
        <v>3257</v>
      </c>
      <c r="C1636" s="6">
        <v>10000.0</v>
      </c>
      <c r="D1636" s="6">
        <v>3.5</v>
      </c>
      <c r="E1636" s="6">
        <v>28.0</v>
      </c>
    </row>
    <row r="1637">
      <c r="A1637" s="4" t="s">
        <v>3258</v>
      </c>
      <c r="B1637" s="5" t="s">
        <v>3259</v>
      </c>
      <c r="C1637" s="6">
        <v>10000.0</v>
      </c>
      <c r="D1637" s="6">
        <v>2.58677686</v>
      </c>
      <c r="E1637" s="6">
        <v>121.0</v>
      </c>
    </row>
    <row r="1638">
      <c r="A1638" s="4" t="s">
        <v>3260</v>
      </c>
      <c r="B1638" s="5" t="s">
        <v>3261</v>
      </c>
      <c r="C1638" s="6">
        <v>10000.0</v>
      </c>
      <c r="D1638" s="6">
        <v>1.0</v>
      </c>
      <c r="E1638" s="6">
        <v>6.0</v>
      </c>
    </row>
    <row r="1639">
      <c r="A1639" s="4" t="s">
        <v>3262</v>
      </c>
      <c r="B1639" s="5" t="s">
        <v>3263</v>
      </c>
      <c r="C1639" s="6">
        <v>10000.0</v>
      </c>
      <c r="D1639" s="6">
        <v>3.166666667</v>
      </c>
      <c r="E1639" s="6">
        <v>60.0</v>
      </c>
    </row>
    <row r="1640">
      <c r="A1640" s="4" t="s">
        <v>3264</v>
      </c>
      <c r="B1640" s="5" t="s">
        <v>3265</v>
      </c>
      <c r="C1640" s="6">
        <v>10000.0</v>
      </c>
      <c r="D1640" s="6">
        <v>4.579268293</v>
      </c>
      <c r="E1640" s="6">
        <v>164.0</v>
      </c>
    </row>
    <row r="1641">
      <c r="A1641" s="4" t="s">
        <v>3266</v>
      </c>
      <c r="B1641" s="12" t="s">
        <v>3267</v>
      </c>
      <c r="C1641" s="7">
        <v>10000.0</v>
      </c>
      <c r="D1641" s="6">
        <v>2.6</v>
      </c>
      <c r="E1641" s="6">
        <v>20.0</v>
      </c>
    </row>
    <row r="1642">
      <c r="A1642" s="4" t="s">
        <v>3268</v>
      </c>
      <c r="B1642" s="5" t="s">
        <v>3269</v>
      </c>
      <c r="C1642" s="6">
        <v>10000.0</v>
      </c>
      <c r="D1642" s="6">
        <v>4.105769231</v>
      </c>
      <c r="E1642" s="6">
        <v>312.0</v>
      </c>
    </row>
    <row r="1643">
      <c r="A1643" s="4" t="s">
        <v>3270</v>
      </c>
      <c r="B1643" s="5" t="s">
        <v>3271</v>
      </c>
      <c r="C1643" s="6">
        <v>10000.0</v>
      </c>
      <c r="D1643" s="6">
        <v>3.821782178</v>
      </c>
      <c r="E1643" s="6">
        <v>101.0</v>
      </c>
    </row>
    <row r="1644">
      <c r="A1644" s="4" t="s">
        <v>3272</v>
      </c>
      <c r="B1644" s="5" t="s">
        <v>3273</v>
      </c>
      <c r="C1644" s="6">
        <v>10000.0</v>
      </c>
      <c r="D1644" s="6">
        <v>5.0</v>
      </c>
      <c r="E1644" s="6">
        <v>3.0</v>
      </c>
    </row>
    <row r="1645">
      <c r="A1645" s="4" t="s">
        <v>3274</v>
      </c>
      <c r="B1645" s="5" t="s">
        <v>3275</v>
      </c>
      <c r="C1645" s="6">
        <v>10000.0</v>
      </c>
      <c r="D1645" s="6">
        <v>4.588235294</v>
      </c>
      <c r="E1645" s="6">
        <v>51.0</v>
      </c>
    </row>
    <row r="1646">
      <c r="A1646" s="4" t="s">
        <v>3276</v>
      </c>
      <c r="B1646" s="5" t="s">
        <v>3277</v>
      </c>
      <c r="C1646" s="6">
        <v>10000.0</v>
      </c>
      <c r="D1646" s="6">
        <v>4.876777251</v>
      </c>
      <c r="E1646" s="6">
        <v>211.0</v>
      </c>
    </row>
    <row r="1647">
      <c r="A1647" s="4" t="s">
        <v>3278</v>
      </c>
      <c r="B1647" s="5" t="s">
        <v>3279</v>
      </c>
      <c r="C1647" s="6">
        <v>10000.0</v>
      </c>
      <c r="D1647" s="6">
        <v>4.419047619</v>
      </c>
      <c r="E1647" s="6">
        <v>105.0</v>
      </c>
    </row>
    <row r="1648">
      <c r="A1648" s="4" t="s">
        <v>3280</v>
      </c>
      <c r="B1648" s="5" t="s">
        <v>3281</v>
      </c>
      <c r="C1648" s="6">
        <v>10000.0</v>
      </c>
      <c r="D1648" s="6">
        <v>3.181818182</v>
      </c>
      <c r="E1648" s="6">
        <v>22.0</v>
      </c>
    </row>
    <row r="1649">
      <c r="A1649" s="4" t="s">
        <v>3282</v>
      </c>
      <c r="B1649" s="5" t="s">
        <v>3283</v>
      </c>
      <c r="C1649" s="6">
        <v>10000.0</v>
      </c>
      <c r="D1649" s="6">
        <v>4.529411765</v>
      </c>
      <c r="E1649" s="6">
        <v>51.0</v>
      </c>
    </row>
    <row r="1650">
      <c r="A1650" s="4" t="s">
        <v>3284</v>
      </c>
      <c r="B1650" s="5" t="s">
        <v>3285</v>
      </c>
      <c r="C1650" s="6">
        <v>10000.0</v>
      </c>
      <c r="D1650" s="6">
        <v>3.35</v>
      </c>
      <c r="E1650" s="6">
        <v>20.0</v>
      </c>
    </row>
    <row r="1651">
      <c r="A1651" s="4" t="s">
        <v>3286</v>
      </c>
      <c r="B1651" s="5" t="s">
        <v>3287</v>
      </c>
      <c r="C1651" s="6">
        <v>10000.0</v>
      </c>
      <c r="D1651" s="6">
        <v>4.307291667</v>
      </c>
      <c r="E1651" s="6">
        <v>192.0</v>
      </c>
    </row>
    <row r="1652">
      <c r="A1652" s="4" t="s">
        <v>3288</v>
      </c>
      <c r="B1652" s="5" t="s">
        <v>3289</v>
      </c>
      <c r="C1652" s="6">
        <v>10000.0</v>
      </c>
      <c r="D1652" s="6">
        <v>3.623376623</v>
      </c>
      <c r="E1652" s="6">
        <v>77.0</v>
      </c>
    </row>
    <row r="1653">
      <c r="A1653" s="4" t="s">
        <v>3290</v>
      </c>
      <c r="B1653" s="5" t="s">
        <v>3291</v>
      </c>
      <c r="C1653" s="6">
        <v>10000.0</v>
      </c>
      <c r="D1653" s="6">
        <v>4.956521739</v>
      </c>
      <c r="E1653" s="6">
        <v>46.0</v>
      </c>
    </row>
    <row r="1654">
      <c r="A1654" s="4" t="s">
        <v>3292</v>
      </c>
      <c r="B1654" s="5" t="s">
        <v>3293</v>
      </c>
      <c r="C1654" s="6">
        <v>10000.0</v>
      </c>
      <c r="D1654" s="6">
        <v>2.352941176</v>
      </c>
      <c r="E1654" s="6">
        <v>119.0</v>
      </c>
    </row>
    <row r="1655">
      <c r="A1655" s="4" t="s">
        <v>3294</v>
      </c>
      <c r="B1655" s="5" t="s">
        <v>3295</v>
      </c>
      <c r="C1655" s="6">
        <v>10000.0</v>
      </c>
      <c r="D1655" s="6">
        <v>4.373134328</v>
      </c>
      <c r="E1655" s="6">
        <v>67.0</v>
      </c>
    </row>
    <row r="1656">
      <c r="A1656" s="4" t="s">
        <v>3296</v>
      </c>
      <c r="B1656" s="5" t="s">
        <v>3297</v>
      </c>
      <c r="C1656" s="6">
        <v>10000.0</v>
      </c>
      <c r="D1656" s="6">
        <v>4.361111111</v>
      </c>
      <c r="E1656" s="6">
        <v>144.0</v>
      </c>
    </row>
    <row r="1657">
      <c r="A1657" s="4" t="s">
        <v>3298</v>
      </c>
      <c r="B1657" s="5" t="s">
        <v>3299</v>
      </c>
      <c r="C1657" s="6">
        <v>10000.0</v>
      </c>
      <c r="D1657" s="6">
        <v>4.020833333</v>
      </c>
      <c r="E1657" s="6">
        <v>96.0</v>
      </c>
    </row>
    <row r="1658">
      <c r="A1658" s="4" t="s">
        <v>3300</v>
      </c>
      <c r="B1658" s="12" t="s">
        <v>3301</v>
      </c>
      <c r="C1658" s="7">
        <v>10000.0</v>
      </c>
      <c r="D1658" s="6">
        <v>3.9</v>
      </c>
      <c r="E1658" s="6">
        <v>38.0</v>
      </c>
    </row>
    <row r="1659">
      <c r="A1659" s="4" t="s">
        <v>3302</v>
      </c>
      <c r="B1659" s="5" t="s">
        <v>3303</v>
      </c>
      <c r="C1659" s="6">
        <v>10000.0</v>
      </c>
      <c r="D1659" s="6">
        <v>4.193548387</v>
      </c>
      <c r="E1659" s="6">
        <v>31.0</v>
      </c>
    </row>
    <row r="1660">
      <c r="A1660" s="4" t="s">
        <v>3304</v>
      </c>
      <c r="B1660" s="5" t="s">
        <v>3305</v>
      </c>
      <c r="C1660" s="6">
        <v>10000.0</v>
      </c>
      <c r="D1660" s="6">
        <v>4.054347826</v>
      </c>
      <c r="E1660" s="6">
        <v>92.0</v>
      </c>
    </row>
    <row r="1661">
      <c r="A1661" s="4" t="s">
        <v>3306</v>
      </c>
      <c r="B1661" s="5" t="s">
        <v>3307</v>
      </c>
      <c r="C1661" s="6">
        <v>10000.0</v>
      </c>
      <c r="D1661" s="6">
        <v>4.375</v>
      </c>
      <c r="E1661" s="6">
        <v>56.0</v>
      </c>
    </row>
    <row r="1662">
      <c r="A1662" s="4" t="s">
        <v>3308</v>
      </c>
      <c r="B1662" s="5" t="s">
        <v>3309</v>
      </c>
      <c r="C1662" s="6">
        <v>10000.0</v>
      </c>
      <c r="D1662" s="6">
        <v>3.333333333</v>
      </c>
      <c r="E1662" s="6">
        <v>6.0</v>
      </c>
    </row>
    <row r="1663">
      <c r="A1663" s="4" t="s">
        <v>3310</v>
      </c>
      <c r="B1663" s="5" t="s">
        <v>3311</v>
      </c>
      <c r="C1663" s="6">
        <v>10000.0</v>
      </c>
      <c r="D1663" s="6">
        <v>4.353658537</v>
      </c>
      <c r="E1663" s="6">
        <v>82.0</v>
      </c>
    </row>
    <row r="1664">
      <c r="A1664" s="4" t="s">
        <v>3312</v>
      </c>
      <c r="B1664" s="5" t="s">
        <v>3313</v>
      </c>
      <c r="C1664" s="6">
        <v>10000.0</v>
      </c>
      <c r="D1664" s="6">
        <v>4.25</v>
      </c>
      <c r="E1664" s="6">
        <v>40.0</v>
      </c>
    </row>
    <row r="1665">
      <c r="A1665" s="4" t="s">
        <v>3314</v>
      </c>
      <c r="B1665" s="5" t="s">
        <v>3315</v>
      </c>
      <c r="C1665" s="6">
        <v>10000.0</v>
      </c>
      <c r="D1665" s="6">
        <v>4.65</v>
      </c>
      <c r="E1665" s="6">
        <v>60.0</v>
      </c>
    </row>
    <row r="1666">
      <c r="A1666" s="4" t="s">
        <v>3316</v>
      </c>
      <c r="B1666" s="5" t="s">
        <v>3317</v>
      </c>
      <c r="C1666" s="6">
        <v>10000.0</v>
      </c>
      <c r="D1666" s="6">
        <v>4.429149798</v>
      </c>
      <c r="E1666" s="6">
        <v>247.0</v>
      </c>
    </row>
    <row r="1667">
      <c r="A1667" s="4" t="s">
        <v>3318</v>
      </c>
      <c r="B1667" s="5" t="s">
        <v>3319</v>
      </c>
      <c r="C1667" s="6">
        <v>10000.0</v>
      </c>
      <c r="D1667" s="6">
        <v>4.739130435</v>
      </c>
      <c r="E1667" s="6">
        <v>46.0</v>
      </c>
    </row>
    <row r="1668">
      <c r="A1668" s="4" t="s">
        <v>3320</v>
      </c>
      <c r="B1668" s="5" t="s">
        <v>3321</v>
      </c>
      <c r="C1668" s="6">
        <v>10000.0</v>
      </c>
      <c r="D1668" s="6">
        <v>4.237288136</v>
      </c>
      <c r="E1668" s="6">
        <v>59.0</v>
      </c>
    </row>
    <row r="1669">
      <c r="A1669" s="4" t="s">
        <v>3322</v>
      </c>
      <c r="B1669" s="5" t="s">
        <v>3323</v>
      </c>
      <c r="C1669" s="6">
        <v>10000.0</v>
      </c>
      <c r="D1669" s="6">
        <v>3.576470588</v>
      </c>
      <c r="E1669" s="6">
        <v>85.0</v>
      </c>
    </row>
    <row r="1670">
      <c r="A1670" s="4" t="s">
        <v>3324</v>
      </c>
      <c r="B1670" s="5" t="s">
        <v>3325</v>
      </c>
      <c r="C1670" s="6">
        <v>10000.0</v>
      </c>
      <c r="D1670" s="6">
        <v>4.0</v>
      </c>
      <c r="E1670" s="6">
        <v>14.0</v>
      </c>
    </row>
    <row r="1671">
      <c r="A1671" s="4" t="s">
        <v>3326</v>
      </c>
      <c r="B1671" s="5" t="s">
        <v>3327</v>
      </c>
      <c r="C1671" s="6">
        <v>10000.0</v>
      </c>
      <c r="D1671" s="6">
        <v>4.56626506</v>
      </c>
      <c r="E1671" s="6">
        <v>249.0</v>
      </c>
    </row>
    <row r="1672">
      <c r="A1672" s="4" t="s">
        <v>3328</v>
      </c>
      <c r="B1672" s="5" t="s">
        <v>3329</v>
      </c>
      <c r="C1672" s="6">
        <v>10000.0</v>
      </c>
      <c r="D1672" s="6">
        <v>4.561983471</v>
      </c>
      <c r="E1672" s="6">
        <v>242.0</v>
      </c>
    </row>
    <row r="1673">
      <c r="A1673" s="4" t="s">
        <v>3330</v>
      </c>
      <c r="B1673" s="5" t="s">
        <v>3331</v>
      </c>
      <c r="C1673" s="6">
        <v>10000.0</v>
      </c>
      <c r="D1673" s="6">
        <v>4.537634409</v>
      </c>
      <c r="E1673" s="6">
        <v>93.0</v>
      </c>
    </row>
    <row r="1674">
      <c r="A1674" s="4" t="s">
        <v>3332</v>
      </c>
      <c r="B1674" s="5" t="s">
        <v>3333</v>
      </c>
      <c r="C1674" s="6">
        <v>10000.0</v>
      </c>
      <c r="D1674" s="6">
        <v>4.277777778</v>
      </c>
      <c r="E1674" s="6">
        <v>36.0</v>
      </c>
    </row>
    <row r="1675">
      <c r="A1675" s="4" t="s">
        <v>3334</v>
      </c>
      <c r="B1675" s="5" t="s">
        <v>3335</v>
      </c>
      <c r="C1675" s="6">
        <v>10000.0</v>
      </c>
      <c r="D1675" s="6">
        <v>4.30952381</v>
      </c>
      <c r="E1675" s="6">
        <v>42.0</v>
      </c>
    </row>
    <row r="1676">
      <c r="A1676" s="4" t="s">
        <v>3336</v>
      </c>
      <c r="B1676" s="5" t="s">
        <v>3337</v>
      </c>
      <c r="C1676" s="6">
        <v>10000.0</v>
      </c>
      <c r="D1676" s="6">
        <v>4.5859375</v>
      </c>
      <c r="E1676" s="6">
        <v>128.0</v>
      </c>
    </row>
    <row r="1677">
      <c r="A1677" s="4" t="s">
        <v>3338</v>
      </c>
      <c r="B1677" s="5" t="s">
        <v>3339</v>
      </c>
      <c r="C1677" s="6">
        <v>10000.0</v>
      </c>
      <c r="D1677" s="9"/>
      <c r="E1677" s="9"/>
    </row>
    <row r="1678">
      <c r="A1678" s="4" t="s">
        <v>3340</v>
      </c>
      <c r="B1678" s="5" t="s">
        <v>3341</v>
      </c>
      <c r="C1678" s="6">
        <v>10000.0</v>
      </c>
      <c r="D1678" s="6">
        <v>4.546511628</v>
      </c>
      <c r="E1678" s="6">
        <v>86.0</v>
      </c>
    </row>
    <row r="1679">
      <c r="A1679" s="4" t="s">
        <v>3342</v>
      </c>
      <c r="B1679" s="5" t="s">
        <v>3343</v>
      </c>
      <c r="C1679" s="6">
        <v>10000.0</v>
      </c>
      <c r="D1679" s="6">
        <v>4.166666667</v>
      </c>
      <c r="E1679" s="6">
        <v>18.0</v>
      </c>
    </row>
    <row r="1680">
      <c r="A1680" s="4" t="s">
        <v>3344</v>
      </c>
      <c r="B1680" s="5" t="s">
        <v>3345</v>
      </c>
      <c r="C1680" s="6">
        <v>10000.0</v>
      </c>
      <c r="D1680" s="6">
        <v>5.0</v>
      </c>
      <c r="E1680" s="6">
        <v>4.0</v>
      </c>
    </row>
    <row r="1681">
      <c r="A1681" s="4" t="s">
        <v>3346</v>
      </c>
      <c r="B1681" s="5" t="s">
        <v>3347</v>
      </c>
      <c r="C1681" s="6">
        <v>10000.0</v>
      </c>
      <c r="D1681" s="6">
        <v>3.806451613</v>
      </c>
      <c r="E1681" s="6">
        <v>31.0</v>
      </c>
    </row>
    <row r="1682">
      <c r="A1682" s="4" t="s">
        <v>3348</v>
      </c>
      <c r="B1682" s="5" t="s">
        <v>3349</v>
      </c>
      <c r="C1682" s="6">
        <v>10000.0</v>
      </c>
      <c r="D1682" s="6">
        <v>4.145833333</v>
      </c>
      <c r="E1682" s="6">
        <v>48.0</v>
      </c>
    </row>
    <row r="1683">
      <c r="A1683" s="4" t="s">
        <v>3350</v>
      </c>
      <c r="B1683" s="5" t="s">
        <v>3351</v>
      </c>
      <c r="C1683" s="6">
        <v>10000.0</v>
      </c>
      <c r="D1683" s="6">
        <v>3.666666667</v>
      </c>
      <c r="E1683" s="6">
        <v>3.0</v>
      </c>
    </row>
    <row r="1684">
      <c r="A1684" s="4" t="s">
        <v>3352</v>
      </c>
      <c r="B1684" s="5" t="s">
        <v>3353</v>
      </c>
      <c r="C1684" s="6">
        <v>10000.0</v>
      </c>
      <c r="D1684" s="6">
        <v>2.736842105</v>
      </c>
      <c r="E1684" s="6">
        <v>133.0</v>
      </c>
    </row>
    <row r="1685">
      <c r="A1685" s="4" t="s">
        <v>3354</v>
      </c>
      <c r="B1685" s="5" t="s">
        <v>3355</v>
      </c>
      <c r="C1685" s="6">
        <v>10000.0</v>
      </c>
      <c r="D1685" s="6">
        <v>4.510638298</v>
      </c>
      <c r="E1685" s="6">
        <v>47.0</v>
      </c>
    </row>
    <row r="1686">
      <c r="A1686" s="4" t="s">
        <v>3356</v>
      </c>
      <c r="B1686" s="5" t="s">
        <v>3357</v>
      </c>
      <c r="C1686" s="6">
        <v>10000.0</v>
      </c>
      <c r="D1686" s="6">
        <v>4.142857143</v>
      </c>
      <c r="E1686" s="6">
        <v>63.0</v>
      </c>
    </row>
    <row r="1687">
      <c r="A1687" s="4" t="s">
        <v>3358</v>
      </c>
      <c r="B1687" s="5" t="s">
        <v>3359</v>
      </c>
      <c r="C1687" s="6">
        <v>10000.0</v>
      </c>
      <c r="D1687" s="6">
        <v>4.542857143</v>
      </c>
      <c r="E1687" s="6">
        <v>35.0</v>
      </c>
    </row>
    <row r="1688">
      <c r="A1688" s="4" t="s">
        <v>3360</v>
      </c>
      <c r="B1688" s="5" t="s">
        <v>3361</v>
      </c>
      <c r="C1688" s="6">
        <v>10000.0</v>
      </c>
      <c r="D1688" s="6">
        <v>4.46</v>
      </c>
      <c r="E1688" s="6">
        <v>150.0</v>
      </c>
    </row>
    <row r="1689">
      <c r="A1689" s="4" t="s">
        <v>3362</v>
      </c>
      <c r="B1689" s="5" t="s">
        <v>3363</v>
      </c>
      <c r="C1689" s="6">
        <v>10000.0</v>
      </c>
      <c r="D1689" s="6">
        <v>3.248618785</v>
      </c>
      <c r="E1689" s="6">
        <v>181.0</v>
      </c>
    </row>
    <row r="1690">
      <c r="A1690" s="4" t="s">
        <v>3364</v>
      </c>
      <c r="B1690" s="5" t="s">
        <v>3365</v>
      </c>
      <c r="C1690" s="6">
        <v>10000.0</v>
      </c>
      <c r="D1690" s="6">
        <v>4.394736842</v>
      </c>
      <c r="E1690" s="6">
        <v>38.0</v>
      </c>
    </row>
    <row r="1691">
      <c r="A1691" s="4" t="s">
        <v>3366</v>
      </c>
      <c r="B1691" s="5" t="s">
        <v>3367</v>
      </c>
      <c r="C1691" s="6">
        <v>10000.0</v>
      </c>
      <c r="D1691" s="6">
        <v>4.826086957</v>
      </c>
      <c r="E1691" s="6">
        <v>23.0</v>
      </c>
    </row>
    <row r="1692">
      <c r="A1692" s="4" t="s">
        <v>3368</v>
      </c>
      <c r="B1692" s="5" t="s">
        <v>3369</v>
      </c>
      <c r="C1692" s="6">
        <v>10000.0</v>
      </c>
      <c r="D1692" s="6">
        <v>4.514285714</v>
      </c>
      <c r="E1692" s="6">
        <v>70.0</v>
      </c>
    </row>
    <row r="1693">
      <c r="A1693" s="4" t="s">
        <v>3370</v>
      </c>
      <c r="B1693" s="5" t="s">
        <v>3371</v>
      </c>
      <c r="C1693" s="6">
        <v>10000.0</v>
      </c>
      <c r="D1693" s="6">
        <v>3.770833333</v>
      </c>
      <c r="E1693" s="6">
        <v>48.0</v>
      </c>
    </row>
    <row r="1694">
      <c r="A1694" s="4" t="s">
        <v>3372</v>
      </c>
      <c r="B1694" s="5" t="s">
        <v>3373</v>
      </c>
      <c r="C1694" s="6">
        <v>10000.0</v>
      </c>
      <c r="D1694" s="6">
        <v>4.954545455</v>
      </c>
      <c r="E1694" s="6">
        <v>22.0</v>
      </c>
    </row>
    <row r="1695">
      <c r="A1695" s="4" t="s">
        <v>3374</v>
      </c>
      <c r="B1695" s="5" t="s">
        <v>3375</v>
      </c>
      <c r="C1695" s="6">
        <v>10000.0</v>
      </c>
      <c r="D1695" s="6">
        <v>4.139784946</v>
      </c>
      <c r="E1695" s="6">
        <v>93.0</v>
      </c>
    </row>
    <row r="1696">
      <c r="A1696" s="4" t="s">
        <v>3376</v>
      </c>
      <c r="B1696" s="5" t="s">
        <v>3377</v>
      </c>
      <c r="C1696" s="6">
        <v>10000.0</v>
      </c>
      <c r="D1696" s="6">
        <v>4.5</v>
      </c>
      <c r="E1696" s="6">
        <v>10.0</v>
      </c>
    </row>
    <row r="1697">
      <c r="A1697" s="4" t="s">
        <v>3378</v>
      </c>
      <c r="B1697" s="5" t="s">
        <v>3379</v>
      </c>
      <c r="C1697" s="6">
        <v>10000.0</v>
      </c>
      <c r="D1697" s="6">
        <v>4.245833333</v>
      </c>
      <c r="E1697" s="6">
        <v>240.0</v>
      </c>
    </row>
    <row r="1698">
      <c r="A1698" s="4" t="s">
        <v>3380</v>
      </c>
      <c r="B1698" s="5" t="s">
        <v>3381</v>
      </c>
      <c r="C1698" s="6">
        <v>10000.0</v>
      </c>
      <c r="D1698" s="6">
        <v>3.454545455</v>
      </c>
      <c r="E1698" s="6">
        <v>176.0</v>
      </c>
    </row>
    <row r="1699">
      <c r="A1699" s="4" t="s">
        <v>3382</v>
      </c>
      <c r="B1699" s="5" t="s">
        <v>3383</v>
      </c>
      <c r="C1699" s="6">
        <v>10000.0</v>
      </c>
      <c r="D1699" s="6">
        <v>4.481081081</v>
      </c>
      <c r="E1699" s="6">
        <v>185.0</v>
      </c>
    </row>
    <row r="1700">
      <c r="A1700" s="4" t="s">
        <v>3384</v>
      </c>
      <c r="B1700" s="5" t="s">
        <v>3385</v>
      </c>
      <c r="C1700" s="6">
        <v>10000.0</v>
      </c>
      <c r="D1700" s="6">
        <v>4.142857143</v>
      </c>
      <c r="E1700" s="6">
        <v>21.0</v>
      </c>
    </row>
    <row r="1701">
      <c r="A1701" s="4" t="s">
        <v>3386</v>
      </c>
      <c r="B1701" s="5" t="s">
        <v>3387</v>
      </c>
      <c r="C1701" s="6">
        <v>10000.0</v>
      </c>
      <c r="D1701" s="6">
        <v>4.5</v>
      </c>
      <c r="E1701" s="6">
        <v>2.0</v>
      </c>
    </row>
    <row r="1702">
      <c r="A1702" s="4" t="s">
        <v>3388</v>
      </c>
      <c r="B1702" s="5" t="s">
        <v>3389</v>
      </c>
      <c r="C1702" s="6">
        <v>10000.0</v>
      </c>
      <c r="D1702" s="6">
        <v>4.88</v>
      </c>
      <c r="E1702" s="6">
        <v>25.0</v>
      </c>
    </row>
    <row r="1703">
      <c r="A1703" s="4" t="s">
        <v>3390</v>
      </c>
      <c r="B1703" s="5" t="s">
        <v>3391</v>
      </c>
      <c r="C1703" s="6">
        <v>10000.0</v>
      </c>
      <c r="D1703" s="6">
        <v>3.810810811</v>
      </c>
      <c r="E1703" s="6">
        <v>37.0</v>
      </c>
    </row>
    <row r="1704">
      <c r="A1704" s="4" t="s">
        <v>3392</v>
      </c>
      <c r="B1704" s="5" t="s">
        <v>3393</v>
      </c>
      <c r="C1704" s="6">
        <v>10000.0</v>
      </c>
      <c r="D1704" s="9"/>
      <c r="E1704" s="9"/>
    </row>
    <row r="1705">
      <c r="A1705" s="4" t="s">
        <v>3394</v>
      </c>
      <c r="B1705" s="5" t="s">
        <v>3395</v>
      </c>
      <c r="C1705" s="6">
        <v>10000.0</v>
      </c>
      <c r="D1705" s="6">
        <v>4.345864662</v>
      </c>
      <c r="E1705" s="6">
        <v>133.0</v>
      </c>
    </row>
    <row r="1706">
      <c r="A1706" s="4" t="s">
        <v>3396</v>
      </c>
      <c r="B1706" s="5" t="s">
        <v>3397</v>
      </c>
      <c r="C1706" s="6">
        <v>10000.0</v>
      </c>
      <c r="D1706" s="6">
        <v>4.384615385</v>
      </c>
      <c r="E1706" s="6">
        <v>13.0</v>
      </c>
    </row>
    <row r="1707">
      <c r="A1707" s="4" t="s">
        <v>3398</v>
      </c>
      <c r="B1707" s="5" t="s">
        <v>3399</v>
      </c>
      <c r="C1707" s="6">
        <v>10000.0</v>
      </c>
      <c r="D1707" s="6">
        <v>3.82</v>
      </c>
      <c r="E1707" s="6">
        <v>100.0</v>
      </c>
    </row>
    <row r="1708">
      <c r="A1708" s="4" t="s">
        <v>3400</v>
      </c>
      <c r="B1708" s="5" t="s">
        <v>3401</v>
      </c>
      <c r="C1708" s="6">
        <v>10000.0</v>
      </c>
      <c r="D1708" s="6">
        <v>4.0</v>
      </c>
      <c r="E1708" s="6">
        <v>80.0</v>
      </c>
    </row>
    <row r="1709">
      <c r="A1709" s="4" t="s">
        <v>3402</v>
      </c>
      <c r="B1709" s="5" t="s">
        <v>3403</v>
      </c>
      <c r="C1709" s="6">
        <v>10000.0</v>
      </c>
      <c r="D1709" s="6">
        <v>2.5</v>
      </c>
      <c r="E1709" s="6">
        <v>10.0</v>
      </c>
    </row>
    <row r="1710">
      <c r="A1710" s="4" t="s">
        <v>3404</v>
      </c>
      <c r="B1710" s="5" t="s">
        <v>3405</v>
      </c>
      <c r="C1710" s="6">
        <v>10000.0</v>
      </c>
      <c r="D1710" s="6">
        <v>4.058823529</v>
      </c>
      <c r="E1710" s="6">
        <v>17.0</v>
      </c>
    </row>
    <row r="1711">
      <c r="A1711" s="4" t="s">
        <v>3406</v>
      </c>
      <c r="B1711" s="5" t="s">
        <v>3407</v>
      </c>
      <c r="C1711" s="6">
        <v>10000.0</v>
      </c>
      <c r="D1711" s="6">
        <v>4.638297872</v>
      </c>
      <c r="E1711" s="6">
        <v>47.0</v>
      </c>
    </row>
    <row r="1712">
      <c r="A1712" s="4" t="s">
        <v>3408</v>
      </c>
      <c r="B1712" s="5" t="s">
        <v>3409</v>
      </c>
      <c r="C1712" s="6">
        <v>10000.0</v>
      </c>
      <c r="D1712" s="6">
        <v>4.412371134</v>
      </c>
      <c r="E1712" s="6">
        <v>97.0</v>
      </c>
    </row>
    <row r="1713">
      <c r="A1713" s="4" t="s">
        <v>3410</v>
      </c>
      <c r="B1713" s="5" t="s">
        <v>3411</v>
      </c>
      <c r="C1713" s="6">
        <v>10000.0</v>
      </c>
      <c r="D1713" s="6">
        <v>4.279069767</v>
      </c>
      <c r="E1713" s="6">
        <v>43.0</v>
      </c>
    </row>
    <row r="1714">
      <c r="A1714" s="4" t="s">
        <v>3412</v>
      </c>
      <c r="B1714" s="5" t="s">
        <v>3413</v>
      </c>
      <c r="C1714" s="6">
        <v>10000.0</v>
      </c>
      <c r="D1714" s="6">
        <v>1.666666667</v>
      </c>
      <c r="E1714" s="6">
        <v>6.0</v>
      </c>
    </row>
    <row r="1715">
      <c r="A1715" s="4" t="s">
        <v>3414</v>
      </c>
      <c r="B1715" s="5" t="s">
        <v>3415</v>
      </c>
      <c r="C1715" s="6">
        <v>10000.0</v>
      </c>
      <c r="D1715" s="6">
        <v>4.466666667</v>
      </c>
      <c r="E1715" s="6">
        <v>15.0</v>
      </c>
    </row>
    <row r="1716">
      <c r="A1716" s="4" t="s">
        <v>3416</v>
      </c>
      <c r="B1716" s="5" t="s">
        <v>3417</v>
      </c>
      <c r="C1716" s="6">
        <v>10000.0</v>
      </c>
      <c r="D1716" s="6">
        <v>4.755707763</v>
      </c>
      <c r="E1716" s="6">
        <v>438.0</v>
      </c>
    </row>
    <row r="1717">
      <c r="A1717" s="4" t="s">
        <v>3418</v>
      </c>
      <c r="B1717" s="5" t="s">
        <v>3419</v>
      </c>
      <c r="C1717" s="6">
        <v>10000.0</v>
      </c>
      <c r="D1717" s="6">
        <v>2.952380952</v>
      </c>
      <c r="E1717" s="6">
        <v>21.0</v>
      </c>
    </row>
    <row r="1718">
      <c r="A1718" s="4" t="s">
        <v>3420</v>
      </c>
      <c r="B1718" s="5" t="s">
        <v>3421</v>
      </c>
      <c r="C1718" s="6">
        <v>10000.0</v>
      </c>
      <c r="D1718" s="6">
        <v>3.0</v>
      </c>
      <c r="E1718" s="6">
        <v>2.0</v>
      </c>
    </row>
    <row r="1719">
      <c r="A1719" s="4" t="s">
        <v>3422</v>
      </c>
      <c r="B1719" s="5" t="s">
        <v>3423</v>
      </c>
      <c r="C1719" s="6">
        <v>10000.0</v>
      </c>
      <c r="D1719" s="6">
        <v>4.408839779</v>
      </c>
      <c r="E1719" s="6">
        <v>181.0</v>
      </c>
    </row>
    <row r="1720">
      <c r="A1720" s="4" t="s">
        <v>3424</v>
      </c>
      <c r="B1720" s="5" t="s">
        <v>3425</v>
      </c>
      <c r="C1720" s="6">
        <v>10000.0</v>
      </c>
      <c r="D1720" s="6">
        <v>4.102040816</v>
      </c>
      <c r="E1720" s="6">
        <v>49.0</v>
      </c>
    </row>
    <row r="1721">
      <c r="A1721" s="4" t="s">
        <v>3426</v>
      </c>
      <c r="B1721" s="5" t="s">
        <v>3427</v>
      </c>
      <c r="C1721" s="6">
        <v>10000.0</v>
      </c>
      <c r="D1721" s="6">
        <v>4.739759036</v>
      </c>
      <c r="E1721" s="6">
        <v>415.0</v>
      </c>
    </row>
    <row r="1722">
      <c r="A1722" s="4" t="s">
        <v>3428</v>
      </c>
      <c r="B1722" s="5" t="s">
        <v>3429</v>
      </c>
      <c r="C1722" s="6">
        <v>10000.0</v>
      </c>
      <c r="D1722" s="6">
        <v>4.603960396</v>
      </c>
      <c r="E1722" s="6">
        <v>202.0</v>
      </c>
    </row>
    <row r="1723">
      <c r="A1723" s="4" t="s">
        <v>3430</v>
      </c>
      <c r="B1723" s="5" t="s">
        <v>3431</v>
      </c>
      <c r="C1723" s="6">
        <v>10000.0</v>
      </c>
      <c r="D1723" s="6">
        <v>4.725490196</v>
      </c>
      <c r="E1723" s="6">
        <v>102.0</v>
      </c>
    </row>
    <row r="1724">
      <c r="A1724" s="4" t="s">
        <v>3432</v>
      </c>
      <c r="B1724" s="5" t="s">
        <v>3433</v>
      </c>
      <c r="C1724" s="6">
        <v>10000.0</v>
      </c>
      <c r="D1724" s="6">
        <v>4.234375</v>
      </c>
      <c r="E1724" s="6">
        <v>192.0</v>
      </c>
    </row>
    <row r="1725">
      <c r="A1725" s="4" t="s">
        <v>3434</v>
      </c>
      <c r="B1725" s="5" t="s">
        <v>3435</v>
      </c>
      <c r="C1725" s="6">
        <v>10000.0</v>
      </c>
      <c r="D1725" s="6">
        <v>4.515151515</v>
      </c>
      <c r="E1725" s="6">
        <v>33.0</v>
      </c>
    </row>
    <row r="1726">
      <c r="A1726" s="4" t="s">
        <v>3436</v>
      </c>
      <c r="B1726" s="5" t="s">
        <v>3437</v>
      </c>
      <c r="C1726" s="6">
        <v>10000.0</v>
      </c>
      <c r="D1726" s="6">
        <v>3.975</v>
      </c>
      <c r="E1726" s="6">
        <v>40.0</v>
      </c>
    </row>
    <row r="1727">
      <c r="A1727" s="4" t="s">
        <v>3438</v>
      </c>
      <c r="B1727" s="5" t="s">
        <v>3439</v>
      </c>
      <c r="C1727" s="6">
        <v>10000.0</v>
      </c>
      <c r="D1727" s="6">
        <v>2.318181818</v>
      </c>
      <c r="E1727" s="6">
        <v>22.0</v>
      </c>
    </row>
    <row r="1728">
      <c r="A1728" s="4" t="s">
        <v>3440</v>
      </c>
      <c r="B1728" s="5" t="s">
        <v>3441</v>
      </c>
      <c r="C1728" s="6">
        <v>10000.0</v>
      </c>
      <c r="D1728" s="6">
        <v>3.868421053</v>
      </c>
      <c r="E1728" s="6">
        <v>38.0</v>
      </c>
    </row>
    <row r="1729">
      <c r="A1729" s="4" t="s">
        <v>3442</v>
      </c>
      <c r="B1729" s="5" t="s">
        <v>3443</v>
      </c>
      <c r="C1729" s="6">
        <v>10000.0</v>
      </c>
      <c r="D1729" s="6">
        <v>2.442622951</v>
      </c>
      <c r="E1729" s="6">
        <v>61.0</v>
      </c>
    </row>
    <row r="1730">
      <c r="A1730" s="4" t="s">
        <v>3444</v>
      </c>
      <c r="B1730" s="5" t="s">
        <v>3445</v>
      </c>
      <c r="C1730" s="6">
        <v>10000.0</v>
      </c>
      <c r="D1730" s="6">
        <v>4.318181818</v>
      </c>
      <c r="E1730" s="6">
        <v>110.0</v>
      </c>
    </row>
    <row r="1731">
      <c r="A1731" s="4" t="s">
        <v>3446</v>
      </c>
      <c r="B1731" s="5" t="s">
        <v>3447</v>
      </c>
      <c r="C1731" s="6">
        <v>10000.0</v>
      </c>
      <c r="D1731" s="6">
        <v>4.617801047</v>
      </c>
      <c r="E1731" s="6">
        <v>382.0</v>
      </c>
    </row>
    <row r="1732">
      <c r="A1732" s="4" t="s">
        <v>3448</v>
      </c>
      <c r="B1732" s="5" t="s">
        <v>3449</v>
      </c>
      <c r="C1732" s="6">
        <v>10000.0</v>
      </c>
      <c r="D1732" s="6">
        <v>4.196721311</v>
      </c>
      <c r="E1732" s="6">
        <v>244.0</v>
      </c>
    </row>
    <row r="1733">
      <c r="A1733" s="4" t="s">
        <v>3450</v>
      </c>
      <c r="B1733" s="5" t="s">
        <v>3451</v>
      </c>
      <c r="C1733" s="6">
        <v>10000.0</v>
      </c>
      <c r="D1733" s="6">
        <v>2.428571429</v>
      </c>
      <c r="E1733" s="6">
        <v>7.0</v>
      </c>
    </row>
    <row r="1734">
      <c r="A1734" s="4" t="s">
        <v>3452</v>
      </c>
      <c r="B1734" s="5" t="s">
        <v>3453</v>
      </c>
      <c r="C1734" s="6">
        <v>10000.0</v>
      </c>
      <c r="D1734" s="6">
        <v>2.666666667</v>
      </c>
      <c r="E1734" s="6">
        <v>15.0</v>
      </c>
    </row>
    <row r="1735">
      <c r="A1735" s="4" t="s">
        <v>3454</v>
      </c>
      <c r="B1735" s="5" t="s">
        <v>3455</v>
      </c>
      <c r="C1735" s="6">
        <v>10000.0</v>
      </c>
      <c r="D1735" s="6">
        <v>3.75</v>
      </c>
      <c r="E1735" s="6">
        <v>88.0</v>
      </c>
    </row>
    <row r="1736">
      <c r="A1736" s="4" t="s">
        <v>3456</v>
      </c>
      <c r="B1736" s="5" t="s">
        <v>3457</v>
      </c>
      <c r="C1736" s="6">
        <v>10000.0</v>
      </c>
      <c r="D1736" s="6">
        <v>4.552884615</v>
      </c>
      <c r="E1736" s="6">
        <v>208.0</v>
      </c>
    </row>
    <row r="1737">
      <c r="A1737" s="4" t="s">
        <v>3458</v>
      </c>
      <c r="B1737" s="5" t="s">
        <v>3459</v>
      </c>
      <c r="C1737" s="6">
        <v>10000.0</v>
      </c>
      <c r="D1737" s="6">
        <v>4.8</v>
      </c>
      <c r="E1737" s="6">
        <v>90.0</v>
      </c>
    </row>
    <row r="1738">
      <c r="A1738" s="4" t="s">
        <v>3460</v>
      </c>
      <c r="B1738" s="5" t="s">
        <v>3461</v>
      </c>
      <c r="C1738" s="6">
        <v>10000.0</v>
      </c>
      <c r="D1738" s="6">
        <v>3.016393443</v>
      </c>
      <c r="E1738" s="6">
        <v>61.0</v>
      </c>
    </row>
    <row r="1739">
      <c r="A1739" s="4" t="s">
        <v>3462</v>
      </c>
      <c r="B1739" s="5" t="s">
        <v>3463</v>
      </c>
      <c r="C1739" s="6">
        <v>10000.0</v>
      </c>
      <c r="D1739" s="6">
        <v>3.506329114</v>
      </c>
      <c r="E1739" s="6">
        <v>79.0</v>
      </c>
    </row>
    <row r="1740">
      <c r="A1740" s="4" t="s">
        <v>3464</v>
      </c>
      <c r="B1740" s="5" t="s">
        <v>3465</v>
      </c>
      <c r="C1740" s="6">
        <v>10000.0</v>
      </c>
      <c r="D1740" s="6">
        <v>3.318181818</v>
      </c>
      <c r="E1740" s="6">
        <v>22.0</v>
      </c>
    </row>
    <row r="1741">
      <c r="A1741" s="4" t="s">
        <v>3466</v>
      </c>
      <c r="B1741" s="5" t="s">
        <v>3467</v>
      </c>
      <c r="C1741" s="6">
        <v>10000.0</v>
      </c>
      <c r="D1741" s="6">
        <v>4.894736842</v>
      </c>
      <c r="E1741" s="6">
        <v>19.0</v>
      </c>
    </row>
    <row r="1742">
      <c r="A1742" s="4" t="s">
        <v>3468</v>
      </c>
      <c r="B1742" s="5" t="s">
        <v>3469</v>
      </c>
      <c r="C1742" s="6">
        <v>10000.0</v>
      </c>
      <c r="D1742" s="6">
        <v>4.131147541</v>
      </c>
      <c r="E1742" s="6">
        <v>61.0</v>
      </c>
    </row>
    <row r="1743">
      <c r="A1743" s="4" t="s">
        <v>3470</v>
      </c>
      <c r="B1743" s="5" t="s">
        <v>3471</v>
      </c>
      <c r="C1743" s="6">
        <v>10000.0</v>
      </c>
      <c r="D1743" s="6">
        <v>2.111111111</v>
      </c>
      <c r="E1743" s="6">
        <v>9.0</v>
      </c>
    </row>
    <row r="1744">
      <c r="A1744" s="4" t="s">
        <v>3472</v>
      </c>
      <c r="B1744" s="5" t="s">
        <v>3473</v>
      </c>
      <c r="C1744" s="6">
        <v>10000.0</v>
      </c>
      <c r="D1744" s="6">
        <v>3.133333333</v>
      </c>
      <c r="E1744" s="6">
        <v>15.0</v>
      </c>
    </row>
    <row r="1745">
      <c r="A1745" s="4" t="s">
        <v>3474</v>
      </c>
      <c r="B1745" s="5" t="s">
        <v>3475</v>
      </c>
      <c r="C1745" s="6">
        <v>10000.0</v>
      </c>
      <c r="D1745" s="6">
        <v>3.318181818</v>
      </c>
      <c r="E1745" s="6">
        <v>22.0</v>
      </c>
    </row>
    <row r="1746">
      <c r="A1746" s="4" t="s">
        <v>3476</v>
      </c>
      <c r="B1746" s="5" t="s">
        <v>3477</v>
      </c>
      <c r="C1746" s="6">
        <v>10000.0</v>
      </c>
      <c r="D1746" s="6">
        <v>2.269230769</v>
      </c>
      <c r="E1746" s="6">
        <v>26.0</v>
      </c>
    </row>
    <row r="1747">
      <c r="A1747" s="4" t="s">
        <v>3478</v>
      </c>
      <c r="B1747" s="5" t="s">
        <v>3479</v>
      </c>
      <c r="C1747" s="6">
        <v>10000.0</v>
      </c>
      <c r="D1747" s="6">
        <v>4.857142857</v>
      </c>
      <c r="E1747" s="6">
        <v>28.0</v>
      </c>
    </row>
    <row r="1748">
      <c r="A1748" s="4" t="s">
        <v>3480</v>
      </c>
      <c r="B1748" s="5" t="s">
        <v>3481</v>
      </c>
      <c r="C1748" s="6">
        <v>10000.0</v>
      </c>
      <c r="D1748" s="6">
        <v>4.357142857</v>
      </c>
      <c r="E1748" s="6">
        <v>28.0</v>
      </c>
    </row>
    <row r="1749">
      <c r="A1749" s="4" t="s">
        <v>3482</v>
      </c>
      <c r="B1749" s="5" t="s">
        <v>3483</v>
      </c>
      <c r="C1749" s="6">
        <v>10000.0</v>
      </c>
      <c r="D1749" s="6">
        <v>2.8</v>
      </c>
      <c r="E1749" s="6">
        <v>35.0</v>
      </c>
    </row>
    <row r="1750">
      <c r="A1750" s="4" t="s">
        <v>3484</v>
      </c>
      <c r="B1750" s="5" t="s">
        <v>3485</v>
      </c>
      <c r="C1750" s="6">
        <v>10000.0</v>
      </c>
      <c r="D1750" s="6">
        <v>4.85</v>
      </c>
      <c r="E1750" s="6">
        <v>20.0</v>
      </c>
    </row>
    <row r="1751">
      <c r="A1751" s="4" t="s">
        <v>3486</v>
      </c>
      <c r="B1751" s="5" t="s">
        <v>3487</v>
      </c>
      <c r="C1751" s="6">
        <v>10000.0</v>
      </c>
      <c r="D1751" s="6">
        <v>3.447368421</v>
      </c>
      <c r="E1751" s="6">
        <v>38.0</v>
      </c>
    </row>
    <row r="1752">
      <c r="A1752" s="4" t="s">
        <v>3488</v>
      </c>
      <c r="B1752" s="5" t="s">
        <v>3489</v>
      </c>
      <c r="C1752" s="6">
        <v>10000.0</v>
      </c>
      <c r="D1752" s="6">
        <v>3.080645161</v>
      </c>
      <c r="E1752" s="6">
        <v>62.0</v>
      </c>
    </row>
    <row r="1753">
      <c r="A1753" s="4" t="s">
        <v>3490</v>
      </c>
      <c r="B1753" s="5" t="s">
        <v>3491</v>
      </c>
      <c r="C1753" s="6">
        <v>10000.0</v>
      </c>
      <c r="D1753" s="6">
        <v>4.090909091</v>
      </c>
      <c r="E1753" s="6">
        <v>11.0</v>
      </c>
    </row>
    <row r="1754">
      <c r="A1754" s="4" t="s">
        <v>3492</v>
      </c>
      <c r="B1754" s="5" t="s">
        <v>3493</v>
      </c>
      <c r="C1754" s="6">
        <v>10000.0</v>
      </c>
      <c r="D1754" s="6">
        <v>3.068181818</v>
      </c>
      <c r="E1754" s="6">
        <v>44.0</v>
      </c>
    </row>
    <row r="1755">
      <c r="A1755" s="4" t="s">
        <v>3494</v>
      </c>
      <c r="B1755" s="5" t="s">
        <v>3495</v>
      </c>
      <c r="C1755" s="6">
        <v>10000.0</v>
      </c>
      <c r="D1755" s="6">
        <v>3.727272727</v>
      </c>
      <c r="E1755" s="6">
        <v>22.0</v>
      </c>
    </row>
    <row r="1756">
      <c r="A1756" s="4" t="s">
        <v>3496</v>
      </c>
      <c r="B1756" s="5" t="s">
        <v>3497</v>
      </c>
      <c r="C1756" s="7">
        <v>10000.0</v>
      </c>
      <c r="D1756" s="6">
        <v>4.5</v>
      </c>
      <c r="E1756" s="6">
        <v>210.0</v>
      </c>
    </row>
    <row r="1757">
      <c r="A1757" s="4" t="s">
        <v>3498</v>
      </c>
      <c r="B1757" s="5" t="s">
        <v>3499</v>
      </c>
      <c r="C1757" s="7">
        <v>9000.0</v>
      </c>
      <c r="D1757" s="6">
        <v>3.9</v>
      </c>
      <c r="E1757" s="6">
        <v>105.0</v>
      </c>
    </row>
    <row r="1758">
      <c r="A1758" s="4" t="s">
        <v>3500</v>
      </c>
      <c r="B1758" s="5" t="s">
        <v>3501</v>
      </c>
      <c r="C1758" s="6">
        <v>9000.0</v>
      </c>
      <c r="D1758" s="6">
        <v>4.888888889</v>
      </c>
      <c r="E1758" s="6">
        <v>9.0</v>
      </c>
    </row>
    <row r="1759">
      <c r="A1759" s="4" t="s">
        <v>3502</v>
      </c>
      <c r="B1759" s="5" t="s">
        <v>3503</v>
      </c>
      <c r="C1759" s="6">
        <v>9000.0</v>
      </c>
      <c r="D1759" s="6">
        <v>3.425531915</v>
      </c>
      <c r="E1759" s="6">
        <v>47.0</v>
      </c>
    </row>
    <row r="1760">
      <c r="A1760" s="4" t="s">
        <v>3504</v>
      </c>
      <c r="B1760" s="5" t="s">
        <v>3505</v>
      </c>
      <c r="C1760" s="6">
        <v>9000.0</v>
      </c>
      <c r="D1760" s="6">
        <v>4.0</v>
      </c>
      <c r="E1760" s="6">
        <v>3.0</v>
      </c>
    </row>
    <row r="1761">
      <c r="A1761" s="4" t="s">
        <v>3506</v>
      </c>
      <c r="B1761" s="5" t="s">
        <v>3507</v>
      </c>
      <c r="C1761" s="6">
        <v>9000.0</v>
      </c>
      <c r="D1761" s="6">
        <v>5.0</v>
      </c>
      <c r="E1761" s="6">
        <v>5.0</v>
      </c>
    </row>
    <row r="1762">
      <c r="A1762" s="4" t="s">
        <v>3508</v>
      </c>
      <c r="B1762" s="5" t="s">
        <v>3509</v>
      </c>
      <c r="C1762" s="6">
        <v>9000.0</v>
      </c>
      <c r="D1762" s="6">
        <v>4.957446809</v>
      </c>
      <c r="E1762" s="6">
        <v>47.0</v>
      </c>
    </row>
    <row r="1763">
      <c r="A1763" s="4" t="s">
        <v>3510</v>
      </c>
      <c r="B1763" s="5" t="s">
        <v>3511</v>
      </c>
      <c r="C1763" s="6">
        <v>9000.0</v>
      </c>
      <c r="D1763" s="6">
        <v>2.28125</v>
      </c>
      <c r="E1763" s="6">
        <v>32.0</v>
      </c>
    </row>
    <row r="1764">
      <c r="A1764" s="4" t="s">
        <v>3512</v>
      </c>
      <c r="B1764" s="5" t="s">
        <v>3513</v>
      </c>
      <c r="C1764" s="6">
        <v>9000.0</v>
      </c>
      <c r="D1764" s="6">
        <v>4.6</v>
      </c>
      <c r="E1764" s="6">
        <v>5.0</v>
      </c>
    </row>
    <row r="1765">
      <c r="A1765" s="4" t="s">
        <v>3514</v>
      </c>
      <c r="B1765" s="5" t="s">
        <v>3515</v>
      </c>
      <c r="C1765" s="6">
        <v>9000.0</v>
      </c>
      <c r="D1765" s="6">
        <v>4.933333333</v>
      </c>
      <c r="E1765" s="6">
        <v>45.0</v>
      </c>
    </row>
    <row r="1766">
      <c r="A1766" s="4" t="s">
        <v>3516</v>
      </c>
      <c r="B1766" s="5" t="s">
        <v>3517</v>
      </c>
      <c r="C1766" s="6">
        <v>9000.0</v>
      </c>
      <c r="D1766" s="6">
        <v>4.646153846</v>
      </c>
      <c r="E1766" s="6">
        <v>130.0</v>
      </c>
    </row>
    <row r="1767">
      <c r="A1767" s="4" t="s">
        <v>3518</v>
      </c>
      <c r="B1767" s="5" t="s">
        <v>3519</v>
      </c>
      <c r="C1767" s="6">
        <v>9000.0</v>
      </c>
      <c r="D1767" s="6">
        <v>4.208333333</v>
      </c>
      <c r="E1767" s="6">
        <v>48.0</v>
      </c>
    </row>
    <row r="1768">
      <c r="A1768" s="4" t="s">
        <v>3520</v>
      </c>
      <c r="B1768" s="5" t="s">
        <v>3521</v>
      </c>
      <c r="C1768" s="6">
        <v>9000.0</v>
      </c>
      <c r="D1768" s="6">
        <v>3.588235294</v>
      </c>
      <c r="E1768" s="6">
        <v>51.0</v>
      </c>
    </row>
    <row r="1769">
      <c r="A1769" s="4" t="s">
        <v>3522</v>
      </c>
      <c r="B1769" s="5" t="s">
        <v>3523</v>
      </c>
      <c r="C1769" s="6">
        <v>9000.0</v>
      </c>
      <c r="D1769" s="6">
        <v>4.7</v>
      </c>
      <c r="E1769" s="6">
        <v>10.0</v>
      </c>
    </row>
    <row r="1770">
      <c r="A1770" s="4" t="s">
        <v>3524</v>
      </c>
      <c r="B1770" s="5" t="s">
        <v>3525</v>
      </c>
      <c r="C1770" s="6">
        <v>9000.0</v>
      </c>
      <c r="D1770" s="6">
        <v>3.739130435</v>
      </c>
      <c r="E1770" s="6">
        <v>23.0</v>
      </c>
    </row>
    <row r="1771">
      <c r="A1771" s="4" t="s">
        <v>3526</v>
      </c>
      <c r="B1771" s="5" t="s">
        <v>3527</v>
      </c>
      <c r="C1771" s="6">
        <v>9000.0</v>
      </c>
      <c r="D1771" s="6">
        <v>4.971428571</v>
      </c>
      <c r="E1771" s="6">
        <v>35.0</v>
      </c>
    </row>
    <row r="1772">
      <c r="A1772" s="4" t="s">
        <v>3528</v>
      </c>
      <c r="B1772" s="5" t="s">
        <v>3529</v>
      </c>
      <c r="C1772" s="6">
        <v>9000.0</v>
      </c>
      <c r="D1772" s="6">
        <v>4.23943662</v>
      </c>
      <c r="E1772" s="6">
        <v>71.0</v>
      </c>
    </row>
    <row r="1773">
      <c r="A1773" s="4" t="s">
        <v>3530</v>
      </c>
      <c r="B1773" s="5" t="s">
        <v>3531</v>
      </c>
      <c r="C1773" s="6">
        <v>9000.0</v>
      </c>
      <c r="D1773" s="6">
        <v>5.0</v>
      </c>
      <c r="E1773" s="6">
        <v>1.0</v>
      </c>
    </row>
    <row r="1774">
      <c r="A1774" s="4" t="s">
        <v>3532</v>
      </c>
      <c r="B1774" s="5" t="s">
        <v>3533</v>
      </c>
      <c r="C1774" s="6">
        <v>9000.0</v>
      </c>
      <c r="D1774" s="6">
        <v>5.0</v>
      </c>
      <c r="E1774" s="6">
        <v>14.0</v>
      </c>
    </row>
    <row r="1775">
      <c r="A1775" s="4" t="s">
        <v>3534</v>
      </c>
      <c r="B1775" s="5" t="s">
        <v>3535</v>
      </c>
      <c r="C1775" s="6">
        <v>9000.0</v>
      </c>
      <c r="D1775" s="6">
        <v>4.621052632</v>
      </c>
      <c r="E1775" s="6">
        <v>95.0</v>
      </c>
    </row>
    <row r="1776">
      <c r="A1776" s="4" t="s">
        <v>3536</v>
      </c>
      <c r="B1776" s="5" t="s">
        <v>3537</v>
      </c>
      <c r="C1776" s="6">
        <v>9000.0</v>
      </c>
      <c r="D1776" s="6">
        <v>4.928571429</v>
      </c>
      <c r="E1776" s="6">
        <v>14.0</v>
      </c>
    </row>
    <row r="1777">
      <c r="A1777" s="4" t="s">
        <v>3538</v>
      </c>
      <c r="B1777" s="5" t="s">
        <v>3539</v>
      </c>
      <c r="C1777" s="6">
        <v>9000.0</v>
      </c>
      <c r="D1777" s="6">
        <v>4.444444444</v>
      </c>
      <c r="E1777" s="6">
        <v>18.0</v>
      </c>
    </row>
    <row r="1778">
      <c r="A1778" s="4" t="s">
        <v>3540</v>
      </c>
      <c r="B1778" s="5" t="s">
        <v>3541</v>
      </c>
      <c r="C1778" s="6">
        <v>9000.0</v>
      </c>
      <c r="D1778" s="6">
        <v>2.8</v>
      </c>
      <c r="E1778" s="6">
        <v>10.0</v>
      </c>
    </row>
    <row r="1779">
      <c r="A1779" s="4" t="s">
        <v>3542</v>
      </c>
      <c r="B1779" s="5" t="s">
        <v>3543</v>
      </c>
      <c r="C1779" s="6">
        <v>9000.0</v>
      </c>
      <c r="D1779" s="6">
        <v>4.967741935</v>
      </c>
      <c r="E1779" s="6">
        <v>31.0</v>
      </c>
    </row>
    <row r="1780">
      <c r="A1780" s="4" t="s">
        <v>3544</v>
      </c>
      <c r="B1780" s="5" t="s">
        <v>3545</v>
      </c>
      <c r="C1780" s="6">
        <v>9000.0</v>
      </c>
      <c r="D1780" s="6">
        <v>5.0</v>
      </c>
      <c r="E1780" s="6">
        <v>5.0</v>
      </c>
    </row>
    <row r="1781">
      <c r="A1781" s="4" t="s">
        <v>3546</v>
      </c>
      <c r="B1781" s="5" t="s">
        <v>3547</v>
      </c>
      <c r="C1781" s="6">
        <v>9000.0</v>
      </c>
      <c r="D1781" s="6">
        <v>3.571428571</v>
      </c>
      <c r="E1781" s="6">
        <v>14.0</v>
      </c>
    </row>
    <row r="1782">
      <c r="A1782" s="4" t="s">
        <v>3548</v>
      </c>
      <c r="B1782" s="5" t="s">
        <v>3549</v>
      </c>
      <c r="C1782" s="6">
        <v>9000.0</v>
      </c>
      <c r="D1782" s="6">
        <v>3.52</v>
      </c>
      <c r="E1782" s="6">
        <v>150.0</v>
      </c>
    </row>
    <row r="1783">
      <c r="A1783" s="4" t="s">
        <v>3550</v>
      </c>
      <c r="B1783" s="5" t="s">
        <v>3551</v>
      </c>
      <c r="C1783" s="6">
        <v>9000.0</v>
      </c>
      <c r="D1783" s="6">
        <v>3.53271028</v>
      </c>
      <c r="E1783" s="6">
        <v>107.0</v>
      </c>
    </row>
    <row r="1784">
      <c r="A1784" s="4" t="s">
        <v>3552</v>
      </c>
      <c r="B1784" s="5" t="s">
        <v>3553</v>
      </c>
      <c r="C1784" s="6">
        <v>9000.0</v>
      </c>
      <c r="D1784" s="6">
        <v>4.2</v>
      </c>
      <c r="E1784" s="6">
        <v>5.0</v>
      </c>
    </row>
    <row r="1785">
      <c r="A1785" s="4" t="s">
        <v>3554</v>
      </c>
      <c r="B1785" s="5" t="s">
        <v>3555</v>
      </c>
      <c r="C1785" s="6">
        <v>9000.0</v>
      </c>
      <c r="D1785" s="6">
        <v>3.233082707</v>
      </c>
      <c r="E1785" s="6">
        <v>133.0</v>
      </c>
    </row>
    <row r="1786">
      <c r="A1786" s="4" t="s">
        <v>3556</v>
      </c>
      <c r="B1786" s="5" t="s">
        <v>3557</v>
      </c>
      <c r="C1786" s="6">
        <v>9000.0</v>
      </c>
      <c r="D1786" s="6">
        <v>4.590909091</v>
      </c>
      <c r="E1786" s="6">
        <v>44.0</v>
      </c>
    </row>
    <row r="1787">
      <c r="A1787" s="4" t="s">
        <v>3558</v>
      </c>
      <c r="B1787" s="5" t="s">
        <v>3559</v>
      </c>
      <c r="C1787" s="6">
        <v>9000.0</v>
      </c>
      <c r="D1787" s="6">
        <v>3.481481481</v>
      </c>
      <c r="E1787" s="6">
        <v>27.0</v>
      </c>
    </row>
    <row r="1788">
      <c r="A1788" s="4" t="s">
        <v>3560</v>
      </c>
      <c r="B1788" s="5" t="s">
        <v>3561</v>
      </c>
      <c r="C1788" s="6">
        <v>9000.0</v>
      </c>
      <c r="D1788" s="6">
        <v>4.241666667</v>
      </c>
      <c r="E1788" s="6">
        <v>360.0</v>
      </c>
    </row>
    <row r="1789">
      <c r="A1789" s="4" t="s">
        <v>3562</v>
      </c>
      <c r="B1789" s="5" t="s">
        <v>3563</v>
      </c>
      <c r="C1789" s="6">
        <v>9000.0</v>
      </c>
      <c r="D1789" s="6">
        <v>3.744186047</v>
      </c>
      <c r="E1789" s="6">
        <v>43.0</v>
      </c>
    </row>
    <row r="1790">
      <c r="A1790" s="4" t="s">
        <v>3564</v>
      </c>
      <c r="B1790" s="5" t="s">
        <v>3565</v>
      </c>
      <c r="C1790" s="6">
        <v>9000.0</v>
      </c>
      <c r="D1790" s="6">
        <v>3.37254902</v>
      </c>
      <c r="E1790" s="6">
        <v>51.0</v>
      </c>
    </row>
    <row r="1791">
      <c r="A1791" s="4" t="s">
        <v>3566</v>
      </c>
      <c r="B1791" s="5" t="s">
        <v>3567</v>
      </c>
      <c r="C1791" s="6">
        <v>9000.0</v>
      </c>
      <c r="D1791" s="6">
        <v>4.353741497</v>
      </c>
      <c r="E1791" s="6">
        <v>588.0</v>
      </c>
    </row>
    <row r="1792">
      <c r="A1792" s="4" t="s">
        <v>3568</v>
      </c>
      <c r="B1792" s="5" t="s">
        <v>3569</v>
      </c>
      <c r="C1792" s="6">
        <v>9000.0</v>
      </c>
      <c r="D1792" s="6">
        <v>4.433862434</v>
      </c>
      <c r="E1792" s="6">
        <v>189.0</v>
      </c>
    </row>
    <row r="1793">
      <c r="A1793" s="4" t="s">
        <v>3570</v>
      </c>
      <c r="B1793" s="5" t="s">
        <v>3571</v>
      </c>
      <c r="C1793" s="6">
        <v>9000.0</v>
      </c>
      <c r="D1793" s="6">
        <v>4.174603175</v>
      </c>
      <c r="E1793" s="6">
        <v>63.0</v>
      </c>
    </row>
    <row r="1794">
      <c r="A1794" s="4" t="s">
        <v>3572</v>
      </c>
      <c r="B1794" s="5" t="s">
        <v>3573</v>
      </c>
      <c r="C1794" s="6">
        <v>9000.0</v>
      </c>
      <c r="D1794" s="6">
        <v>4.130434783</v>
      </c>
      <c r="E1794" s="6">
        <v>69.0</v>
      </c>
    </row>
    <row r="1795">
      <c r="A1795" s="4" t="s">
        <v>3574</v>
      </c>
      <c r="B1795" s="5" t="s">
        <v>3575</v>
      </c>
      <c r="C1795" s="6">
        <v>9000.0</v>
      </c>
      <c r="D1795" s="6">
        <v>3.6875</v>
      </c>
      <c r="E1795" s="6">
        <v>48.0</v>
      </c>
    </row>
    <row r="1796">
      <c r="A1796" s="4" t="s">
        <v>3576</v>
      </c>
      <c r="B1796" s="5" t="s">
        <v>3577</v>
      </c>
      <c r="C1796" s="6">
        <v>9000.0</v>
      </c>
      <c r="D1796" s="6">
        <v>4.688888889</v>
      </c>
      <c r="E1796" s="6">
        <v>45.0</v>
      </c>
    </row>
    <row r="1797">
      <c r="A1797" s="4" t="s">
        <v>3578</v>
      </c>
      <c r="B1797" s="5" t="s">
        <v>3579</v>
      </c>
      <c r="C1797" s="6">
        <v>9000.0</v>
      </c>
      <c r="D1797" s="6">
        <v>4.818181818</v>
      </c>
      <c r="E1797" s="6">
        <v>11.0</v>
      </c>
    </row>
    <row r="1798">
      <c r="A1798" s="4" t="s">
        <v>3580</v>
      </c>
      <c r="B1798" s="5" t="s">
        <v>3581</v>
      </c>
      <c r="C1798" s="6">
        <v>9000.0</v>
      </c>
      <c r="D1798" s="6">
        <v>3.75</v>
      </c>
      <c r="E1798" s="6">
        <v>12.0</v>
      </c>
    </row>
    <row r="1799">
      <c r="A1799" s="4" t="s">
        <v>3582</v>
      </c>
      <c r="B1799" s="5" t="s">
        <v>3583</v>
      </c>
      <c r="C1799" s="6">
        <v>9000.0</v>
      </c>
      <c r="D1799" s="6">
        <v>3.413533835</v>
      </c>
      <c r="E1799" s="6">
        <v>133.0</v>
      </c>
    </row>
    <row r="1800">
      <c r="A1800" s="4" t="s">
        <v>3584</v>
      </c>
      <c r="B1800" s="5" t="s">
        <v>3585</v>
      </c>
      <c r="C1800" s="6">
        <v>9000.0</v>
      </c>
      <c r="D1800" s="6">
        <v>3.166666667</v>
      </c>
      <c r="E1800" s="6">
        <v>36.0</v>
      </c>
    </row>
    <row r="1801">
      <c r="A1801" s="4" t="s">
        <v>3586</v>
      </c>
      <c r="B1801" s="5" t="s">
        <v>3587</v>
      </c>
      <c r="C1801" s="6">
        <v>9000.0</v>
      </c>
      <c r="D1801" s="6">
        <v>4.25</v>
      </c>
      <c r="E1801" s="6">
        <v>4.0</v>
      </c>
    </row>
    <row r="1802">
      <c r="A1802" s="4" t="s">
        <v>3588</v>
      </c>
      <c r="B1802" s="5" t="s">
        <v>3589</v>
      </c>
      <c r="C1802" s="6">
        <v>9000.0</v>
      </c>
      <c r="D1802" s="6">
        <v>3.649700599</v>
      </c>
      <c r="E1802" s="6">
        <v>334.0</v>
      </c>
    </row>
    <row r="1803">
      <c r="A1803" s="4" t="s">
        <v>3590</v>
      </c>
      <c r="B1803" s="5" t="s">
        <v>3591</v>
      </c>
      <c r="C1803" s="6">
        <v>9000.0</v>
      </c>
      <c r="D1803" s="6">
        <v>4.375</v>
      </c>
      <c r="E1803" s="6">
        <v>120.0</v>
      </c>
    </row>
    <row r="1804">
      <c r="A1804" s="4" t="s">
        <v>3592</v>
      </c>
      <c r="B1804" s="5" t="s">
        <v>3593</v>
      </c>
      <c r="C1804" s="6">
        <v>9000.0</v>
      </c>
      <c r="D1804" s="6">
        <v>3.6</v>
      </c>
      <c r="E1804" s="6">
        <v>5.0</v>
      </c>
    </row>
    <row r="1805">
      <c r="A1805" s="4" t="s">
        <v>3594</v>
      </c>
      <c r="B1805" s="5" t="s">
        <v>3595</v>
      </c>
      <c r="C1805" s="6">
        <v>9000.0</v>
      </c>
      <c r="D1805" s="6">
        <v>2.568627451</v>
      </c>
      <c r="E1805" s="6">
        <v>51.0</v>
      </c>
    </row>
    <row r="1806">
      <c r="A1806" s="4" t="s">
        <v>3596</v>
      </c>
      <c r="B1806" s="5" t="s">
        <v>3597</v>
      </c>
      <c r="C1806" s="6">
        <v>9000.0</v>
      </c>
      <c r="D1806" s="6">
        <v>3.983050847</v>
      </c>
      <c r="E1806" s="6">
        <v>59.0</v>
      </c>
    </row>
    <row r="1807">
      <c r="A1807" s="4" t="s">
        <v>3598</v>
      </c>
      <c r="B1807" s="5" t="s">
        <v>3599</v>
      </c>
      <c r="C1807" s="6">
        <v>9000.0</v>
      </c>
      <c r="D1807" s="6">
        <v>2.24137931</v>
      </c>
      <c r="E1807" s="6">
        <v>29.0</v>
      </c>
    </row>
    <row r="1808">
      <c r="A1808" s="4" t="s">
        <v>3600</v>
      </c>
      <c r="B1808" s="5" t="s">
        <v>3601</v>
      </c>
      <c r="C1808" s="6">
        <v>9000.0</v>
      </c>
      <c r="D1808" s="6">
        <v>5.0</v>
      </c>
      <c r="E1808" s="6">
        <v>4.0</v>
      </c>
    </row>
    <row r="1809">
      <c r="A1809" s="4" t="s">
        <v>3602</v>
      </c>
      <c r="B1809" s="5" t="s">
        <v>3603</v>
      </c>
      <c r="C1809" s="6">
        <v>9000.0</v>
      </c>
      <c r="D1809" s="6">
        <v>3.245283019</v>
      </c>
      <c r="E1809" s="6">
        <v>53.0</v>
      </c>
    </row>
    <row r="1810">
      <c r="A1810" s="4" t="s">
        <v>3604</v>
      </c>
      <c r="B1810" s="5" t="s">
        <v>3605</v>
      </c>
      <c r="C1810" s="6">
        <v>9000.0</v>
      </c>
      <c r="D1810" s="6">
        <v>3.811550152</v>
      </c>
      <c r="E1810" s="6">
        <v>329.0</v>
      </c>
    </row>
    <row r="1811">
      <c r="A1811" s="4" t="s">
        <v>3606</v>
      </c>
      <c r="B1811" s="5" t="s">
        <v>3607</v>
      </c>
      <c r="C1811" s="6">
        <v>9000.0</v>
      </c>
      <c r="D1811" s="6">
        <v>4.763819095</v>
      </c>
      <c r="E1811" s="6">
        <v>199.0</v>
      </c>
    </row>
    <row r="1812">
      <c r="A1812" s="4" t="s">
        <v>3608</v>
      </c>
      <c r="B1812" s="5" t="s">
        <v>3609</v>
      </c>
      <c r="C1812" s="6">
        <v>9000.0</v>
      </c>
      <c r="D1812" s="6">
        <v>3.666666667</v>
      </c>
      <c r="E1812" s="6">
        <v>3.0</v>
      </c>
    </row>
    <row r="1813">
      <c r="A1813" s="4" t="s">
        <v>3610</v>
      </c>
      <c r="B1813" s="5" t="s">
        <v>3611</v>
      </c>
      <c r="C1813" s="6">
        <v>9000.0</v>
      </c>
      <c r="D1813" s="6">
        <v>4.245989305</v>
      </c>
      <c r="E1813" s="6">
        <v>187.0</v>
      </c>
    </row>
    <row r="1814">
      <c r="A1814" s="4" t="s">
        <v>3612</v>
      </c>
      <c r="B1814" s="5" t="s">
        <v>3613</v>
      </c>
      <c r="C1814" s="6">
        <v>9000.0</v>
      </c>
      <c r="D1814" s="6">
        <v>3.280898876</v>
      </c>
      <c r="E1814" s="6">
        <v>89.0</v>
      </c>
    </row>
    <row r="1815">
      <c r="A1815" s="4" t="s">
        <v>3614</v>
      </c>
      <c r="B1815" s="5" t="s">
        <v>3615</v>
      </c>
      <c r="C1815" s="6">
        <v>9000.0</v>
      </c>
      <c r="D1815" s="6">
        <v>4.120567376</v>
      </c>
      <c r="E1815" s="6">
        <v>141.0</v>
      </c>
    </row>
    <row r="1816">
      <c r="A1816" s="4" t="s">
        <v>3616</v>
      </c>
      <c r="B1816" s="5" t="s">
        <v>3617</v>
      </c>
      <c r="C1816" s="6">
        <v>9000.0</v>
      </c>
      <c r="D1816" s="6">
        <v>4.333333333</v>
      </c>
      <c r="E1816" s="6">
        <v>21.0</v>
      </c>
    </row>
    <row r="1817">
      <c r="A1817" s="4" t="s">
        <v>3618</v>
      </c>
      <c r="B1817" s="5" t="s">
        <v>3619</v>
      </c>
      <c r="C1817" s="6">
        <v>9000.0</v>
      </c>
      <c r="D1817" s="6">
        <v>4.75</v>
      </c>
      <c r="E1817" s="6">
        <v>132.0</v>
      </c>
    </row>
    <row r="1818">
      <c r="A1818" s="4" t="s">
        <v>3620</v>
      </c>
      <c r="B1818" s="5" t="s">
        <v>3621</v>
      </c>
      <c r="C1818" s="6">
        <v>9000.0</v>
      </c>
      <c r="D1818" s="6">
        <v>3.5</v>
      </c>
      <c r="E1818" s="6">
        <v>26.0</v>
      </c>
    </row>
    <row r="1819">
      <c r="A1819" s="4" t="s">
        <v>3622</v>
      </c>
      <c r="B1819" s="5" t="s">
        <v>3623</v>
      </c>
      <c r="C1819" s="6">
        <v>9000.0</v>
      </c>
      <c r="D1819" s="6">
        <v>4.908233276</v>
      </c>
      <c r="E1819" s="6">
        <v>1166.0</v>
      </c>
    </row>
    <row r="1820">
      <c r="A1820" s="4" t="s">
        <v>3624</v>
      </c>
      <c r="B1820" s="5" t="s">
        <v>3625</v>
      </c>
      <c r="C1820" s="6">
        <v>9000.0</v>
      </c>
      <c r="D1820" s="6">
        <v>4.145454545</v>
      </c>
      <c r="E1820" s="6">
        <v>880.0</v>
      </c>
    </row>
    <row r="1821">
      <c r="A1821" s="4" t="s">
        <v>3626</v>
      </c>
      <c r="B1821" s="5" t="s">
        <v>3627</v>
      </c>
      <c r="C1821" s="6">
        <v>9000.0</v>
      </c>
      <c r="D1821" s="6">
        <v>3.774319066</v>
      </c>
      <c r="E1821" s="6">
        <v>257.0</v>
      </c>
    </row>
    <row r="1822">
      <c r="A1822" s="4" t="s">
        <v>3628</v>
      </c>
      <c r="B1822" s="5" t="s">
        <v>3629</v>
      </c>
      <c r="C1822" s="6">
        <v>9000.0</v>
      </c>
      <c r="D1822" s="6">
        <v>3.926829268</v>
      </c>
      <c r="E1822" s="6">
        <v>41.0</v>
      </c>
    </row>
    <row r="1823">
      <c r="A1823" s="4" t="s">
        <v>3630</v>
      </c>
      <c r="B1823" s="5" t="s">
        <v>3631</v>
      </c>
      <c r="C1823" s="6">
        <v>9000.0</v>
      </c>
      <c r="D1823" s="6">
        <v>4.5</v>
      </c>
      <c r="E1823" s="6">
        <v>8.0</v>
      </c>
    </row>
    <row r="1824">
      <c r="A1824" s="4" t="s">
        <v>3632</v>
      </c>
      <c r="B1824" s="5" t="s">
        <v>3633</v>
      </c>
      <c r="C1824" s="6">
        <v>9000.0</v>
      </c>
      <c r="D1824" s="6">
        <v>4.5</v>
      </c>
      <c r="E1824" s="6">
        <v>18.0</v>
      </c>
    </row>
    <row r="1825">
      <c r="A1825" s="4" t="s">
        <v>3634</v>
      </c>
      <c r="B1825" s="5" t="s">
        <v>3635</v>
      </c>
      <c r="C1825" s="6">
        <v>9000.0</v>
      </c>
      <c r="D1825" s="6">
        <v>4.24516129</v>
      </c>
      <c r="E1825" s="6">
        <v>155.0</v>
      </c>
    </row>
    <row r="1826">
      <c r="A1826" s="5" t="s">
        <v>3636</v>
      </c>
      <c r="B1826" s="5" t="s">
        <v>3637</v>
      </c>
      <c r="C1826" s="6">
        <v>9000.0</v>
      </c>
      <c r="D1826" s="6">
        <v>4.277777778</v>
      </c>
      <c r="E1826" s="6">
        <v>342.0</v>
      </c>
    </row>
    <row r="1827">
      <c r="A1827" s="4" t="s">
        <v>3638</v>
      </c>
      <c r="B1827" s="5" t="s">
        <v>3639</v>
      </c>
      <c r="C1827" s="6">
        <v>9000.0</v>
      </c>
      <c r="D1827" s="6">
        <v>4.694444444</v>
      </c>
      <c r="E1827" s="6">
        <v>72.0</v>
      </c>
    </row>
    <row r="1828">
      <c r="A1828" s="4" t="s">
        <v>3640</v>
      </c>
      <c r="B1828" s="5" t="s">
        <v>3641</v>
      </c>
      <c r="C1828" s="6">
        <v>9000.0</v>
      </c>
      <c r="D1828" s="6">
        <v>2.6</v>
      </c>
      <c r="E1828" s="6">
        <v>5.0</v>
      </c>
    </row>
    <row r="1829">
      <c r="A1829" s="4" t="s">
        <v>3642</v>
      </c>
      <c r="B1829" s="5" t="s">
        <v>3643</v>
      </c>
      <c r="C1829" s="6">
        <v>9000.0</v>
      </c>
      <c r="D1829" s="6">
        <v>3.618852459</v>
      </c>
      <c r="E1829" s="6">
        <v>244.0</v>
      </c>
    </row>
    <row r="1830">
      <c r="A1830" s="4" t="s">
        <v>3644</v>
      </c>
      <c r="B1830" s="5" t="s">
        <v>3645</v>
      </c>
      <c r="C1830" s="6">
        <v>9000.0</v>
      </c>
      <c r="D1830" s="6">
        <v>4.227272727</v>
      </c>
      <c r="E1830" s="6">
        <v>44.0</v>
      </c>
    </row>
    <row r="1831">
      <c r="A1831" s="4" t="s">
        <v>3646</v>
      </c>
      <c r="B1831" s="5" t="s">
        <v>3647</v>
      </c>
      <c r="C1831" s="6">
        <v>9000.0</v>
      </c>
      <c r="D1831" s="6">
        <v>3.872727273</v>
      </c>
      <c r="E1831" s="6">
        <v>55.0</v>
      </c>
    </row>
    <row r="1832">
      <c r="A1832" s="4" t="s">
        <v>3648</v>
      </c>
      <c r="B1832" s="5" t="s">
        <v>3649</v>
      </c>
      <c r="C1832" s="6">
        <v>9000.0</v>
      </c>
      <c r="D1832" s="6">
        <v>4.444444444</v>
      </c>
      <c r="E1832" s="6">
        <v>18.0</v>
      </c>
    </row>
    <row r="1833">
      <c r="A1833" s="4" t="s">
        <v>3650</v>
      </c>
      <c r="B1833" s="5" t="s">
        <v>3651</v>
      </c>
      <c r="C1833" s="6">
        <v>9000.0</v>
      </c>
      <c r="D1833" s="6">
        <v>4.302325581</v>
      </c>
      <c r="E1833" s="6">
        <v>43.0</v>
      </c>
    </row>
    <row r="1834">
      <c r="A1834" s="4" t="s">
        <v>3652</v>
      </c>
      <c r="B1834" s="5" t="s">
        <v>3653</v>
      </c>
      <c r="C1834" s="6">
        <v>9000.0</v>
      </c>
      <c r="D1834" s="6">
        <v>5.0</v>
      </c>
      <c r="E1834" s="6">
        <v>13.0</v>
      </c>
    </row>
    <row r="1835">
      <c r="A1835" s="4" t="s">
        <v>3654</v>
      </c>
      <c r="B1835" s="5" t="s">
        <v>3655</v>
      </c>
      <c r="C1835" s="6">
        <v>9000.0</v>
      </c>
      <c r="D1835" s="6">
        <v>3.64</v>
      </c>
      <c r="E1835" s="6">
        <v>50.0</v>
      </c>
    </row>
    <row r="1836">
      <c r="A1836" s="4" t="s">
        <v>3656</v>
      </c>
      <c r="B1836" s="5" t="s">
        <v>3657</v>
      </c>
      <c r="C1836" s="6">
        <v>9000.0</v>
      </c>
      <c r="D1836" s="6">
        <v>4.083333333</v>
      </c>
      <c r="E1836" s="6">
        <v>12.0</v>
      </c>
    </row>
    <row r="1837">
      <c r="A1837" s="4" t="s">
        <v>3658</v>
      </c>
      <c r="B1837" s="5" t="s">
        <v>3659</v>
      </c>
      <c r="C1837" s="6">
        <v>9000.0</v>
      </c>
      <c r="D1837" s="6">
        <v>4.369565217</v>
      </c>
      <c r="E1837" s="6">
        <v>46.0</v>
      </c>
    </row>
    <row r="1838">
      <c r="A1838" s="4" t="s">
        <v>3660</v>
      </c>
      <c r="B1838" s="5" t="s">
        <v>3661</v>
      </c>
      <c r="C1838" s="6">
        <v>9000.0</v>
      </c>
      <c r="D1838" s="6">
        <v>3.909090909</v>
      </c>
      <c r="E1838" s="6">
        <v>11.0</v>
      </c>
    </row>
    <row r="1839">
      <c r="A1839" s="4" t="s">
        <v>3662</v>
      </c>
      <c r="B1839" s="5" t="s">
        <v>3663</v>
      </c>
      <c r="C1839" s="6">
        <v>9000.0</v>
      </c>
      <c r="D1839" s="6">
        <v>4.883116883</v>
      </c>
      <c r="E1839" s="6">
        <v>77.0</v>
      </c>
    </row>
    <row r="1840">
      <c r="A1840" s="4" t="s">
        <v>3664</v>
      </c>
      <c r="B1840" s="5" t="s">
        <v>3665</v>
      </c>
      <c r="C1840" s="6">
        <v>9000.0</v>
      </c>
      <c r="D1840" s="6">
        <v>3.303030303</v>
      </c>
      <c r="E1840" s="6">
        <v>132.0</v>
      </c>
    </row>
    <row r="1841">
      <c r="A1841" s="4" t="s">
        <v>3666</v>
      </c>
      <c r="B1841" s="5" t="s">
        <v>3667</v>
      </c>
      <c r="C1841" s="6">
        <v>9000.0</v>
      </c>
      <c r="D1841" s="9"/>
      <c r="E1841" s="9"/>
    </row>
    <row r="1842">
      <c r="A1842" s="4" t="s">
        <v>3668</v>
      </c>
      <c r="B1842" s="5" t="s">
        <v>3669</v>
      </c>
      <c r="C1842" s="6">
        <v>9000.0</v>
      </c>
      <c r="D1842" s="6">
        <v>4.205882353</v>
      </c>
      <c r="E1842" s="6">
        <v>68.0</v>
      </c>
    </row>
    <row r="1843">
      <c r="A1843" s="4" t="s">
        <v>3670</v>
      </c>
      <c r="B1843" s="5" t="s">
        <v>3671</v>
      </c>
      <c r="C1843" s="6">
        <v>9000.0</v>
      </c>
      <c r="D1843" s="6">
        <v>4.304347826</v>
      </c>
      <c r="E1843" s="6">
        <v>92.0</v>
      </c>
    </row>
    <row r="1844">
      <c r="A1844" s="4" t="s">
        <v>3672</v>
      </c>
      <c r="B1844" s="5" t="s">
        <v>3673</v>
      </c>
      <c r="C1844" s="6">
        <v>9000.0</v>
      </c>
      <c r="D1844" s="6">
        <v>4.272727273</v>
      </c>
      <c r="E1844" s="6">
        <v>11.0</v>
      </c>
    </row>
    <row r="1845">
      <c r="A1845" s="4" t="s">
        <v>3674</v>
      </c>
      <c r="B1845" s="5" t="s">
        <v>3675</v>
      </c>
      <c r="C1845" s="6">
        <v>9000.0</v>
      </c>
      <c r="D1845" s="6">
        <v>4.277372263</v>
      </c>
      <c r="E1845" s="6">
        <v>137.0</v>
      </c>
    </row>
    <row r="1846">
      <c r="A1846" s="4" t="s">
        <v>3676</v>
      </c>
      <c r="B1846" s="5" t="s">
        <v>3677</v>
      </c>
      <c r="C1846" s="6">
        <v>9000.0</v>
      </c>
      <c r="D1846" s="6">
        <v>4.923076923</v>
      </c>
      <c r="E1846" s="6">
        <v>26.0</v>
      </c>
    </row>
    <row r="1847">
      <c r="A1847" s="4" t="s">
        <v>3678</v>
      </c>
      <c r="B1847" s="5" t="s">
        <v>3679</v>
      </c>
      <c r="C1847" s="6">
        <v>9000.0</v>
      </c>
      <c r="D1847" s="6">
        <v>4.25</v>
      </c>
      <c r="E1847" s="6">
        <v>12.0</v>
      </c>
    </row>
    <row r="1848">
      <c r="A1848" s="4" t="s">
        <v>3680</v>
      </c>
      <c r="B1848" s="5" t="s">
        <v>3681</v>
      </c>
      <c r="C1848" s="6">
        <v>9000.0</v>
      </c>
      <c r="D1848" s="6">
        <v>2.8</v>
      </c>
      <c r="E1848" s="6">
        <v>20.0</v>
      </c>
    </row>
    <row r="1849">
      <c r="A1849" s="4" t="s">
        <v>3682</v>
      </c>
      <c r="B1849" s="5" t="s">
        <v>3683</v>
      </c>
      <c r="C1849" s="6">
        <v>9000.0</v>
      </c>
      <c r="D1849" s="6">
        <v>4.009259259</v>
      </c>
      <c r="E1849" s="6">
        <v>108.0</v>
      </c>
    </row>
    <row r="1850">
      <c r="A1850" s="4" t="s">
        <v>3684</v>
      </c>
      <c r="B1850" s="5" t="s">
        <v>3685</v>
      </c>
      <c r="C1850" s="6">
        <v>9000.0</v>
      </c>
      <c r="D1850" s="6">
        <v>4.366197183</v>
      </c>
      <c r="E1850" s="6">
        <v>71.0</v>
      </c>
    </row>
    <row r="1851">
      <c r="A1851" s="4" t="s">
        <v>3686</v>
      </c>
      <c r="B1851" s="5" t="s">
        <v>3687</v>
      </c>
      <c r="C1851" s="6">
        <v>9000.0</v>
      </c>
      <c r="D1851" s="6">
        <v>4.548387097</v>
      </c>
      <c r="E1851" s="6">
        <v>31.0</v>
      </c>
    </row>
    <row r="1852">
      <c r="A1852" s="4" t="s">
        <v>3688</v>
      </c>
      <c r="B1852" s="5" t="s">
        <v>3689</v>
      </c>
      <c r="C1852" s="6">
        <v>9000.0</v>
      </c>
      <c r="D1852" s="6">
        <v>4.507246377</v>
      </c>
      <c r="E1852" s="6">
        <v>69.0</v>
      </c>
    </row>
    <row r="1853">
      <c r="A1853" s="4" t="s">
        <v>3690</v>
      </c>
      <c r="B1853" s="5" t="s">
        <v>3691</v>
      </c>
      <c r="C1853" s="6">
        <v>9000.0</v>
      </c>
      <c r="D1853" s="6">
        <v>2.754385965</v>
      </c>
      <c r="E1853" s="6">
        <v>57.0</v>
      </c>
    </row>
    <row r="1854">
      <c r="A1854" s="4" t="s">
        <v>3692</v>
      </c>
      <c r="B1854" s="5" t="s">
        <v>3693</v>
      </c>
      <c r="C1854" s="6">
        <v>9000.0</v>
      </c>
      <c r="D1854" s="6">
        <v>4.731343284</v>
      </c>
      <c r="E1854" s="6">
        <v>67.0</v>
      </c>
    </row>
    <row r="1855">
      <c r="A1855" s="4" t="s">
        <v>3694</v>
      </c>
      <c r="B1855" s="5" t="s">
        <v>3695</v>
      </c>
      <c r="C1855" s="6">
        <v>9000.0</v>
      </c>
      <c r="D1855" s="6">
        <v>4.283018868</v>
      </c>
      <c r="E1855" s="6">
        <v>53.0</v>
      </c>
    </row>
    <row r="1856">
      <c r="A1856" s="4" t="s">
        <v>3696</v>
      </c>
      <c r="B1856" s="5" t="s">
        <v>3697</v>
      </c>
      <c r="C1856" s="6">
        <v>9000.0</v>
      </c>
      <c r="D1856" s="6">
        <v>4.6</v>
      </c>
      <c r="E1856" s="6">
        <v>5.0</v>
      </c>
    </row>
    <row r="1857">
      <c r="A1857" s="4" t="s">
        <v>3698</v>
      </c>
      <c r="B1857" s="5" t="s">
        <v>3699</v>
      </c>
      <c r="C1857" s="6">
        <v>9000.0</v>
      </c>
      <c r="D1857" s="6">
        <v>3.235294118</v>
      </c>
      <c r="E1857" s="6">
        <v>17.0</v>
      </c>
    </row>
    <row r="1858">
      <c r="A1858" s="4" t="s">
        <v>3700</v>
      </c>
      <c r="B1858" s="5" t="s">
        <v>3701</v>
      </c>
      <c r="C1858" s="6">
        <v>9000.0</v>
      </c>
      <c r="D1858" s="6">
        <v>4.203703704</v>
      </c>
      <c r="E1858" s="6">
        <v>216.0</v>
      </c>
    </row>
    <row r="1859">
      <c r="A1859" s="4" t="s">
        <v>3702</v>
      </c>
      <c r="B1859" s="5" t="s">
        <v>3703</v>
      </c>
      <c r="C1859" s="6">
        <v>9000.0</v>
      </c>
      <c r="D1859" s="6">
        <v>4.3125</v>
      </c>
      <c r="E1859" s="6">
        <v>16.0</v>
      </c>
    </row>
    <row r="1860">
      <c r="A1860" s="4" t="s">
        <v>3704</v>
      </c>
      <c r="B1860" s="5" t="s">
        <v>3705</v>
      </c>
      <c r="C1860" s="6">
        <v>9000.0</v>
      </c>
      <c r="D1860" s="6">
        <v>4.045454545</v>
      </c>
      <c r="E1860" s="6">
        <v>44.0</v>
      </c>
    </row>
    <row r="1861">
      <c r="A1861" s="4" t="s">
        <v>3706</v>
      </c>
      <c r="B1861" s="5" t="s">
        <v>3707</v>
      </c>
      <c r="C1861" s="6">
        <v>9000.0</v>
      </c>
      <c r="D1861" s="6">
        <v>4.76</v>
      </c>
      <c r="E1861" s="6">
        <v>25.0</v>
      </c>
    </row>
    <row r="1862">
      <c r="A1862" s="4" t="s">
        <v>3708</v>
      </c>
      <c r="B1862" s="5" t="s">
        <v>3709</v>
      </c>
      <c r="C1862" s="6">
        <v>9000.0</v>
      </c>
      <c r="D1862" s="6">
        <v>4.551724138</v>
      </c>
      <c r="E1862" s="6">
        <v>58.0</v>
      </c>
    </row>
    <row r="1863">
      <c r="A1863" s="4" t="s">
        <v>3710</v>
      </c>
      <c r="B1863" s="5" t="s">
        <v>3711</v>
      </c>
      <c r="C1863" s="6">
        <v>9000.0</v>
      </c>
      <c r="D1863" s="6">
        <v>2.543859649</v>
      </c>
      <c r="E1863" s="6">
        <v>57.0</v>
      </c>
    </row>
    <row r="1864">
      <c r="A1864" s="4" t="s">
        <v>3712</v>
      </c>
      <c r="B1864" s="5" t="s">
        <v>3713</v>
      </c>
      <c r="C1864" s="6">
        <v>9000.0</v>
      </c>
      <c r="D1864" s="6">
        <v>4.188</v>
      </c>
      <c r="E1864" s="6">
        <v>250.0</v>
      </c>
    </row>
    <row r="1865">
      <c r="A1865" s="4" t="s">
        <v>3714</v>
      </c>
      <c r="B1865" s="5" t="s">
        <v>3715</v>
      </c>
      <c r="C1865" s="6">
        <v>9000.0</v>
      </c>
      <c r="D1865" s="6">
        <v>4.125</v>
      </c>
      <c r="E1865" s="6">
        <v>8.0</v>
      </c>
    </row>
    <row r="1866">
      <c r="A1866" s="4" t="s">
        <v>3716</v>
      </c>
      <c r="B1866" s="5" t="s">
        <v>3717</v>
      </c>
      <c r="C1866" s="6">
        <v>9000.0</v>
      </c>
      <c r="D1866" s="6">
        <v>3.975609756</v>
      </c>
      <c r="E1866" s="6">
        <v>41.0</v>
      </c>
    </row>
    <row r="1867">
      <c r="A1867" s="4" t="s">
        <v>3718</v>
      </c>
      <c r="B1867" s="5" t="s">
        <v>3719</v>
      </c>
      <c r="C1867" s="6">
        <v>9000.0</v>
      </c>
      <c r="D1867" s="6">
        <v>4.295081967</v>
      </c>
      <c r="E1867" s="6">
        <v>61.0</v>
      </c>
    </row>
    <row r="1868">
      <c r="A1868" s="4" t="s">
        <v>2045</v>
      </c>
      <c r="B1868" s="5" t="s">
        <v>3720</v>
      </c>
      <c r="C1868" s="6">
        <v>9000.0</v>
      </c>
      <c r="D1868" s="6">
        <v>3.0</v>
      </c>
      <c r="E1868" s="6">
        <v>4.0</v>
      </c>
    </row>
    <row r="1869">
      <c r="A1869" s="4" t="s">
        <v>3721</v>
      </c>
      <c r="B1869" s="5" t="s">
        <v>3722</v>
      </c>
      <c r="C1869" s="6">
        <v>9000.0</v>
      </c>
      <c r="D1869" s="6">
        <v>4.088607595</v>
      </c>
      <c r="E1869" s="6">
        <v>79.0</v>
      </c>
    </row>
    <row r="1870">
      <c r="A1870" s="4" t="s">
        <v>3723</v>
      </c>
      <c r="B1870" s="5" t="s">
        <v>3724</v>
      </c>
      <c r="C1870" s="6">
        <v>9000.0</v>
      </c>
      <c r="D1870" s="6">
        <v>4.25</v>
      </c>
      <c r="E1870" s="6">
        <v>8.0</v>
      </c>
    </row>
    <row r="1871">
      <c r="A1871" s="4" t="s">
        <v>3725</v>
      </c>
      <c r="B1871" s="5" t="s">
        <v>3726</v>
      </c>
      <c r="C1871" s="6">
        <v>9000.0</v>
      </c>
      <c r="D1871" s="6">
        <v>3.299145299</v>
      </c>
      <c r="E1871" s="6">
        <v>234.0</v>
      </c>
    </row>
    <row r="1872">
      <c r="A1872" s="4" t="s">
        <v>3727</v>
      </c>
      <c r="B1872" s="5" t="s">
        <v>3728</v>
      </c>
      <c r="C1872" s="6">
        <v>9000.0</v>
      </c>
      <c r="D1872" s="6">
        <v>4.625</v>
      </c>
      <c r="E1872" s="6">
        <v>24.0</v>
      </c>
    </row>
    <row r="1873">
      <c r="A1873" s="4" t="s">
        <v>3729</v>
      </c>
      <c r="B1873" s="5" t="s">
        <v>3730</v>
      </c>
      <c r="C1873" s="6">
        <v>9000.0</v>
      </c>
      <c r="D1873" s="6">
        <v>4.066666667</v>
      </c>
      <c r="E1873" s="6">
        <v>30.0</v>
      </c>
    </row>
    <row r="1874">
      <c r="A1874" s="4" t="s">
        <v>3731</v>
      </c>
      <c r="B1874" s="5" t="s">
        <v>3732</v>
      </c>
      <c r="C1874" s="6">
        <v>9000.0</v>
      </c>
      <c r="D1874" s="6">
        <v>4.173076923</v>
      </c>
      <c r="E1874" s="6">
        <v>52.0</v>
      </c>
    </row>
    <row r="1875">
      <c r="A1875" s="4" t="s">
        <v>3733</v>
      </c>
      <c r="B1875" s="5" t="s">
        <v>3734</v>
      </c>
      <c r="C1875" s="6">
        <v>9000.0</v>
      </c>
      <c r="D1875" s="6">
        <v>3.428571429</v>
      </c>
      <c r="E1875" s="6">
        <v>14.0</v>
      </c>
    </row>
    <row r="1876">
      <c r="A1876" s="4" t="s">
        <v>3735</v>
      </c>
      <c r="B1876" s="5" t="s">
        <v>3736</v>
      </c>
      <c r="C1876" s="6">
        <v>9000.0</v>
      </c>
      <c r="D1876" s="6">
        <v>4.491803279</v>
      </c>
      <c r="E1876" s="6">
        <v>61.0</v>
      </c>
    </row>
    <row r="1877">
      <c r="A1877" s="4" t="s">
        <v>3737</v>
      </c>
      <c r="B1877" s="5" t="s">
        <v>3738</v>
      </c>
      <c r="C1877" s="6">
        <v>9000.0</v>
      </c>
      <c r="D1877" s="6">
        <v>1.939393939</v>
      </c>
      <c r="E1877" s="6">
        <v>33.0</v>
      </c>
    </row>
    <row r="1878">
      <c r="A1878" s="4" t="s">
        <v>3739</v>
      </c>
      <c r="B1878" s="5" t="s">
        <v>3740</v>
      </c>
      <c r="C1878" s="6">
        <v>9000.0</v>
      </c>
      <c r="D1878" s="6">
        <v>5.0</v>
      </c>
      <c r="E1878" s="6">
        <v>15.0</v>
      </c>
    </row>
    <row r="1879">
      <c r="A1879" s="4" t="s">
        <v>3741</v>
      </c>
      <c r="B1879" s="5" t="s">
        <v>3742</v>
      </c>
      <c r="C1879" s="6">
        <v>9000.0</v>
      </c>
      <c r="D1879" s="6">
        <v>4.252252252</v>
      </c>
      <c r="E1879" s="6">
        <v>111.0</v>
      </c>
    </row>
    <row r="1880">
      <c r="A1880" s="4" t="s">
        <v>3743</v>
      </c>
      <c r="B1880" s="5" t="s">
        <v>3744</v>
      </c>
      <c r="C1880" s="6">
        <v>9000.0</v>
      </c>
      <c r="D1880" s="6">
        <v>2.897260274</v>
      </c>
      <c r="E1880" s="6">
        <v>146.0</v>
      </c>
    </row>
    <row r="1881">
      <c r="A1881" s="4" t="s">
        <v>3745</v>
      </c>
      <c r="B1881" s="5" t="s">
        <v>3746</v>
      </c>
      <c r="C1881" s="6">
        <v>9000.0</v>
      </c>
      <c r="D1881" s="6">
        <v>5.0</v>
      </c>
      <c r="E1881" s="6">
        <v>3.0</v>
      </c>
    </row>
    <row r="1882">
      <c r="A1882" s="4" t="s">
        <v>3747</v>
      </c>
      <c r="B1882" s="5" t="s">
        <v>3748</v>
      </c>
      <c r="C1882" s="7">
        <v>8000.0</v>
      </c>
      <c r="D1882" s="6">
        <v>4.2</v>
      </c>
      <c r="E1882" s="6">
        <v>227.0</v>
      </c>
    </row>
    <row r="1883">
      <c r="A1883" s="4" t="s">
        <v>3749</v>
      </c>
      <c r="B1883" s="5" t="s">
        <v>3750</v>
      </c>
      <c r="C1883" s="7">
        <v>8000.0</v>
      </c>
      <c r="D1883" s="6">
        <v>3.6</v>
      </c>
      <c r="E1883" s="6">
        <v>93.0</v>
      </c>
    </row>
    <row r="1884">
      <c r="A1884" s="4" t="s">
        <v>3751</v>
      </c>
      <c r="B1884" s="5" t="s">
        <v>3752</v>
      </c>
      <c r="C1884" s="6">
        <v>8000.0</v>
      </c>
      <c r="D1884" s="6">
        <v>3.711538462</v>
      </c>
      <c r="E1884" s="6">
        <v>52.0</v>
      </c>
    </row>
    <row r="1885">
      <c r="A1885" s="4" t="s">
        <v>3753</v>
      </c>
      <c r="B1885" s="5" t="s">
        <v>3754</v>
      </c>
      <c r="C1885" s="6">
        <v>8000.0</v>
      </c>
      <c r="D1885" s="6">
        <v>3.75</v>
      </c>
      <c r="E1885" s="6">
        <v>4.0</v>
      </c>
    </row>
    <row r="1886">
      <c r="A1886" s="4" t="s">
        <v>3755</v>
      </c>
      <c r="B1886" s="5" t="s">
        <v>3756</v>
      </c>
      <c r="C1886" s="6">
        <v>8000.0</v>
      </c>
      <c r="D1886" s="6">
        <v>4.357142857</v>
      </c>
      <c r="E1886" s="6">
        <v>14.0</v>
      </c>
    </row>
    <row r="1887">
      <c r="A1887" s="4" t="s">
        <v>3757</v>
      </c>
      <c r="B1887" s="5" t="s">
        <v>3758</v>
      </c>
      <c r="C1887" s="6">
        <v>8000.0</v>
      </c>
      <c r="D1887" s="6">
        <v>4.1</v>
      </c>
      <c r="E1887" s="6">
        <v>10.0</v>
      </c>
    </row>
    <row r="1888">
      <c r="A1888" s="4" t="s">
        <v>3759</v>
      </c>
      <c r="B1888" s="5" t="s">
        <v>3760</v>
      </c>
      <c r="C1888" s="6">
        <v>8000.0</v>
      </c>
      <c r="D1888" s="6">
        <v>4.272727273</v>
      </c>
      <c r="E1888" s="6">
        <v>11.0</v>
      </c>
    </row>
    <row r="1889">
      <c r="A1889" s="4" t="s">
        <v>3761</v>
      </c>
      <c r="B1889" s="5" t="s">
        <v>3762</v>
      </c>
      <c r="C1889" s="6">
        <v>8000.0</v>
      </c>
      <c r="D1889" s="6">
        <v>3.945169713</v>
      </c>
      <c r="E1889" s="6">
        <v>766.0</v>
      </c>
    </row>
    <row r="1890">
      <c r="A1890" s="4" t="s">
        <v>227</v>
      </c>
      <c r="B1890" s="5" t="s">
        <v>3763</v>
      </c>
      <c r="C1890" s="6">
        <v>8000.0</v>
      </c>
      <c r="D1890" s="6">
        <v>3.585365854</v>
      </c>
      <c r="E1890" s="6">
        <v>205.0</v>
      </c>
    </row>
    <row r="1891">
      <c r="A1891" s="4" t="s">
        <v>3764</v>
      </c>
      <c r="B1891" s="5" t="s">
        <v>3765</v>
      </c>
      <c r="C1891" s="6">
        <v>8000.0</v>
      </c>
      <c r="D1891" s="6">
        <v>2.666666667</v>
      </c>
      <c r="E1891" s="6">
        <v>6.0</v>
      </c>
    </row>
    <row r="1892">
      <c r="A1892" s="4" t="s">
        <v>3766</v>
      </c>
      <c r="B1892" s="5" t="s">
        <v>3767</v>
      </c>
      <c r="C1892" s="6">
        <v>8000.0</v>
      </c>
      <c r="D1892" s="6">
        <v>3.176470588</v>
      </c>
      <c r="E1892" s="6">
        <v>17.0</v>
      </c>
    </row>
    <row r="1893">
      <c r="A1893" s="4" t="s">
        <v>3768</v>
      </c>
      <c r="B1893" s="5" t="s">
        <v>3769</v>
      </c>
      <c r="C1893" s="6">
        <v>8000.0</v>
      </c>
      <c r="D1893" s="6">
        <v>3.816901408</v>
      </c>
      <c r="E1893" s="6">
        <v>71.0</v>
      </c>
    </row>
    <row r="1894">
      <c r="A1894" s="4" t="s">
        <v>3770</v>
      </c>
      <c r="B1894" s="5" t="s">
        <v>3771</v>
      </c>
      <c r="C1894" s="6">
        <v>8000.0</v>
      </c>
      <c r="D1894" s="6">
        <v>5.0</v>
      </c>
      <c r="E1894" s="6">
        <v>14.0</v>
      </c>
    </row>
    <row r="1895">
      <c r="A1895" s="4" t="s">
        <v>3772</v>
      </c>
      <c r="B1895" s="5" t="s">
        <v>3773</v>
      </c>
      <c r="C1895" s="6">
        <v>8000.0</v>
      </c>
      <c r="D1895" s="6">
        <v>4.714285714</v>
      </c>
      <c r="E1895" s="6">
        <v>70.0</v>
      </c>
    </row>
    <row r="1896">
      <c r="A1896" s="4" t="s">
        <v>3774</v>
      </c>
      <c r="B1896" s="5" t="s">
        <v>3775</v>
      </c>
      <c r="C1896" s="6">
        <v>8000.0</v>
      </c>
      <c r="D1896" s="6">
        <v>4.5</v>
      </c>
      <c r="E1896" s="6">
        <v>8.0</v>
      </c>
    </row>
    <row r="1897">
      <c r="A1897" s="4" t="s">
        <v>3776</v>
      </c>
      <c r="B1897" s="5" t="s">
        <v>3777</v>
      </c>
      <c r="C1897" s="6">
        <v>8000.0</v>
      </c>
      <c r="D1897" s="6">
        <v>4.041666667</v>
      </c>
      <c r="E1897" s="6">
        <v>24.0</v>
      </c>
    </row>
    <row r="1898">
      <c r="A1898" s="4" t="s">
        <v>3778</v>
      </c>
      <c r="B1898" s="5" t="s">
        <v>3779</v>
      </c>
      <c r="C1898" s="6">
        <v>8000.0</v>
      </c>
      <c r="D1898" s="6">
        <v>3.304347826</v>
      </c>
      <c r="E1898" s="6">
        <v>23.0</v>
      </c>
    </row>
    <row r="1899">
      <c r="A1899" s="4" t="s">
        <v>3780</v>
      </c>
      <c r="B1899" s="5" t="s">
        <v>3781</v>
      </c>
      <c r="C1899" s="6">
        <v>8000.0</v>
      </c>
      <c r="D1899" s="6">
        <v>3.105263158</v>
      </c>
      <c r="E1899" s="6">
        <v>38.0</v>
      </c>
    </row>
    <row r="1900">
      <c r="A1900" s="5" t="s">
        <v>3782</v>
      </c>
      <c r="B1900" s="5" t="s">
        <v>3783</v>
      </c>
      <c r="C1900" s="6">
        <v>8000.0</v>
      </c>
      <c r="D1900" s="6">
        <v>3.677419355</v>
      </c>
      <c r="E1900" s="6">
        <v>31.0</v>
      </c>
    </row>
    <row r="1901">
      <c r="A1901" s="4" t="s">
        <v>3784</v>
      </c>
      <c r="B1901" s="5" t="s">
        <v>3785</v>
      </c>
      <c r="C1901" s="6">
        <v>8000.0</v>
      </c>
      <c r="D1901" s="9"/>
      <c r="E1901" s="9"/>
    </row>
    <row r="1902">
      <c r="A1902" s="4" t="s">
        <v>3786</v>
      </c>
      <c r="B1902" s="5" t="s">
        <v>3787</v>
      </c>
      <c r="C1902" s="6">
        <v>8000.0</v>
      </c>
      <c r="D1902" s="6">
        <v>5.0</v>
      </c>
      <c r="E1902" s="6">
        <v>7.0</v>
      </c>
    </row>
    <row r="1903">
      <c r="A1903" s="4" t="s">
        <v>3788</v>
      </c>
      <c r="B1903" s="5" t="s">
        <v>3789</v>
      </c>
      <c r="C1903" s="6">
        <v>8000.0</v>
      </c>
      <c r="D1903" s="6">
        <v>4.516129032</v>
      </c>
      <c r="E1903" s="6">
        <v>31.0</v>
      </c>
    </row>
    <row r="1904">
      <c r="A1904" s="4" t="s">
        <v>3790</v>
      </c>
      <c r="B1904" s="5" t="s">
        <v>3791</v>
      </c>
      <c r="C1904" s="6">
        <v>8000.0</v>
      </c>
      <c r="D1904" s="6">
        <v>4.662591687</v>
      </c>
      <c r="E1904" s="6">
        <v>409.0</v>
      </c>
    </row>
    <row r="1905">
      <c r="A1905" s="4" t="s">
        <v>3792</v>
      </c>
      <c r="B1905" s="5" t="s">
        <v>3793</v>
      </c>
      <c r="C1905" s="6">
        <v>8000.0</v>
      </c>
      <c r="D1905" s="6">
        <v>2.272727273</v>
      </c>
      <c r="E1905" s="6">
        <v>11.0</v>
      </c>
    </row>
    <row r="1906">
      <c r="A1906" s="4" t="s">
        <v>3794</v>
      </c>
      <c r="B1906" s="5" t="s">
        <v>3795</v>
      </c>
      <c r="C1906" s="6">
        <v>8000.0</v>
      </c>
      <c r="D1906" s="6">
        <v>3.619047619</v>
      </c>
      <c r="E1906" s="6">
        <v>42.0</v>
      </c>
    </row>
    <row r="1907">
      <c r="A1907" s="4" t="s">
        <v>3796</v>
      </c>
      <c r="B1907" s="5" t="s">
        <v>3797</v>
      </c>
      <c r="C1907" s="6">
        <v>8000.0</v>
      </c>
      <c r="D1907" s="6">
        <v>3.106557377</v>
      </c>
      <c r="E1907" s="6">
        <v>122.0</v>
      </c>
    </row>
    <row r="1908">
      <c r="A1908" s="4" t="s">
        <v>3798</v>
      </c>
      <c r="B1908" s="5" t="s">
        <v>3799</v>
      </c>
      <c r="C1908" s="6">
        <v>8000.0</v>
      </c>
      <c r="D1908" s="6">
        <v>3.946969697</v>
      </c>
      <c r="E1908" s="6">
        <v>132.0</v>
      </c>
    </row>
    <row r="1909">
      <c r="A1909" s="4" t="s">
        <v>3800</v>
      </c>
      <c r="B1909" s="5" t="s">
        <v>3801</v>
      </c>
      <c r="C1909" s="6">
        <v>8000.0</v>
      </c>
      <c r="D1909" s="6">
        <v>2.632911392</v>
      </c>
      <c r="E1909" s="6">
        <v>79.0</v>
      </c>
    </row>
    <row r="1910">
      <c r="A1910" s="4" t="s">
        <v>3802</v>
      </c>
      <c r="B1910" s="5" t="s">
        <v>3803</v>
      </c>
      <c r="C1910" s="6">
        <v>8000.0</v>
      </c>
      <c r="D1910" s="6">
        <v>3.666666667</v>
      </c>
      <c r="E1910" s="6">
        <v>6.0</v>
      </c>
    </row>
    <row r="1911">
      <c r="A1911" s="4" t="s">
        <v>3804</v>
      </c>
      <c r="B1911" s="5" t="s">
        <v>3805</v>
      </c>
      <c r="C1911" s="6">
        <v>8000.0</v>
      </c>
      <c r="D1911" s="6">
        <v>3.465116279</v>
      </c>
      <c r="E1911" s="6">
        <v>43.0</v>
      </c>
    </row>
    <row r="1912">
      <c r="A1912" s="4" t="s">
        <v>3806</v>
      </c>
      <c r="B1912" s="5" t="s">
        <v>3807</v>
      </c>
      <c r="C1912" s="6">
        <v>8000.0</v>
      </c>
      <c r="D1912" s="6">
        <v>4.411764706</v>
      </c>
      <c r="E1912" s="6">
        <v>51.0</v>
      </c>
    </row>
    <row r="1913">
      <c r="A1913" s="4" t="s">
        <v>3808</v>
      </c>
      <c r="B1913" s="5" t="s">
        <v>3809</v>
      </c>
      <c r="C1913" s="6">
        <v>8000.0</v>
      </c>
      <c r="D1913" s="6">
        <v>3.333333333</v>
      </c>
      <c r="E1913" s="6">
        <v>9.0</v>
      </c>
    </row>
    <row r="1914">
      <c r="A1914" s="4" t="s">
        <v>3810</v>
      </c>
      <c r="B1914" s="5" t="s">
        <v>3811</v>
      </c>
      <c r="C1914" s="6">
        <v>8000.0</v>
      </c>
      <c r="D1914" s="6">
        <v>3.316455696</v>
      </c>
      <c r="E1914" s="6">
        <v>79.0</v>
      </c>
    </row>
    <row r="1915">
      <c r="A1915" s="4" t="s">
        <v>3812</v>
      </c>
      <c r="B1915" s="5" t="s">
        <v>3813</v>
      </c>
      <c r="C1915" s="6">
        <v>8000.0</v>
      </c>
      <c r="D1915" s="6">
        <v>3.92</v>
      </c>
      <c r="E1915" s="6">
        <v>50.0</v>
      </c>
    </row>
    <row r="1916">
      <c r="A1916" s="4" t="s">
        <v>3814</v>
      </c>
      <c r="B1916" s="5" t="s">
        <v>3815</v>
      </c>
      <c r="C1916" s="6">
        <v>8000.0</v>
      </c>
      <c r="D1916" s="6">
        <v>2.25</v>
      </c>
      <c r="E1916" s="6">
        <v>28.0</v>
      </c>
    </row>
    <row r="1917">
      <c r="A1917" s="4" t="s">
        <v>3816</v>
      </c>
      <c r="B1917" s="5" t="s">
        <v>3817</v>
      </c>
      <c r="C1917" s="6">
        <v>8000.0</v>
      </c>
      <c r="D1917" s="6">
        <v>4.615384615</v>
      </c>
      <c r="E1917" s="6">
        <v>13.0</v>
      </c>
    </row>
    <row r="1918">
      <c r="A1918" s="4" t="s">
        <v>3818</v>
      </c>
      <c r="B1918" s="5" t="s">
        <v>3819</v>
      </c>
      <c r="C1918" s="6">
        <v>8000.0</v>
      </c>
      <c r="D1918" s="6">
        <v>3.61352657</v>
      </c>
      <c r="E1918" s="6">
        <v>207.0</v>
      </c>
    </row>
    <row r="1919">
      <c r="A1919" s="4" t="s">
        <v>3820</v>
      </c>
      <c r="B1919" s="5" t="s">
        <v>3821</v>
      </c>
      <c r="C1919" s="6">
        <v>8000.0</v>
      </c>
      <c r="D1919" s="6">
        <v>3.716981132</v>
      </c>
      <c r="E1919" s="6">
        <v>53.0</v>
      </c>
    </row>
    <row r="1920">
      <c r="A1920" s="4" t="s">
        <v>3822</v>
      </c>
      <c r="B1920" s="5" t="s">
        <v>3823</v>
      </c>
      <c r="C1920" s="6">
        <v>8000.0</v>
      </c>
      <c r="D1920" s="6">
        <v>2.476190476</v>
      </c>
      <c r="E1920" s="6">
        <v>21.0</v>
      </c>
    </row>
    <row r="1921">
      <c r="A1921" s="4" t="s">
        <v>3824</v>
      </c>
      <c r="B1921" s="14" t="s">
        <v>3825</v>
      </c>
      <c r="C1921" s="7">
        <v>8000.0</v>
      </c>
      <c r="D1921" s="6">
        <v>3.3</v>
      </c>
      <c r="E1921" s="6">
        <v>13.0</v>
      </c>
    </row>
    <row r="1922">
      <c r="A1922" s="4" t="s">
        <v>3826</v>
      </c>
      <c r="B1922" s="5" t="s">
        <v>3827</v>
      </c>
      <c r="C1922" s="6">
        <v>8000.0</v>
      </c>
      <c r="D1922" s="6">
        <v>4.166666667</v>
      </c>
      <c r="E1922" s="6">
        <v>12.0</v>
      </c>
    </row>
    <row r="1923">
      <c r="A1923" s="4" t="s">
        <v>3828</v>
      </c>
      <c r="B1923" s="5" t="s">
        <v>3829</v>
      </c>
      <c r="C1923" s="6">
        <v>8000.0</v>
      </c>
      <c r="D1923" s="6">
        <v>4.113207547</v>
      </c>
      <c r="E1923" s="6">
        <v>53.0</v>
      </c>
    </row>
    <row r="1924">
      <c r="A1924" s="4" t="s">
        <v>3830</v>
      </c>
      <c r="B1924" s="5" t="s">
        <v>3831</v>
      </c>
      <c r="C1924" s="6">
        <v>8000.0</v>
      </c>
      <c r="D1924" s="6">
        <v>3.230769231</v>
      </c>
      <c r="E1924" s="6">
        <v>26.0</v>
      </c>
    </row>
    <row r="1925">
      <c r="A1925" s="4" t="s">
        <v>3832</v>
      </c>
      <c r="B1925" s="5" t="s">
        <v>3833</v>
      </c>
      <c r="C1925" s="6">
        <v>8000.0</v>
      </c>
      <c r="D1925" s="6">
        <v>4.590163934</v>
      </c>
      <c r="E1925" s="6">
        <v>61.0</v>
      </c>
    </row>
    <row r="1926">
      <c r="A1926" s="4" t="s">
        <v>3834</v>
      </c>
      <c r="B1926" s="5" t="s">
        <v>3835</v>
      </c>
      <c r="C1926" s="6">
        <v>8000.0</v>
      </c>
      <c r="D1926" s="6">
        <v>4.0</v>
      </c>
      <c r="E1926" s="6">
        <v>6.0</v>
      </c>
    </row>
    <row r="1927">
      <c r="A1927" s="4" t="s">
        <v>3836</v>
      </c>
      <c r="B1927" s="5" t="s">
        <v>3837</v>
      </c>
      <c r="C1927" s="6">
        <v>8000.0</v>
      </c>
      <c r="D1927" s="6">
        <v>2.0625</v>
      </c>
      <c r="E1927" s="6">
        <v>16.0</v>
      </c>
    </row>
    <row r="1928">
      <c r="A1928" s="4" t="s">
        <v>3838</v>
      </c>
      <c r="B1928" s="5" t="s">
        <v>3839</v>
      </c>
      <c r="C1928" s="6">
        <v>8000.0</v>
      </c>
      <c r="D1928" s="6">
        <v>4.96875</v>
      </c>
      <c r="E1928" s="6">
        <v>896.0</v>
      </c>
    </row>
    <row r="1929">
      <c r="A1929" s="4" t="s">
        <v>3840</v>
      </c>
      <c r="B1929" s="5" t="s">
        <v>3841</v>
      </c>
      <c r="C1929" s="6">
        <v>8000.0</v>
      </c>
      <c r="D1929" s="6">
        <v>3.295597484</v>
      </c>
      <c r="E1929" s="6">
        <v>159.0</v>
      </c>
    </row>
    <row r="1930">
      <c r="A1930" s="4" t="s">
        <v>3842</v>
      </c>
      <c r="B1930" s="5" t="s">
        <v>3843</v>
      </c>
      <c r="C1930" s="6">
        <v>8000.0</v>
      </c>
      <c r="D1930" s="6">
        <v>5.0</v>
      </c>
      <c r="E1930" s="6">
        <v>11.0</v>
      </c>
    </row>
    <row r="1931">
      <c r="A1931" s="4" t="s">
        <v>3844</v>
      </c>
      <c r="B1931" s="5" t="s">
        <v>3845</v>
      </c>
      <c r="C1931" s="6">
        <v>8000.0</v>
      </c>
      <c r="D1931" s="6">
        <v>4.727272727</v>
      </c>
      <c r="E1931" s="6">
        <v>11.0</v>
      </c>
    </row>
    <row r="1932">
      <c r="A1932" s="4" t="s">
        <v>3846</v>
      </c>
      <c r="B1932" s="5" t="s">
        <v>3847</v>
      </c>
      <c r="C1932" s="6">
        <v>8000.0</v>
      </c>
      <c r="D1932" s="6">
        <v>4.304347826</v>
      </c>
      <c r="E1932" s="6">
        <v>46.0</v>
      </c>
    </row>
    <row r="1933">
      <c r="A1933" s="4" t="s">
        <v>3848</v>
      </c>
      <c r="B1933" s="5" t="s">
        <v>3849</v>
      </c>
      <c r="C1933" s="6">
        <v>8000.0</v>
      </c>
      <c r="D1933" s="6">
        <v>4.013888889</v>
      </c>
      <c r="E1933" s="6">
        <v>72.0</v>
      </c>
    </row>
    <row r="1934">
      <c r="A1934" s="4" t="s">
        <v>3850</v>
      </c>
      <c r="B1934" s="5" t="s">
        <v>3851</v>
      </c>
      <c r="C1934" s="6">
        <v>8000.0</v>
      </c>
      <c r="D1934" s="6">
        <v>3.4</v>
      </c>
      <c r="E1934" s="6">
        <v>5.0</v>
      </c>
    </row>
    <row r="1935">
      <c r="A1935" s="4" t="s">
        <v>3852</v>
      </c>
      <c r="B1935" s="5" t="s">
        <v>3853</v>
      </c>
      <c r="C1935" s="6">
        <v>8000.0</v>
      </c>
      <c r="D1935" s="6">
        <v>4.543478261</v>
      </c>
      <c r="E1935" s="6">
        <v>46.0</v>
      </c>
    </row>
    <row r="1936">
      <c r="A1936" s="4" t="s">
        <v>3854</v>
      </c>
      <c r="B1936" s="5" t="s">
        <v>3855</v>
      </c>
      <c r="C1936" s="6">
        <v>8000.0</v>
      </c>
      <c r="D1936" s="6">
        <v>4.285714286</v>
      </c>
      <c r="E1936" s="6">
        <v>182.0</v>
      </c>
    </row>
    <row r="1937">
      <c r="A1937" s="4" t="s">
        <v>3856</v>
      </c>
      <c r="B1937" s="5" t="s">
        <v>3857</v>
      </c>
      <c r="C1937" s="6">
        <v>8000.0</v>
      </c>
      <c r="D1937" s="6">
        <v>3.851239669</v>
      </c>
      <c r="E1937" s="6">
        <v>121.0</v>
      </c>
    </row>
    <row r="1938">
      <c r="A1938" s="4" t="s">
        <v>3858</v>
      </c>
      <c r="B1938" s="5" t="s">
        <v>3859</v>
      </c>
      <c r="C1938" s="6">
        <v>8000.0</v>
      </c>
      <c r="D1938" s="6">
        <v>1.0</v>
      </c>
      <c r="E1938" s="6">
        <v>12.0</v>
      </c>
    </row>
    <row r="1939">
      <c r="A1939" s="4" t="s">
        <v>3860</v>
      </c>
      <c r="B1939" s="5" t="s">
        <v>3861</v>
      </c>
      <c r="C1939" s="6">
        <v>8000.0</v>
      </c>
      <c r="D1939" s="6">
        <v>4.300518135</v>
      </c>
      <c r="E1939" s="6">
        <v>193.0</v>
      </c>
    </row>
    <row r="1940">
      <c r="A1940" s="4" t="s">
        <v>3862</v>
      </c>
      <c r="B1940" s="5" t="s">
        <v>3863</v>
      </c>
      <c r="C1940" s="6">
        <v>8000.0</v>
      </c>
      <c r="D1940" s="6">
        <v>2.805555556</v>
      </c>
      <c r="E1940" s="6">
        <v>36.0</v>
      </c>
    </row>
    <row r="1941">
      <c r="A1941" s="4" t="s">
        <v>3864</v>
      </c>
      <c r="B1941" s="5" t="s">
        <v>3865</v>
      </c>
      <c r="C1941" s="6">
        <v>8000.0</v>
      </c>
      <c r="D1941" s="6">
        <v>4.281690141</v>
      </c>
      <c r="E1941" s="6">
        <v>71.0</v>
      </c>
    </row>
    <row r="1942">
      <c r="A1942" s="4" t="s">
        <v>3866</v>
      </c>
      <c r="B1942" s="5" t="s">
        <v>3867</v>
      </c>
      <c r="C1942" s="6">
        <v>8000.0</v>
      </c>
      <c r="D1942" s="6">
        <v>4.847222222</v>
      </c>
      <c r="E1942" s="6">
        <v>72.0</v>
      </c>
    </row>
    <row r="1943">
      <c r="A1943" s="4" t="s">
        <v>3868</v>
      </c>
      <c r="B1943" s="5" t="s">
        <v>3869</v>
      </c>
      <c r="C1943" s="6">
        <v>8000.0</v>
      </c>
      <c r="D1943" s="6">
        <v>4.31920904</v>
      </c>
      <c r="E1943" s="6">
        <v>354.0</v>
      </c>
    </row>
    <row r="1944">
      <c r="A1944" s="4" t="s">
        <v>3870</v>
      </c>
      <c r="B1944" s="5" t="s">
        <v>3871</v>
      </c>
      <c r="C1944" s="6">
        <v>8000.0</v>
      </c>
      <c r="D1944" s="6">
        <v>5.0</v>
      </c>
      <c r="E1944" s="6">
        <v>26.0</v>
      </c>
    </row>
    <row r="1945">
      <c r="A1945" s="4" t="s">
        <v>3872</v>
      </c>
      <c r="B1945" s="5" t="s">
        <v>3873</v>
      </c>
      <c r="C1945" s="6">
        <v>8000.0</v>
      </c>
      <c r="D1945" s="6">
        <v>3.946428571</v>
      </c>
      <c r="E1945" s="6">
        <v>56.0</v>
      </c>
    </row>
    <row r="1946">
      <c r="A1946" s="4" t="s">
        <v>3874</v>
      </c>
      <c r="B1946" s="5" t="s">
        <v>3875</v>
      </c>
      <c r="C1946" s="6">
        <v>8000.0</v>
      </c>
      <c r="D1946" s="6">
        <v>3.636363636</v>
      </c>
      <c r="E1946" s="6">
        <v>11.0</v>
      </c>
    </row>
    <row r="1947">
      <c r="A1947" s="4" t="s">
        <v>3876</v>
      </c>
      <c r="B1947" s="5" t="s">
        <v>3877</v>
      </c>
      <c r="C1947" s="6">
        <v>8000.0</v>
      </c>
      <c r="D1947" s="6">
        <v>4.330645161</v>
      </c>
      <c r="E1947" s="6">
        <v>248.0</v>
      </c>
    </row>
    <row r="1948">
      <c r="A1948" s="4" t="s">
        <v>3878</v>
      </c>
      <c r="B1948" s="5" t="s">
        <v>3879</v>
      </c>
      <c r="C1948" s="6">
        <v>8000.0</v>
      </c>
      <c r="D1948" s="6">
        <v>2.05</v>
      </c>
      <c r="E1948" s="6">
        <v>40.0</v>
      </c>
    </row>
    <row r="1949">
      <c r="A1949" s="4" t="s">
        <v>3880</v>
      </c>
      <c r="B1949" s="5" t="s">
        <v>3881</v>
      </c>
      <c r="C1949" s="6">
        <v>8000.0</v>
      </c>
      <c r="D1949" s="6">
        <v>4.296875</v>
      </c>
      <c r="E1949" s="6">
        <v>64.0</v>
      </c>
    </row>
    <row r="1950">
      <c r="A1950" s="4" t="s">
        <v>3882</v>
      </c>
      <c r="B1950" s="5" t="s">
        <v>3883</v>
      </c>
      <c r="C1950" s="6">
        <v>8000.0</v>
      </c>
      <c r="D1950" s="6">
        <v>4.444444444</v>
      </c>
      <c r="E1950" s="6">
        <v>54.0</v>
      </c>
    </row>
    <row r="1951">
      <c r="A1951" s="4" t="s">
        <v>3884</v>
      </c>
      <c r="B1951" s="5" t="s">
        <v>3885</v>
      </c>
      <c r="C1951" s="6">
        <v>8000.0</v>
      </c>
      <c r="D1951" s="6">
        <v>3.633333333</v>
      </c>
      <c r="E1951" s="6">
        <v>30.0</v>
      </c>
    </row>
    <row r="1952">
      <c r="A1952" s="4" t="s">
        <v>3886</v>
      </c>
      <c r="B1952" s="5" t="s">
        <v>3887</v>
      </c>
      <c r="C1952" s="6">
        <v>8000.0</v>
      </c>
      <c r="D1952" s="6">
        <v>3.971698113</v>
      </c>
      <c r="E1952" s="6">
        <v>212.0</v>
      </c>
    </row>
    <row r="1953">
      <c r="A1953" s="4" t="s">
        <v>3888</v>
      </c>
      <c r="B1953" s="5" t="s">
        <v>3889</v>
      </c>
      <c r="C1953" s="6">
        <v>8000.0</v>
      </c>
      <c r="D1953" s="6">
        <v>5.0</v>
      </c>
      <c r="E1953" s="6">
        <v>5.0</v>
      </c>
    </row>
    <row r="1954">
      <c r="A1954" s="4" t="s">
        <v>3890</v>
      </c>
      <c r="B1954" s="5" t="s">
        <v>3891</v>
      </c>
      <c r="C1954" s="6">
        <v>8000.0</v>
      </c>
      <c r="D1954" s="6">
        <v>4.632653061</v>
      </c>
      <c r="E1954" s="6">
        <v>98.0</v>
      </c>
    </row>
    <row r="1955">
      <c r="A1955" s="4" t="s">
        <v>3892</v>
      </c>
      <c r="B1955" s="5" t="s">
        <v>3893</v>
      </c>
      <c r="C1955" s="6">
        <v>8000.0</v>
      </c>
      <c r="D1955" s="6">
        <v>4.142857143</v>
      </c>
      <c r="E1955" s="6">
        <v>28.0</v>
      </c>
    </row>
    <row r="1956">
      <c r="A1956" s="4" t="s">
        <v>3894</v>
      </c>
      <c r="B1956" s="5" t="s">
        <v>3895</v>
      </c>
      <c r="C1956" s="6">
        <v>8000.0</v>
      </c>
      <c r="D1956" s="6">
        <v>3.8</v>
      </c>
      <c r="E1956" s="6">
        <v>75.0</v>
      </c>
    </row>
    <row r="1957">
      <c r="A1957" s="4" t="s">
        <v>3896</v>
      </c>
      <c r="B1957" s="5" t="s">
        <v>3897</v>
      </c>
      <c r="C1957" s="6">
        <v>8000.0</v>
      </c>
      <c r="D1957" s="6">
        <v>4.0</v>
      </c>
      <c r="E1957" s="6">
        <v>4.0</v>
      </c>
    </row>
    <row r="1958">
      <c r="A1958" s="4" t="s">
        <v>3898</v>
      </c>
      <c r="B1958" s="5" t="s">
        <v>3899</v>
      </c>
      <c r="C1958" s="6">
        <v>8000.0</v>
      </c>
      <c r="D1958" s="6">
        <v>4.409395973</v>
      </c>
      <c r="E1958" s="6">
        <v>149.0</v>
      </c>
    </row>
    <row r="1959">
      <c r="A1959" s="4" t="s">
        <v>3900</v>
      </c>
      <c r="B1959" s="5" t="s">
        <v>3901</v>
      </c>
      <c r="C1959" s="6">
        <v>8000.0</v>
      </c>
      <c r="D1959" s="6">
        <v>3.666666667</v>
      </c>
      <c r="E1959" s="6">
        <v>9.0</v>
      </c>
    </row>
    <row r="1960">
      <c r="A1960" s="4" t="s">
        <v>3902</v>
      </c>
      <c r="B1960" s="5" t="s">
        <v>3903</v>
      </c>
      <c r="C1960" s="6">
        <v>8000.0</v>
      </c>
      <c r="D1960" s="6">
        <v>3.47826087</v>
      </c>
      <c r="E1960" s="6">
        <v>46.0</v>
      </c>
    </row>
    <row r="1961">
      <c r="A1961" s="4" t="s">
        <v>3904</v>
      </c>
      <c r="B1961" s="5" t="s">
        <v>3905</v>
      </c>
      <c r="C1961" s="6">
        <v>8000.0</v>
      </c>
      <c r="D1961" s="6">
        <v>3.888157895</v>
      </c>
      <c r="E1961" s="6">
        <v>152.0</v>
      </c>
    </row>
    <row r="1962">
      <c r="A1962" s="4" t="s">
        <v>3906</v>
      </c>
      <c r="B1962" s="5" t="s">
        <v>3907</v>
      </c>
      <c r="C1962" s="6">
        <v>8000.0</v>
      </c>
      <c r="D1962" s="6">
        <v>4.0</v>
      </c>
      <c r="E1962" s="6">
        <v>6.0</v>
      </c>
    </row>
    <row r="1963">
      <c r="A1963" s="4" t="s">
        <v>3908</v>
      </c>
      <c r="B1963" s="5" t="s">
        <v>3909</v>
      </c>
      <c r="C1963" s="6">
        <v>8000.0</v>
      </c>
      <c r="D1963" s="6">
        <v>4.534883721</v>
      </c>
      <c r="E1963" s="6">
        <v>43.0</v>
      </c>
    </row>
    <row r="1964">
      <c r="A1964" s="4" t="s">
        <v>3910</v>
      </c>
      <c r="B1964" s="5" t="s">
        <v>3911</v>
      </c>
      <c r="C1964" s="6">
        <v>8000.0</v>
      </c>
      <c r="D1964" s="6">
        <v>4.141414141</v>
      </c>
      <c r="E1964" s="6">
        <v>198.0</v>
      </c>
    </row>
    <row r="1965">
      <c r="A1965" s="4" t="s">
        <v>3912</v>
      </c>
      <c r="B1965" s="5" t="s">
        <v>3913</v>
      </c>
      <c r="C1965" s="6">
        <v>8000.0</v>
      </c>
      <c r="D1965" s="6">
        <v>4.785123967</v>
      </c>
      <c r="E1965" s="6">
        <v>121.0</v>
      </c>
    </row>
    <row r="1966">
      <c r="A1966" s="4" t="s">
        <v>3914</v>
      </c>
      <c r="B1966" s="5" t="s">
        <v>3915</v>
      </c>
      <c r="C1966" s="6">
        <v>8000.0</v>
      </c>
      <c r="D1966" s="6">
        <v>4.444444444</v>
      </c>
      <c r="E1966" s="6">
        <v>45.0</v>
      </c>
    </row>
    <row r="1967">
      <c r="A1967" s="4" t="s">
        <v>3916</v>
      </c>
      <c r="B1967" s="5" t="s">
        <v>3917</v>
      </c>
      <c r="C1967" s="6">
        <v>8000.0</v>
      </c>
      <c r="D1967" s="6">
        <v>5.0</v>
      </c>
      <c r="E1967" s="6">
        <v>8.0</v>
      </c>
    </row>
    <row r="1968">
      <c r="A1968" s="4" t="s">
        <v>3918</v>
      </c>
      <c r="B1968" s="5" t="s">
        <v>3919</v>
      </c>
      <c r="C1968" s="6">
        <v>8000.0</v>
      </c>
      <c r="D1968" s="6">
        <v>4.758333333</v>
      </c>
      <c r="E1968" s="6">
        <v>120.0</v>
      </c>
    </row>
    <row r="1969">
      <c r="A1969" s="4" t="s">
        <v>3920</v>
      </c>
      <c r="B1969" s="5" t="s">
        <v>3921</v>
      </c>
      <c r="C1969" s="6">
        <v>8000.0</v>
      </c>
      <c r="D1969" s="6">
        <v>3.891719745</v>
      </c>
      <c r="E1969" s="6">
        <v>157.0</v>
      </c>
    </row>
    <row r="1970">
      <c r="A1970" s="4" t="s">
        <v>3922</v>
      </c>
      <c r="B1970" s="5" t="s">
        <v>3923</v>
      </c>
      <c r="C1970" s="6">
        <v>8000.0</v>
      </c>
      <c r="D1970" s="6">
        <v>2.582089552</v>
      </c>
      <c r="E1970" s="6">
        <v>67.0</v>
      </c>
    </row>
    <row r="1971">
      <c r="A1971" s="4" t="s">
        <v>3924</v>
      </c>
      <c r="B1971" s="5" t="s">
        <v>3925</v>
      </c>
      <c r="C1971" s="6">
        <v>8000.0</v>
      </c>
      <c r="D1971" s="6">
        <v>3.375</v>
      </c>
      <c r="E1971" s="6">
        <v>16.0</v>
      </c>
    </row>
    <row r="1972">
      <c r="A1972" s="4" t="s">
        <v>3926</v>
      </c>
      <c r="B1972" s="5" t="s">
        <v>3927</v>
      </c>
      <c r="C1972" s="6">
        <v>8000.0</v>
      </c>
      <c r="D1972" s="6">
        <v>4.40776699</v>
      </c>
      <c r="E1972" s="6">
        <v>103.0</v>
      </c>
    </row>
    <row r="1973">
      <c r="A1973" s="4" t="s">
        <v>3928</v>
      </c>
      <c r="B1973" s="5" t="s">
        <v>3929</v>
      </c>
      <c r="C1973" s="6">
        <v>8000.0</v>
      </c>
      <c r="D1973" s="6">
        <v>4.806451613</v>
      </c>
      <c r="E1973" s="6">
        <v>31.0</v>
      </c>
    </row>
    <row r="1974">
      <c r="A1974" s="4" t="s">
        <v>3930</v>
      </c>
      <c r="B1974" s="5" t="s">
        <v>3931</v>
      </c>
      <c r="C1974" s="6">
        <v>8000.0</v>
      </c>
      <c r="D1974" s="6">
        <v>3.25</v>
      </c>
      <c r="E1974" s="6">
        <v>12.0</v>
      </c>
    </row>
    <row r="1975">
      <c r="A1975" s="4" t="s">
        <v>3932</v>
      </c>
      <c r="B1975" s="5" t="s">
        <v>3933</v>
      </c>
      <c r="C1975" s="6">
        <v>8000.0</v>
      </c>
      <c r="D1975" s="6">
        <v>3.0</v>
      </c>
      <c r="E1975" s="6">
        <v>2.0</v>
      </c>
    </row>
    <row r="1976">
      <c r="A1976" s="4" t="s">
        <v>3934</v>
      </c>
      <c r="B1976" s="5" t="s">
        <v>3935</v>
      </c>
      <c r="C1976" s="6">
        <v>8000.0</v>
      </c>
      <c r="D1976" s="6">
        <v>4.135440181</v>
      </c>
      <c r="E1976" s="6">
        <v>443.0</v>
      </c>
    </row>
    <row r="1977">
      <c r="A1977" s="4" t="s">
        <v>3936</v>
      </c>
      <c r="B1977" s="5" t="s">
        <v>3937</v>
      </c>
      <c r="C1977" s="6">
        <v>8000.0</v>
      </c>
      <c r="D1977" s="6">
        <v>3.789473684</v>
      </c>
      <c r="E1977" s="6">
        <v>19.0</v>
      </c>
    </row>
    <row r="1978">
      <c r="A1978" s="4" t="s">
        <v>3938</v>
      </c>
      <c r="B1978" s="5" t="s">
        <v>3939</v>
      </c>
      <c r="C1978" s="6">
        <v>8000.0</v>
      </c>
      <c r="D1978" s="6">
        <v>4.428571429</v>
      </c>
      <c r="E1978" s="6">
        <v>21.0</v>
      </c>
    </row>
    <row r="1979">
      <c r="A1979" s="4" t="s">
        <v>3940</v>
      </c>
      <c r="B1979" s="5" t="s">
        <v>3941</v>
      </c>
      <c r="C1979" s="6">
        <v>8000.0</v>
      </c>
      <c r="D1979" s="6">
        <v>2.720930233</v>
      </c>
      <c r="E1979" s="6">
        <v>43.0</v>
      </c>
    </row>
    <row r="1980">
      <c r="A1980" s="4" t="s">
        <v>3942</v>
      </c>
      <c r="B1980" s="5" t="s">
        <v>3943</v>
      </c>
      <c r="C1980" s="6">
        <v>8000.0</v>
      </c>
      <c r="D1980" s="6">
        <v>5.0</v>
      </c>
      <c r="E1980" s="6">
        <v>2.0</v>
      </c>
    </row>
    <row r="1981">
      <c r="A1981" s="4" t="s">
        <v>3944</v>
      </c>
      <c r="B1981" s="5" t="s">
        <v>3945</v>
      </c>
      <c r="C1981" s="6">
        <v>8000.0</v>
      </c>
      <c r="D1981" s="6">
        <v>3.219512195</v>
      </c>
      <c r="E1981" s="6">
        <v>41.0</v>
      </c>
    </row>
    <row r="1982">
      <c r="A1982" s="4" t="s">
        <v>3946</v>
      </c>
      <c r="B1982" s="5" t="s">
        <v>3947</v>
      </c>
      <c r="C1982" s="6">
        <v>8000.0</v>
      </c>
      <c r="D1982" s="6">
        <v>3.777777778</v>
      </c>
      <c r="E1982" s="6">
        <v>18.0</v>
      </c>
    </row>
    <row r="1983">
      <c r="A1983" s="4" t="s">
        <v>3948</v>
      </c>
      <c r="B1983" s="5" t="s">
        <v>3949</v>
      </c>
      <c r="C1983" s="6">
        <v>8000.0</v>
      </c>
      <c r="D1983" s="6">
        <v>4.624113475</v>
      </c>
      <c r="E1983" s="6">
        <v>141.0</v>
      </c>
    </row>
    <row r="1984">
      <c r="A1984" s="4" t="s">
        <v>3950</v>
      </c>
      <c r="B1984" s="5" t="s">
        <v>3951</v>
      </c>
      <c r="C1984" s="6">
        <v>8000.0</v>
      </c>
      <c r="D1984" s="6">
        <v>4.505617978</v>
      </c>
      <c r="E1984" s="6">
        <v>178.0</v>
      </c>
    </row>
    <row r="1985">
      <c r="A1985" s="4" t="s">
        <v>3952</v>
      </c>
      <c r="B1985" s="5" t="s">
        <v>3953</v>
      </c>
      <c r="C1985" s="6">
        <v>8000.0</v>
      </c>
      <c r="D1985" s="6">
        <v>4.518518519</v>
      </c>
      <c r="E1985" s="6">
        <v>54.0</v>
      </c>
    </row>
    <row r="1986">
      <c r="A1986" s="4" t="s">
        <v>3954</v>
      </c>
      <c r="B1986" s="5" t="s">
        <v>3955</v>
      </c>
      <c r="C1986" s="6">
        <v>8000.0</v>
      </c>
      <c r="D1986" s="6">
        <v>2.423076923</v>
      </c>
      <c r="E1986" s="6">
        <v>52.0</v>
      </c>
    </row>
    <row r="1987">
      <c r="A1987" s="4" t="s">
        <v>3956</v>
      </c>
      <c r="B1987" s="5" t="s">
        <v>3957</v>
      </c>
      <c r="C1987" s="6">
        <v>8000.0</v>
      </c>
      <c r="D1987" s="6">
        <v>1.555555556</v>
      </c>
      <c r="E1987" s="6">
        <v>18.0</v>
      </c>
    </row>
    <row r="1988">
      <c r="A1988" s="4" t="s">
        <v>3958</v>
      </c>
      <c r="B1988" s="5" t="s">
        <v>3959</v>
      </c>
      <c r="C1988" s="6">
        <v>8000.0</v>
      </c>
      <c r="D1988" s="6">
        <v>2.75</v>
      </c>
      <c r="E1988" s="6">
        <v>12.0</v>
      </c>
    </row>
    <row r="1989">
      <c r="A1989" s="4" t="s">
        <v>3960</v>
      </c>
      <c r="B1989" s="5" t="s">
        <v>3961</v>
      </c>
      <c r="C1989" s="6">
        <v>8000.0</v>
      </c>
      <c r="D1989" s="6">
        <v>4.444444444</v>
      </c>
      <c r="E1989" s="6">
        <v>9.0</v>
      </c>
    </row>
    <row r="1990">
      <c r="A1990" s="4" t="s">
        <v>3962</v>
      </c>
      <c r="B1990" s="5" t="s">
        <v>3963</v>
      </c>
      <c r="C1990" s="6">
        <v>8000.0</v>
      </c>
      <c r="D1990" s="6">
        <v>2.024390244</v>
      </c>
      <c r="E1990" s="6">
        <v>41.0</v>
      </c>
    </row>
    <row r="1991">
      <c r="A1991" s="4" t="s">
        <v>3964</v>
      </c>
      <c r="B1991" s="5" t="s">
        <v>3965</v>
      </c>
      <c r="C1991" s="6">
        <v>8000.0</v>
      </c>
      <c r="D1991" s="6">
        <v>4.083333333</v>
      </c>
      <c r="E1991" s="6">
        <v>12.0</v>
      </c>
    </row>
    <row r="1992">
      <c r="A1992" s="4" t="s">
        <v>3966</v>
      </c>
      <c r="B1992" s="5" t="s">
        <v>3967</v>
      </c>
      <c r="C1992" s="6">
        <v>8000.0</v>
      </c>
      <c r="D1992" s="6">
        <v>4.05</v>
      </c>
      <c r="E1992" s="6">
        <v>40.0</v>
      </c>
    </row>
    <row r="1993">
      <c r="A1993" s="4" t="s">
        <v>3968</v>
      </c>
      <c r="B1993" s="5" t="s">
        <v>3969</v>
      </c>
      <c r="C1993" s="6">
        <v>8000.0</v>
      </c>
      <c r="D1993" s="6">
        <v>4.402597403</v>
      </c>
      <c r="E1993" s="6">
        <v>77.0</v>
      </c>
    </row>
    <row r="1994">
      <c r="A1994" s="4" t="s">
        <v>3970</v>
      </c>
      <c r="B1994" s="5" t="s">
        <v>3971</v>
      </c>
      <c r="C1994" s="6">
        <v>8000.0</v>
      </c>
      <c r="D1994" s="6">
        <v>4.663636364</v>
      </c>
      <c r="E1994" s="6">
        <v>110.0</v>
      </c>
    </row>
    <row r="1995">
      <c r="A1995" s="4" t="s">
        <v>3972</v>
      </c>
      <c r="B1995" s="5" t="s">
        <v>3973</v>
      </c>
      <c r="C1995" s="6">
        <v>8000.0</v>
      </c>
      <c r="D1995" s="6">
        <v>4.621621622</v>
      </c>
      <c r="E1995" s="6">
        <v>185.0</v>
      </c>
    </row>
    <row r="1996">
      <c r="A1996" s="4" t="s">
        <v>3974</v>
      </c>
      <c r="B1996" s="5" t="s">
        <v>3975</v>
      </c>
      <c r="C1996" s="6">
        <v>8000.0</v>
      </c>
      <c r="D1996" s="6">
        <v>3.482678984</v>
      </c>
      <c r="E1996" s="6">
        <v>433.0</v>
      </c>
    </row>
    <row r="1997">
      <c r="A1997" s="4" t="s">
        <v>3976</v>
      </c>
      <c r="B1997" s="5" t="s">
        <v>3977</v>
      </c>
      <c r="C1997" s="6">
        <v>8000.0</v>
      </c>
      <c r="D1997" s="6">
        <v>3.064516129</v>
      </c>
      <c r="E1997" s="6">
        <v>93.0</v>
      </c>
    </row>
    <row r="1998">
      <c r="A1998" s="4" t="s">
        <v>3978</v>
      </c>
      <c r="B1998" s="5" t="s">
        <v>3979</v>
      </c>
      <c r="C1998" s="6">
        <v>8000.0</v>
      </c>
      <c r="D1998" s="6">
        <v>3.176470588</v>
      </c>
      <c r="E1998" s="6">
        <v>68.0</v>
      </c>
    </row>
    <row r="1999">
      <c r="A1999" s="4" t="s">
        <v>3980</v>
      </c>
      <c r="B1999" s="5" t="s">
        <v>3981</v>
      </c>
      <c r="C1999" s="6">
        <v>8000.0</v>
      </c>
      <c r="D1999" s="6">
        <v>2.434782609</v>
      </c>
      <c r="E1999" s="6">
        <v>23.0</v>
      </c>
    </row>
    <row r="2000">
      <c r="A2000" s="4" t="s">
        <v>3982</v>
      </c>
      <c r="B2000" s="5" t="s">
        <v>3983</v>
      </c>
      <c r="C2000" s="6">
        <v>8000.0</v>
      </c>
      <c r="D2000" s="6">
        <v>2.961538462</v>
      </c>
      <c r="E2000" s="6">
        <v>26.0</v>
      </c>
    </row>
    <row r="2001">
      <c r="A2001" s="4" t="s">
        <v>3984</v>
      </c>
      <c r="B2001" s="5" t="s">
        <v>3985</v>
      </c>
      <c r="C2001" s="6">
        <v>8000.0</v>
      </c>
      <c r="D2001" s="6">
        <v>5.0</v>
      </c>
      <c r="E2001" s="6">
        <v>1.0</v>
      </c>
    </row>
    <row r="2002">
      <c r="A2002" s="4" t="s">
        <v>3986</v>
      </c>
      <c r="B2002" s="5" t="s">
        <v>3987</v>
      </c>
      <c r="C2002" s="6">
        <v>8000.0</v>
      </c>
      <c r="D2002" s="6">
        <v>4.291666667</v>
      </c>
      <c r="E2002" s="6">
        <v>48.0</v>
      </c>
    </row>
    <row r="2003">
      <c r="A2003" s="4" t="s">
        <v>3988</v>
      </c>
      <c r="B2003" s="5" t="s">
        <v>3989</v>
      </c>
      <c r="C2003" s="6">
        <v>8000.0</v>
      </c>
      <c r="D2003" s="6">
        <v>2.846153846</v>
      </c>
      <c r="E2003" s="6">
        <v>13.0</v>
      </c>
    </row>
    <row r="2004">
      <c r="A2004" s="4" t="s">
        <v>3990</v>
      </c>
      <c r="B2004" s="5" t="s">
        <v>3991</v>
      </c>
      <c r="C2004" s="6">
        <v>8000.0</v>
      </c>
      <c r="D2004" s="6">
        <v>4.722222222</v>
      </c>
      <c r="E2004" s="6">
        <v>18.0</v>
      </c>
    </row>
    <row r="2005">
      <c r="A2005" s="4" t="s">
        <v>3992</v>
      </c>
      <c r="B2005" s="5" t="s">
        <v>3993</v>
      </c>
      <c r="C2005" s="6">
        <v>8000.0</v>
      </c>
      <c r="D2005" s="6">
        <v>2.454545455</v>
      </c>
      <c r="E2005" s="6">
        <v>11.0</v>
      </c>
    </row>
    <row r="2006">
      <c r="A2006" s="4" t="s">
        <v>3994</v>
      </c>
      <c r="B2006" s="5" t="s">
        <v>3995</v>
      </c>
      <c r="C2006" s="6">
        <v>8000.0</v>
      </c>
      <c r="D2006" s="6">
        <v>4.11627907</v>
      </c>
      <c r="E2006" s="6">
        <v>215.0</v>
      </c>
    </row>
    <row r="2007">
      <c r="A2007" s="4" t="s">
        <v>3996</v>
      </c>
      <c r="B2007" s="5" t="s">
        <v>3997</v>
      </c>
      <c r="C2007" s="6">
        <v>8000.0</v>
      </c>
      <c r="D2007" s="6">
        <v>4.466666667</v>
      </c>
      <c r="E2007" s="6">
        <v>75.0</v>
      </c>
    </row>
    <row r="2008">
      <c r="A2008" s="4" t="s">
        <v>3998</v>
      </c>
      <c r="B2008" s="5" t="s">
        <v>3999</v>
      </c>
      <c r="C2008" s="6">
        <v>8000.0</v>
      </c>
      <c r="D2008" s="6">
        <v>4.693333333</v>
      </c>
      <c r="E2008" s="6">
        <v>150.0</v>
      </c>
    </row>
    <row r="2009">
      <c r="A2009" s="4" t="s">
        <v>4000</v>
      </c>
      <c r="B2009" s="5" t="s">
        <v>4001</v>
      </c>
      <c r="C2009" s="6">
        <v>8000.0</v>
      </c>
      <c r="D2009" s="6">
        <v>4.5</v>
      </c>
      <c r="E2009" s="6">
        <v>6.0</v>
      </c>
    </row>
    <row r="2010">
      <c r="A2010" s="4" t="s">
        <v>4002</v>
      </c>
      <c r="B2010" s="5" t="s">
        <v>4003</v>
      </c>
      <c r="C2010" s="6">
        <v>8000.0</v>
      </c>
      <c r="D2010" s="6">
        <v>4.553846154</v>
      </c>
      <c r="E2010" s="6">
        <v>65.0</v>
      </c>
    </row>
    <row r="2011">
      <c r="A2011" s="4" t="s">
        <v>4004</v>
      </c>
      <c r="B2011" s="5" t="s">
        <v>4005</v>
      </c>
      <c r="C2011" s="6">
        <v>8000.0</v>
      </c>
      <c r="D2011" s="6">
        <v>5.0</v>
      </c>
      <c r="E2011" s="6">
        <v>3.0</v>
      </c>
    </row>
    <row r="2012">
      <c r="A2012" s="4" t="s">
        <v>1422</v>
      </c>
      <c r="B2012" s="5" t="s">
        <v>4006</v>
      </c>
      <c r="C2012" s="6">
        <v>8000.0</v>
      </c>
      <c r="D2012" s="6">
        <v>4.052631579</v>
      </c>
      <c r="E2012" s="6">
        <v>114.0</v>
      </c>
    </row>
    <row r="2013">
      <c r="A2013" s="4" t="s">
        <v>4007</v>
      </c>
      <c r="B2013" s="5" t="s">
        <v>4008</v>
      </c>
      <c r="C2013" s="6">
        <v>8000.0</v>
      </c>
      <c r="D2013" s="6">
        <v>2.333333333</v>
      </c>
      <c r="E2013" s="6">
        <v>3.0</v>
      </c>
    </row>
    <row r="2014">
      <c r="A2014" s="4" t="s">
        <v>4009</v>
      </c>
      <c r="B2014" s="5" t="s">
        <v>4010</v>
      </c>
      <c r="C2014" s="6">
        <v>8000.0</v>
      </c>
      <c r="D2014" s="6">
        <v>4.78978979</v>
      </c>
      <c r="E2014" s="6">
        <v>999.0</v>
      </c>
    </row>
    <row r="2015">
      <c r="A2015" s="4" t="s">
        <v>4011</v>
      </c>
      <c r="B2015" s="5" t="s">
        <v>4012</v>
      </c>
      <c r="C2015" s="6">
        <v>8000.0</v>
      </c>
      <c r="D2015" s="6">
        <v>4.375</v>
      </c>
      <c r="E2015" s="6">
        <v>8.0</v>
      </c>
    </row>
    <row r="2016">
      <c r="A2016" s="4" t="s">
        <v>4013</v>
      </c>
      <c r="B2016" s="5" t="s">
        <v>4014</v>
      </c>
      <c r="C2016" s="6">
        <v>8000.0</v>
      </c>
      <c r="D2016" s="6">
        <v>4.795454545</v>
      </c>
      <c r="E2016" s="6">
        <v>44.0</v>
      </c>
    </row>
    <row r="2017">
      <c r="A2017" s="4" t="s">
        <v>4015</v>
      </c>
      <c r="B2017" s="5" t="s">
        <v>4016</v>
      </c>
      <c r="C2017" s="6">
        <v>8000.0</v>
      </c>
      <c r="D2017" s="6">
        <v>4.682926829</v>
      </c>
      <c r="E2017" s="6">
        <v>41.0</v>
      </c>
    </row>
    <row r="2018">
      <c r="A2018" s="4" t="s">
        <v>4017</v>
      </c>
      <c r="B2018" s="5" t="s">
        <v>4018</v>
      </c>
      <c r="C2018" s="6">
        <v>8000.0</v>
      </c>
      <c r="D2018" s="6">
        <v>3.994117647</v>
      </c>
      <c r="E2018" s="6">
        <v>170.0</v>
      </c>
    </row>
    <row r="2019">
      <c r="A2019" s="4" t="s">
        <v>4019</v>
      </c>
      <c r="B2019" s="5" t="s">
        <v>4020</v>
      </c>
      <c r="C2019" s="6">
        <v>8000.0</v>
      </c>
      <c r="D2019" s="6">
        <v>2.5</v>
      </c>
      <c r="E2019" s="6">
        <v>8.0</v>
      </c>
    </row>
    <row r="2020">
      <c r="A2020" s="4" t="s">
        <v>4021</v>
      </c>
      <c r="B2020" s="5" t="s">
        <v>4022</v>
      </c>
      <c r="C2020" s="6">
        <v>8000.0</v>
      </c>
      <c r="D2020" s="6">
        <v>4.307692308</v>
      </c>
      <c r="E2020" s="6">
        <v>13.0</v>
      </c>
    </row>
    <row r="2021">
      <c r="A2021" s="4" t="s">
        <v>4023</v>
      </c>
      <c r="B2021" s="5" t="s">
        <v>4024</v>
      </c>
      <c r="C2021" s="6">
        <v>8000.0</v>
      </c>
      <c r="D2021" s="6">
        <v>3.230769231</v>
      </c>
      <c r="E2021" s="6">
        <v>39.0</v>
      </c>
    </row>
    <row r="2022">
      <c r="A2022" s="4" t="s">
        <v>4025</v>
      </c>
      <c r="B2022" s="5" t="s">
        <v>4026</v>
      </c>
      <c r="C2022" s="6">
        <v>8000.0</v>
      </c>
      <c r="D2022" s="6">
        <v>1.0</v>
      </c>
      <c r="E2022" s="6">
        <v>26.0</v>
      </c>
    </row>
    <row r="2023">
      <c r="A2023" s="4" t="s">
        <v>4027</v>
      </c>
      <c r="B2023" s="5" t="s">
        <v>4028</v>
      </c>
      <c r="C2023" s="6">
        <v>8000.0</v>
      </c>
      <c r="D2023" s="6">
        <v>4.615384615</v>
      </c>
      <c r="E2023" s="6">
        <v>26.0</v>
      </c>
    </row>
    <row r="2024">
      <c r="A2024" s="4" t="s">
        <v>4029</v>
      </c>
      <c r="B2024" s="5" t="s">
        <v>4030</v>
      </c>
      <c r="C2024" s="6">
        <v>8000.0</v>
      </c>
      <c r="D2024" s="6">
        <v>4.578947368</v>
      </c>
      <c r="E2024" s="6">
        <v>76.0</v>
      </c>
    </row>
    <row r="2025">
      <c r="A2025" s="4" t="s">
        <v>4031</v>
      </c>
      <c r="B2025" s="5" t="s">
        <v>4032</v>
      </c>
      <c r="C2025" s="6">
        <v>8000.0</v>
      </c>
      <c r="D2025" s="6">
        <v>3.0</v>
      </c>
      <c r="E2025" s="6">
        <v>2.0</v>
      </c>
    </row>
    <row r="2026">
      <c r="A2026" s="4" t="s">
        <v>4033</v>
      </c>
      <c r="B2026" s="5" t="s">
        <v>4034</v>
      </c>
      <c r="C2026" s="6">
        <v>8000.0</v>
      </c>
      <c r="D2026" s="6">
        <v>4.244604317</v>
      </c>
      <c r="E2026" s="6">
        <v>139.0</v>
      </c>
    </row>
    <row r="2027">
      <c r="A2027" s="4" t="s">
        <v>4035</v>
      </c>
      <c r="B2027" s="5" t="s">
        <v>4036</v>
      </c>
      <c r="C2027" s="6">
        <v>8000.0</v>
      </c>
      <c r="D2027" s="6">
        <v>3.605633803</v>
      </c>
      <c r="E2027" s="6">
        <v>71.0</v>
      </c>
    </row>
    <row r="2028">
      <c r="A2028" s="4" t="s">
        <v>4037</v>
      </c>
      <c r="B2028" s="5" t="s">
        <v>4038</v>
      </c>
      <c r="C2028" s="6">
        <v>8000.0</v>
      </c>
      <c r="D2028" s="6">
        <v>4.814814815</v>
      </c>
      <c r="E2028" s="6">
        <v>27.0</v>
      </c>
    </row>
    <row r="2029">
      <c r="A2029" s="4" t="s">
        <v>4039</v>
      </c>
      <c r="B2029" s="5" t="s">
        <v>4040</v>
      </c>
      <c r="C2029" s="6">
        <v>8000.0</v>
      </c>
      <c r="D2029" s="6">
        <v>4.620689655</v>
      </c>
      <c r="E2029" s="6">
        <v>29.0</v>
      </c>
    </row>
    <row r="2030">
      <c r="A2030" s="4" t="s">
        <v>4041</v>
      </c>
      <c r="B2030" s="5" t="s">
        <v>4042</v>
      </c>
      <c r="C2030" s="6">
        <v>8000.0</v>
      </c>
      <c r="D2030" s="6">
        <v>3.75</v>
      </c>
      <c r="E2030" s="6">
        <v>36.0</v>
      </c>
    </row>
    <row r="2031">
      <c r="A2031" s="4" t="s">
        <v>4043</v>
      </c>
      <c r="B2031" s="5" t="s">
        <v>4044</v>
      </c>
      <c r="C2031" s="6">
        <v>8000.0</v>
      </c>
      <c r="D2031" s="6">
        <v>2.9</v>
      </c>
      <c r="E2031" s="6">
        <v>10.0</v>
      </c>
    </row>
    <row r="2032">
      <c r="A2032" s="4" t="s">
        <v>4045</v>
      </c>
      <c r="B2032" s="5" t="s">
        <v>4046</v>
      </c>
      <c r="C2032" s="6">
        <v>8000.0</v>
      </c>
      <c r="D2032" s="6">
        <v>3.709090909</v>
      </c>
      <c r="E2032" s="6">
        <v>55.0</v>
      </c>
    </row>
    <row r="2033">
      <c r="A2033" s="4" t="s">
        <v>4047</v>
      </c>
      <c r="B2033" s="5" t="s">
        <v>4048</v>
      </c>
      <c r="C2033" s="6">
        <v>8000.0</v>
      </c>
      <c r="D2033" s="6">
        <v>4.0</v>
      </c>
      <c r="E2033" s="6">
        <v>2.0</v>
      </c>
    </row>
    <row r="2034">
      <c r="A2034" s="4" t="s">
        <v>4049</v>
      </c>
      <c r="B2034" s="5" t="s">
        <v>4050</v>
      </c>
      <c r="C2034" s="6">
        <v>8000.0</v>
      </c>
      <c r="D2034" s="6">
        <v>3.333333333</v>
      </c>
      <c r="E2034" s="6">
        <v>6.0</v>
      </c>
    </row>
    <row r="2035">
      <c r="A2035" s="4" t="s">
        <v>4051</v>
      </c>
      <c r="B2035" s="5" t="s">
        <v>4052</v>
      </c>
      <c r="C2035" s="6">
        <v>8000.0</v>
      </c>
      <c r="D2035" s="6">
        <v>4.8</v>
      </c>
      <c r="E2035" s="6">
        <v>15.0</v>
      </c>
    </row>
    <row r="2036">
      <c r="A2036" s="4" t="s">
        <v>4053</v>
      </c>
      <c r="B2036" s="5" t="s">
        <v>4054</v>
      </c>
      <c r="C2036" s="6">
        <v>8000.0</v>
      </c>
      <c r="D2036" s="6">
        <v>2.62295082</v>
      </c>
      <c r="E2036" s="6">
        <v>61.0</v>
      </c>
    </row>
    <row r="2037">
      <c r="A2037" s="4" t="s">
        <v>4055</v>
      </c>
      <c r="B2037" s="5" t="s">
        <v>4056</v>
      </c>
      <c r="C2037" s="6">
        <v>8000.0</v>
      </c>
      <c r="D2037" s="6">
        <v>3.948275862</v>
      </c>
      <c r="E2037" s="6">
        <v>116.0</v>
      </c>
    </row>
    <row r="2038">
      <c r="A2038" s="4" t="s">
        <v>4057</v>
      </c>
      <c r="B2038" s="5" t="s">
        <v>4058</v>
      </c>
      <c r="C2038" s="6">
        <v>8000.0</v>
      </c>
      <c r="D2038" s="6">
        <v>4.814814815</v>
      </c>
      <c r="E2038" s="6">
        <v>108.0</v>
      </c>
    </row>
    <row r="2039">
      <c r="A2039" s="4" t="s">
        <v>4059</v>
      </c>
      <c r="B2039" s="5" t="s">
        <v>4060</v>
      </c>
      <c r="C2039" s="6">
        <v>8000.0</v>
      </c>
      <c r="D2039" s="6">
        <v>3.114285714</v>
      </c>
      <c r="E2039" s="6">
        <v>35.0</v>
      </c>
    </row>
    <row r="2040">
      <c r="A2040" s="4" t="s">
        <v>299</v>
      </c>
      <c r="B2040" s="5" t="s">
        <v>4061</v>
      </c>
      <c r="C2040" s="6">
        <v>8000.0</v>
      </c>
      <c r="D2040" s="6">
        <v>4.032258065</v>
      </c>
      <c r="E2040" s="6">
        <v>31.0</v>
      </c>
    </row>
    <row r="2041">
      <c r="A2041" s="4" t="s">
        <v>4062</v>
      </c>
      <c r="B2041" s="5" t="s">
        <v>4063</v>
      </c>
      <c r="C2041" s="6">
        <v>8000.0</v>
      </c>
      <c r="D2041" s="6">
        <v>3.588235294</v>
      </c>
      <c r="E2041" s="6">
        <v>17.0</v>
      </c>
    </row>
    <row r="2042">
      <c r="A2042" s="4" t="s">
        <v>4064</v>
      </c>
      <c r="B2042" s="5" t="s">
        <v>4065</v>
      </c>
      <c r="C2042" s="6">
        <v>8000.0</v>
      </c>
      <c r="D2042" s="6">
        <v>4.810810811</v>
      </c>
      <c r="E2042" s="6">
        <v>37.0</v>
      </c>
    </row>
    <row r="2043">
      <c r="A2043" s="4" t="s">
        <v>4066</v>
      </c>
      <c r="B2043" s="5" t="s">
        <v>4067</v>
      </c>
      <c r="C2043" s="6">
        <v>8000.0</v>
      </c>
      <c r="D2043" s="6">
        <v>3.426229508</v>
      </c>
      <c r="E2043" s="6">
        <v>61.0</v>
      </c>
    </row>
    <row r="2044">
      <c r="A2044" s="4" t="s">
        <v>4068</v>
      </c>
      <c r="B2044" s="5" t="s">
        <v>4069</v>
      </c>
      <c r="C2044" s="6">
        <v>8000.0</v>
      </c>
      <c r="D2044" s="6">
        <v>5.0</v>
      </c>
      <c r="E2044" s="6">
        <v>12.0</v>
      </c>
    </row>
    <row r="2045">
      <c r="A2045" s="4" t="s">
        <v>4070</v>
      </c>
      <c r="B2045" s="5" t="s">
        <v>4071</v>
      </c>
      <c r="C2045" s="6">
        <v>8000.0</v>
      </c>
      <c r="D2045" s="6">
        <v>4.142857143</v>
      </c>
      <c r="E2045" s="6">
        <v>42.0</v>
      </c>
    </row>
    <row r="2046">
      <c r="A2046" s="4" t="s">
        <v>4072</v>
      </c>
      <c r="B2046" s="5" t="s">
        <v>4073</v>
      </c>
      <c r="C2046" s="6">
        <v>8000.0</v>
      </c>
      <c r="D2046" s="6">
        <v>4.0</v>
      </c>
      <c r="E2046" s="6">
        <v>39.0</v>
      </c>
    </row>
    <row r="2047">
      <c r="A2047" s="4" t="s">
        <v>4074</v>
      </c>
      <c r="B2047" s="5" t="s">
        <v>4075</v>
      </c>
      <c r="C2047" s="6">
        <v>8000.0</v>
      </c>
      <c r="D2047" s="6">
        <v>3.384615385</v>
      </c>
      <c r="E2047" s="6">
        <v>13.0</v>
      </c>
    </row>
    <row r="2048">
      <c r="A2048" s="4" t="s">
        <v>4076</v>
      </c>
      <c r="B2048" s="5" t="s">
        <v>4077</v>
      </c>
      <c r="C2048" s="6">
        <v>8000.0</v>
      </c>
      <c r="D2048" s="6">
        <v>4.444444444</v>
      </c>
      <c r="E2048" s="6">
        <v>45.0</v>
      </c>
    </row>
    <row r="2049">
      <c r="A2049" s="4" t="s">
        <v>4078</v>
      </c>
      <c r="B2049" s="5" t="s">
        <v>4079</v>
      </c>
      <c r="C2049" s="6">
        <v>8000.0</v>
      </c>
      <c r="D2049" s="6">
        <v>4.378787879</v>
      </c>
      <c r="E2049" s="6">
        <v>66.0</v>
      </c>
    </row>
    <row r="2050">
      <c r="A2050" s="4" t="s">
        <v>4080</v>
      </c>
      <c r="B2050" s="5" t="s">
        <v>4081</v>
      </c>
      <c r="C2050" s="7">
        <v>8000.0</v>
      </c>
      <c r="D2050" s="6">
        <v>4.4</v>
      </c>
      <c r="E2050" s="6">
        <v>7.0</v>
      </c>
    </row>
    <row r="2051">
      <c r="A2051" s="4" t="s">
        <v>4082</v>
      </c>
      <c r="B2051" s="5" t="s">
        <v>4083</v>
      </c>
      <c r="C2051" s="7">
        <v>7000.0</v>
      </c>
      <c r="D2051" s="6">
        <v>2.4</v>
      </c>
      <c r="E2051" s="6">
        <v>192.0</v>
      </c>
    </row>
    <row r="2052">
      <c r="A2052" s="4" t="s">
        <v>4084</v>
      </c>
      <c r="B2052" s="5" t="s">
        <v>4085</v>
      </c>
      <c r="C2052" s="6">
        <v>7000.0</v>
      </c>
      <c r="D2052" s="6">
        <v>3.666666667</v>
      </c>
      <c r="E2052" s="6">
        <v>3.0</v>
      </c>
    </row>
    <row r="2053">
      <c r="A2053" s="4" t="s">
        <v>4086</v>
      </c>
      <c r="B2053" s="5" t="s">
        <v>4087</v>
      </c>
      <c r="C2053" s="6">
        <v>7000.0</v>
      </c>
      <c r="D2053" s="6">
        <v>2.648148148</v>
      </c>
      <c r="E2053" s="6">
        <v>54.0</v>
      </c>
    </row>
    <row r="2054">
      <c r="A2054" s="4" t="s">
        <v>4088</v>
      </c>
      <c r="B2054" s="5" t="s">
        <v>4089</v>
      </c>
      <c r="C2054" s="6">
        <v>7000.0</v>
      </c>
      <c r="D2054" s="6">
        <v>4.875</v>
      </c>
      <c r="E2054" s="6">
        <v>40.0</v>
      </c>
    </row>
    <row r="2055">
      <c r="A2055" s="4" t="s">
        <v>4090</v>
      </c>
      <c r="B2055" s="5" t="s">
        <v>4091</v>
      </c>
      <c r="C2055" s="6">
        <v>7000.0</v>
      </c>
      <c r="D2055" s="9"/>
      <c r="E2055" s="9"/>
    </row>
    <row r="2056">
      <c r="A2056" s="4" t="s">
        <v>4092</v>
      </c>
      <c r="B2056" s="5" t="s">
        <v>4093</v>
      </c>
      <c r="C2056" s="6">
        <v>7000.0</v>
      </c>
      <c r="D2056" s="6">
        <v>1.5</v>
      </c>
      <c r="E2056" s="6">
        <v>4.0</v>
      </c>
    </row>
    <row r="2057">
      <c r="A2057" s="4" t="s">
        <v>4094</v>
      </c>
      <c r="B2057" s="5" t="s">
        <v>4095</v>
      </c>
      <c r="C2057" s="6">
        <v>7000.0</v>
      </c>
      <c r="D2057" s="6">
        <v>3.333333333</v>
      </c>
      <c r="E2057" s="6">
        <v>39.0</v>
      </c>
    </row>
    <row r="2058">
      <c r="A2058" s="4" t="s">
        <v>4096</v>
      </c>
      <c r="B2058" s="5" t="s">
        <v>4097</v>
      </c>
      <c r="C2058" s="6">
        <v>7000.0</v>
      </c>
      <c r="D2058" s="6">
        <v>3.625</v>
      </c>
      <c r="E2058" s="6">
        <v>16.0</v>
      </c>
    </row>
    <row r="2059">
      <c r="A2059" s="4" t="s">
        <v>1346</v>
      </c>
      <c r="B2059" s="5" t="s">
        <v>4098</v>
      </c>
      <c r="C2059" s="6">
        <v>7000.0</v>
      </c>
      <c r="D2059" s="6">
        <v>4.412556054</v>
      </c>
      <c r="E2059" s="6">
        <v>223.0</v>
      </c>
    </row>
    <row r="2060">
      <c r="A2060" s="4" t="s">
        <v>4099</v>
      </c>
      <c r="B2060" s="5" t="s">
        <v>4100</v>
      </c>
      <c r="C2060" s="6">
        <v>7000.0</v>
      </c>
      <c r="D2060" s="6">
        <v>3.448979592</v>
      </c>
      <c r="E2060" s="6">
        <v>49.0</v>
      </c>
    </row>
    <row r="2061">
      <c r="A2061" s="4" t="s">
        <v>255</v>
      </c>
      <c r="B2061" s="5" t="s">
        <v>4101</v>
      </c>
      <c r="C2061" s="6">
        <v>7000.0</v>
      </c>
      <c r="D2061" s="6">
        <v>3.833333333</v>
      </c>
      <c r="E2061" s="6">
        <v>30.0</v>
      </c>
    </row>
    <row r="2062">
      <c r="A2062" s="4" t="s">
        <v>4102</v>
      </c>
      <c r="B2062" s="5" t="s">
        <v>4103</v>
      </c>
      <c r="C2062" s="6">
        <v>7000.0</v>
      </c>
      <c r="D2062" s="6">
        <v>4.104166667</v>
      </c>
      <c r="E2062" s="6">
        <v>48.0</v>
      </c>
    </row>
    <row r="2063">
      <c r="A2063" s="4" t="s">
        <v>4104</v>
      </c>
      <c r="B2063" s="5" t="s">
        <v>4105</v>
      </c>
      <c r="C2063" s="6">
        <v>7000.0</v>
      </c>
      <c r="D2063" s="6">
        <v>4.833333333</v>
      </c>
      <c r="E2063" s="6">
        <v>18.0</v>
      </c>
    </row>
    <row r="2064">
      <c r="A2064" s="4" t="s">
        <v>4106</v>
      </c>
      <c r="B2064" s="5" t="s">
        <v>4107</v>
      </c>
      <c r="C2064" s="6">
        <v>7000.0</v>
      </c>
      <c r="D2064" s="6">
        <v>4.2</v>
      </c>
      <c r="E2064" s="6">
        <v>5.0</v>
      </c>
    </row>
    <row r="2065">
      <c r="A2065" s="4" t="s">
        <v>4108</v>
      </c>
      <c r="B2065" s="5" t="s">
        <v>4109</v>
      </c>
      <c r="C2065" s="6">
        <v>7000.0</v>
      </c>
      <c r="D2065" s="9"/>
      <c r="E2065" s="9"/>
    </row>
    <row r="2066">
      <c r="A2066" s="4" t="s">
        <v>4110</v>
      </c>
      <c r="B2066" s="5" t="s">
        <v>4111</v>
      </c>
      <c r="C2066" s="6">
        <v>7000.0</v>
      </c>
      <c r="D2066" s="6">
        <v>2.70212766</v>
      </c>
      <c r="E2066" s="6">
        <v>47.0</v>
      </c>
    </row>
    <row r="2067">
      <c r="A2067" s="4" t="s">
        <v>4112</v>
      </c>
      <c r="B2067" s="5" t="s">
        <v>4113</v>
      </c>
      <c r="C2067" s="6">
        <v>7000.0</v>
      </c>
      <c r="D2067" s="6">
        <v>4.442622951</v>
      </c>
      <c r="E2067" s="6">
        <v>61.0</v>
      </c>
    </row>
    <row r="2068">
      <c r="A2068" s="4" t="s">
        <v>4114</v>
      </c>
      <c r="B2068" s="5" t="s">
        <v>4115</v>
      </c>
      <c r="C2068" s="6">
        <v>7000.0</v>
      </c>
      <c r="D2068" s="6">
        <v>3.16</v>
      </c>
      <c r="E2068" s="6">
        <v>25.0</v>
      </c>
    </row>
    <row r="2069">
      <c r="A2069" s="4" t="s">
        <v>4116</v>
      </c>
      <c r="B2069" s="5" t="s">
        <v>4117</v>
      </c>
      <c r="C2069" s="6">
        <v>7000.0</v>
      </c>
      <c r="D2069" s="6">
        <v>3.538461538</v>
      </c>
      <c r="E2069" s="6">
        <v>26.0</v>
      </c>
    </row>
    <row r="2070">
      <c r="A2070" s="4" t="s">
        <v>4118</v>
      </c>
      <c r="B2070" s="5" t="s">
        <v>4119</v>
      </c>
      <c r="C2070" s="6">
        <v>7000.0</v>
      </c>
      <c r="D2070" s="6">
        <v>4.3125</v>
      </c>
      <c r="E2070" s="6">
        <v>32.0</v>
      </c>
    </row>
    <row r="2071">
      <c r="A2071" s="4" t="s">
        <v>4120</v>
      </c>
      <c r="B2071" s="5" t="s">
        <v>4121</v>
      </c>
      <c r="C2071" s="6">
        <v>7000.0</v>
      </c>
      <c r="D2071" s="6">
        <v>4.767857143</v>
      </c>
      <c r="E2071" s="6">
        <v>56.0</v>
      </c>
    </row>
    <row r="2072">
      <c r="A2072" s="4" t="s">
        <v>4122</v>
      </c>
      <c r="B2072" s="5" t="s">
        <v>4123</v>
      </c>
      <c r="C2072" s="6">
        <v>7000.0</v>
      </c>
      <c r="D2072" s="6">
        <v>4.485714286</v>
      </c>
      <c r="E2072" s="6">
        <v>35.0</v>
      </c>
    </row>
    <row r="2073">
      <c r="A2073" s="4" t="s">
        <v>4124</v>
      </c>
      <c r="B2073" s="5" t="s">
        <v>4125</v>
      </c>
      <c r="C2073" s="6">
        <v>7000.0</v>
      </c>
      <c r="D2073" s="6">
        <v>3.25</v>
      </c>
      <c r="E2073" s="6">
        <v>4.0</v>
      </c>
    </row>
    <row r="2074">
      <c r="A2074" s="4" t="s">
        <v>4126</v>
      </c>
      <c r="B2074" s="5" t="s">
        <v>4127</v>
      </c>
      <c r="C2074" s="6">
        <v>7000.0</v>
      </c>
      <c r="D2074" s="9"/>
      <c r="E2074" s="9"/>
    </row>
    <row r="2075">
      <c r="A2075" s="4" t="s">
        <v>4128</v>
      </c>
      <c r="B2075" s="5" t="s">
        <v>4129</v>
      </c>
      <c r="C2075" s="6">
        <v>7000.0</v>
      </c>
      <c r="D2075" s="6">
        <v>4.883870968</v>
      </c>
      <c r="E2075" s="6">
        <v>155.0</v>
      </c>
    </row>
    <row r="2076">
      <c r="A2076" s="4" t="s">
        <v>4130</v>
      </c>
      <c r="B2076" s="5" t="s">
        <v>4131</v>
      </c>
      <c r="C2076" s="6">
        <v>7000.0</v>
      </c>
      <c r="D2076" s="6">
        <v>4.78</v>
      </c>
      <c r="E2076" s="6">
        <v>50.0</v>
      </c>
    </row>
    <row r="2077">
      <c r="A2077" s="4" t="s">
        <v>4132</v>
      </c>
      <c r="B2077" s="12" t="s">
        <v>4133</v>
      </c>
      <c r="C2077" s="7">
        <v>7000.0</v>
      </c>
      <c r="D2077" s="6">
        <v>3.7</v>
      </c>
      <c r="E2077" s="6">
        <v>73.0</v>
      </c>
    </row>
    <row r="2078">
      <c r="A2078" s="4" t="s">
        <v>4134</v>
      </c>
      <c r="B2078" s="5" t="s">
        <v>4135</v>
      </c>
      <c r="C2078" s="6">
        <v>7000.0</v>
      </c>
      <c r="D2078" s="6">
        <v>3.666666667</v>
      </c>
      <c r="E2078" s="6">
        <v>12.0</v>
      </c>
    </row>
    <row r="2079">
      <c r="A2079" s="4" t="s">
        <v>4136</v>
      </c>
      <c r="B2079" s="5" t="s">
        <v>4137</v>
      </c>
      <c r="C2079" s="6">
        <v>7000.0</v>
      </c>
      <c r="D2079" s="6">
        <v>3.744680851</v>
      </c>
      <c r="E2079" s="6">
        <v>47.0</v>
      </c>
    </row>
    <row r="2080">
      <c r="A2080" s="4" t="s">
        <v>4138</v>
      </c>
      <c r="B2080" s="5" t="s">
        <v>4139</v>
      </c>
      <c r="C2080" s="6">
        <v>7000.0</v>
      </c>
      <c r="D2080" s="6">
        <v>3.285714286</v>
      </c>
      <c r="E2080" s="6">
        <v>14.0</v>
      </c>
    </row>
    <row r="2081">
      <c r="A2081" s="4" t="s">
        <v>4140</v>
      </c>
      <c r="B2081" s="5" t="s">
        <v>4141</v>
      </c>
      <c r="C2081" s="6">
        <v>7000.0</v>
      </c>
      <c r="D2081" s="6">
        <v>4.727272727</v>
      </c>
      <c r="E2081" s="6">
        <v>11.0</v>
      </c>
    </row>
    <row r="2082">
      <c r="A2082" s="4" t="s">
        <v>4142</v>
      </c>
      <c r="B2082" s="5" t="s">
        <v>4143</v>
      </c>
      <c r="C2082" s="6">
        <v>7000.0</v>
      </c>
      <c r="D2082" s="6">
        <v>4.432835821</v>
      </c>
      <c r="E2082" s="6">
        <v>67.0</v>
      </c>
    </row>
    <row r="2083">
      <c r="A2083" s="4" t="s">
        <v>4144</v>
      </c>
      <c r="B2083" s="5" t="s">
        <v>4145</v>
      </c>
      <c r="C2083" s="6">
        <v>7000.0</v>
      </c>
      <c r="D2083" s="6">
        <v>4.075</v>
      </c>
      <c r="E2083" s="6">
        <v>200.0</v>
      </c>
    </row>
    <row r="2084">
      <c r="A2084" s="4" t="s">
        <v>4146</v>
      </c>
      <c r="B2084" s="5" t="s">
        <v>4147</v>
      </c>
      <c r="C2084" s="6">
        <v>7000.0</v>
      </c>
      <c r="D2084" s="6">
        <v>2.307692308</v>
      </c>
      <c r="E2084" s="6">
        <v>13.0</v>
      </c>
    </row>
    <row r="2085">
      <c r="A2085" s="4" t="s">
        <v>4148</v>
      </c>
      <c r="B2085" s="5" t="s">
        <v>4149</v>
      </c>
      <c r="C2085" s="6">
        <v>7000.0</v>
      </c>
      <c r="D2085" s="6">
        <v>5.0</v>
      </c>
      <c r="E2085" s="6">
        <v>1.0</v>
      </c>
    </row>
    <row r="2086">
      <c r="A2086" s="4" t="s">
        <v>4150</v>
      </c>
      <c r="B2086" s="5" t="s">
        <v>4151</v>
      </c>
      <c r="C2086" s="6">
        <v>7000.0</v>
      </c>
      <c r="D2086" s="6">
        <v>3.769230769</v>
      </c>
      <c r="E2086" s="6">
        <v>26.0</v>
      </c>
    </row>
    <row r="2087">
      <c r="A2087" s="4" t="s">
        <v>4152</v>
      </c>
      <c r="B2087" s="5" t="s">
        <v>4153</v>
      </c>
      <c r="C2087" s="6">
        <v>7000.0</v>
      </c>
      <c r="D2087" s="6">
        <v>3.703125</v>
      </c>
      <c r="E2087" s="6">
        <v>64.0</v>
      </c>
    </row>
    <row r="2088">
      <c r="A2088" s="4" t="s">
        <v>4154</v>
      </c>
      <c r="B2088" s="5" t="s">
        <v>4155</v>
      </c>
      <c r="C2088" s="6">
        <v>7000.0</v>
      </c>
      <c r="D2088" s="6">
        <v>4.260869565</v>
      </c>
      <c r="E2088" s="6">
        <v>115.0</v>
      </c>
    </row>
    <row r="2089">
      <c r="A2089" s="4" t="s">
        <v>4156</v>
      </c>
      <c r="B2089" s="5" t="s">
        <v>4157</v>
      </c>
      <c r="C2089" s="6">
        <v>7000.0</v>
      </c>
      <c r="D2089" s="6">
        <v>4.487179487</v>
      </c>
      <c r="E2089" s="6">
        <v>39.0</v>
      </c>
    </row>
    <row r="2090">
      <c r="A2090" s="4" t="s">
        <v>4158</v>
      </c>
      <c r="B2090" s="5" t="s">
        <v>4159</v>
      </c>
      <c r="C2090" s="6">
        <v>7000.0</v>
      </c>
      <c r="D2090" s="6">
        <v>3.516666667</v>
      </c>
      <c r="E2090" s="6">
        <v>60.0</v>
      </c>
    </row>
    <row r="2091">
      <c r="A2091" s="4" t="s">
        <v>4160</v>
      </c>
      <c r="B2091" s="5" t="s">
        <v>4161</v>
      </c>
      <c r="C2091" s="6">
        <v>7000.0</v>
      </c>
      <c r="D2091" s="6">
        <v>4.821428571</v>
      </c>
      <c r="E2091" s="6">
        <v>28.0</v>
      </c>
    </row>
    <row r="2092">
      <c r="A2092" s="4" t="s">
        <v>4162</v>
      </c>
      <c r="B2092" s="5" t="s">
        <v>4163</v>
      </c>
      <c r="C2092" s="6">
        <v>7000.0</v>
      </c>
      <c r="D2092" s="6">
        <v>4.458333333</v>
      </c>
      <c r="E2092" s="6">
        <v>72.0</v>
      </c>
    </row>
    <row r="2093">
      <c r="A2093" s="4" t="s">
        <v>4164</v>
      </c>
      <c r="B2093" s="5" t="s">
        <v>4165</v>
      </c>
      <c r="C2093" s="6">
        <v>7000.0</v>
      </c>
      <c r="D2093" s="6">
        <v>3.618181818</v>
      </c>
      <c r="E2093" s="6">
        <v>55.0</v>
      </c>
    </row>
    <row r="2094">
      <c r="A2094" s="4" t="s">
        <v>4166</v>
      </c>
      <c r="B2094" s="5" t="s">
        <v>4167</v>
      </c>
      <c r="C2094" s="6">
        <v>7000.0</v>
      </c>
      <c r="D2094" s="6">
        <v>4.438502674</v>
      </c>
      <c r="E2094" s="6">
        <v>187.0</v>
      </c>
    </row>
    <row r="2095">
      <c r="A2095" s="4" t="s">
        <v>4168</v>
      </c>
      <c r="B2095" s="5" t="s">
        <v>4169</v>
      </c>
      <c r="C2095" s="6">
        <v>7000.0</v>
      </c>
      <c r="D2095" s="6">
        <v>3.75</v>
      </c>
      <c r="E2095" s="6">
        <v>20.0</v>
      </c>
    </row>
    <row r="2096">
      <c r="A2096" s="4" t="s">
        <v>4170</v>
      </c>
      <c r="B2096" s="5" t="s">
        <v>4171</v>
      </c>
      <c r="C2096" s="6">
        <v>7000.0</v>
      </c>
      <c r="D2096" s="6">
        <v>4.933333333</v>
      </c>
      <c r="E2096" s="6">
        <v>15.0</v>
      </c>
    </row>
    <row r="2097">
      <c r="A2097" s="4" t="s">
        <v>4172</v>
      </c>
      <c r="B2097" s="5" t="s">
        <v>4173</v>
      </c>
      <c r="C2097" s="6">
        <v>7000.0</v>
      </c>
      <c r="D2097" s="6">
        <v>3.75862069</v>
      </c>
      <c r="E2097" s="6">
        <v>29.0</v>
      </c>
    </row>
    <row r="2098">
      <c r="A2098" s="4" t="s">
        <v>4174</v>
      </c>
      <c r="B2098" s="5" t="s">
        <v>4175</v>
      </c>
      <c r="C2098" s="6">
        <v>7000.0</v>
      </c>
      <c r="D2098" s="6">
        <v>5.0</v>
      </c>
      <c r="E2098" s="6">
        <v>4.0</v>
      </c>
    </row>
    <row r="2099">
      <c r="A2099" s="4" t="s">
        <v>4176</v>
      </c>
      <c r="B2099" s="5" t="s">
        <v>4177</v>
      </c>
      <c r="C2099" s="6">
        <v>7000.0</v>
      </c>
      <c r="D2099" s="6">
        <v>4.4</v>
      </c>
      <c r="E2099" s="6">
        <v>40.0</v>
      </c>
    </row>
    <row r="2100">
      <c r="A2100" s="4" t="s">
        <v>4178</v>
      </c>
      <c r="B2100" s="5" t="s">
        <v>4179</v>
      </c>
      <c r="C2100" s="6">
        <v>7000.0</v>
      </c>
      <c r="D2100" s="6">
        <v>3.923076923</v>
      </c>
      <c r="E2100" s="6">
        <v>117.0</v>
      </c>
    </row>
    <row r="2101">
      <c r="A2101" s="4" t="s">
        <v>4180</v>
      </c>
      <c r="B2101" s="5" t="s">
        <v>4181</v>
      </c>
      <c r="C2101" s="6">
        <v>7000.0</v>
      </c>
      <c r="D2101" s="6">
        <v>4.841059603</v>
      </c>
      <c r="E2101" s="6">
        <v>151.0</v>
      </c>
    </row>
    <row r="2102">
      <c r="A2102" s="4" t="s">
        <v>4182</v>
      </c>
      <c r="B2102" s="5" t="s">
        <v>4183</v>
      </c>
      <c r="C2102" s="6">
        <v>7000.0</v>
      </c>
      <c r="D2102" s="6">
        <v>3.625</v>
      </c>
      <c r="E2102" s="6">
        <v>8.0</v>
      </c>
    </row>
    <row r="2103">
      <c r="A2103" s="4" t="s">
        <v>4184</v>
      </c>
      <c r="B2103" s="5" t="s">
        <v>4185</v>
      </c>
      <c r="C2103" s="6">
        <v>7000.0</v>
      </c>
      <c r="D2103" s="6">
        <v>3.650887574</v>
      </c>
      <c r="E2103" s="6">
        <v>169.0</v>
      </c>
    </row>
    <row r="2104">
      <c r="A2104" s="4" t="s">
        <v>4186</v>
      </c>
      <c r="B2104" s="5" t="s">
        <v>4187</v>
      </c>
      <c r="C2104" s="6">
        <v>7000.0</v>
      </c>
      <c r="D2104" s="6">
        <v>4.631147541</v>
      </c>
      <c r="E2104" s="6">
        <v>122.0</v>
      </c>
    </row>
    <row r="2105">
      <c r="A2105" s="4" t="s">
        <v>4188</v>
      </c>
      <c r="B2105" s="5" t="s">
        <v>4189</v>
      </c>
      <c r="C2105" s="6">
        <v>7000.0</v>
      </c>
      <c r="D2105" s="6">
        <v>4.8</v>
      </c>
      <c r="E2105" s="6">
        <v>5.0</v>
      </c>
    </row>
    <row r="2106">
      <c r="A2106" s="4" t="s">
        <v>4190</v>
      </c>
      <c r="B2106" s="5" t="s">
        <v>4191</v>
      </c>
      <c r="C2106" s="6">
        <v>7000.0</v>
      </c>
      <c r="D2106" s="6">
        <v>4.771428571</v>
      </c>
      <c r="E2106" s="6">
        <v>35.0</v>
      </c>
    </row>
    <row r="2107">
      <c r="A2107" s="4" t="s">
        <v>4192</v>
      </c>
      <c r="B2107" s="5" t="s">
        <v>4193</v>
      </c>
      <c r="C2107" s="6">
        <v>7000.0</v>
      </c>
      <c r="D2107" s="6">
        <v>4.692307692</v>
      </c>
      <c r="E2107" s="6">
        <v>13.0</v>
      </c>
    </row>
    <row r="2108">
      <c r="A2108" s="4" t="s">
        <v>4194</v>
      </c>
      <c r="B2108" s="5" t="s">
        <v>4195</v>
      </c>
      <c r="C2108" s="6">
        <v>7000.0</v>
      </c>
      <c r="D2108" s="6">
        <v>3.949602122</v>
      </c>
      <c r="E2108" s="6">
        <v>377.0</v>
      </c>
    </row>
    <row r="2109">
      <c r="A2109" s="4" t="s">
        <v>4196</v>
      </c>
      <c r="B2109" s="5" t="s">
        <v>4197</v>
      </c>
      <c r="C2109" s="6">
        <v>7000.0</v>
      </c>
      <c r="D2109" s="6">
        <v>3.040816327</v>
      </c>
      <c r="E2109" s="6">
        <v>49.0</v>
      </c>
    </row>
    <row r="2110">
      <c r="A2110" s="4" t="s">
        <v>4198</v>
      </c>
      <c r="B2110" s="5" t="s">
        <v>4199</v>
      </c>
      <c r="C2110" s="6">
        <v>7000.0</v>
      </c>
      <c r="D2110" s="6">
        <v>4.567901235</v>
      </c>
      <c r="E2110" s="6">
        <v>81.0</v>
      </c>
    </row>
    <row r="2111">
      <c r="A2111" s="4" t="s">
        <v>4200</v>
      </c>
      <c r="B2111" s="5" t="s">
        <v>4201</v>
      </c>
      <c r="C2111" s="6">
        <v>7000.0</v>
      </c>
      <c r="D2111" s="6">
        <v>4.76</v>
      </c>
      <c r="E2111" s="6">
        <v>25.0</v>
      </c>
    </row>
    <row r="2112">
      <c r="A2112" s="4" t="s">
        <v>4202</v>
      </c>
      <c r="B2112" s="5" t="s">
        <v>4203</v>
      </c>
      <c r="C2112" s="6">
        <v>7000.0</v>
      </c>
      <c r="D2112" s="6">
        <v>3.666666667</v>
      </c>
      <c r="E2112" s="6">
        <v>15.0</v>
      </c>
    </row>
    <row r="2113">
      <c r="A2113" s="4" t="s">
        <v>4204</v>
      </c>
      <c r="B2113" s="5" t="s">
        <v>4205</v>
      </c>
      <c r="C2113" s="6">
        <v>7000.0</v>
      </c>
      <c r="D2113" s="6">
        <v>3.684210526</v>
      </c>
      <c r="E2113" s="6">
        <v>19.0</v>
      </c>
    </row>
    <row r="2114">
      <c r="A2114" s="4" t="s">
        <v>4206</v>
      </c>
      <c r="B2114" s="5" t="s">
        <v>4207</v>
      </c>
      <c r="C2114" s="6">
        <v>7000.0</v>
      </c>
      <c r="D2114" s="6">
        <v>3.652173913</v>
      </c>
      <c r="E2114" s="6">
        <v>23.0</v>
      </c>
    </row>
    <row r="2115">
      <c r="A2115" s="4" t="s">
        <v>4208</v>
      </c>
      <c r="B2115" s="5" t="s">
        <v>4209</v>
      </c>
      <c r="C2115" s="6">
        <v>7000.0</v>
      </c>
      <c r="D2115" s="6">
        <v>3.636363636</v>
      </c>
      <c r="E2115" s="6">
        <v>22.0</v>
      </c>
    </row>
    <row r="2116">
      <c r="A2116" s="4" t="s">
        <v>4210</v>
      </c>
      <c r="B2116" s="5" t="s">
        <v>4211</v>
      </c>
      <c r="C2116" s="6">
        <v>7000.0</v>
      </c>
      <c r="D2116" s="6">
        <v>3.235294118</v>
      </c>
      <c r="E2116" s="6">
        <v>17.0</v>
      </c>
    </row>
    <row r="2117">
      <c r="A2117" s="4" t="s">
        <v>4212</v>
      </c>
      <c r="B2117" s="5" t="s">
        <v>4213</v>
      </c>
      <c r="C2117" s="6">
        <v>7000.0</v>
      </c>
      <c r="D2117" s="6">
        <v>4.151515152</v>
      </c>
      <c r="E2117" s="6">
        <v>33.0</v>
      </c>
    </row>
    <row r="2118">
      <c r="A2118" s="4" t="s">
        <v>4214</v>
      </c>
      <c r="B2118" s="5" t="s">
        <v>4215</v>
      </c>
      <c r="C2118" s="6">
        <v>7000.0</v>
      </c>
      <c r="D2118" s="6">
        <v>4.875</v>
      </c>
      <c r="E2118" s="6">
        <v>16.0</v>
      </c>
    </row>
    <row r="2119">
      <c r="A2119" s="4" t="s">
        <v>4216</v>
      </c>
      <c r="B2119" s="5" t="s">
        <v>4217</v>
      </c>
      <c r="C2119" s="6">
        <v>7000.0</v>
      </c>
      <c r="D2119" s="6">
        <v>2.868421053</v>
      </c>
      <c r="E2119" s="6">
        <v>38.0</v>
      </c>
    </row>
    <row r="2120">
      <c r="A2120" s="4" t="s">
        <v>4218</v>
      </c>
      <c r="B2120" s="5" t="s">
        <v>4219</v>
      </c>
      <c r="C2120" s="6">
        <v>7000.0</v>
      </c>
      <c r="D2120" s="6">
        <v>3.90625</v>
      </c>
      <c r="E2120" s="6">
        <v>32.0</v>
      </c>
    </row>
    <row r="2121">
      <c r="A2121" s="4" t="s">
        <v>4220</v>
      </c>
      <c r="B2121" s="5" t="s">
        <v>4221</v>
      </c>
      <c r="C2121" s="6">
        <v>7000.0</v>
      </c>
      <c r="D2121" s="6">
        <v>4.0</v>
      </c>
      <c r="E2121" s="6">
        <v>2.0</v>
      </c>
    </row>
    <row r="2122">
      <c r="A2122" s="4" t="s">
        <v>4222</v>
      </c>
      <c r="B2122" s="5" t="s">
        <v>4223</v>
      </c>
      <c r="C2122" s="6">
        <v>7000.0</v>
      </c>
      <c r="D2122" s="6">
        <v>2.894736842</v>
      </c>
      <c r="E2122" s="6">
        <v>38.0</v>
      </c>
    </row>
    <row r="2123">
      <c r="A2123" s="4" t="s">
        <v>4224</v>
      </c>
      <c r="B2123" s="5" t="s">
        <v>4225</v>
      </c>
      <c r="C2123" s="6">
        <v>7000.0</v>
      </c>
      <c r="D2123" s="6">
        <v>5.0</v>
      </c>
      <c r="E2123" s="6">
        <v>9.0</v>
      </c>
    </row>
    <row r="2124">
      <c r="A2124" s="4" t="s">
        <v>4226</v>
      </c>
      <c r="B2124" s="5" t="s">
        <v>4227</v>
      </c>
      <c r="C2124" s="6">
        <v>7000.0</v>
      </c>
      <c r="D2124" s="6">
        <v>4.666666667</v>
      </c>
      <c r="E2124" s="6">
        <v>3.0</v>
      </c>
    </row>
    <row r="2125">
      <c r="A2125" s="4" t="s">
        <v>4228</v>
      </c>
      <c r="B2125" s="5" t="s">
        <v>4229</v>
      </c>
      <c r="C2125" s="6">
        <v>7000.0</v>
      </c>
      <c r="D2125" s="6">
        <v>4.4125</v>
      </c>
      <c r="E2125" s="6">
        <v>80.0</v>
      </c>
    </row>
    <row r="2126">
      <c r="A2126" s="4" t="s">
        <v>4230</v>
      </c>
      <c r="B2126" s="5" t="s">
        <v>4231</v>
      </c>
      <c r="C2126" s="6">
        <v>7000.0</v>
      </c>
      <c r="D2126" s="6">
        <v>2.642857143</v>
      </c>
      <c r="E2126" s="6">
        <v>14.0</v>
      </c>
    </row>
    <row r="2127">
      <c r="A2127" s="4" t="s">
        <v>4232</v>
      </c>
      <c r="B2127" s="5" t="s">
        <v>4233</v>
      </c>
      <c r="C2127" s="6">
        <v>7000.0</v>
      </c>
      <c r="D2127" s="6">
        <v>5.0</v>
      </c>
      <c r="E2127" s="6">
        <v>2.0</v>
      </c>
    </row>
    <row r="2128">
      <c r="A2128" s="4" t="s">
        <v>4234</v>
      </c>
      <c r="B2128" s="5" t="s">
        <v>4235</v>
      </c>
      <c r="C2128" s="6">
        <v>7000.0</v>
      </c>
      <c r="D2128" s="6">
        <v>2.666666667</v>
      </c>
      <c r="E2128" s="6">
        <v>12.0</v>
      </c>
    </row>
    <row r="2129">
      <c r="A2129" s="4" t="s">
        <v>4236</v>
      </c>
      <c r="B2129" s="5" t="s">
        <v>4237</v>
      </c>
      <c r="C2129" s="6">
        <v>7000.0</v>
      </c>
      <c r="D2129" s="6">
        <v>2.533333333</v>
      </c>
      <c r="E2129" s="6">
        <v>15.0</v>
      </c>
    </row>
    <row r="2130">
      <c r="A2130" s="4" t="s">
        <v>4238</v>
      </c>
      <c r="B2130" s="5" t="s">
        <v>4239</v>
      </c>
      <c r="C2130" s="6">
        <v>7000.0</v>
      </c>
      <c r="D2130" s="6">
        <v>4.0</v>
      </c>
      <c r="E2130" s="6">
        <v>9.0</v>
      </c>
    </row>
    <row r="2131">
      <c r="A2131" s="4" t="s">
        <v>4240</v>
      </c>
      <c r="B2131" s="5" t="s">
        <v>4241</v>
      </c>
      <c r="C2131" s="6">
        <v>7000.0</v>
      </c>
      <c r="D2131" s="6">
        <v>3.363636364</v>
      </c>
      <c r="E2131" s="6">
        <v>11.0</v>
      </c>
    </row>
    <row r="2132">
      <c r="A2132" s="4" t="s">
        <v>4242</v>
      </c>
      <c r="B2132" s="5" t="s">
        <v>4243</v>
      </c>
      <c r="C2132" s="6">
        <v>7000.0</v>
      </c>
      <c r="D2132" s="6">
        <v>4.5</v>
      </c>
      <c r="E2132" s="6">
        <v>2.0</v>
      </c>
    </row>
    <row r="2133">
      <c r="A2133" s="4" t="s">
        <v>4244</v>
      </c>
      <c r="B2133" s="5" t="s">
        <v>4245</v>
      </c>
      <c r="C2133" s="6">
        <v>7000.0</v>
      </c>
      <c r="D2133" s="6">
        <v>4.333333333</v>
      </c>
      <c r="E2133" s="6">
        <v>6.0</v>
      </c>
    </row>
    <row r="2134">
      <c r="A2134" s="4" t="s">
        <v>4246</v>
      </c>
      <c r="B2134" s="5" t="s">
        <v>4247</v>
      </c>
      <c r="C2134" s="6">
        <v>7000.0</v>
      </c>
      <c r="D2134" s="6">
        <v>3.757575758</v>
      </c>
      <c r="E2134" s="6">
        <v>33.0</v>
      </c>
    </row>
    <row r="2135">
      <c r="A2135" s="4" t="s">
        <v>4248</v>
      </c>
      <c r="B2135" s="5" t="s">
        <v>4249</v>
      </c>
      <c r="C2135" s="6">
        <v>7000.0</v>
      </c>
      <c r="D2135" s="6">
        <v>4.046948357</v>
      </c>
      <c r="E2135" s="6">
        <v>213.0</v>
      </c>
    </row>
    <row r="2136">
      <c r="A2136" s="4" t="s">
        <v>4250</v>
      </c>
      <c r="B2136" s="5" t="s">
        <v>4251</v>
      </c>
      <c r="C2136" s="6">
        <v>7000.0</v>
      </c>
      <c r="D2136" s="6">
        <v>3.375</v>
      </c>
      <c r="E2136" s="6">
        <v>16.0</v>
      </c>
    </row>
    <row r="2137">
      <c r="A2137" s="4" t="s">
        <v>4252</v>
      </c>
      <c r="B2137" s="5" t="s">
        <v>4253</v>
      </c>
      <c r="C2137" s="6">
        <v>7000.0</v>
      </c>
      <c r="D2137" s="6">
        <v>5.0</v>
      </c>
      <c r="E2137" s="6">
        <v>35.0</v>
      </c>
    </row>
    <row r="2138">
      <c r="A2138" s="4" t="s">
        <v>4254</v>
      </c>
      <c r="B2138" s="5" t="s">
        <v>4255</v>
      </c>
      <c r="C2138" s="6">
        <v>7000.0</v>
      </c>
      <c r="D2138" s="6">
        <v>3.425</v>
      </c>
      <c r="E2138" s="6">
        <v>40.0</v>
      </c>
    </row>
    <row r="2139">
      <c r="A2139" s="4" t="s">
        <v>4256</v>
      </c>
      <c r="B2139" s="5" t="s">
        <v>4257</v>
      </c>
      <c r="C2139" s="6">
        <v>7000.0</v>
      </c>
      <c r="D2139" s="6">
        <v>4.545454545</v>
      </c>
      <c r="E2139" s="6">
        <v>11.0</v>
      </c>
    </row>
    <row r="2140">
      <c r="A2140" s="4" t="s">
        <v>4258</v>
      </c>
      <c r="B2140" s="5" t="s">
        <v>4259</v>
      </c>
      <c r="C2140" s="6">
        <v>7000.0</v>
      </c>
      <c r="D2140" s="6">
        <v>4.428571429</v>
      </c>
      <c r="E2140" s="6">
        <v>49.0</v>
      </c>
    </row>
    <row r="2141">
      <c r="A2141" s="4" t="s">
        <v>4260</v>
      </c>
      <c r="B2141" s="5" t="s">
        <v>4261</v>
      </c>
      <c r="C2141" s="6">
        <v>7000.0</v>
      </c>
      <c r="D2141" s="6">
        <v>3.8</v>
      </c>
      <c r="E2141" s="6">
        <v>5.0</v>
      </c>
    </row>
    <row r="2142">
      <c r="A2142" s="4" t="s">
        <v>4262</v>
      </c>
      <c r="B2142" s="5" t="s">
        <v>4263</v>
      </c>
      <c r="C2142" s="6">
        <v>7000.0</v>
      </c>
      <c r="D2142" s="6">
        <v>4.757575758</v>
      </c>
      <c r="E2142" s="6">
        <v>66.0</v>
      </c>
    </row>
    <row r="2143">
      <c r="A2143" s="4" t="s">
        <v>4264</v>
      </c>
      <c r="B2143" s="5" t="s">
        <v>4265</v>
      </c>
      <c r="C2143" s="6">
        <v>7000.0</v>
      </c>
      <c r="D2143" s="6">
        <v>3.157894737</v>
      </c>
      <c r="E2143" s="6">
        <v>38.0</v>
      </c>
    </row>
    <row r="2144">
      <c r="A2144" s="4" t="s">
        <v>4266</v>
      </c>
      <c r="B2144" s="5" t="s">
        <v>4267</v>
      </c>
      <c r="C2144" s="6">
        <v>7000.0</v>
      </c>
      <c r="D2144" s="6">
        <v>2.901960784</v>
      </c>
      <c r="E2144" s="6">
        <v>51.0</v>
      </c>
    </row>
    <row r="2145">
      <c r="A2145" s="4" t="s">
        <v>4268</v>
      </c>
      <c r="B2145" s="5" t="s">
        <v>4269</v>
      </c>
      <c r="C2145" s="6">
        <v>7000.0</v>
      </c>
      <c r="D2145" s="6">
        <v>5.0</v>
      </c>
      <c r="E2145" s="6">
        <v>3.0</v>
      </c>
    </row>
    <row r="2146">
      <c r="A2146" s="4" t="s">
        <v>4270</v>
      </c>
      <c r="B2146" s="5" t="s">
        <v>4271</v>
      </c>
      <c r="C2146" s="6">
        <v>7000.0</v>
      </c>
      <c r="D2146" s="6">
        <v>4.227272727</v>
      </c>
      <c r="E2146" s="6">
        <v>22.0</v>
      </c>
    </row>
    <row r="2147">
      <c r="A2147" s="4" t="s">
        <v>4272</v>
      </c>
      <c r="B2147" s="5" t="s">
        <v>4273</v>
      </c>
      <c r="C2147" s="6">
        <v>7000.0</v>
      </c>
      <c r="D2147" s="6">
        <v>4.253968254</v>
      </c>
      <c r="E2147" s="6">
        <v>63.0</v>
      </c>
    </row>
    <row r="2148">
      <c r="A2148" s="4" t="s">
        <v>4274</v>
      </c>
      <c r="B2148" s="5" t="s">
        <v>4275</v>
      </c>
      <c r="C2148" s="6">
        <v>7000.0</v>
      </c>
      <c r="D2148" s="6">
        <v>5.0</v>
      </c>
      <c r="E2148" s="6">
        <v>2.0</v>
      </c>
    </row>
    <row r="2149">
      <c r="A2149" s="4" t="s">
        <v>4276</v>
      </c>
      <c r="B2149" s="5" t="s">
        <v>4277</v>
      </c>
      <c r="C2149" s="6">
        <v>7000.0</v>
      </c>
      <c r="D2149" s="6">
        <v>4.136363636</v>
      </c>
      <c r="E2149" s="6">
        <v>22.0</v>
      </c>
    </row>
    <row r="2150">
      <c r="A2150" s="4" t="s">
        <v>4278</v>
      </c>
      <c r="B2150" s="5" t="s">
        <v>4279</v>
      </c>
      <c r="C2150" s="6">
        <v>7000.0</v>
      </c>
      <c r="D2150" s="6">
        <v>3.446666667</v>
      </c>
      <c r="E2150" s="6">
        <v>150.0</v>
      </c>
    </row>
    <row r="2151">
      <c r="A2151" s="4" t="s">
        <v>4280</v>
      </c>
      <c r="B2151" s="5" t="s">
        <v>4281</v>
      </c>
      <c r="C2151" s="6">
        <v>7000.0</v>
      </c>
      <c r="D2151" s="6">
        <v>4.136363636</v>
      </c>
      <c r="E2151" s="6">
        <v>44.0</v>
      </c>
    </row>
    <row r="2152">
      <c r="A2152" s="4" t="s">
        <v>4282</v>
      </c>
      <c r="B2152" s="5" t="s">
        <v>4283</v>
      </c>
      <c r="C2152" s="6">
        <v>7000.0</v>
      </c>
      <c r="D2152" s="6">
        <v>4.8</v>
      </c>
      <c r="E2152" s="6">
        <v>20.0</v>
      </c>
    </row>
    <row r="2153">
      <c r="A2153" s="4" t="s">
        <v>4284</v>
      </c>
      <c r="B2153" s="5" t="s">
        <v>4285</v>
      </c>
      <c r="C2153" s="6">
        <v>7000.0</v>
      </c>
      <c r="D2153" s="6">
        <v>4.791666667</v>
      </c>
      <c r="E2153" s="6">
        <v>24.0</v>
      </c>
    </row>
    <row r="2154">
      <c r="A2154" s="4" t="s">
        <v>4286</v>
      </c>
      <c r="B2154" s="5" t="s">
        <v>4287</v>
      </c>
      <c r="C2154" s="6">
        <v>7000.0</v>
      </c>
      <c r="D2154" s="6">
        <v>4.782608696</v>
      </c>
      <c r="E2154" s="6">
        <v>23.0</v>
      </c>
    </row>
    <row r="2155">
      <c r="A2155" s="4" t="s">
        <v>4288</v>
      </c>
      <c r="B2155" s="5" t="s">
        <v>4289</v>
      </c>
      <c r="C2155" s="6">
        <v>7000.0</v>
      </c>
      <c r="D2155" s="6">
        <v>4.698830409</v>
      </c>
      <c r="E2155" s="6">
        <v>342.0</v>
      </c>
    </row>
    <row r="2156">
      <c r="A2156" s="4" t="s">
        <v>4290</v>
      </c>
      <c r="B2156" s="5" t="s">
        <v>4291</v>
      </c>
      <c r="C2156" s="6">
        <v>7000.0</v>
      </c>
      <c r="D2156" s="6">
        <v>3.166666667</v>
      </c>
      <c r="E2156" s="6">
        <v>78.0</v>
      </c>
    </row>
    <row r="2157">
      <c r="A2157" s="4" t="s">
        <v>4292</v>
      </c>
      <c r="B2157" s="5" t="s">
        <v>4293</v>
      </c>
      <c r="C2157" s="6">
        <v>7000.0</v>
      </c>
      <c r="D2157" s="6">
        <v>4.416666667</v>
      </c>
      <c r="E2157" s="6">
        <v>48.0</v>
      </c>
    </row>
    <row r="2158">
      <c r="A2158" s="4" t="s">
        <v>4294</v>
      </c>
      <c r="B2158" s="5" t="s">
        <v>4295</v>
      </c>
      <c r="C2158" s="6">
        <v>7000.0</v>
      </c>
      <c r="D2158" s="6">
        <v>3.957142857</v>
      </c>
      <c r="E2158" s="6">
        <v>70.0</v>
      </c>
    </row>
    <row r="2159">
      <c r="A2159" s="4" t="s">
        <v>4296</v>
      </c>
      <c r="B2159" s="5" t="s">
        <v>4297</v>
      </c>
      <c r="C2159" s="6">
        <v>7000.0</v>
      </c>
      <c r="D2159" s="6">
        <v>4.166666667</v>
      </c>
      <c r="E2159" s="6">
        <v>12.0</v>
      </c>
    </row>
    <row r="2160">
      <c r="A2160" s="4" t="s">
        <v>4298</v>
      </c>
      <c r="B2160" s="5" t="s">
        <v>4299</v>
      </c>
      <c r="C2160" s="6">
        <v>7000.0</v>
      </c>
      <c r="D2160" s="6">
        <v>4.025862069</v>
      </c>
      <c r="E2160" s="6">
        <v>116.0</v>
      </c>
    </row>
    <row r="2161">
      <c r="A2161" s="4" t="s">
        <v>4300</v>
      </c>
      <c r="B2161" s="5" t="s">
        <v>4301</v>
      </c>
      <c r="C2161" s="6">
        <v>7000.0</v>
      </c>
      <c r="D2161" s="6">
        <v>4.571428571</v>
      </c>
      <c r="E2161" s="6">
        <v>7.0</v>
      </c>
    </row>
    <row r="2162">
      <c r="A2162" s="4" t="s">
        <v>4302</v>
      </c>
      <c r="B2162" s="5" t="s">
        <v>4303</v>
      </c>
      <c r="C2162" s="6">
        <v>7000.0</v>
      </c>
      <c r="D2162" s="6">
        <v>4.357142857</v>
      </c>
      <c r="E2162" s="6">
        <v>14.0</v>
      </c>
    </row>
    <row r="2163">
      <c r="A2163" s="4" t="s">
        <v>4304</v>
      </c>
      <c r="B2163" s="5" t="s">
        <v>4305</v>
      </c>
      <c r="C2163" s="6">
        <v>7000.0</v>
      </c>
      <c r="D2163" s="6">
        <v>3.510638298</v>
      </c>
      <c r="E2163" s="6">
        <v>94.0</v>
      </c>
    </row>
    <row r="2164">
      <c r="A2164" s="4" t="s">
        <v>4306</v>
      </c>
      <c r="B2164" s="5" t="s">
        <v>4307</v>
      </c>
      <c r="C2164" s="6">
        <v>7000.0</v>
      </c>
      <c r="D2164" s="6">
        <v>3.821428571</v>
      </c>
      <c r="E2164" s="6">
        <v>28.0</v>
      </c>
    </row>
    <row r="2165">
      <c r="A2165" s="4" t="s">
        <v>4308</v>
      </c>
      <c r="B2165" s="5" t="s">
        <v>4309</v>
      </c>
      <c r="C2165" s="6">
        <v>7000.0</v>
      </c>
      <c r="D2165" s="6">
        <v>5.0</v>
      </c>
      <c r="E2165" s="6">
        <v>2.0</v>
      </c>
    </row>
    <row r="2166">
      <c r="A2166" s="4" t="s">
        <v>4310</v>
      </c>
      <c r="B2166" s="5" t="s">
        <v>4311</v>
      </c>
      <c r="C2166" s="6">
        <v>7000.0</v>
      </c>
      <c r="D2166" s="6">
        <v>3.6</v>
      </c>
      <c r="E2166" s="6">
        <v>5.0</v>
      </c>
    </row>
    <row r="2167">
      <c r="A2167" s="4" t="s">
        <v>4312</v>
      </c>
      <c r="B2167" s="5" t="s">
        <v>4313</v>
      </c>
      <c r="C2167" s="6">
        <v>7000.0</v>
      </c>
      <c r="D2167" s="6">
        <v>4.0</v>
      </c>
      <c r="E2167" s="6">
        <v>2.0</v>
      </c>
    </row>
    <row r="2168">
      <c r="A2168" s="4" t="s">
        <v>4314</v>
      </c>
      <c r="B2168" s="5" t="s">
        <v>4315</v>
      </c>
      <c r="C2168" s="6">
        <v>7000.0</v>
      </c>
      <c r="D2168" s="6">
        <v>2.5</v>
      </c>
      <c r="E2168" s="6">
        <v>8.0</v>
      </c>
    </row>
    <row r="2169">
      <c r="A2169" s="4" t="s">
        <v>4316</v>
      </c>
      <c r="B2169" s="5" t="s">
        <v>4317</v>
      </c>
      <c r="C2169" s="6">
        <v>7000.0</v>
      </c>
      <c r="D2169" s="6">
        <v>4.95</v>
      </c>
      <c r="E2169" s="6">
        <v>20.0</v>
      </c>
    </row>
    <row r="2170">
      <c r="A2170" s="4" t="s">
        <v>4318</v>
      </c>
      <c r="B2170" s="5" t="s">
        <v>4319</v>
      </c>
      <c r="C2170" s="6">
        <v>7000.0</v>
      </c>
      <c r="D2170" s="6">
        <v>3.770833333</v>
      </c>
      <c r="E2170" s="6">
        <v>48.0</v>
      </c>
    </row>
    <row r="2171">
      <c r="A2171" s="4" t="s">
        <v>4124</v>
      </c>
      <c r="B2171" s="5" t="s">
        <v>4320</v>
      </c>
      <c r="C2171" s="6">
        <v>7000.0</v>
      </c>
      <c r="D2171" s="6">
        <v>3.333333333</v>
      </c>
      <c r="E2171" s="6">
        <v>12.0</v>
      </c>
    </row>
    <row r="2172">
      <c r="A2172" s="4" t="s">
        <v>4321</v>
      </c>
      <c r="B2172" s="5" t="s">
        <v>4322</v>
      </c>
      <c r="C2172" s="6">
        <v>7000.0</v>
      </c>
      <c r="D2172" s="6">
        <v>4.133079848</v>
      </c>
      <c r="E2172" s="6">
        <v>526.0</v>
      </c>
    </row>
    <row r="2173">
      <c r="A2173" s="4" t="s">
        <v>4323</v>
      </c>
      <c r="B2173" s="5" t="s">
        <v>4324</v>
      </c>
      <c r="C2173" s="6">
        <v>7000.0</v>
      </c>
      <c r="D2173" s="6">
        <v>4.0</v>
      </c>
      <c r="E2173" s="6">
        <v>17.0</v>
      </c>
    </row>
    <row r="2174">
      <c r="A2174" s="4" t="s">
        <v>4325</v>
      </c>
      <c r="B2174" s="5" t="s">
        <v>4326</v>
      </c>
      <c r="C2174" s="6">
        <v>7000.0</v>
      </c>
      <c r="D2174" s="6">
        <v>3.0</v>
      </c>
      <c r="E2174" s="6">
        <v>60.0</v>
      </c>
    </row>
    <row r="2175">
      <c r="A2175" s="4" t="s">
        <v>4327</v>
      </c>
      <c r="B2175" s="5" t="s">
        <v>4328</v>
      </c>
      <c r="C2175" s="6">
        <v>7000.0</v>
      </c>
      <c r="D2175" s="6">
        <v>4.666666667</v>
      </c>
      <c r="E2175" s="6">
        <v>9.0</v>
      </c>
    </row>
    <row r="2176">
      <c r="A2176" s="4" t="s">
        <v>4329</v>
      </c>
      <c r="B2176" s="5" t="s">
        <v>4330</v>
      </c>
      <c r="C2176" s="6">
        <v>7000.0</v>
      </c>
      <c r="D2176" s="6">
        <v>3.083333333</v>
      </c>
      <c r="E2176" s="6">
        <v>12.0</v>
      </c>
    </row>
    <row r="2177">
      <c r="A2177" s="4" t="s">
        <v>4331</v>
      </c>
      <c r="B2177" s="5" t="s">
        <v>4332</v>
      </c>
      <c r="C2177" s="6">
        <v>7000.0</v>
      </c>
      <c r="D2177" s="6">
        <v>3.25</v>
      </c>
      <c r="E2177" s="6">
        <v>36.0</v>
      </c>
    </row>
    <row r="2178">
      <c r="A2178" s="4" t="s">
        <v>4333</v>
      </c>
      <c r="B2178" s="5" t="s">
        <v>4334</v>
      </c>
      <c r="C2178" s="6">
        <v>7000.0</v>
      </c>
      <c r="D2178" s="6">
        <v>4.318181818</v>
      </c>
      <c r="E2178" s="6">
        <v>44.0</v>
      </c>
    </row>
    <row r="2179">
      <c r="A2179" s="4" t="s">
        <v>4335</v>
      </c>
      <c r="B2179" s="5" t="s">
        <v>4336</v>
      </c>
      <c r="C2179" s="6">
        <v>7000.0</v>
      </c>
      <c r="D2179" s="6">
        <v>4.743589744</v>
      </c>
      <c r="E2179" s="6">
        <v>78.0</v>
      </c>
    </row>
    <row r="2180">
      <c r="A2180" s="4" t="s">
        <v>4337</v>
      </c>
      <c r="B2180" s="5" t="s">
        <v>4338</v>
      </c>
      <c r="C2180" s="6">
        <v>7000.0</v>
      </c>
      <c r="D2180" s="6">
        <v>4.291666667</v>
      </c>
      <c r="E2180" s="6">
        <v>48.0</v>
      </c>
    </row>
    <row r="2181">
      <c r="A2181" s="4" t="s">
        <v>4339</v>
      </c>
      <c r="B2181" s="5" t="s">
        <v>4340</v>
      </c>
      <c r="C2181" s="6">
        <v>7000.0</v>
      </c>
      <c r="D2181" s="6">
        <v>3.075</v>
      </c>
      <c r="E2181" s="6">
        <v>40.0</v>
      </c>
    </row>
    <row r="2182">
      <c r="A2182" s="4" t="s">
        <v>4341</v>
      </c>
      <c r="B2182" s="5" t="s">
        <v>4342</v>
      </c>
      <c r="C2182" s="6">
        <v>7000.0</v>
      </c>
      <c r="D2182" s="6">
        <v>1.386363636</v>
      </c>
      <c r="E2182" s="6">
        <v>132.0</v>
      </c>
    </row>
    <row r="2183">
      <c r="A2183" s="4" t="s">
        <v>4343</v>
      </c>
      <c r="B2183" s="5" t="s">
        <v>4344</v>
      </c>
      <c r="C2183" s="6">
        <v>7000.0</v>
      </c>
      <c r="D2183" s="6">
        <v>5.0</v>
      </c>
      <c r="E2183" s="6">
        <v>11.0</v>
      </c>
    </row>
    <row r="2184">
      <c r="A2184" s="4" t="s">
        <v>4345</v>
      </c>
      <c r="B2184" s="5" t="s">
        <v>4346</v>
      </c>
      <c r="C2184" s="6">
        <v>7000.0</v>
      </c>
      <c r="D2184" s="6">
        <v>4.5</v>
      </c>
      <c r="E2184" s="6">
        <v>14.0</v>
      </c>
    </row>
    <row r="2185">
      <c r="A2185" s="4" t="s">
        <v>4347</v>
      </c>
      <c r="B2185" s="5" t="s">
        <v>4348</v>
      </c>
      <c r="C2185" s="6">
        <v>7000.0</v>
      </c>
      <c r="D2185" s="6">
        <v>2.827586207</v>
      </c>
      <c r="E2185" s="6">
        <v>58.0</v>
      </c>
    </row>
    <row r="2186">
      <c r="A2186" s="4" t="s">
        <v>4349</v>
      </c>
      <c r="B2186" s="5" t="s">
        <v>4350</v>
      </c>
      <c r="C2186" s="6">
        <v>7000.0</v>
      </c>
      <c r="D2186" s="6">
        <v>4.826086957</v>
      </c>
      <c r="E2186" s="6">
        <v>23.0</v>
      </c>
    </row>
    <row r="2187">
      <c r="A2187" s="4" t="s">
        <v>4351</v>
      </c>
      <c r="B2187" s="5" t="s">
        <v>4352</v>
      </c>
      <c r="C2187" s="6">
        <v>7000.0</v>
      </c>
      <c r="D2187" s="6">
        <v>3.888888889</v>
      </c>
      <c r="E2187" s="6">
        <v>27.0</v>
      </c>
    </row>
    <row r="2188">
      <c r="A2188" s="4" t="s">
        <v>4353</v>
      </c>
      <c r="B2188" s="5" t="s">
        <v>4354</v>
      </c>
      <c r="C2188" s="6">
        <v>7000.0</v>
      </c>
      <c r="D2188" s="6">
        <v>3.333333333</v>
      </c>
      <c r="E2188" s="6">
        <v>18.0</v>
      </c>
    </row>
    <row r="2189">
      <c r="A2189" s="4" t="s">
        <v>4355</v>
      </c>
      <c r="B2189" s="5" t="s">
        <v>4356</v>
      </c>
      <c r="C2189" s="6">
        <v>7000.0</v>
      </c>
      <c r="D2189" s="6">
        <v>3.0</v>
      </c>
      <c r="E2189" s="6">
        <v>3.0</v>
      </c>
    </row>
    <row r="2190">
      <c r="A2190" s="4" t="s">
        <v>4357</v>
      </c>
      <c r="B2190" s="5" t="s">
        <v>4358</v>
      </c>
      <c r="C2190" s="6">
        <v>7000.0</v>
      </c>
      <c r="D2190" s="6">
        <v>2.454545455</v>
      </c>
      <c r="E2190" s="6">
        <v>33.0</v>
      </c>
    </row>
    <row r="2191">
      <c r="A2191" s="4" t="s">
        <v>4359</v>
      </c>
      <c r="B2191" s="5" t="s">
        <v>4360</v>
      </c>
      <c r="C2191" s="6">
        <v>7000.0</v>
      </c>
      <c r="D2191" s="6">
        <v>4.209302326</v>
      </c>
      <c r="E2191" s="6">
        <v>43.0</v>
      </c>
    </row>
    <row r="2192">
      <c r="A2192" s="4" t="s">
        <v>4361</v>
      </c>
      <c r="B2192" s="5" t="s">
        <v>4362</v>
      </c>
      <c r="C2192" s="6">
        <v>7000.0</v>
      </c>
      <c r="D2192" s="6">
        <v>4.495575221</v>
      </c>
      <c r="E2192" s="6">
        <v>113.0</v>
      </c>
    </row>
    <row r="2193">
      <c r="A2193" s="4" t="s">
        <v>4363</v>
      </c>
      <c r="B2193" s="5" t="s">
        <v>4364</v>
      </c>
      <c r="C2193" s="6">
        <v>7000.0</v>
      </c>
      <c r="D2193" s="6">
        <v>3.748148148</v>
      </c>
      <c r="E2193" s="6">
        <v>135.0</v>
      </c>
    </row>
    <row r="2194">
      <c r="A2194" s="4" t="s">
        <v>4365</v>
      </c>
      <c r="B2194" s="5" t="s">
        <v>4366</v>
      </c>
      <c r="C2194" s="6">
        <v>7000.0</v>
      </c>
      <c r="D2194" s="6">
        <v>2.074074074</v>
      </c>
      <c r="E2194" s="6">
        <v>54.0</v>
      </c>
    </row>
    <row r="2195">
      <c r="A2195" s="4" t="s">
        <v>4367</v>
      </c>
      <c r="B2195" s="5" t="s">
        <v>4368</v>
      </c>
      <c r="C2195" s="6">
        <v>7000.0</v>
      </c>
      <c r="D2195" s="6">
        <v>4.6</v>
      </c>
      <c r="E2195" s="6">
        <v>10.0</v>
      </c>
    </row>
    <row r="2196">
      <c r="A2196" s="4" t="s">
        <v>4369</v>
      </c>
      <c r="B2196" s="5" t="s">
        <v>4370</v>
      </c>
      <c r="C2196" s="6">
        <v>7000.0</v>
      </c>
      <c r="D2196" s="6">
        <v>3.275862069</v>
      </c>
      <c r="E2196" s="6">
        <v>29.0</v>
      </c>
    </row>
    <row r="2197">
      <c r="A2197" s="4" t="s">
        <v>4371</v>
      </c>
      <c r="B2197" s="5" t="s">
        <v>4372</v>
      </c>
      <c r="C2197" s="6">
        <v>7000.0</v>
      </c>
      <c r="D2197" s="6">
        <v>4.6</v>
      </c>
      <c r="E2197" s="6">
        <v>80.0</v>
      </c>
    </row>
    <row r="2198">
      <c r="A2198" s="4" t="s">
        <v>4373</v>
      </c>
      <c r="B2198" s="5" t="s">
        <v>4374</v>
      </c>
      <c r="C2198" s="6">
        <v>7000.0</v>
      </c>
      <c r="D2198" s="6">
        <v>4.642045455</v>
      </c>
      <c r="E2198" s="6">
        <v>176.0</v>
      </c>
    </row>
    <row r="2199">
      <c r="A2199" s="4" t="s">
        <v>4375</v>
      </c>
      <c r="B2199" s="5" t="s">
        <v>4376</v>
      </c>
      <c r="C2199" s="6">
        <v>7000.0</v>
      </c>
      <c r="D2199" s="6">
        <v>4.0</v>
      </c>
      <c r="E2199" s="6">
        <v>10.0</v>
      </c>
    </row>
    <row r="2200">
      <c r="A2200" s="4" t="s">
        <v>4377</v>
      </c>
      <c r="B2200" s="5" t="s">
        <v>4378</v>
      </c>
      <c r="C2200" s="6">
        <v>7000.0</v>
      </c>
      <c r="D2200" s="6">
        <v>4.625</v>
      </c>
      <c r="E2200" s="6">
        <v>16.0</v>
      </c>
    </row>
    <row r="2201">
      <c r="A2201" s="4" t="s">
        <v>4379</v>
      </c>
      <c r="B2201" s="5" t="s">
        <v>4380</v>
      </c>
      <c r="C2201" s="6">
        <v>7000.0</v>
      </c>
      <c r="D2201" s="6">
        <v>2.533333333</v>
      </c>
      <c r="E2201" s="6">
        <v>15.0</v>
      </c>
    </row>
    <row r="2202">
      <c r="A2202" s="4" t="s">
        <v>4381</v>
      </c>
      <c r="B2202" s="5" t="s">
        <v>4382</v>
      </c>
      <c r="C2202" s="6">
        <v>7000.0</v>
      </c>
      <c r="D2202" s="6">
        <v>5.0</v>
      </c>
      <c r="E2202" s="6">
        <v>1.0</v>
      </c>
    </row>
    <row r="2203">
      <c r="A2203" s="4" t="s">
        <v>4383</v>
      </c>
      <c r="B2203" s="5" t="s">
        <v>4384</v>
      </c>
      <c r="C2203" s="6">
        <v>7000.0</v>
      </c>
      <c r="D2203" s="6">
        <v>2.38372093</v>
      </c>
      <c r="E2203" s="6">
        <v>86.0</v>
      </c>
    </row>
    <row r="2204">
      <c r="A2204" s="4" t="s">
        <v>4385</v>
      </c>
      <c r="B2204" s="5" t="s">
        <v>4386</v>
      </c>
      <c r="C2204" s="6">
        <v>7000.0</v>
      </c>
      <c r="D2204" s="6">
        <v>3.076923077</v>
      </c>
      <c r="E2204" s="6">
        <v>26.0</v>
      </c>
    </row>
    <row r="2205">
      <c r="A2205" s="4" t="s">
        <v>4387</v>
      </c>
      <c r="B2205" s="5" t="s">
        <v>4388</v>
      </c>
      <c r="C2205" s="6">
        <v>7000.0</v>
      </c>
      <c r="D2205" s="6">
        <v>2.5</v>
      </c>
      <c r="E2205" s="6">
        <v>16.0</v>
      </c>
    </row>
    <row r="2206">
      <c r="A2206" s="4" t="s">
        <v>4389</v>
      </c>
      <c r="B2206" s="5" t="s">
        <v>4390</v>
      </c>
      <c r="C2206" s="6">
        <v>7000.0</v>
      </c>
      <c r="D2206" s="6">
        <v>1.0</v>
      </c>
      <c r="E2206" s="6">
        <v>1.0</v>
      </c>
    </row>
    <row r="2207">
      <c r="A2207" s="4" t="s">
        <v>4391</v>
      </c>
      <c r="B2207" s="5" t="s">
        <v>4392</v>
      </c>
      <c r="C2207" s="6">
        <v>7000.0</v>
      </c>
      <c r="D2207" s="6">
        <v>4.1</v>
      </c>
      <c r="E2207" s="6">
        <v>30.0</v>
      </c>
    </row>
    <row r="2208">
      <c r="A2208" s="4" t="s">
        <v>4393</v>
      </c>
      <c r="B2208" s="5" t="s">
        <v>4394</v>
      </c>
      <c r="C2208" s="6">
        <v>7000.0</v>
      </c>
      <c r="D2208" s="6">
        <v>5.0</v>
      </c>
      <c r="E2208" s="6">
        <v>11.0</v>
      </c>
    </row>
    <row r="2209">
      <c r="A2209" s="4" t="s">
        <v>4395</v>
      </c>
      <c r="B2209" s="5" t="s">
        <v>4396</v>
      </c>
      <c r="C2209" s="6">
        <v>7000.0</v>
      </c>
      <c r="D2209" s="6">
        <v>4.555555556</v>
      </c>
      <c r="E2209" s="6">
        <v>9.0</v>
      </c>
    </row>
    <row r="2210">
      <c r="A2210" s="4" t="s">
        <v>4397</v>
      </c>
      <c r="B2210" s="5" t="s">
        <v>4398</v>
      </c>
      <c r="C2210" s="6">
        <v>7000.0</v>
      </c>
      <c r="D2210" s="6">
        <v>3.733333333</v>
      </c>
      <c r="E2210" s="6">
        <v>15.0</v>
      </c>
    </row>
    <row r="2211">
      <c r="A2211" s="4" t="s">
        <v>4399</v>
      </c>
      <c r="B2211" s="5" t="s">
        <v>4400</v>
      </c>
      <c r="C2211" s="6">
        <v>7000.0</v>
      </c>
      <c r="D2211" s="6">
        <v>4.181818182</v>
      </c>
      <c r="E2211" s="6">
        <v>44.0</v>
      </c>
    </row>
    <row r="2212">
      <c r="A2212" s="4" t="s">
        <v>4401</v>
      </c>
      <c r="B2212" s="5" t="s">
        <v>4402</v>
      </c>
      <c r="C2212" s="6">
        <v>7000.0</v>
      </c>
      <c r="D2212" s="6">
        <v>4.868421053</v>
      </c>
      <c r="E2212" s="6">
        <v>38.0</v>
      </c>
    </row>
    <row r="2213">
      <c r="A2213" s="4" t="s">
        <v>4403</v>
      </c>
      <c r="B2213" s="5" t="s">
        <v>4404</v>
      </c>
      <c r="C2213" s="6">
        <v>7000.0</v>
      </c>
      <c r="D2213" s="6">
        <v>3.333333333</v>
      </c>
      <c r="E2213" s="6">
        <v>3.0</v>
      </c>
    </row>
    <row r="2214">
      <c r="A2214" s="4" t="s">
        <v>4405</v>
      </c>
      <c r="B2214" s="5" t="s">
        <v>4406</v>
      </c>
      <c r="C2214" s="6">
        <v>7000.0</v>
      </c>
      <c r="D2214" s="6">
        <v>4.368421053</v>
      </c>
      <c r="E2214" s="6">
        <v>38.0</v>
      </c>
    </row>
    <row r="2215">
      <c r="A2215" s="4" t="s">
        <v>4407</v>
      </c>
      <c r="B2215" s="5" t="s">
        <v>4408</v>
      </c>
      <c r="C2215" s="6">
        <v>7000.0</v>
      </c>
      <c r="D2215" s="6">
        <v>4.392857143</v>
      </c>
      <c r="E2215" s="6">
        <v>56.0</v>
      </c>
    </row>
    <row r="2216">
      <c r="A2216" s="4" t="s">
        <v>4409</v>
      </c>
      <c r="B2216" s="5" t="s">
        <v>4410</v>
      </c>
      <c r="C2216" s="6">
        <v>7000.0</v>
      </c>
      <c r="D2216" s="6">
        <v>2.956521739</v>
      </c>
      <c r="E2216" s="6">
        <v>69.0</v>
      </c>
    </row>
    <row r="2217">
      <c r="A2217" s="4" t="s">
        <v>4411</v>
      </c>
      <c r="B2217" s="5" t="s">
        <v>4412</v>
      </c>
      <c r="C2217" s="6">
        <v>7000.0</v>
      </c>
      <c r="D2217" s="6">
        <v>4.709193246</v>
      </c>
      <c r="E2217" s="6">
        <v>533.0</v>
      </c>
    </row>
    <row r="2218">
      <c r="A2218" s="4" t="s">
        <v>4413</v>
      </c>
      <c r="B2218" s="5" t="s">
        <v>4414</v>
      </c>
      <c r="C2218" s="6">
        <v>7000.0</v>
      </c>
      <c r="D2218" s="6">
        <v>4.272058824</v>
      </c>
      <c r="E2218" s="6">
        <v>272.0</v>
      </c>
    </row>
    <row r="2219">
      <c r="A2219" s="4" t="s">
        <v>4415</v>
      </c>
      <c r="B2219" s="5" t="s">
        <v>4416</v>
      </c>
      <c r="C2219" s="6">
        <v>7000.0</v>
      </c>
      <c r="D2219" s="6">
        <v>5.0</v>
      </c>
      <c r="E2219" s="6">
        <v>7.0</v>
      </c>
    </row>
    <row r="2220">
      <c r="A2220" s="4" t="s">
        <v>4417</v>
      </c>
      <c r="B2220" s="5" t="s">
        <v>4418</v>
      </c>
      <c r="C2220" s="6">
        <v>7000.0</v>
      </c>
      <c r="D2220" s="6">
        <v>4.184210526</v>
      </c>
      <c r="E2220" s="6">
        <v>38.0</v>
      </c>
    </row>
    <row r="2221">
      <c r="A2221" s="4" t="s">
        <v>4419</v>
      </c>
      <c r="B2221" s="5" t="s">
        <v>4420</v>
      </c>
      <c r="C2221" s="6">
        <v>7000.0</v>
      </c>
      <c r="D2221" s="6">
        <v>4.223880597</v>
      </c>
      <c r="E2221" s="6">
        <v>67.0</v>
      </c>
    </row>
    <row r="2222">
      <c r="A2222" s="4" t="s">
        <v>4421</v>
      </c>
      <c r="B2222" s="5" t="s">
        <v>4422</v>
      </c>
      <c r="C2222" s="6">
        <v>7000.0</v>
      </c>
      <c r="D2222" s="6">
        <v>4.335766423</v>
      </c>
      <c r="E2222" s="6">
        <v>137.0</v>
      </c>
    </row>
    <row r="2223">
      <c r="A2223" s="4" t="s">
        <v>4423</v>
      </c>
      <c r="B2223" s="5" t="s">
        <v>4424</v>
      </c>
      <c r="C2223" s="6">
        <v>7000.0</v>
      </c>
      <c r="D2223" s="6">
        <v>4.763157895</v>
      </c>
      <c r="E2223" s="6">
        <v>38.0</v>
      </c>
    </row>
    <row r="2224">
      <c r="A2224" s="4" t="s">
        <v>4425</v>
      </c>
      <c r="B2224" s="5" t="s">
        <v>4426</v>
      </c>
      <c r="C2224" s="6">
        <v>7000.0</v>
      </c>
      <c r="D2224" s="6">
        <v>3.795918367</v>
      </c>
      <c r="E2224" s="6">
        <v>49.0</v>
      </c>
    </row>
    <row r="2225">
      <c r="A2225" s="4" t="s">
        <v>4427</v>
      </c>
      <c r="B2225" s="5" t="s">
        <v>4428</v>
      </c>
      <c r="C2225" s="6">
        <v>7000.0</v>
      </c>
      <c r="D2225" s="6">
        <v>3.571428571</v>
      </c>
      <c r="E2225" s="6">
        <v>21.0</v>
      </c>
    </row>
    <row r="2226">
      <c r="A2226" s="4" t="s">
        <v>4429</v>
      </c>
      <c r="B2226" s="5" t="s">
        <v>4430</v>
      </c>
      <c r="C2226" s="6">
        <v>7000.0</v>
      </c>
      <c r="D2226" s="6">
        <v>2.7125</v>
      </c>
      <c r="E2226" s="6">
        <v>80.0</v>
      </c>
    </row>
    <row r="2227">
      <c r="A2227" s="4" t="s">
        <v>4431</v>
      </c>
      <c r="B2227" s="5" t="s">
        <v>4432</v>
      </c>
      <c r="C2227" s="6">
        <v>7000.0</v>
      </c>
      <c r="D2227" s="6">
        <v>4.641509434</v>
      </c>
      <c r="E2227" s="6">
        <v>53.0</v>
      </c>
    </row>
    <row r="2228">
      <c r="A2228" s="4" t="s">
        <v>4433</v>
      </c>
      <c r="B2228" s="5" t="s">
        <v>4434</v>
      </c>
      <c r="C2228" s="6">
        <v>7000.0</v>
      </c>
      <c r="D2228" s="6">
        <v>4.644444444</v>
      </c>
      <c r="E2228" s="6">
        <v>45.0</v>
      </c>
    </row>
    <row r="2229">
      <c r="A2229" s="4" t="s">
        <v>4435</v>
      </c>
      <c r="B2229" s="5" t="s">
        <v>4436</v>
      </c>
      <c r="C2229" s="6">
        <v>7000.0</v>
      </c>
      <c r="D2229" s="6">
        <v>4.266666667</v>
      </c>
      <c r="E2229" s="6">
        <v>15.0</v>
      </c>
    </row>
    <row r="2230">
      <c r="A2230" s="4" t="s">
        <v>4308</v>
      </c>
      <c r="B2230" s="5" t="s">
        <v>4437</v>
      </c>
      <c r="C2230" s="6">
        <v>7000.0</v>
      </c>
      <c r="D2230" s="6">
        <v>4.5</v>
      </c>
      <c r="E2230" s="6">
        <v>12.0</v>
      </c>
    </row>
    <row r="2231">
      <c r="A2231" s="4" t="s">
        <v>4438</v>
      </c>
      <c r="B2231" s="12" t="s">
        <v>4439</v>
      </c>
      <c r="C2231" s="7">
        <v>7000.0</v>
      </c>
      <c r="D2231" s="6">
        <v>3.4</v>
      </c>
      <c r="E2231" s="6">
        <v>29.0</v>
      </c>
    </row>
    <row r="2232">
      <c r="A2232" s="4" t="s">
        <v>4440</v>
      </c>
      <c r="B2232" s="5" t="s">
        <v>4441</v>
      </c>
      <c r="C2232" s="6">
        <v>7000.0</v>
      </c>
      <c r="D2232" s="6">
        <v>4.676470588</v>
      </c>
      <c r="E2232" s="6">
        <v>68.0</v>
      </c>
    </row>
    <row r="2233">
      <c r="A2233" s="4" t="s">
        <v>4442</v>
      </c>
      <c r="B2233" s="5" t="s">
        <v>4443</v>
      </c>
      <c r="C2233" s="7">
        <v>7000.0</v>
      </c>
      <c r="D2233" s="6">
        <v>3.8</v>
      </c>
      <c r="E2233" s="6">
        <v>7.0</v>
      </c>
    </row>
    <row r="2234">
      <c r="A2234" s="4" t="s">
        <v>4444</v>
      </c>
      <c r="B2234" s="5" t="s">
        <v>4445</v>
      </c>
      <c r="C2234" s="7">
        <v>7000.0</v>
      </c>
      <c r="D2234" s="6">
        <v>3.4</v>
      </c>
      <c r="E2234" s="6">
        <v>35.0</v>
      </c>
    </row>
    <row r="2235">
      <c r="A2235" s="4" t="s">
        <v>4446</v>
      </c>
      <c r="B2235" s="5" t="s">
        <v>4447</v>
      </c>
      <c r="C2235" s="6">
        <v>6000.0</v>
      </c>
      <c r="D2235" s="6">
        <v>4.628571429</v>
      </c>
      <c r="E2235" s="6">
        <v>35.0</v>
      </c>
    </row>
    <row r="2236">
      <c r="A2236" s="4" t="s">
        <v>4448</v>
      </c>
      <c r="B2236" s="5" t="s">
        <v>4449</v>
      </c>
      <c r="C2236" s="6">
        <v>6000.0</v>
      </c>
      <c r="D2236" s="6">
        <v>4.52</v>
      </c>
      <c r="E2236" s="6">
        <v>50.0</v>
      </c>
    </row>
    <row r="2237">
      <c r="A2237" s="4" t="s">
        <v>4450</v>
      </c>
      <c r="B2237" s="5" t="s">
        <v>4451</v>
      </c>
      <c r="C2237" s="6">
        <v>6000.0</v>
      </c>
      <c r="D2237" s="6">
        <v>4.489583333</v>
      </c>
      <c r="E2237" s="6">
        <v>96.0</v>
      </c>
    </row>
    <row r="2238">
      <c r="A2238" s="4" t="s">
        <v>4452</v>
      </c>
      <c r="B2238" s="5" t="s">
        <v>4453</v>
      </c>
      <c r="C2238" s="6">
        <v>6000.0</v>
      </c>
      <c r="D2238" s="6">
        <v>4.528735632</v>
      </c>
      <c r="E2238" s="6">
        <v>87.0</v>
      </c>
    </row>
    <row r="2239">
      <c r="A2239" s="4" t="s">
        <v>4454</v>
      </c>
      <c r="B2239" s="5" t="s">
        <v>4455</v>
      </c>
      <c r="C2239" s="6">
        <v>6000.0</v>
      </c>
      <c r="D2239" s="6">
        <v>4.733333333</v>
      </c>
      <c r="E2239" s="6">
        <v>15.0</v>
      </c>
    </row>
    <row r="2240">
      <c r="A2240" s="4" t="s">
        <v>4456</v>
      </c>
      <c r="B2240" s="5" t="s">
        <v>4457</v>
      </c>
      <c r="C2240" s="6">
        <v>6000.0</v>
      </c>
      <c r="D2240" s="6">
        <v>4.105882353</v>
      </c>
      <c r="E2240" s="6">
        <v>85.0</v>
      </c>
    </row>
    <row r="2241">
      <c r="A2241" s="4" t="s">
        <v>4458</v>
      </c>
      <c r="B2241" s="5" t="s">
        <v>4459</v>
      </c>
      <c r="C2241" s="6">
        <v>6000.0</v>
      </c>
      <c r="D2241" s="6">
        <v>4.761904762</v>
      </c>
      <c r="E2241" s="6">
        <v>21.0</v>
      </c>
    </row>
    <row r="2242">
      <c r="A2242" s="4" t="s">
        <v>4460</v>
      </c>
      <c r="B2242" s="5" t="s">
        <v>4461</v>
      </c>
      <c r="C2242" s="6">
        <v>6000.0</v>
      </c>
      <c r="D2242" s="6">
        <v>2.0</v>
      </c>
      <c r="E2242" s="6">
        <v>6.0</v>
      </c>
    </row>
    <row r="2243">
      <c r="A2243" s="4" t="s">
        <v>4462</v>
      </c>
      <c r="B2243" s="5" t="s">
        <v>4463</v>
      </c>
      <c r="C2243" s="6">
        <v>6000.0</v>
      </c>
      <c r="D2243" s="6">
        <v>4.15</v>
      </c>
      <c r="E2243" s="6">
        <v>20.0</v>
      </c>
    </row>
    <row r="2244">
      <c r="A2244" s="4" t="s">
        <v>4464</v>
      </c>
      <c r="B2244" s="5" t="s">
        <v>4465</v>
      </c>
      <c r="C2244" s="6">
        <v>6000.0</v>
      </c>
      <c r="D2244" s="6">
        <v>3.809322034</v>
      </c>
      <c r="E2244" s="6">
        <v>236.0</v>
      </c>
    </row>
    <row r="2245">
      <c r="A2245" s="4" t="s">
        <v>3404</v>
      </c>
      <c r="B2245" s="5" t="s">
        <v>4466</v>
      </c>
      <c r="C2245" s="6">
        <v>6000.0</v>
      </c>
      <c r="D2245" s="6">
        <v>3.837209302</v>
      </c>
      <c r="E2245" s="6">
        <v>43.0</v>
      </c>
    </row>
    <row r="2246">
      <c r="A2246" s="4" t="s">
        <v>4467</v>
      </c>
      <c r="B2246" s="5" t="s">
        <v>4468</v>
      </c>
      <c r="C2246" s="6">
        <v>6000.0</v>
      </c>
      <c r="D2246" s="6">
        <v>2.8</v>
      </c>
      <c r="E2246" s="6">
        <v>15.0</v>
      </c>
    </row>
    <row r="2247">
      <c r="A2247" s="4" t="s">
        <v>4469</v>
      </c>
      <c r="B2247" s="5" t="s">
        <v>4470</v>
      </c>
      <c r="C2247" s="6">
        <v>6000.0</v>
      </c>
      <c r="D2247" s="6">
        <v>4.74375</v>
      </c>
      <c r="E2247" s="6">
        <v>160.0</v>
      </c>
    </row>
    <row r="2248">
      <c r="A2248" s="4" t="s">
        <v>4471</v>
      </c>
      <c r="B2248" s="5" t="s">
        <v>4472</v>
      </c>
      <c r="C2248" s="6">
        <v>6000.0</v>
      </c>
      <c r="D2248" s="6">
        <v>3.333333333</v>
      </c>
      <c r="E2248" s="6">
        <v>6.0</v>
      </c>
    </row>
    <row r="2249">
      <c r="A2249" s="4" t="s">
        <v>4473</v>
      </c>
      <c r="B2249" s="5" t="s">
        <v>4474</v>
      </c>
      <c r="C2249" s="6">
        <v>6000.0</v>
      </c>
      <c r="D2249" s="6">
        <v>4.566037736</v>
      </c>
      <c r="E2249" s="6">
        <v>53.0</v>
      </c>
    </row>
    <row r="2250">
      <c r="A2250" s="4" t="s">
        <v>4475</v>
      </c>
      <c r="B2250" s="5" t="s">
        <v>4476</v>
      </c>
      <c r="C2250" s="6">
        <v>6000.0</v>
      </c>
      <c r="D2250" s="9"/>
      <c r="E2250" s="9"/>
    </row>
    <row r="2251">
      <c r="A2251" s="4" t="s">
        <v>4477</v>
      </c>
      <c r="B2251" s="5" t="s">
        <v>4478</v>
      </c>
      <c r="C2251" s="6">
        <v>6000.0</v>
      </c>
      <c r="D2251" s="6">
        <v>4.0</v>
      </c>
      <c r="E2251" s="6">
        <v>9.0</v>
      </c>
    </row>
    <row r="2252">
      <c r="A2252" s="4" t="s">
        <v>4479</v>
      </c>
      <c r="B2252" s="5" t="s">
        <v>4480</v>
      </c>
      <c r="C2252" s="6">
        <v>6000.0</v>
      </c>
      <c r="D2252" s="6">
        <v>3.637931034</v>
      </c>
      <c r="E2252" s="6">
        <v>58.0</v>
      </c>
    </row>
    <row r="2253">
      <c r="A2253" s="4" t="s">
        <v>4481</v>
      </c>
      <c r="B2253" s="5" t="s">
        <v>4482</v>
      </c>
      <c r="C2253" s="6">
        <v>6000.0</v>
      </c>
      <c r="D2253" s="6">
        <v>1.947368421</v>
      </c>
      <c r="E2253" s="6">
        <v>57.0</v>
      </c>
    </row>
    <row r="2254">
      <c r="A2254" s="4" t="s">
        <v>4483</v>
      </c>
      <c r="B2254" s="5" t="s">
        <v>4484</v>
      </c>
      <c r="C2254" s="6">
        <v>6000.0</v>
      </c>
      <c r="D2254" s="6">
        <v>2.78125</v>
      </c>
      <c r="E2254" s="6">
        <v>32.0</v>
      </c>
    </row>
    <row r="2255">
      <c r="A2255" s="4" t="s">
        <v>4485</v>
      </c>
      <c r="B2255" s="5" t="s">
        <v>4486</v>
      </c>
      <c r="C2255" s="6">
        <v>6000.0</v>
      </c>
      <c r="D2255" s="6">
        <v>3.481481481</v>
      </c>
      <c r="E2255" s="6">
        <v>27.0</v>
      </c>
    </row>
    <row r="2256">
      <c r="A2256" s="4" t="s">
        <v>4487</v>
      </c>
      <c r="B2256" s="5" t="s">
        <v>4488</v>
      </c>
      <c r="C2256" s="6">
        <v>6000.0</v>
      </c>
      <c r="D2256" s="6">
        <v>4.627906977</v>
      </c>
      <c r="E2256" s="6">
        <v>129.0</v>
      </c>
    </row>
    <row r="2257">
      <c r="A2257" s="4" t="s">
        <v>4489</v>
      </c>
      <c r="B2257" s="5" t="s">
        <v>4490</v>
      </c>
      <c r="C2257" s="6">
        <v>6000.0</v>
      </c>
      <c r="D2257" s="6">
        <v>4.733333333</v>
      </c>
      <c r="E2257" s="6">
        <v>30.0</v>
      </c>
    </row>
    <row r="2258">
      <c r="A2258" s="4" t="s">
        <v>4491</v>
      </c>
      <c r="B2258" s="5" t="s">
        <v>4492</v>
      </c>
      <c r="C2258" s="6">
        <v>6000.0</v>
      </c>
      <c r="D2258" s="6">
        <v>2.636363636</v>
      </c>
      <c r="E2258" s="6">
        <v>11.0</v>
      </c>
    </row>
    <row r="2259">
      <c r="A2259" s="4" t="s">
        <v>4493</v>
      </c>
      <c r="B2259" s="5" t="s">
        <v>4494</v>
      </c>
      <c r="C2259" s="6">
        <v>6000.0</v>
      </c>
      <c r="D2259" s="6">
        <v>3.642857143</v>
      </c>
      <c r="E2259" s="6">
        <v>28.0</v>
      </c>
    </row>
    <row r="2260">
      <c r="A2260" s="4" t="s">
        <v>4495</v>
      </c>
      <c r="B2260" s="5" t="s">
        <v>4496</v>
      </c>
      <c r="C2260" s="6">
        <v>6000.0</v>
      </c>
      <c r="D2260" s="6">
        <v>1.0</v>
      </c>
      <c r="E2260" s="6">
        <v>1.0</v>
      </c>
    </row>
    <row r="2261">
      <c r="A2261" s="4" t="s">
        <v>4497</v>
      </c>
      <c r="B2261" s="5" t="s">
        <v>4498</v>
      </c>
      <c r="C2261" s="6">
        <v>6000.0</v>
      </c>
      <c r="D2261" s="6">
        <v>4.1</v>
      </c>
      <c r="E2261" s="6">
        <v>50.0</v>
      </c>
    </row>
    <row r="2262">
      <c r="A2262" s="4" t="s">
        <v>4499</v>
      </c>
      <c r="B2262" s="5" t="s">
        <v>4500</v>
      </c>
      <c r="C2262" s="6">
        <v>6000.0</v>
      </c>
      <c r="D2262" s="6">
        <v>4.738461538</v>
      </c>
      <c r="E2262" s="6">
        <v>65.0</v>
      </c>
    </row>
    <row r="2263">
      <c r="A2263" s="4" t="s">
        <v>4501</v>
      </c>
      <c r="B2263" s="5" t="s">
        <v>4502</v>
      </c>
      <c r="C2263" s="6">
        <v>6000.0</v>
      </c>
      <c r="D2263" s="6">
        <v>2.536585366</v>
      </c>
      <c r="E2263" s="6">
        <v>41.0</v>
      </c>
    </row>
    <row r="2264">
      <c r="A2264" s="4" t="s">
        <v>4503</v>
      </c>
      <c r="B2264" s="5" t="s">
        <v>4504</v>
      </c>
      <c r="C2264" s="6">
        <v>6000.0</v>
      </c>
      <c r="D2264" s="6">
        <v>4.081196581</v>
      </c>
      <c r="E2264" s="6">
        <v>234.0</v>
      </c>
    </row>
    <row r="2265">
      <c r="A2265" s="4" t="s">
        <v>4505</v>
      </c>
      <c r="B2265" s="5" t="s">
        <v>4506</v>
      </c>
      <c r="C2265" s="6">
        <v>6000.0</v>
      </c>
      <c r="D2265" s="6">
        <v>3.586206897</v>
      </c>
      <c r="E2265" s="6">
        <v>29.0</v>
      </c>
    </row>
    <row r="2266">
      <c r="A2266" s="4" t="s">
        <v>4507</v>
      </c>
      <c r="B2266" s="5" t="s">
        <v>4508</v>
      </c>
      <c r="C2266" s="6">
        <v>6000.0</v>
      </c>
      <c r="D2266" s="9"/>
      <c r="E2266" s="9"/>
    </row>
    <row r="2267">
      <c r="A2267" s="4" t="s">
        <v>4509</v>
      </c>
      <c r="B2267" s="5" t="s">
        <v>4510</v>
      </c>
      <c r="C2267" s="6">
        <v>6000.0</v>
      </c>
      <c r="D2267" s="6">
        <v>2.337243402</v>
      </c>
      <c r="E2267" s="6">
        <v>341.0</v>
      </c>
    </row>
    <row r="2268">
      <c r="A2268" s="4" t="s">
        <v>4511</v>
      </c>
      <c r="B2268" s="5" t="s">
        <v>4512</v>
      </c>
      <c r="C2268" s="6">
        <v>6000.0</v>
      </c>
      <c r="D2268" s="6">
        <v>2.27826087</v>
      </c>
      <c r="E2268" s="6">
        <v>115.0</v>
      </c>
    </row>
    <row r="2269">
      <c r="A2269" s="4" t="s">
        <v>4513</v>
      </c>
      <c r="B2269" s="5" t="s">
        <v>4514</v>
      </c>
      <c r="C2269" s="6">
        <v>6000.0</v>
      </c>
      <c r="D2269" s="6">
        <v>3.909090909</v>
      </c>
      <c r="E2269" s="6">
        <v>11.0</v>
      </c>
    </row>
    <row r="2270">
      <c r="A2270" s="4" t="s">
        <v>4515</v>
      </c>
      <c r="B2270" s="5" t="s">
        <v>4516</v>
      </c>
      <c r="C2270" s="6">
        <v>6000.0</v>
      </c>
      <c r="D2270" s="6">
        <v>4.552631579</v>
      </c>
      <c r="E2270" s="6">
        <v>38.0</v>
      </c>
    </row>
    <row r="2271">
      <c r="A2271" s="4" t="s">
        <v>4517</v>
      </c>
      <c r="B2271" s="5" t="s">
        <v>4518</v>
      </c>
      <c r="C2271" s="6">
        <v>6000.0</v>
      </c>
      <c r="D2271" s="6">
        <v>4.318181818</v>
      </c>
      <c r="E2271" s="6">
        <v>22.0</v>
      </c>
    </row>
    <row r="2272">
      <c r="A2272" s="4" t="s">
        <v>4519</v>
      </c>
      <c r="B2272" s="5" t="s">
        <v>4520</v>
      </c>
      <c r="C2272" s="6">
        <v>6000.0</v>
      </c>
      <c r="D2272" s="6">
        <v>2.360655738</v>
      </c>
      <c r="E2272" s="6">
        <v>61.0</v>
      </c>
    </row>
    <row r="2273">
      <c r="A2273" s="4" t="s">
        <v>4521</v>
      </c>
      <c r="B2273" s="5" t="s">
        <v>4522</v>
      </c>
      <c r="C2273" s="6">
        <v>6000.0</v>
      </c>
      <c r="D2273" s="9"/>
      <c r="E2273" s="9"/>
    </row>
    <row r="2274">
      <c r="A2274" s="4" t="s">
        <v>4523</v>
      </c>
      <c r="B2274" s="5" t="s">
        <v>4524</v>
      </c>
      <c r="C2274" s="6">
        <v>6000.0</v>
      </c>
      <c r="D2274" s="6">
        <v>3.391304348</v>
      </c>
      <c r="E2274" s="6">
        <v>92.0</v>
      </c>
    </row>
    <row r="2275">
      <c r="A2275" s="4" t="s">
        <v>4525</v>
      </c>
      <c r="B2275" s="5" t="s">
        <v>4526</v>
      </c>
      <c r="C2275" s="6">
        <v>6000.0</v>
      </c>
      <c r="D2275" s="6">
        <v>2.555555556</v>
      </c>
      <c r="E2275" s="6">
        <v>27.0</v>
      </c>
    </row>
    <row r="2276">
      <c r="A2276" s="4" t="s">
        <v>4527</v>
      </c>
      <c r="B2276" s="5" t="s">
        <v>4528</v>
      </c>
      <c r="C2276" s="6">
        <v>6000.0</v>
      </c>
      <c r="D2276" s="6">
        <v>4.661654135</v>
      </c>
      <c r="E2276" s="6">
        <v>133.0</v>
      </c>
    </row>
    <row r="2277">
      <c r="A2277" s="4" t="s">
        <v>4529</v>
      </c>
      <c r="B2277" s="5" t="s">
        <v>4530</v>
      </c>
      <c r="C2277" s="6">
        <v>6000.0</v>
      </c>
      <c r="D2277" s="6">
        <v>3.666666667</v>
      </c>
      <c r="E2277" s="6">
        <v>15.0</v>
      </c>
    </row>
    <row r="2278">
      <c r="A2278" s="4" t="s">
        <v>4531</v>
      </c>
      <c r="B2278" s="5" t="s">
        <v>4532</v>
      </c>
      <c r="C2278" s="6">
        <v>6000.0</v>
      </c>
      <c r="D2278" s="6">
        <v>3.689393939</v>
      </c>
      <c r="E2278" s="6">
        <v>132.0</v>
      </c>
    </row>
    <row r="2279">
      <c r="A2279" s="4" t="s">
        <v>4533</v>
      </c>
      <c r="B2279" s="5" t="s">
        <v>4534</v>
      </c>
      <c r="C2279" s="6">
        <v>6000.0</v>
      </c>
      <c r="D2279" s="6">
        <v>4.413043478</v>
      </c>
      <c r="E2279" s="6">
        <v>46.0</v>
      </c>
    </row>
    <row r="2280">
      <c r="A2280" s="4" t="s">
        <v>4535</v>
      </c>
      <c r="B2280" s="5" t="s">
        <v>4536</v>
      </c>
      <c r="C2280" s="6">
        <v>6000.0</v>
      </c>
      <c r="D2280" s="6">
        <v>4.5625</v>
      </c>
      <c r="E2280" s="6">
        <v>16.0</v>
      </c>
    </row>
    <row r="2281">
      <c r="A2281" s="4" t="s">
        <v>4537</v>
      </c>
      <c r="B2281" s="5" t="s">
        <v>4538</v>
      </c>
      <c r="C2281" s="6">
        <v>6000.0</v>
      </c>
      <c r="D2281" s="6">
        <v>4.6</v>
      </c>
      <c r="E2281" s="6">
        <v>5.0</v>
      </c>
    </row>
    <row r="2282">
      <c r="A2282" s="4" t="s">
        <v>4539</v>
      </c>
      <c r="B2282" s="5" t="s">
        <v>4540</v>
      </c>
      <c r="C2282" s="6">
        <v>6000.0</v>
      </c>
      <c r="D2282" s="6">
        <v>4.4</v>
      </c>
      <c r="E2282" s="6">
        <v>5.0</v>
      </c>
    </row>
    <row r="2283">
      <c r="A2283" s="4" t="s">
        <v>4541</v>
      </c>
      <c r="B2283" s="5" t="s">
        <v>4542</v>
      </c>
      <c r="C2283" s="6">
        <v>6000.0</v>
      </c>
      <c r="D2283" s="6">
        <v>4.65625</v>
      </c>
      <c r="E2283" s="6">
        <v>64.0</v>
      </c>
    </row>
    <row r="2284">
      <c r="A2284" s="4" t="s">
        <v>4543</v>
      </c>
      <c r="B2284" s="5" t="s">
        <v>4544</v>
      </c>
      <c r="C2284" s="6">
        <v>6000.0</v>
      </c>
      <c r="D2284" s="6">
        <v>2.666666667</v>
      </c>
      <c r="E2284" s="6">
        <v>6.0</v>
      </c>
    </row>
    <row r="2285">
      <c r="A2285" s="4" t="s">
        <v>4545</v>
      </c>
      <c r="B2285" s="5" t="s">
        <v>4546</v>
      </c>
      <c r="C2285" s="6">
        <v>6000.0</v>
      </c>
      <c r="D2285" s="6">
        <v>3.737777778</v>
      </c>
      <c r="E2285" s="6">
        <v>225.0</v>
      </c>
    </row>
    <row r="2286">
      <c r="A2286" s="4" t="s">
        <v>4547</v>
      </c>
      <c r="B2286" s="5" t="s">
        <v>4548</v>
      </c>
      <c r="C2286" s="6">
        <v>6000.0</v>
      </c>
      <c r="D2286" s="6">
        <v>4.227848101</v>
      </c>
      <c r="E2286" s="6">
        <v>79.0</v>
      </c>
    </row>
    <row r="2287">
      <c r="A2287" s="4" t="s">
        <v>4549</v>
      </c>
      <c r="B2287" s="5" t="s">
        <v>4550</v>
      </c>
      <c r="C2287" s="6">
        <v>6000.0</v>
      </c>
      <c r="D2287" s="6">
        <v>3.769230769</v>
      </c>
      <c r="E2287" s="6">
        <v>13.0</v>
      </c>
    </row>
    <row r="2288">
      <c r="A2288" s="4" t="s">
        <v>4551</v>
      </c>
      <c r="B2288" s="5" t="s">
        <v>4552</v>
      </c>
      <c r="C2288" s="6">
        <v>6000.0</v>
      </c>
      <c r="D2288" s="6">
        <v>4.90625</v>
      </c>
      <c r="E2288" s="6">
        <v>32.0</v>
      </c>
    </row>
    <row r="2289">
      <c r="A2289" s="4" t="s">
        <v>4553</v>
      </c>
      <c r="B2289" s="5" t="s">
        <v>4554</v>
      </c>
      <c r="C2289" s="6">
        <v>6000.0</v>
      </c>
      <c r="D2289" s="6">
        <v>4.468852459</v>
      </c>
      <c r="E2289" s="6">
        <v>305.0</v>
      </c>
    </row>
    <row r="2290">
      <c r="A2290" s="4" t="s">
        <v>4555</v>
      </c>
      <c r="B2290" s="5" t="s">
        <v>4556</v>
      </c>
      <c r="C2290" s="6">
        <v>6000.0</v>
      </c>
      <c r="D2290" s="6">
        <v>5.0</v>
      </c>
      <c r="E2290" s="6">
        <v>14.0</v>
      </c>
    </row>
    <row r="2291">
      <c r="A2291" s="4" t="s">
        <v>4557</v>
      </c>
      <c r="B2291" s="5" t="s">
        <v>4558</v>
      </c>
      <c r="C2291" s="6">
        <v>6000.0</v>
      </c>
      <c r="D2291" s="6">
        <v>3.696551724</v>
      </c>
      <c r="E2291" s="6">
        <v>145.0</v>
      </c>
    </row>
    <row r="2292">
      <c r="A2292" s="4" t="s">
        <v>4559</v>
      </c>
      <c r="B2292" s="5" t="s">
        <v>4560</v>
      </c>
      <c r="C2292" s="6">
        <v>6000.0</v>
      </c>
      <c r="D2292" s="6">
        <v>3.5</v>
      </c>
      <c r="E2292" s="6">
        <v>8.0</v>
      </c>
    </row>
    <row r="2293">
      <c r="A2293" s="4" t="s">
        <v>227</v>
      </c>
      <c r="B2293" s="5" t="s">
        <v>4561</v>
      </c>
      <c r="C2293" s="6">
        <v>6000.0</v>
      </c>
      <c r="D2293" s="6">
        <v>5.0</v>
      </c>
      <c r="E2293" s="6">
        <v>4.0</v>
      </c>
    </row>
    <row r="2294">
      <c r="A2294" s="4" t="s">
        <v>4562</v>
      </c>
      <c r="B2294" s="5" t="s">
        <v>4563</v>
      </c>
      <c r="C2294" s="6">
        <v>6000.0</v>
      </c>
      <c r="D2294" s="6">
        <v>3.828571429</v>
      </c>
      <c r="E2294" s="6">
        <v>35.0</v>
      </c>
    </row>
    <row r="2295">
      <c r="A2295" s="4" t="s">
        <v>4564</v>
      </c>
      <c r="B2295" s="5" t="s">
        <v>4565</v>
      </c>
      <c r="C2295" s="6">
        <v>6000.0</v>
      </c>
      <c r="D2295" s="6">
        <v>4.414634146</v>
      </c>
      <c r="E2295" s="6">
        <v>41.0</v>
      </c>
    </row>
    <row r="2296">
      <c r="A2296" s="4" t="s">
        <v>4566</v>
      </c>
      <c r="B2296" s="5" t="s">
        <v>4567</v>
      </c>
      <c r="C2296" s="6">
        <v>6000.0</v>
      </c>
      <c r="D2296" s="6">
        <v>3.713235294</v>
      </c>
      <c r="E2296" s="6">
        <v>136.0</v>
      </c>
    </row>
    <row r="2297">
      <c r="A2297" s="4" t="s">
        <v>4568</v>
      </c>
      <c r="B2297" s="5" t="s">
        <v>4569</v>
      </c>
      <c r="C2297" s="6">
        <v>6000.0</v>
      </c>
      <c r="D2297" s="6">
        <v>5.0</v>
      </c>
      <c r="E2297" s="6">
        <v>12.0</v>
      </c>
    </row>
    <row r="2298">
      <c r="A2298" s="4" t="s">
        <v>4570</v>
      </c>
      <c r="B2298" s="5" t="s">
        <v>4571</v>
      </c>
      <c r="C2298" s="6">
        <v>6000.0</v>
      </c>
      <c r="D2298" s="6">
        <v>4.359375</v>
      </c>
      <c r="E2298" s="6">
        <v>64.0</v>
      </c>
    </row>
    <row r="2299">
      <c r="A2299" s="4" t="s">
        <v>4572</v>
      </c>
      <c r="B2299" s="5" t="s">
        <v>4573</v>
      </c>
      <c r="C2299" s="6">
        <v>6000.0</v>
      </c>
      <c r="D2299" s="6">
        <v>4.727272727</v>
      </c>
      <c r="E2299" s="6">
        <v>11.0</v>
      </c>
    </row>
    <row r="2300">
      <c r="A2300" s="4" t="s">
        <v>4574</v>
      </c>
      <c r="B2300" s="5" t="s">
        <v>4575</v>
      </c>
      <c r="C2300" s="6">
        <v>6000.0</v>
      </c>
      <c r="D2300" s="6">
        <v>4.238095238</v>
      </c>
      <c r="E2300" s="6">
        <v>63.0</v>
      </c>
    </row>
    <row r="2301">
      <c r="A2301" s="4" t="s">
        <v>4576</v>
      </c>
      <c r="B2301" s="5" t="s">
        <v>4577</v>
      </c>
      <c r="C2301" s="6">
        <v>6000.0</v>
      </c>
      <c r="D2301" s="6">
        <v>3.0</v>
      </c>
      <c r="E2301" s="6">
        <v>11.0</v>
      </c>
    </row>
    <row r="2302">
      <c r="A2302" s="4" t="s">
        <v>4578</v>
      </c>
      <c r="B2302" s="5" t="s">
        <v>4579</v>
      </c>
      <c r="C2302" s="6">
        <v>6000.0</v>
      </c>
      <c r="D2302" s="6">
        <v>3.225806452</v>
      </c>
      <c r="E2302" s="6">
        <v>31.0</v>
      </c>
    </row>
    <row r="2303">
      <c r="A2303" s="4" t="s">
        <v>4580</v>
      </c>
      <c r="B2303" s="5" t="s">
        <v>4581</v>
      </c>
      <c r="C2303" s="6">
        <v>6000.0</v>
      </c>
      <c r="D2303" s="6">
        <v>5.0</v>
      </c>
      <c r="E2303" s="6">
        <v>9.0</v>
      </c>
    </row>
    <row r="2304">
      <c r="A2304" s="4" t="s">
        <v>4582</v>
      </c>
      <c r="B2304" s="5" t="s">
        <v>4583</v>
      </c>
      <c r="C2304" s="6">
        <v>6000.0</v>
      </c>
      <c r="D2304" s="6">
        <v>5.0</v>
      </c>
      <c r="E2304" s="6">
        <v>1.0</v>
      </c>
    </row>
    <row r="2305">
      <c r="A2305" s="4" t="s">
        <v>4584</v>
      </c>
      <c r="B2305" s="5" t="s">
        <v>4585</v>
      </c>
      <c r="C2305" s="6">
        <v>6000.0</v>
      </c>
      <c r="D2305" s="6">
        <v>4.111111111</v>
      </c>
      <c r="E2305" s="6">
        <v>9.0</v>
      </c>
    </row>
    <row r="2306">
      <c r="A2306" s="4" t="s">
        <v>4586</v>
      </c>
      <c r="B2306" s="5" t="s">
        <v>4587</v>
      </c>
      <c r="C2306" s="6">
        <v>6000.0</v>
      </c>
      <c r="D2306" s="6">
        <v>4.162162162</v>
      </c>
      <c r="E2306" s="6">
        <v>37.0</v>
      </c>
    </row>
    <row r="2307">
      <c r="A2307" s="4" t="s">
        <v>4588</v>
      </c>
      <c r="B2307" s="5" t="s">
        <v>4589</v>
      </c>
      <c r="C2307" s="6">
        <v>6000.0</v>
      </c>
      <c r="D2307" s="6">
        <v>4.16</v>
      </c>
      <c r="E2307" s="6">
        <v>50.0</v>
      </c>
    </row>
    <row r="2308">
      <c r="A2308" s="4" t="s">
        <v>4590</v>
      </c>
      <c r="B2308" s="5" t="s">
        <v>4591</v>
      </c>
      <c r="C2308" s="6">
        <v>6000.0</v>
      </c>
      <c r="D2308" s="6">
        <v>2.920634921</v>
      </c>
      <c r="E2308" s="6">
        <v>63.0</v>
      </c>
    </row>
    <row r="2309">
      <c r="A2309" s="4" t="s">
        <v>4592</v>
      </c>
      <c r="B2309" s="5" t="s">
        <v>4593</v>
      </c>
      <c r="C2309" s="6">
        <v>6000.0</v>
      </c>
      <c r="D2309" s="6">
        <v>4.136363636</v>
      </c>
      <c r="E2309" s="6">
        <v>22.0</v>
      </c>
    </row>
    <row r="2310">
      <c r="A2310" s="4" t="s">
        <v>4594</v>
      </c>
      <c r="B2310" s="5" t="s">
        <v>4595</v>
      </c>
      <c r="C2310" s="6">
        <v>6000.0</v>
      </c>
      <c r="D2310" s="6">
        <v>4.384615385</v>
      </c>
      <c r="E2310" s="6">
        <v>13.0</v>
      </c>
    </row>
    <row r="2311">
      <c r="A2311" s="4" t="s">
        <v>4596</v>
      </c>
      <c r="B2311" s="5" t="s">
        <v>4597</v>
      </c>
      <c r="C2311" s="6">
        <v>6000.0</v>
      </c>
      <c r="D2311" s="6">
        <v>3.971910112</v>
      </c>
      <c r="E2311" s="6">
        <v>178.0</v>
      </c>
    </row>
    <row r="2312">
      <c r="A2312" s="4" t="s">
        <v>4598</v>
      </c>
      <c r="B2312" s="5" t="s">
        <v>4599</v>
      </c>
      <c r="C2312" s="6">
        <v>6000.0</v>
      </c>
      <c r="D2312" s="6">
        <v>3.72</v>
      </c>
      <c r="E2312" s="6">
        <v>50.0</v>
      </c>
    </row>
    <row r="2313">
      <c r="A2313" s="4" t="s">
        <v>4600</v>
      </c>
      <c r="B2313" s="5" t="s">
        <v>4601</v>
      </c>
      <c r="C2313" s="6">
        <v>6000.0</v>
      </c>
      <c r="D2313" s="6">
        <v>4.142857143</v>
      </c>
      <c r="E2313" s="6">
        <v>56.0</v>
      </c>
    </row>
    <row r="2314">
      <c r="A2314" s="4" t="s">
        <v>4602</v>
      </c>
      <c r="B2314" s="5" t="s">
        <v>4603</v>
      </c>
      <c r="C2314" s="6">
        <v>6000.0</v>
      </c>
      <c r="D2314" s="6">
        <v>4.52173913</v>
      </c>
      <c r="E2314" s="6">
        <v>23.0</v>
      </c>
    </row>
    <row r="2315">
      <c r="A2315" s="4" t="s">
        <v>4604</v>
      </c>
      <c r="B2315" s="5" t="s">
        <v>4605</v>
      </c>
      <c r="C2315" s="6">
        <v>6000.0</v>
      </c>
      <c r="D2315" s="6">
        <v>4.578947368</v>
      </c>
      <c r="E2315" s="6">
        <v>57.0</v>
      </c>
    </row>
    <row r="2316">
      <c r="A2316" s="4" t="s">
        <v>4606</v>
      </c>
      <c r="B2316" s="5" t="s">
        <v>4607</v>
      </c>
      <c r="C2316" s="6">
        <v>6000.0</v>
      </c>
      <c r="D2316" s="6">
        <v>3.844897959</v>
      </c>
      <c r="E2316" s="6">
        <v>245.0</v>
      </c>
    </row>
    <row r="2317">
      <c r="A2317" s="4" t="s">
        <v>4608</v>
      </c>
      <c r="B2317" s="5" t="s">
        <v>4609</v>
      </c>
      <c r="C2317" s="6">
        <v>6000.0</v>
      </c>
      <c r="D2317" s="6">
        <v>2.5</v>
      </c>
      <c r="E2317" s="6">
        <v>2.0</v>
      </c>
    </row>
    <row r="2318">
      <c r="A2318" s="4" t="s">
        <v>4610</v>
      </c>
      <c r="B2318" s="5" t="s">
        <v>4611</v>
      </c>
      <c r="C2318" s="6">
        <v>6000.0</v>
      </c>
      <c r="D2318" s="6">
        <v>4.8125</v>
      </c>
      <c r="E2318" s="6">
        <v>16.0</v>
      </c>
    </row>
    <row r="2319">
      <c r="A2319" s="4" t="s">
        <v>4612</v>
      </c>
      <c r="B2319" s="5" t="s">
        <v>4613</v>
      </c>
      <c r="C2319" s="6">
        <v>6000.0</v>
      </c>
      <c r="D2319" s="6">
        <v>3.105263158</v>
      </c>
      <c r="E2319" s="6">
        <v>38.0</v>
      </c>
    </row>
    <row r="2320">
      <c r="A2320" s="4" t="s">
        <v>4614</v>
      </c>
      <c r="B2320" s="5" t="s">
        <v>4615</v>
      </c>
      <c r="C2320" s="6">
        <v>6000.0</v>
      </c>
      <c r="D2320" s="6">
        <v>4.132352941</v>
      </c>
      <c r="E2320" s="6">
        <v>68.0</v>
      </c>
    </row>
    <row r="2321">
      <c r="A2321" s="4" t="s">
        <v>4616</v>
      </c>
      <c r="B2321" s="5" t="s">
        <v>4617</v>
      </c>
      <c r="C2321" s="6">
        <v>6000.0</v>
      </c>
      <c r="D2321" s="6">
        <v>3.486111111</v>
      </c>
      <c r="E2321" s="6">
        <v>72.0</v>
      </c>
    </row>
    <row r="2322">
      <c r="A2322" s="4" t="s">
        <v>4618</v>
      </c>
      <c r="B2322" s="5" t="s">
        <v>4619</v>
      </c>
      <c r="C2322" s="6">
        <v>6000.0</v>
      </c>
      <c r="D2322" s="6">
        <v>4.153846154</v>
      </c>
      <c r="E2322" s="6">
        <v>26.0</v>
      </c>
    </row>
    <row r="2323">
      <c r="A2323" s="4" t="s">
        <v>4620</v>
      </c>
      <c r="B2323" s="5" t="s">
        <v>4621</v>
      </c>
      <c r="C2323" s="6">
        <v>6000.0</v>
      </c>
      <c r="D2323" s="9"/>
      <c r="E2323" s="9"/>
    </row>
    <row r="2324">
      <c r="A2324" s="4" t="s">
        <v>4622</v>
      </c>
      <c r="B2324" s="5" t="s">
        <v>4623</v>
      </c>
      <c r="C2324" s="6">
        <v>6000.0</v>
      </c>
      <c r="D2324" s="6">
        <v>3.545454545</v>
      </c>
      <c r="E2324" s="6">
        <v>11.0</v>
      </c>
    </row>
    <row r="2325">
      <c r="A2325" s="4" t="s">
        <v>4624</v>
      </c>
      <c r="B2325" s="5" t="s">
        <v>4625</v>
      </c>
      <c r="C2325" s="6">
        <v>6000.0</v>
      </c>
      <c r="D2325" s="6">
        <v>4.125</v>
      </c>
      <c r="E2325" s="6">
        <v>8.0</v>
      </c>
    </row>
    <row r="2326">
      <c r="A2326" s="4" t="s">
        <v>4626</v>
      </c>
      <c r="B2326" s="5" t="s">
        <v>4627</v>
      </c>
      <c r="C2326" s="6">
        <v>6000.0</v>
      </c>
      <c r="D2326" s="6">
        <v>5.0</v>
      </c>
      <c r="E2326" s="6">
        <v>2.0</v>
      </c>
    </row>
    <row r="2327">
      <c r="A2327" s="4" t="s">
        <v>4628</v>
      </c>
      <c r="B2327" s="5" t="s">
        <v>4629</v>
      </c>
      <c r="C2327" s="6">
        <v>6000.0</v>
      </c>
      <c r="D2327" s="6">
        <v>3.285714286</v>
      </c>
      <c r="E2327" s="6">
        <v>7.0</v>
      </c>
    </row>
    <row r="2328">
      <c r="A2328" s="4" t="s">
        <v>4630</v>
      </c>
      <c r="B2328" s="5" t="s">
        <v>4631</v>
      </c>
      <c r="C2328" s="6">
        <v>6000.0</v>
      </c>
      <c r="D2328" s="6">
        <v>4.29787234</v>
      </c>
      <c r="E2328" s="6">
        <v>94.0</v>
      </c>
    </row>
    <row r="2329">
      <c r="A2329" s="4" t="s">
        <v>4632</v>
      </c>
      <c r="B2329" s="5" t="s">
        <v>4633</v>
      </c>
      <c r="C2329" s="6">
        <v>6000.0</v>
      </c>
      <c r="D2329" s="6">
        <v>4.185185185</v>
      </c>
      <c r="E2329" s="6">
        <v>27.0</v>
      </c>
    </row>
    <row r="2330">
      <c r="A2330" s="4" t="s">
        <v>4634</v>
      </c>
      <c r="B2330" s="5" t="s">
        <v>4635</v>
      </c>
      <c r="C2330" s="6">
        <v>6000.0</v>
      </c>
      <c r="D2330" s="6">
        <v>4.25698324</v>
      </c>
      <c r="E2330" s="6">
        <v>179.0</v>
      </c>
    </row>
    <row r="2331">
      <c r="A2331" s="4" t="s">
        <v>4636</v>
      </c>
      <c r="B2331" s="5" t="s">
        <v>4637</v>
      </c>
      <c r="C2331" s="6">
        <v>6000.0</v>
      </c>
      <c r="D2331" s="6">
        <v>4.0</v>
      </c>
      <c r="E2331" s="6">
        <v>11.0</v>
      </c>
    </row>
    <row r="2332">
      <c r="A2332" s="4" t="s">
        <v>4638</v>
      </c>
      <c r="B2332" s="5" t="s">
        <v>4639</v>
      </c>
      <c r="C2332" s="6">
        <v>6000.0</v>
      </c>
      <c r="D2332" s="9"/>
      <c r="E2332" s="9"/>
    </row>
    <row r="2333">
      <c r="A2333" s="4" t="s">
        <v>4640</v>
      </c>
      <c r="B2333" s="5" t="s">
        <v>4641</v>
      </c>
      <c r="C2333" s="6">
        <v>6000.0</v>
      </c>
      <c r="D2333" s="6">
        <v>4.152173913</v>
      </c>
      <c r="E2333" s="6">
        <v>46.0</v>
      </c>
    </row>
    <row r="2334">
      <c r="A2334" s="4" t="s">
        <v>4642</v>
      </c>
      <c r="B2334" s="5" t="s">
        <v>4643</v>
      </c>
      <c r="C2334" s="6">
        <v>6000.0</v>
      </c>
      <c r="D2334" s="6">
        <v>3.769736842</v>
      </c>
      <c r="E2334" s="6">
        <v>152.0</v>
      </c>
    </row>
    <row r="2335">
      <c r="A2335" s="4" t="s">
        <v>4644</v>
      </c>
      <c r="B2335" s="5" t="s">
        <v>4645</v>
      </c>
      <c r="C2335" s="6">
        <v>6000.0</v>
      </c>
      <c r="D2335" s="6">
        <v>4.159090909</v>
      </c>
      <c r="E2335" s="6">
        <v>44.0</v>
      </c>
    </row>
    <row r="2336">
      <c r="A2336" s="4" t="s">
        <v>4646</v>
      </c>
      <c r="B2336" s="5" t="s">
        <v>4647</v>
      </c>
      <c r="C2336" s="6">
        <v>6000.0</v>
      </c>
      <c r="D2336" s="6">
        <v>3.620689655</v>
      </c>
      <c r="E2336" s="6">
        <v>29.0</v>
      </c>
    </row>
    <row r="2337">
      <c r="A2337" s="4" t="s">
        <v>4648</v>
      </c>
      <c r="B2337" s="5" t="s">
        <v>4649</v>
      </c>
      <c r="C2337" s="6">
        <v>6000.0</v>
      </c>
      <c r="D2337" s="6">
        <v>5.0</v>
      </c>
      <c r="E2337" s="6">
        <v>1.0</v>
      </c>
    </row>
    <row r="2338">
      <c r="A2338" s="4" t="s">
        <v>4650</v>
      </c>
      <c r="B2338" s="5" t="s">
        <v>4651</v>
      </c>
      <c r="C2338" s="6">
        <v>6000.0</v>
      </c>
      <c r="D2338" s="6">
        <v>4.230769231</v>
      </c>
      <c r="E2338" s="6">
        <v>13.0</v>
      </c>
    </row>
    <row r="2339">
      <c r="A2339" s="4" t="s">
        <v>4652</v>
      </c>
      <c r="B2339" s="5" t="s">
        <v>4653</v>
      </c>
      <c r="C2339" s="6">
        <v>6000.0</v>
      </c>
      <c r="D2339" s="6">
        <v>4.919385797</v>
      </c>
      <c r="E2339" s="6">
        <v>521.0</v>
      </c>
    </row>
    <row r="2340">
      <c r="A2340" s="4" t="s">
        <v>4654</v>
      </c>
      <c r="B2340" s="5" t="s">
        <v>4655</v>
      </c>
      <c r="C2340" s="6">
        <v>6000.0</v>
      </c>
      <c r="D2340" s="6">
        <v>4.909090909</v>
      </c>
      <c r="E2340" s="6">
        <v>33.0</v>
      </c>
    </row>
    <row r="2341">
      <c r="A2341" s="4" t="s">
        <v>4656</v>
      </c>
      <c r="B2341" s="5" t="s">
        <v>4657</v>
      </c>
      <c r="C2341" s="6">
        <v>6000.0</v>
      </c>
      <c r="D2341" s="6">
        <v>3.923076923</v>
      </c>
      <c r="E2341" s="6">
        <v>13.0</v>
      </c>
    </row>
    <row r="2342">
      <c r="A2342" s="4" t="s">
        <v>4658</v>
      </c>
      <c r="B2342" s="5" t="s">
        <v>4659</v>
      </c>
      <c r="C2342" s="6">
        <v>6000.0</v>
      </c>
      <c r="D2342" s="6">
        <v>4.357142857</v>
      </c>
      <c r="E2342" s="6">
        <v>28.0</v>
      </c>
    </row>
    <row r="2343">
      <c r="A2343" s="4" t="s">
        <v>4660</v>
      </c>
      <c r="B2343" s="5" t="s">
        <v>4661</v>
      </c>
      <c r="C2343" s="6">
        <v>6000.0</v>
      </c>
      <c r="D2343" s="6">
        <v>4.184210526</v>
      </c>
      <c r="E2343" s="6">
        <v>38.0</v>
      </c>
    </row>
    <row r="2344">
      <c r="A2344" s="4" t="s">
        <v>4662</v>
      </c>
      <c r="B2344" s="5" t="s">
        <v>4663</v>
      </c>
      <c r="C2344" s="6">
        <v>6000.0</v>
      </c>
      <c r="D2344" s="6">
        <v>1.181818182</v>
      </c>
      <c r="E2344" s="6">
        <v>33.0</v>
      </c>
    </row>
    <row r="2345">
      <c r="A2345" s="4" t="s">
        <v>4664</v>
      </c>
      <c r="B2345" s="5" t="s">
        <v>4665</v>
      </c>
      <c r="C2345" s="6">
        <v>6000.0</v>
      </c>
      <c r="D2345" s="6">
        <v>3.369230769</v>
      </c>
      <c r="E2345" s="6">
        <v>65.0</v>
      </c>
    </row>
    <row r="2346">
      <c r="A2346" s="4" t="s">
        <v>4666</v>
      </c>
      <c r="B2346" s="5" t="s">
        <v>4667</v>
      </c>
      <c r="C2346" s="6">
        <v>6000.0</v>
      </c>
      <c r="D2346" s="6">
        <v>4.071428571</v>
      </c>
      <c r="E2346" s="6">
        <v>56.0</v>
      </c>
    </row>
    <row r="2347">
      <c r="A2347" s="4" t="s">
        <v>4668</v>
      </c>
      <c r="B2347" s="5" t="s">
        <v>4669</v>
      </c>
      <c r="C2347" s="6">
        <v>6000.0</v>
      </c>
      <c r="D2347" s="6">
        <v>3.619047619</v>
      </c>
      <c r="E2347" s="6">
        <v>21.0</v>
      </c>
    </row>
    <row r="2348">
      <c r="A2348" s="4" t="s">
        <v>4670</v>
      </c>
      <c r="B2348" s="5" t="s">
        <v>4671</v>
      </c>
      <c r="C2348" s="6">
        <v>6000.0</v>
      </c>
      <c r="D2348" s="6">
        <v>4.861111111</v>
      </c>
      <c r="E2348" s="6">
        <v>36.0</v>
      </c>
    </row>
    <row r="2349">
      <c r="A2349" s="4" t="s">
        <v>4672</v>
      </c>
      <c r="B2349" s="5" t="s">
        <v>4673</v>
      </c>
      <c r="C2349" s="6">
        <v>6000.0</v>
      </c>
      <c r="D2349" s="6">
        <v>4.170697013</v>
      </c>
      <c r="E2349" s="6">
        <v>703.0</v>
      </c>
    </row>
    <row r="2350">
      <c r="A2350" s="4" t="s">
        <v>4674</v>
      </c>
      <c r="B2350" s="5" t="s">
        <v>4675</v>
      </c>
      <c r="C2350" s="6">
        <v>6000.0</v>
      </c>
      <c r="D2350" s="6">
        <v>4.886363636</v>
      </c>
      <c r="E2350" s="6">
        <v>44.0</v>
      </c>
    </row>
    <row r="2351">
      <c r="A2351" s="4" t="s">
        <v>4676</v>
      </c>
      <c r="B2351" s="5" t="s">
        <v>4677</v>
      </c>
      <c r="C2351" s="6">
        <v>6000.0</v>
      </c>
      <c r="D2351" s="6">
        <v>3.857142857</v>
      </c>
      <c r="E2351" s="6">
        <v>7.0</v>
      </c>
    </row>
    <row r="2352">
      <c r="A2352" s="4" t="s">
        <v>4678</v>
      </c>
      <c r="B2352" s="5" t="s">
        <v>4679</v>
      </c>
      <c r="C2352" s="6">
        <v>6000.0</v>
      </c>
      <c r="D2352" s="6">
        <v>3.666666667</v>
      </c>
      <c r="E2352" s="6">
        <v>6.0</v>
      </c>
    </row>
    <row r="2353">
      <c r="A2353" s="4" t="s">
        <v>4680</v>
      </c>
      <c r="B2353" s="5" t="s">
        <v>4681</v>
      </c>
      <c r="C2353" s="6">
        <v>6000.0</v>
      </c>
      <c r="D2353" s="6">
        <v>4.266055046</v>
      </c>
      <c r="E2353" s="6">
        <v>109.0</v>
      </c>
    </row>
    <row r="2354">
      <c r="A2354" s="4" t="s">
        <v>4682</v>
      </c>
      <c r="B2354" s="5" t="s">
        <v>4683</v>
      </c>
      <c r="C2354" s="6">
        <v>6000.0</v>
      </c>
      <c r="D2354" s="9"/>
      <c r="E2354" s="9"/>
    </row>
    <row r="2355">
      <c r="A2355" s="4" t="s">
        <v>4684</v>
      </c>
      <c r="B2355" s="5" t="s">
        <v>4685</v>
      </c>
      <c r="C2355" s="6">
        <v>6000.0</v>
      </c>
      <c r="D2355" s="6">
        <v>4.85443038</v>
      </c>
      <c r="E2355" s="6">
        <v>316.0</v>
      </c>
    </row>
    <row r="2356">
      <c r="A2356" s="4" t="s">
        <v>4686</v>
      </c>
      <c r="B2356" s="5" t="s">
        <v>4687</v>
      </c>
      <c r="C2356" s="6">
        <v>6000.0</v>
      </c>
      <c r="D2356" s="9"/>
      <c r="E2356" s="9"/>
    </row>
    <row r="2357">
      <c r="A2357" s="4" t="s">
        <v>4688</v>
      </c>
      <c r="B2357" s="5" t="s">
        <v>4689</v>
      </c>
      <c r="C2357" s="6">
        <v>6000.0</v>
      </c>
      <c r="D2357" s="6">
        <v>4.6</v>
      </c>
      <c r="E2357" s="6">
        <v>30.0</v>
      </c>
    </row>
    <row r="2358">
      <c r="A2358" s="4" t="s">
        <v>4690</v>
      </c>
      <c r="B2358" s="5" t="s">
        <v>4691</v>
      </c>
      <c r="C2358" s="6">
        <v>6000.0</v>
      </c>
      <c r="D2358" s="6">
        <v>3.956521739</v>
      </c>
      <c r="E2358" s="6">
        <v>46.0</v>
      </c>
    </row>
    <row r="2359">
      <c r="A2359" s="4" t="s">
        <v>4692</v>
      </c>
      <c r="B2359" s="5" t="s">
        <v>4693</v>
      </c>
      <c r="C2359" s="6">
        <v>6000.0</v>
      </c>
      <c r="D2359" s="6">
        <v>2.142857143</v>
      </c>
      <c r="E2359" s="6">
        <v>21.0</v>
      </c>
    </row>
    <row r="2360">
      <c r="A2360" s="4" t="s">
        <v>4694</v>
      </c>
      <c r="B2360" s="5" t="s">
        <v>4695</v>
      </c>
      <c r="C2360" s="6">
        <v>6000.0</v>
      </c>
      <c r="D2360" s="6">
        <v>4.326732673</v>
      </c>
      <c r="E2360" s="6">
        <v>101.0</v>
      </c>
    </row>
    <row r="2361">
      <c r="A2361" s="4" t="s">
        <v>4696</v>
      </c>
      <c r="B2361" s="5" t="s">
        <v>4697</v>
      </c>
      <c r="C2361" s="6">
        <v>6000.0</v>
      </c>
      <c r="D2361" s="6">
        <v>2.75</v>
      </c>
      <c r="E2361" s="6">
        <v>20.0</v>
      </c>
    </row>
    <row r="2362">
      <c r="A2362" s="4" t="s">
        <v>4698</v>
      </c>
      <c r="B2362" s="5" t="s">
        <v>4699</v>
      </c>
      <c r="C2362" s="6">
        <v>6000.0</v>
      </c>
      <c r="D2362" s="6">
        <v>2.368421053</v>
      </c>
      <c r="E2362" s="6">
        <v>19.0</v>
      </c>
    </row>
    <row r="2363">
      <c r="A2363" s="4" t="s">
        <v>4700</v>
      </c>
      <c r="B2363" s="5" t="s">
        <v>4701</v>
      </c>
      <c r="C2363" s="6">
        <v>6000.0</v>
      </c>
      <c r="D2363" s="6">
        <v>3.659793814</v>
      </c>
      <c r="E2363" s="6">
        <v>97.0</v>
      </c>
    </row>
    <row r="2364">
      <c r="A2364" s="4" t="s">
        <v>4702</v>
      </c>
      <c r="B2364" s="5" t="s">
        <v>4703</v>
      </c>
      <c r="C2364" s="6">
        <v>6000.0</v>
      </c>
      <c r="D2364" s="6">
        <v>4.515151515</v>
      </c>
      <c r="E2364" s="6">
        <v>33.0</v>
      </c>
    </row>
    <row r="2365">
      <c r="A2365" s="4" t="s">
        <v>4704</v>
      </c>
      <c r="B2365" s="5" t="s">
        <v>4705</v>
      </c>
      <c r="C2365" s="6">
        <v>6000.0</v>
      </c>
      <c r="D2365" s="6">
        <v>4.676470588</v>
      </c>
      <c r="E2365" s="6">
        <v>34.0</v>
      </c>
    </row>
    <row r="2366">
      <c r="A2366" s="4" t="s">
        <v>4706</v>
      </c>
      <c r="B2366" s="5" t="s">
        <v>4707</v>
      </c>
      <c r="C2366" s="6">
        <v>6000.0</v>
      </c>
      <c r="D2366" s="6">
        <v>4.236842105</v>
      </c>
      <c r="E2366" s="6">
        <v>38.0</v>
      </c>
    </row>
    <row r="2367">
      <c r="A2367" s="4" t="s">
        <v>4708</v>
      </c>
      <c r="B2367" s="5" t="s">
        <v>4709</v>
      </c>
      <c r="C2367" s="6">
        <v>6000.0</v>
      </c>
      <c r="D2367" s="6">
        <v>2.861111111</v>
      </c>
      <c r="E2367" s="6">
        <v>36.0</v>
      </c>
    </row>
    <row r="2368">
      <c r="A2368" s="4" t="s">
        <v>4710</v>
      </c>
      <c r="B2368" s="5" t="s">
        <v>4711</v>
      </c>
      <c r="C2368" s="6">
        <v>6000.0</v>
      </c>
      <c r="D2368" s="6">
        <v>3.275862069</v>
      </c>
      <c r="E2368" s="6">
        <v>58.0</v>
      </c>
    </row>
    <row r="2369">
      <c r="A2369" s="4" t="s">
        <v>4712</v>
      </c>
      <c r="B2369" s="5" t="s">
        <v>4713</v>
      </c>
      <c r="C2369" s="6">
        <v>6000.0</v>
      </c>
      <c r="D2369" s="6">
        <v>3.666666667</v>
      </c>
      <c r="E2369" s="6">
        <v>9.0</v>
      </c>
    </row>
    <row r="2370">
      <c r="A2370" s="4" t="s">
        <v>4714</v>
      </c>
      <c r="B2370" s="5" t="s">
        <v>4715</v>
      </c>
      <c r="C2370" s="6">
        <v>6000.0</v>
      </c>
      <c r="D2370" s="6">
        <v>4.457912458</v>
      </c>
      <c r="E2370" s="6">
        <v>594.0</v>
      </c>
    </row>
    <row r="2371">
      <c r="A2371" s="4" t="s">
        <v>4716</v>
      </c>
      <c r="B2371" s="5" t="s">
        <v>4717</v>
      </c>
      <c r="C2371" s="6">
        <v>6000.0</v>
      </c>
      <c r="D2371" s="6">
        <v>4.353535354</v>
      </c>
      <c r="E2371" s="6">
        <v>99.0</v>
      </c>
    </row>
    <row r="2372">
      <c r="A2372" s="4" t="s">
        <v>4718</v>
      </c>
      <c r="B2372" s="5" t="s">
        <v>4719</v>
      </c>
      <c r="C2372" s="6">
        <v>6000.0</v>
      </c>
      <c r="D2372" s="6">
        <v>4.0</v>
      </c>
      <c r="E2372" s="6">
        <v>39.0</v>
      </c>
    </row>
    <row r="2373">
      <c r="A2373" s="4" t="s">
        <v>4720</v>
      </c>
      <c r="B2373" s="5" t="s">
        <v>4721</v>
      </c>
      <c r="C2373" s="6">
        <v>6000.0</v>
      </c>
      <c r="D2373" s="6">
        <v>4.870481928</v>
      </c>
      <c r="E2373" s="6">
        <v>664.0</v>
      </c>
    </row>
    <row r="2374">
      <c r="A2374" s="4" t="s">
        <v>4722</v>
      </c>
      <c r="B2374" s="5" t="s">
        <v>4723</v>
      </c>
      <c r="C2374" s="6">
        <v>6000.0</v>
      </c>
      <c r="D2374" s="6">
        <v>3.963414634</v>
      </c>
      <c r="E2374" s="6">
        <v>164.0</v>
      </c>
    </row>
    <row r="2375">
      <c r="A2375" s="4" t="s">
        <v>4724</v>
      </c>
      <c r="B2375" s="5" t="s">
        <v>4725</v>
      </c>
      <c r="C2375" s="6">
        <v>6000.0</v>
      </c>
      <c r="D2375" s="6">
        <v>4.539325843</v>
      </c>
      <c r="E2375" s="6">
        <v>89.0</v>
      </c>
    </row>
    <row r="2376">
      <c r="A2376" s="4" t="s">
        <v>4726</v>
      </c>
      <c r="B2376" s="5" t="s">
        <v>4727</v>
      </c>
      <c r="C2376" s="6">
        <v>6000.0</v>
      </c>
      <c r="D2376" s="6">
        <v>4.543046358</v>
      </c>
      <c r="E2376" s="6">
        <v>302.0</v>
      </c>
    </row>
    <row r="2377">
      <c r="A2377" s="4" t="s">
        <v>4728</v>
      </c>
      <c r="B2377" s="5" t="s">
        <v>4729</v>
      </c>
      <c r="C2377" s="6">
        <v>6000.0</v>
      </c>
      <c r="D2377" s="6">
        <v>4.5</v>
      </c>
      <c r="E2377" s="6">
        <v>54.0</v>
      </c>
    </row>
    <row r="2378">
      <c r="A2378" s="4" t="s">
        <v>4730</v>
      </c>
      <c r="B2378" s="5" t="s">
        <v>4731</v>
      </c>
      <c r="C2378" s="6">
        <v>6000.0</v>
      </c>
      <c r="D2378" s="6">
        <v>4.875</v>
      </c>
      <c r="E2378" s="6">
        <v>8.0</v>
      </c>
    </row>
    <row r="2379">
      <c r="A2379" s="4" t="s">
        <v>4732</v>
      </c>
      <c r="B2379" s="5" t="s">
        <v>4733</v>
      </c>
      <c r="C2379" s="6">
        <v>6000.0</v>
      </c>
      <c r="D2379" s="6">
        <v>3.933333333</v>
      </c>
      <c r="E2379" s="6">
        <v>15.0</v>
      </c>
    </row>
    <row r="2380">
      <c r="A2380" s="4" t="s">
        <v>4734</v>
      </c>
      <c r="B2380" s="5" t="s">
        <v>4735</v>
      </c>
      <c r="C2380" s="6">
        <v>6000.0</v>
      </c>
      <c r="D2380" s="6">
        <v>3.675675676</v>
      </c>
      <c r="E2380" s="6">
        <v>37.0</v>
      </c>
    </row>
    <row r="2381">
      <c r="A2381" s="4" t="s">
        <v>4736</v>
      </c>
      <c r="B2381" s="5" t="s">
        <v>4737</v>
      </c>
      <c r="C2381" s="6">
        <v>6000.0</v>
      </c>
      <c r="D2381" s="6">
        <v>4.833333333</v>
      </c>
      <c r="E2381" s="6">
        <v>6.0</v>
      </c>
    </row>
    <row r="2382">
      <c r="A2382" s="4" t="s">
        <v>4738</v>
      </c>
      <c r="B2382" s="5" t="s">
        <v>4739</v>
      </c>
      <c r="C2382" s="6">
        <v>6000.0</v>
      </c>
      <c r="D2382" s="6">
        <v>4.188405797</v>
      </c>
      <c r="E2382" s="6">
        <v>69.0</v>
      </c>
    </row>
    <row r="2383">
      <c r="A2383" s="4" t="s">
        <v>4740</v>
      </c>
      <c r="B2383" s="5" t="s">
        <v>4741</v>
      </c>
      <c r="C2383" s="6">
        <v>6000.0</v>
      </c>
      <c r="D2383" s="6">
        <v>3.677966102</v>
      </c>
      <c r="E2383" s="6">
        <v>59.0</v>
      </c>
    </row>
    <row r="2384">
      <c r="A2384" s="4" t="s">
        <v>4742</v>
      </c>
      <c r="B2384" s="5" t="s">
        <v>4743</v>
      </c>
      <c r="C2384" s="6">
        <v>6000.0</v>
      </c>
      <c r="D2384" s="9"/>
      <c r="E2384" s="9"/>
    </row>
    <row r="2385">
      <c r="A2385" s="4" t="s">
        <v>4744</v>
      </c>
      <c r="B2385" s="5" t="s">
        <v>4745</v>
      </c>
      <c r="C2385" s="6">
        <v>6000.0</v>
      </c>
      <c r="D2385" s="6">
        <v>4.444444444</v>
      </c>
      <c r="E2385" s="6">
        <v>9.0</v>
      </c>
    </row>
    <row r="2386">
      <c r="A2386" s="4" t="s">
        <v>4746</v>
      </c>
      <c r="B2386" s="5" t="s">
        <v>4747</v>
      </c>
      <c r="C2386" s="6">
        <v>6000.0</v>
      </c>
      <c r="D2386" s="6">
        <v>2.9375</v>
      </c>
      <c r="E2386" s="6">
        <v>32.0</v>
      </c>
    </row>
    <row r="2387">
      <c r="A2387" s="4" t="s">
        <v>4748</v>
      </c>
      <c r="B2387" s="5" t="s">
        <v>4749</v>
      </c>
      <c r="C2387" s="6">
        <v>6000.0</v>
      </c>
      <c r="D2387" s="6">
        <v>4.745762712</v>
      </c>
      <c r="E2387" s="6">
        <v>59.0</v>
      </c>
    </row>
    <row r="2388">
      <c r="A2388" s="4" t="s">
        <v>4750</v>
      </c>
      <c r="B2388" s="5" t="s">
        <v>4751</v>
      </c>
      <c r="C2388" s="6">
        <v>6000.0</v>
      </c>
      <c r="D2388" s="6">
        <v>4.153846154</v>
      </c>
      <c r="E2388" s="6">
        <v>52.0</v>
      </c>
    </row>
    <row r="2389">
      <c r="A2389" s="4" t="s">
        <v>4752</v>
      </c>
      <c r="B2389" s="5" t="s">
        <v>4753</v>
      </c>
      <c r="C2389" s="6">
        <v>6000.0</v>
      </c>
      <c r="D2389" s="6">
        <v>4.790123457</v>
      </c>
      <c r="E2389" s="6">
        <v>81.0</v>
      </c>
    </row>
    <row r="2390">
      <c r="A2390" s="4" t="s">
        <v>4754</v>
      </c>
      <c r="B2390" s="5" t="s">
        <v>4755</v>
      </c>
      <c r="C2390" s="6">
        <v>6000.0</v>
      </c>
      <c r="D2390" s="6">
        <v>4.35</v>
      </c>
      <c r="E2390" s="6">
        <v>20.0</v>
      </c>
    </row>
    <row r="2391">
      <c r="A2391" s="4" t="s">
        <v>4756</v>
      </c>
      <c r="B2391" s="5" t="s">
        <v>4757</v>
      </c>
      <c r="C2391" s="6">
        <v>6000.0</v>
      </c>
      <c r="D2391" s="6">
        <v>3.538461538</v>
      </c>
      <c r="E2391" s="6">
        <v>13.0</v>
      </c>
    </row>
    <row r="2392">
      <c r="A2392" s="4" t="s">
        <v>4758</v>
      </c>
      <c r="B2392" s="5" t="s">
        <v>4759</v>
      </c>
      <c r="C2392" s="6">
        <v>6000.0</v>
      </c>
      <c r="D2392" s="6">
        <v>5.0</v>
      </c>
      <c r="E2392" s="6">
        <v>2.0</v>
      </c>
    </row>
    <row r="2393">
      <c r="A2393" s="4" t="s">
        <v>4760</v>
      </c>
      <c r="B2393" s="5" t="s">
        <v>4761</v>
      </c>
      <c r="C2393" s="6">
        <v>6000.0</v>
      </c>
      <c r="D2393" s="6">
        <v>4.307692308</v>
      </c>
      <c r="E2393" s="6">
        <v>39.0</v>
      </c>
    </row>
    <row r="2394">
      <c r="A2394" s="4" t="s">
        <v>4762</v>
      </c>
      <c r="B2394" s="5" t="s">
        <v>4763</v>
      </c>
      <c r="C2394" s="6">
        <v>6000.0</v>
      </c>
      <c r="D2394" s="6">
        <v>5.0</v>
      </c>
      <c r="E2394" s="6">
        <v>6.0</v>
      </c>
    </row>
    <row r="2395">
      <c r="A2395" s="4" t="s">
        <v>4764</v>
      </c>
      <c r="B2395" s="5" t="s">
        <v>4765</v>
      </c>
      <c r="C2395" s="6">
        <v>6000.0</v>
      </c>
      <c r="D2395" s="6">
        <v>3.692307692</v>
      </c>
      <c r="E2395" s="6">
        <v>52.0</v>
      </c>
    </row>
    <row r="2396">
      <c r="A2396" s="4" t="s">
        <v>4766</v>
      </c>
      <c r="B2396" s="5" t="s">
        <v>4767</v>
      </c>
      <c r="C2396" s="6">
        <v>6000.0</v>
      </c>
      <c r="D2396" s="6">
        <v>5.0</v>
      </c>
      <c r="E2396" s="6">
        <v>2.0</v>
      </c>
    </row>
    <row r="2397">
      <c r="A2397" s="4" t="s">
        <v>4768</v>
      </c>
      <c r="B2397" s="5" t="s">
        <v>4769</v>
      </c>
      <c r="C2397" s="6">
        <v>6000.0</v>
      </c>
      <c r="D2397" s="6">
        <v>2.5</v>
      </c>
      <c r="E2397" s="6">
        <v>8.0</v>
      </c>
    </row>
    <row r="2398">
      <c r="A2398" s="4" t="s">
        <v>4770</v>
      </c>
      <c r="B2398" s="5" t="s">
        <v>4771</v>
      </c>
      <c r="C2398" s="6">
        <v>6000.0</v>
      </c>
      <c r="D2398" s="6">
        <v>4.862068966</v>
      </c>
      <c r="E2398" s="6">
        <v>58.0</v>
      </c>
    </row>
    <row r="2399">
      <c r="A2399" s="4" t="s">
        <v>4772</v>
      </c>
      <c r="B2399" s="5" t="s">
        <v>4773</v>
      </c>
      <c r="C2399" s="6">
        <v>6000.0</v>
      </c>
      <c r="D2399" s="6">
        <v>4.326086957</v>
      </c>
      <c r="E2399" s="6">
        <v>138.0</v>
      </c>
    </row>
    <row r="2400">
      <c r="A2400" s="4" t="s">
        <v>4774</v>
      </c>
      <c r="B2400" s="5" t="s">
        <v>4775</v>
      </c>
      <c r="C2400" s="6">
        <v>6000.0</v>
      </c>
      <c r="D2400" s="6">
        <v>4.285714286</v>
      </c>
      <c r="E2400" s="6">
        <v>7.0</v>
      </c>
    </row>
    <row r="2401">
      <c r="A2401" s="4" t="s">
        <v>4776</v>
      </c>
      <c r="B2401" s="5" t="s">
        <v>4777</v>
      </c>
      <c r="C2401" s="6">
        <v>6000.0</v>
      </c>
      <c r="D2401" s="6">
        <v>4.684210526</v>
      </c>
      <c r="E2401" s="6">
        <v>38.0</v>
      </c>
    </row>
    <row r="2402">
      <c r="A2402" s="4" t="s">
        <v>4778</v>
      </c>
      <c r="B2402" s="5" t="s">
        <v>4779</v>
      </c>
      <c r="C2402" s="6">
        <v>6000.0</v>
      </c>
      <c r="D2402" s="6">
        <v>4.75</v>
      </c>
      <c r="E2402" s="6">
        <v>8.0</v>
      </c>
    </row>
    <row r="2403">
      <c r="A2403" s="4" t="s">
        <v>4780</v>
      </c>
      <c r="B2403" s="5" t="s">
        <v>4781</v>
      </c>
      <c r="C2403" s="6">
        <v>6000.0</v>
      </c>
      <c r="D2403" s="6">
        <v>4.636363636</v>
      </c>
      <c r="E2403" s="6">
        <v>11.0</v>
      </c>
    </row>
    <row r="2404">
      <c r="A2404" s="4" t="s">
        <v>4782</v>
      </c>
      <c r="B2404" s="5" t="s">
        <v>4783</v>
      </c>
      <c r="C2404" s="6">
        <v>6000.0</v>
      </c>
      <c r="D2404" s="6">
        <v>5.0</v>
      </c>
      <c r="E2404" s="6">
        <v>91.0</v>
      </c>
    </row>
    <row r="2405">
      <c r="A2405" s="4" t="s">
        <v>4784</v>
      </c>
      <c r="B2405" s="5" t="s">
        <v>4785</v>
      </c>
      <c r="C2405" s="6">
        <v>6000.0</v>
      </c>
      <c r="D2405" s="6">
        <v>3.452380952</v>
      </c>
      <c r="E2405" s="6">
        <v>42.0</v>
      </c>
    </row>
    <row r="2406">
      <c r="A2406" s="4" t="s">
        <v>4786</v>
      </c>
      <c r="B2406" s="5" t="s">
        <v>4787</v>
      </c>
      <c r="C2406" s="6">
        <v>6000.0</v>
      </c>
      <c r="D2406" s="6">
        <v>4.283333333</v>
      </c>
      <c r="E2406" s="6">
        <v>120.0</v>
      </c>
    </row>
    <row r="2407">
      <c r="A2407" s="4" t="s">
        <v>4788</v>
      </c>
      <c r="B2407" s="5" t="s">
        <v>4789</v>
      </c>
      <c r="C2407" s="6">
        <v>6000.0</v>
      </c>
      <c r="D2407" s="6">
        <v>3.895522388</v>
      </c>
      <c r="E2407" s="6">
        <v>67.0</v>
      </c>
    </row>
    <row r="2408">
      <c r="A2408" s="4" t="s">
        <v>4790</v>
      </c>
      <c r="B2408" s="5" t="s">
        <v>4791</v>
      </c>
      <c r="C2408" s="6">
        <v>6000.0</v>
      </c>
      <c r="D2408" s="6">
        <v>3.716666667</v>
      </c>
      <c r="E2408" s="6">
        <v>60.0</v>
      </c>
    </row>
    <row r="2409">
      <c r="A2409" s="4" t="s">
        <v>4792</v>
      </c>
      <c r="B2409" s="5" t="s">
        <v>4793</v>
      </c>
      <c r="C2409" s="6">
        <v>6000.0</v>
      </c>
      <c r="D2409" s="6">
        <v>3.448275862</v>
      </c>
      <c r="E2409" s="6">
        <v>29.0</v>
      </c>
    </row>
    <row r="2410">
      <c r="A2410" s="4" t="s">
        <v>4794</v>
      </c>
      <c r="B2410" s="5" t="s">
        <v>4795</v>
      </c>
      <c r="C2410" s="6">
        <v>6000.0</v>
      </c>
      <c r="D2410" s="9"/>
      <c r="E2410" s="9"/>
    </row>
    <row r="2411">
      <c r="A2411" s="10" t="s">
        <v>4796</v>
      </c>
      <c r="B2411" s="5" t="s">
        <v>4797</v>
      </c>
      <c r="C2411" s="6">
        <v>6000.0</v>
      </c>
      <c r="D2411" s="6">
        <v>4.292682927</v>
      </c>
      <c r="E2411" s="6">
        <v>41.0</v>
      </c>
    </row>
    <row r="2412">
      <c r="A2412" s="4" t="s">
        <v>4798</v>
      </c>
      <c r="B2412" s="5" t="s">
        <v>4799</v>
      </c>
      <c r="C2412" s="6">
        <v>6000.0</v>
      </c>
      <c r="D2412" s="6">
        <v>3.820512821</v>
      </c>
      <c r="E2412" s="6">
        <v>39.0</v>
      </c>
    </row>
    <row r="2413">
      <c r="A2413" s="4" t="s">
        <v>4800</v>
      </c>
      <c r="B2413" s="5" t="s">
        <v>4801</v>
      </c>
      <c r="C2413" s="6">
        <v>6000.0</v>
      </c>
      <c r="D2413" s="6">
        <v>5.0</v>
      </c>
      <c r="E2413" s="6">
        <v>1.0</v>
      </c>
    </row>
    <row r="2414">
      <c r="A2414" s="4" t="s">
        <v>4802</v>
      </c>
      <c r="B2414" s="5" t="s">
        <v>4803</v>
      </c>
      <c r="C2414" s="6">
        <v>6000.0</v>
      </c>
      <c r="D2414" s="6">
        <v>4.5</v>
      </c>
      <c r="E2414" s="6">
        <v>4.0</v>
      </c>
    </row>
    <row r="2415">
      <c r="A2415" s="4" t="s">
        <v>4804</v>
      </c>
      <c r="B2415" s="5" t="s">
        <v>4805</v>
      </c>
      <c r="C2415" s="6">
        <v>6000.0</v>
      </c>
      <c r="D2415" s="6">
        <v>4.032258065</v>
      </c>
      <c r="E2415" s="6">
        <v>31.0</v>
      </c>
    </row>
    <row r="2416">
      <c r="A2416" s="4" t="s">
        <v>4806</v>
      </c>
      <c r="B2416" s="5" t="s">
        <v>4807</v>
      </c>
      <c r="C2416" s="6">
        <v>6000.0</v>
      </c>
      <c r="D2416" s="6">
        <v>2.944444444</v>
      </c>
      <c r="E2416" s="6">
        <v>54.0</v>
      </c>
    </row>
    <row r="2417">
      <c r="A2417" s="4" t="s">
        <v>4808</v>
      </c>
      <c r="B2417" s="5" t="s">
        <v>4809</v>
      </c>
      <c r="C2417" s="6">
        <v>6000.0</v>
      </c>
      <c r="D2417" s="6">
        <v>4.402439024</v>
      </c>
      <c r="E2417" s="6">
        <v>82.0</v>
      </c>
    </row>
    <row r="2418">
      <c r="A2418" s="4" t="s">
        <v>4810</v>
      </c>
      <c r="B2418" s="5" t="s">
        <v>4811</v>
      </c>
      <c r="C2418" s="6">
        <v>6000.0</v>
      </c>
      <c r="D2418" s="6">
        <v>4.31147541</v>
      </c>
      <c r="E2418" s="6">
        <v>61.0</v>
      </c>
    </row>
    <row r="2419">
      <c r="A2419" s="4" t="s">
        <v>4812</v>
      </c>
      <c r="B2419" s="5" t="s">
        <v>4813</v>
      </c>
      <c r="C2419" s="6">
        <v>6000.0</v>
      </c>
      <c r="D2419" s="6">
        <v>3.350877193</v>
      </c>
      <c r="E2419" s="6">
        <v>57.0</v>
      </c>
    </row>
    <row r="2420">
      <c r="A2420" s="4" t="s">
        <v>4814</v>
      </c>
      <c r="B2420" s="5" t="s">
        <v>4815</v>
      </c>
      <c r="C2420" s="6">
        <v>6000.0</v>
      </c>
      <c r="D2420" s="9"/>
      <c r="E2420" s="9"/>
    </row>
    <row r="2421">
      <c r="A2421" s="4" t="s">
        <v>4816</v>
      </c>
      <c r="B2421" s="5" t="s">
        <v>4817</v>
      </c>
      <c r="C2421" s="6">
        <v>6000.0</v>
      </c>
      <c r="D2421" s="6">
        <v>5.0</v>
      </c>
      <c r="E2421" s="6">
        <v>2.0</v>
      </c>
    </row>
    <row r="2422">
      <c r="A2422" s="4" t="s">
        <v>4818</v>
      </c>
      <c r="B2422" s="5" t="s">
        <v>4819</v>
      </c>
      <c r="C2422" s="6">
        <v>6000.0</v>
      </c>
      <c r="D2422" s="6">
        <v>4.204545455</v>
      </c>
      <c r="E2422" s="6">
        <v>44.0</v>
      </c>
    </row>
    <row r="2423">
      <c r="A2423" s="4" t="s">
        <v>4820</v>
      </c>
      <c r="B2423" s="5" t="s">
        <v>4821</v>
      </c>
      <c r="C2423" s="6">
        <v>6000.0</v>
      </c>
      <c r="D2423" s="6">
        <v>4.3</v>
      </c>
      <c r="E2423" s="6">
        <v>30.0</v>
      </c>
    </row>
    <row r="2424">
      <c r="A2424" s="4" t="s">
        <v>4822</v>
      </c>
      <c r="B2424" s="5" t="s">
        <v>4823</v>
      </c>
      <c r="C2424" s="6">
        <v>6000.0</v>
      </c>
      <c r="D2424" s="6">
        <v>3.368421053</v>
      </c>
      <c r="E2424" s="6">
        <v>19.0</v>
      </c>
    </row>
    <row r="2425">
      <c r="A2425" s="4" t="s">
        <v>4824</v>
      </c>
      <c r="B2425" s="5" t="s">
        <v>4825</v>
      </c>
      <c r="C2425" s="6">
        <v>6000.0</v>
      </c>
      <c r="D2425" s="6">
        <v>4.066666667</v>
      </c>
      <c r="E2425" s="6">
        <v>15.0</v>
      </c>
    </row>
    <row r="2426">
      <c r="A2426" s="4" t="s">
        <v>4826</v>
      </c>
      <c r="B2426" s="5" t="s">
        <v>4827</v>
      </c>
      <c r="C2426" s="6">
        <v>6000.0</v>
      </c>
      <c r="D2426" s="6">
        <v>4.131868132</v>
      </c>
      <c r="E2426" s="6">
        <v>91.0</v>
      </c>
    </row>
    <row r="2427">
      <c r="A2427" s="4" t="s">
        <v>4828</v>
      </c>
      <c r="B2427" s="5" t="s">
        <v>4829</v>
      </c>
      <c r="C2427" s="6">
        <v>6000.0</v>
      </c>
      <c r="D2427" s="6">
        <v>3.666666667</v>
      </c>
      <c r="E2427" s="6">
        <v>3.0</v>
      </c>
    </row>
    <row r="2428">
      <c r="A2428" s="4" t="s">
        <v>4830</v>
      </c>
      <c r="B2428" s="5" t="s">
        <v>4831</v>
      </c>
      <c r="C2428" s="6">
        <v>6000.0</v>
      </c>
      <c r="D2428" s="6">
        <v>4.321428571</v>
      </c>
      <c r="E2428" s="6">
        <v>28.0</v>
      </c>
    </row>
    <row r="2429">
      <c r="A2429" s="4" t="s">
        <v>4832</v>
      </c>
      <c r="B2429" s="5" t="s">
        <v>4833</v>
      </c>
      <c r="C2429" s="6">
        <v>6000.0</v>
      </c>
      <c r="D2429" s="6">
        <v>3.45</v>
      </c>
      <c r="E2429" s="6">
        <v>40.0</v>
      </c>
    </row>
    <row r="2430">
      <c r="A2430" s="4" t="s">
        <v>4834</v>
      </c>
      <c r="B2430" s="5" t="s">
        <v>4835</v>
      </c>
      <c r="C2430" s="6">
        <v>6000.0</v>
      </c>
      <c r="D2430" s="6">
        <v>3.0</v>
      </c>
      <c r="E2430" s="6">
        <v>5.0</v>
      </c>
    </row>
    <row r="2431">
      <c r="A2431" s="4" t="s">
        <v>4836</v>
      </c>
      <c r="B2431" s="5" t="s">
        <v>4837</v>
      </c>
      <c r="C2431" s="6">
        <v>6000.0</v>
      </c>
      <c r="D2431" s="6">
        <v>4.206896552</v>
      </c>
      <c r="E2431" s="6">
        <v>29.0</v>
      </c>
    </row>
    <row r="2432">
      <c r="A2432" s="4" t="s">
        <v>4838</v>
      </c>
      <c r="B2432" s="5" t="s">
        <v>4839</v>
      </c>
      <c r="C2432" s="6">
        <v>6000.0</v>
      </c>
      <c r="D2432" s="6">
        <v>3.083333333</v>
      </c>
      <c r="E2432" s="6">
        <v>24.0</v>
      </c>
    </row>
    <row r="2433">
      <c r="A2433" s="4" t="s">
        <v>4840</v>
      </c>
      <c r="B2433" s="5" t="s">
        <v>4841</v>
      </c>
      <c r="C2433" s="6">
        <v>6000.0</v>
      </c>
      <c r="D2433" s="6">
        <v>4.859375</v>
      </c>
      <c r="E2433" s="6">
        <v>128.0</v>
      </c>
    </row>
    <row r="2434">
      <c r="A2434" s="4" t="s">
        <v>4842</v>
      </c>
      <c r="B2434" s="5" t="s">
        <v>4843</v>
      </c>
      <c r="C2434" s="6">
        <v>6000.0</v>
      </c>
      <c r="D2434" s="6">
        <v>2.328358209</v>
      </c>
      <c r="E2434" s="6">
        <v>67.0</v>
      </c>
    </row>
    <row r="2435">
      <c r="A2435" s="4" t="s">
        <v>4844</v>
      </c>
      <c r="B2435" s="5" t="s">
        <v>4845</v>
      </c>
      <c r="C2435" s="6">
        <v>6000.0</v>
      </c>
      <c r="D2435" s="6">
        <v>4.4</v>
      </c>
      <c r="E2435" s="6">
        <v>10.0</v>
      </c>
    </row>
    <row r="2436">
      <c r="A2436" s="4" t="s">
        <v>4846</v>
      </c>
      <c r="B2436" s="5" t="s">
        <v>4847</v>
      </c>
      <c r="C2436" s="6">
        <v>6000.0</v>
      </c>
      <c r="D2436" s="6">
        <v>2.3</v>
      </c>
      <c r="E2436" s="6">
        <v>10.0</v>
      </c>
    </row>
    <row r="2437">
      <c r="A2437" s="4" t="s">
        <v>4848</v>
      </c>
      <c r="B2437" s="5" t="s">
        <v>4849</v>
      </c>
      <c r="C2437" s="6">
        <v>6000.0</v>
      </c>
      <c r="D2437" s="6">
        <v>4.265306122</v>
      </c>
      <c r="E2437" s="6">
        <v>49.0</v>
      </c>
    </row>
    <row r="2438">
      <c r="A2438" s="4" t="s">
        <v>4850</v>
      </c>
      <c r="B2438" s="5" t="s">
        <v>4851</v>
      </c>
      <c r="C2438" s="6">
        <v>6000.0</v>
      </c>
      <c r="D2438" s="6">
        <v>4.222222222</v>
      </c>
      <c r="E2438" s="6">
        <v>54.0</v>
      </c>
    </row>
    <row r="2439">
      <c r="A2439" s="4" t="s">
        <v>4852</v>
      </c>
      <c r="B2439" s="5" t="s">
        <v>4853</v>
      </c>
      <c r="C2439" s="6">
        <v>6000.0</v>
      </c>
      <c r="D2439" s="6">
        <v>3.085106383</v>
      </c>
      <c r="E2439" s="6">
        <v>47.0</v>
      </c>
    </row>
    <row r="2440">
      <c r="A2440" s="4" t="s">
        <v>4854</v>
      </c>
      <c r="B2440" s="5" t="s">
        <v>4855</v>
      </c>
      <c r="C2440" s="6">
        <v>6000.0</v>
      </c>
      <c r="D2440" s="6">
        <v>4.5</v>
      </c>
      <c r="E2440" s="6">
        <v>10.0</v>
      </c>
    </row>
    <row r="2441">
      <c r="A2441" s="4" t="s">
        <v>4856</v>
      </c>
      <c r="B2441" s="5" t="s">
        <v>4857</v>
      </c>
      <c r="C2441" s="6">
        <v>6000.0</v>
      </c>
      <c r="D2441" s="6">
        <v>5.0</v>
      </c>
      <c r="E2441" s="6">
        <v>4.0</v>
      </c>
    </row>
    <row r="2442">
      <c r="A2442" s="4" t="s">
        <v>4858</v>
      </c>
      <c r="B2442" s="5" t="s">
        <v>4859</v>
      </c>
      <c r="C2442" s="6">
        <v>6000.0</v>
      </c>
      <c r="D2442" s="6">
        <v>4.294117647</v>
      </c>
      <c r="E2442" s="6">
        <v>17.0</v>
      </c>
    </row>
    <row r="2443">
      <c r="A2443" s="4" t="s">
        <v>4860</v>
      </c>
      <c r="B2443" s="5" t="s">
        <v>4861</v>
      </c>
      <c r="C2443" s="6">
        <v>6000.0</v>
      </c>
      <c r="D2443" s="6">
        <v>2.7625</v>
      </c>
      <c r="E2443" s="6">
        <v>80.0</v>
      </c>
    </row>
    <row r="2444">
      <c r="A2444" s="4" t="s">
        <v>4862</v>
      </c>
      <c r="B2444" s="5" t="s">
        <v>4863</v>
      </c>
      <c r="C2444" s="6">
        <v>6000.0</v>
      </c>
      <c r="D2444" s="6">
        <v>4.823529412</v>
      </c>
      <c r="E2444" s="6">
        <v>17.0</v>
      </c>
    </row>
    <row r="2445">
      <c r="A2445" s="4" t="s">
        <v>4864</v>
      </c>
      <c r="B2445" s="5" t="s">
        <v>4865</v>
      </c>
      <c r="C2445" s="6">
        <v>6000.0</v>
      </c>
      <c r="D2445" s="6">
        <v>4.552238806</v>
      </c>
      <c r="E2445" s="6">
        <v>67.0</v>
      </c>
    </row>
    <row r="2446">
      <c r="A2446" s="4" t="s">
        <v>4866</v>
      </c>
      <c r="B2446" s="5" t="s">
        <v>4867</v>
      </c>
      <c r="C2446" s="6">
        <v>6000.0</v>
      </c>
      <c r="D2446" s="6">
        <v>3.85106383</v>
      </c>
      <c r="E2446" s="6">
        <v>47.0</v>
      </c>
    </row>
    <row r="2447">
      <c r="A2447" s="4" t="s">
        <v>4868</v>
      </c>
      <c r="B2447" s="5" t="s">
        <v>4869</v>
      </c>
      <c r="C2447" s="6">
        <v>6000.0</v>
      </c>
      <c r="D2447" s="6">
        <v>3.757281553</v>
      </c>
      <c r="E2447" s="6">
        <v>103.0</v>
      </c>
    </row>
    <row r="2448">
      <c r="A2448" s="4" t="s">
        <v>4870</v>
      </c>
      <c r="B2448" s="5" t="s">
        <v>4871</v>
      </c>
      <c r="C2448" s="6">
        <v>6000.0</v>
      </c>
      <c r="D2448" s="6">
        <v>3.852941176</v>
      </c>
      <c r="E2448" s="6">
        <v>34.0</v>
      </c>
    </row>
    <row r="2449">
      <c r="A2449" s="4" t="s">
        <v>4872</v>
      </c>
      <c r="B2449" s="5" t="s">
        <v>4873</v>
      </c>
      <c r="C2449" s="6">
        <v>6000.0</v>
      </c>
      <c r="D2449" s="6">
        <v>4.030769231</v>
      </c>
      <c r="E2449" s="6">
        <v>65.0</v>
      </c>
    </row>
    <row r="2450">
      <c r="A2450" s="5" t="s">
        <v>4874</v>
      </c>
      <c r="B2450" s="5" t="s">
        <v>4875</v>
      </c>
      <c r="C2450" s="6">
        <v>6000.0</v>
      </c>
      <c r="D2450" s="6">
        <v>3.941176471</v>
      </c>
      <c r="E2450" s="6">
        <v>17.0</v>
      </c>
    </row>
    <row r="2451">
      <c r="A2451" s="4" t="s">
        <v>4876</v>
      </c>
      <c r="B2451" s="5" t="s">
        <v>4877</v>
      </c>
      <c r="C2451" s="6">
        <v>6000.0</v>
      </c>
      <c r="D2451" s="6">
        <v>4.851851852</v>
      </c>
      <c r="E2451" s="6">
        <v>27.0</v>
      </c>
    </row>
    <row r="2452">
      <c r="A2452" s="4" t="s">
        <v>4878</v>
      </c>
      <c r="B2452" s="5" t="s">
        <v>4879</v>
      </c>
      <c r="C2452" s="6">
        <v>6000.0</v>
      </c>
      <c r="D2452" s="6">
        <v>3.0</v>
      </c>
      <c r="E2452" s="6">
        <v>4.0</v>
      </c>
    </row>
    <row r="2453">
      <c r="A2453" s="4" t="s">
        <v>4880</v>
      </c>
      <c r="B2453" s="5" t="s">
        <v>4881</v>
      </c>
      <c r="C2453" s="6">
        <v>6000.0</v>
      </c>
      <c r="D2453" s="6">
        <v>2.8</v>
      </c>
      <c r="E2453" s="6">
        <v>20.0</v>
      </c>
    </row>
    <row r="2454">
      <c r="A2454" s="4" t="s">
        <v>4882</v>
      </c>
      <c r="B2454" s="5" t="s">
        <v>4883</v>
      </c>
      <c r="C2454" s="6">
        <v>6000.0</v>
      </c>
      <c r="D2454" s="6">
        <v>3.714285714</v>
      </c>
      <c r="E2454" s="6">
        <v>7.0</v>
      </c>
    </row>
    <row r="2455">
      <c r="A2455" s="4" t="s">
        <v>4884</v>
      </c>
      <c r="B2455" s="5" t="s">
        <v>4885</v>
      </c>
      <c r="C2455" s="6">
        <v>6000.0</v>
      </c>
      <c r="D2455" s="6">
        <v>4.785276074</v>
      </c>
      <c r="E2455" s="6">
        <v>163.0</v>
      </c>
    </row>
    <row r="2456">
      <c r="A2456" s="4" t="s">
        <v>4886</v>
      </c>
      <c r="B2456" s="5" t="s">
        <v>4887</v>
      </c>
      <c r="C2456" s="6">
        <v>6000.0</v>
      </c>
      <c r="D2456" s="6">
        <v>4.128712871</v>
      </c>
      <c r="E2456" s="6">
        <v>101.0</v>
      </c>
    </row>
    <row r="2457">
      <c r="A2457" s="4" t="s">
        <v>4888</v>
      </c>
      <c r="B2457" s="5" t="s">
        <v>4889</v>
      </c>
      <c r="C2457" s="6">
        <v>6000.0</v>
      </c>
      <c r="D2457" s="6">
        <v>3.76344086</v>
      </c>
      <c r="E2457" s="6">
        <v>93.0</v>
      </c>
    </row>
    <row r="2458">
      <c r="A2458" s="4" t="s">
        <v>4890</v>
      </c>
      <c r="B2458" s="5" t="s">
        <v>4891</v>
      </c>
      <c r="C2458" s="6">
        <v>6000.0</v>
      </c>
      <c r="D2458" s="6">
        <v>4.701754386</v>
      </c>
      <c r="E2458" s="6">
        <v>57.0</v>
      </c>
    </row>
    <row r="2459">
      <c r="A2459" s="4" t="s">
        <v>4892</v>
      </c>
      <c r="B2459" s="5" t="s">
        <v>4893</v>
      </c>
      <c r="C2459" s="6">
        <v>6000.0</v>
      </c>
      <c r="D2459" s="6">
        <v>4.194805195</v>
      </c>
      <c r="E2459" s="6">
        <v>231.0</v>
      </c>
    </row>
    <row r="2460">
      <c r="A2460" s="4" t="s">
        <v>4894</v>
      </c>
      <c r="B2460" s="5" t="s">
        <v>4895</v>
      </c>
      <c r="C2460" s="6">
        <v>6000.0</v>
      </c>
      <c r="D2460" s="6">
        <v>3.090909091</v>
      </c>
      <c r="E2460" s="6">
        <v>44.0</v>
      </c>
    </row>
    <row r="2461">
      <c r="A2461" s="4" t="s">
        <v>4896</v>
      </c>
      <c r="B2461" s="5" t="s">
        <v>4897</v>
      </c>
      <c r="C2461" s="6">
        <v>6000.0</v>
      </c>
      <c r="D2461" s="6">
        <v>2.666666667</v>
      </c>
      <c r="E2461" s="6">
        <v>9.0</v>
      </c>
    </row>
    <row r="2462">
      <c r="A2462" s="4" t="s">
        <v>4898</v>
      </c>
      <c r="B2462" s="5" t="s">
        <v>4899</v>
      </c>
      <c r="C2462" s="6">
        <v>6000.0</v>
      </c>
      <c r="D2462" s="6">
        <v>5.0</v>
      </c>
      <c r="E2462" s="6">
        <v>8.0</v>
      </c>
    </row>
    <row r="2463">
      <c r="A2463" s="4" t="s">
        <v>4900</v>
      </c>
      <c r="B2463" s="5" t="s">
        <v>4901</v>
      </c>
      <c r="C2463" s="6">
        <v>6000.0</v>
      </c>
      <c r="D2463" s="6">
        <v>4.111111111</v>
      </c>
      <c r="E2463" s="6">
        <v>9.0</v>
      </c>
    </row>
    <row r="2464">
      <c r="A2464" s="4" t="s">
        <v>4902</v>
      </c>
      <c r="B2464" s="5" t="s">
        <v>4903</v>
      </c>
      <c r="C2464" s="6">
        <v>6000.0</v>
      </c>
      <c r="D2464" s="6">
        <v>4.983870968</v>
      </c>
      <c r="E2464" s="6">
        <v>62.0</v>
      </c>
    </row>
    <row r="2465">
      <c r="A2465" s="4" t="s">
        <v>4904</v>
      </c>
      <c r="B2465" s="5" t="s">
        <v>4905</v>
      </c>
      <c r="C2465" s="6">
        <v>6000.0</v>
      </c>
      <c r="D2465" s="6">
        <v>4.276595745</v>
      </c>
      <c r="E2465" s="6">
        <v>188.0</v>
      </c>
    </row>
    <row r="2466">
      <c r="A2466" s="5" t="s">
        <v>4906</v>
      </c>
      <c r="B2466" s="5" t="s">
        <v>4907</v>
      </c>
      <c r="C2466" s="6">
        <v>6000.0</v>
      </c>
      <c r="D2466" s="6">
        <v>3.470588235</v>
      </c>
      <c r="E2466" s="6">
        <v>17.0</v>
      </c>
    </row>
    <row r="2467">
      <c r="A2467" s="4" t="s">
        <v>4908</v>
      </c>
      <c r="B2467" s="5" t="s">
        <v>4909</v>
      </c>
      <c r="C2467" s="6">
        <v>6000.0</v>
      </c>
      <c r="D2467" s="6">
        <v>4.239669421</v>
      </c>
      <c r="E2467" s="6">
        <v>121.0</v>
      </c>
    </row>
    <row r="2468">
      <c r="A2468" s="4" t="s">
        <v>4910</v>
      </c>
      <c r="B2468" s="5" t="s">
        <v>4911</v>
      </c>
      <c r="C2468" s="6">
        <v>6000.0</v>
      </c>
      <c r="D2468" s="6">
        <v>4.846153846</v>
      </c>
      <c r="E2468" s="6">
        <v>13.0</v>
      </c>
    </row>
    <row r="2469">
      <c r="A2469" s="4" t="s">
        <v>4912</v>
      </c>
      <c r="B2469" s="5" t="s">
        <v>4913</v>
      </c>
      <c r="C2469" s="6">
        <v>6000.0</v>
      </c>
      <c r="D2469" s="6">
        <v>4.333333333</v>
      </c>
      <c r="E2469" s="6">
        <v>36.0</v>
      </c>
    </row>
    <row r="2470">
      <c r="A2470" s="4" t="s">
        <v>4914</v>
      </c>
      <c r="B2470" s="5" t="s">
        <v>4915</v>
      </c>
      <c r="C2470" s="6">
        <v>6000.0</v>
      </c>
      <c r="D2470" s="6">
        <v>4.0</v>
      </c>
      <c r="E2470" s="6">
        <v>69.0</v>
      </c>
    </row>
    <row r="2471">
      <c r="A2471" s="4" t="s">
        <v>4916</v>
      </c>
      <c r="B2471" s="5" t="s">
        <v>4917</v>
      </c>
      <c r="C2471" s="6">
        <v>6000.0</v>
      </c>
      <c r="D2471" s="6">
        <v>4.083333333</v>
      </c>
      <c r="E2471" s="6">
        <v>60.0</v>
      </c>
    </row>
    <row r="2472">
      <c r="A2472" s="4" t="s">
        <v>4918</v>
      </c>
      <c r="B2472" s="5" t="s">
        <v>4919</v>
      </c>
      <c r="C2472" s="6">
        <v>6000.0</v>
      </c>
      <c r="D2472" s="6">
        <v>3.24137931</v>
      </c>
      <c r="E2472" s="6">
        <v>87.0</v>
      </c>
    </row>
    <row r="2473">
      <c r="A2473" s="4" t="s">
        <v>4920</v>
      </c>
      <c r="B2473" s="5" t="s">
        <v>4921</v>
      </c>
      <c r="C2473" s="6">
        <v>6000.0</v>
      </c>
      <c r="D2473" s="6">
        <v>4.469135802</v>
      </c>
      <c r="E2473" s="6">
        <v>162.0</v>
      </c>
    </row>
    <row r="2474">
      <c r="A2474" s="4" t="s">
        <v>4922</v>
      </c>
      <c r="B2474" s="5" t="s">
        <v>4923</v>
      </c>
      <c r="C2474" s="6">
        <v>6000.0</v>
      </c>
      <c r="D2474" s="6">
        <v>3.692307692</v>
      </c>
      <c r="E2474" s="6">
        <v>26.0</v>
      </c>
    </row>
    <row r="2475">
      <c r="A2475" s="4" t="s">
        <v>4924</v>
      </c>
      <c r="B2475" s="5" t="s">
        <v>4925</v>
      </c>
      <c r="C2475" s="6">
        <v>6000.0</v>
      </c>
      <c r="D2475" s="6">
        <v>3.647058824</v>
      </c>
      <c r="E2475" s="6">
        <v>17.0</v>
      </c>
    </row>
    <row r="2476">
      <c r="A2476" s="4" t="s">
        <v>4926</v>
      </c>
      <c r="B2476" s="5" t="s">
        <v>4927</v>
      </c>
      <c r="C2476" s="6">
        <v>6000.0</v>
      </c>
      <c r="D2476" s="6">
        <v>3.0</v>
      </c>
      <c r="E2476" s="6">
        <v>2.0</v>
      </c>
    </row>
    <row r="2477">
      <c r="A2477" s="4" t="s">
        <v>4928</v>
      </c>
      <c r="B2477" s="5" t="s">
        <v>4929</v>
      </c>
      <c r="C2477" s="6">
        <v>6000.0</v>
      </c>
      <c r="D2477" s="6">
        <v>4.383333333</v>
      </c>
      <c r="E2477" s="6">
        <v>60.0</v>
      </c>
    </row>
    <row r="2478">
      <c r="A2478" s="4" t="s">
        <v>4930</v>
      </c>
      <c r="B2478" s="5" t="s">
        <v>4931</v>
      </c>
      <c r="C2478" s="6">
        <v>6000.0</v>
      </c>
      <c r="D2478" s="6">
        <v>4.0</v>
      </c>
      <c r="E2478" s="6">
        <v>4.0</v>
      </c>
    </row>
    <row r="2479">
      <c r="A2479" s="4" t="s">
        <v>4932</v>
      </c>
      <c r="B2479" s="5" t="s">
        <v>4933</v>
      </c>
      <c r="C2479" s="7">
        <v>5000.0</v>
      </c>
      <c r="D2479" s="6">
        <v>3.4</v>
      </c>
      <c r="E2479" s="6">
        <v>101.0</v>
      </c>
    </row>
    <row r="2480">
      <c r="A2480" s="4" t="s">
        <v>4934</v>
      </c>
      <c r="B2480" s="5" t="s">
        <v>4935</v>
      </c>
      <c r="C2480" s="7">
        <v>5000.0</v>
      </c>
      <c r="D2480" s="6">
        <v>4.2</v>
      </c>
      <c r="E2480" s="6">
        <v>35.0</v>
      </c>
    </row>
    <row r="2481">
      <c r="A2481" s="4" t="s">
        <v>4936</v>
      </c>
      <c r="B2481" s="5" t="s">
        <v>4937</v>
      </c>
      <c r="C2481" s="6">
        <v>5000.0</v>
      </c>
      <c r="D2481" s="6">
        <v>2.956521739</v>
      </c>
      <c r="E2481" s="6">
        <v>23.0</v>
      </c>
    </row>
    <row r="2482">
      <c r="A2482" s="4" t="s">
        <v>4938</v>
      </c>
      <c r="B2482" s="5" t="s">
        <v>4939</v>
      </c>
      <c r="C2482" s="6">
        <v>5000.0</v>
      </c>
      <c r="D2482" s="6">
        <v>4.717391304</v>
      </c>
      <c r="E2482" s="6">
        <v>46.0</v>
      </c>
    </row>
    <row r="2483">
      <c r="A2483" s="4" t="s">
        <v>4940</v>
      </c>
      <c r="B2483" s="5" t="s">
        <v>4941</v>
      </c>
      <c r="C2483" s="6">
        <v>5000.0</v>
      </c>
      <c r="D2483" s="6">
        <v>2.129032258</v>
      </c>
      <c r="E2483" s="6">
        <v>62.0</v>
      </c>
    </row>
    <row r="2484">
      <c r="A2484" s="4" t="s">
        <v>4942</v>
      </c>
      <c r="B2484" s="5" t="s">
        <v>4943</v>
      </c>
      <c r="C2484" s="6">
        <v>5000.0</v>
      </c>
      <c r="D2484" s="6">
        <v>2.140350877</v>
      </c>
      <c r="E2484" s="6">
        <v>114.0</v>
      </c>
    </row>
    <row r="2485">
      <c r="A2485" s="4" t="s">
        <v>4266</v>
      </c>
      <c r="B2485" s="5" t="s">
        <v>4944</v>
      </c>
      <c r="C2485" s="6">
        <v>5000.0</v>
      </c>
      <c r="D2485" s="6">
        <v>2.919191919</v>
      </c>
      <c r="E2485" s="6">
        <v>99.0</v>
      </c>
    </row>
    <row r="2486">
      <c r="A2486" s="4" t="s">
        <v>4945</v>
      </c>
      <c r="B2486" s="5" t="s">
        <v>4946</v>
      </c>
      <c r="C2486" s="6">
        <v>5000.0</v>
      </c>
      <c r="D2486" s="6">
        <v>2.943396226</v>
      </c>
      <c r="E2486" s="6">
        <v>53.0</v>
      </c>
    </row>
    <row r="2487">
      <c r="A2487" s="4" t="s">
        <v>4947</v>
      </c>
      <c r="B2487" s="5" t="s">
        <v>4948</v>
      </c>
      <c r="C2487" s="6">
        <v>5000.0</v>
      </c>
      <c r="D2487" s="6">
        <v>4.326086957</v>
      </c>
      <c r="E2487" s="6">
        <v>92.0</v>
      </c>
    </row>
    <row r="2488">
      <c r="A2488" s="4" t="s">
        <v>4949</v>
      </c>
      <c r="B2488" s="5" t="s">
        <v>4950</v>
      </c>
      <c r="C2488" s="6">
        <v>5000.0</v>
      </c>
      <c r="D2488" s="6">
        <v>4.428571429</v>
      </c>
      <c r="E2488" s="6">
        <v>21.0</v>
      </c>
    </row>
    <row r="2489">
      <c r="A2489" s="4" t="s">
        <v>4951</v>
      </c>
      <c r="B2489" s="5" t="s">
        <v>4952</v>
      </c>
      <c r="C2489" s="6">
        <v>5000.0</v>
      </c>
      <c r="D2489" s="6">
        <v>3.675675676</v>
      </c>
      <c r="E2489" s="6">
        <v>74.0</v>
      </c>
    </row>
    <row r="2490">
      <c r="A2490" s="4" t="s">
        <v>4953</v>
      </c>
      <c r="B2490" s="5" t="s">
        <v>4954</v>
      </c>
      <c r="C2490" s="6">
        <v>5000.0</v>
      </c>
      <c r="D2490" s="6">
        <v>4.883116883</v>
      </c>
      <c r="E2490" s="6">
        <v>154.0</v>
      </c>
    </row>
    <row r="2491">
      <c r="A2491" s="4" t="s">
        <v>4955</v>
      </c>
      <c r="B2491" s="5" t="s">
        <v>4956</v>
      </c>
      <c r="C2491" s="6">
        <v>5000.0</v>
      </c>
      <c r="D2491" s="6">
        <v>4.52</v>
      </c>
      <c r="E2491" s="6">
        <v>75.0</v>
      </c>
    </row>
    <row r="2492">
      <c r="A2492" s="4" t="s">
        <v>4957</v>
      </c>
      <c r="B2492" s="5" t="s">
        <v>4958</v>
      </c>
      <c r="C2492" s="6">
        <v>5000.0</v>
      </c>
      <c r="D2492" s="6">
        <v>4.75</v>
      </c>
      <c r="E2492" s="6">
        <v>12.0</v>
      </c>
    </row>
    <row r="2493">
      <c r="A2493" s="4" t="s">
        <v>4959</v>
      </c>
      <c r="B2493" s="5" t="s">
        <v>4960</v>
      </c>
      <c r="C2493" s="6">
        <v>5000.0</v>
      </c>
      <c r="D2493" s="6">
        <v>2.541666667</v>
      </c>
      <c r="E2493" s="6">
        <v>24.0</v>
      </c>
    </row>
    <row r="2494">
      <c r="A2494" s="4" t="s">
        <v>4961</v>
      </c>
      <c r="B2494" s="5" t="s">
        <v>4962</v>
      </c>
      <c r="C2494" s="6">
        <v>5000.0</v>
      </c>
      <c r="D2494" s="6">
        <v>4.181818182</v>
      </c>
      <c r="E2494" s="6">
        <v>11.0</v>
      </c>
    </row>
    <row r="2495">
      <c r="A2495" s="4" t="s">
        <v>4963</v>
      </c>
      <c r="B2495" s="5" t="s">
        <v>4964</v>
      </c>
      <c r="C2495" s="6">
        <v>5000.0</v>
      </c>
      <c r="D2495" s="6">
        <v>3.705882353</v>
      </c>
      <c r="E2495" s="6">
        <v>17.0</v>
      </c>
    </row>
    <row r="2496">
      <c r="A2496" s="4" t="s">
        <v>4965</v>
      </c>
      <c r="B2496" s="5" t="s">
        <v>4966</v>
      </c>
      <c r="C2496" s="6">
        <v>5000.0</v>
      </c>
      <c r="D2496" s="6">
        <v>4.712846348</v>
      </c>
      <c r="E2496" s="6">
        <v>397.0</v>
      </c>
    </row>
    <row r="2497">
      <c r="A2497" s="4" t="s">
        <v>4967</v>
      </c>
      <c r="B2497" s="5" t="s">
        <v>4968</v>
      </c>
      <c r="C2497" s="6">
        <v>5000.0</v>
      </c>
      <c r="D2497" s="6">
        <v>5.0</v>
      </c>
      <c r="E2497" s="6">
        <v>7.0</v>
      </c>
    </row>
    <row r="2498">
      <c r="A2498" s="4" t="s">
        <v>4969</v>
      </c>
      <c r="B2498" s="5" t="s">
        <v>4970</v>
      </c>
      <c r="C2498" s="6">
        <v>5000.0</v>
      </c>
      <c r="D2498" s="9"/>
      <c r="E2498" s="9"/>
    </row>
    <row r="2499">
      <c r="A2499" s="4" t="s">
        <v>4971</v>
      </c>
      <c r="B2499" s="5" t="s">
        <v>4972</v>
      </c>
      <c r="C2499" s="6">
        <v>5000.0</v>
      </c>
      <c r="D2499" s="6">
        <v>3.050847458</v>
      </c>
      <c r="E2499" s="6">
        <v>177.0</v>
      </c>
    </row>
    <row r="2500">
      <c r="A2500" s="4" t="s">
        <v>4973</v>
      </c>
      <c r="B2500" s="5" t="s">
        <v>4974</v>
      </c>
      <c r="C2500" s="6">
        <v>5000.0</v>
      </c>
      <c r="D2500" s="6">
        <v>4.195876289</v>
      </c>
      <c r="E2500" s="6">
        <v>97.0</v>
      </c>
    </row>
    <row r="2501">
      <c r="A2501" s="4" t="s">
        <v>4975</v>
      </c>
      <c r="B2501" s="5" t="s">
        <v>4976</v>
      </c>
      <c r="C2501" s="6">
        <v>5000.0</v>
      </c>
      <c r="D2501" s="6">
        <v>5.0</v>
      </c>
      <c r="E2501" s="6">
        <v>1.0</v>
      </c>
    </row>
    <row r="2502">
      <c r="A2502" s="4" t="s">
        <v>4977</v>
      </c>
      <c r="B2502" s="5" t="s">
        <v>4978</v>
      </c>
      <c r="C2502" s="6">
        <v>5000.0</v>
      </c>
      <c r="D2502" s="6">
        <v>4.027777778</v>
      </c>
      <c r="E2502" s="6">
        <v>36.0</v>
      </c>
    </row>
    <row r="2503">
      <c r="A2503" s="4" t="s">
        <v>4979</v>
      </c>
      <c r="B2503" s="5" t="s">
        <v>4980</v>
      </c>
      <c r="C2503" s="6">
        <v>5000.0</v>
      </c>
      <c r="D2503" s="6">
        <v>4.416666667</v>
      </c>
      <c r="E2503" s="6">
        <v>84.0</v>
      </c>
    </row>
    <row r="2504">
      <c r="A2504" s="4" t="s">
        <v>4981</v>
      </c>
      <c r="B2504" s="5" t="s">
        <v>4982</v>
      </c>
      <c r="C2504" s="6">
        <v>5000.0</v>
      </c>
      <c r="D2504" s="6">
        <v>3.085106383</v>
      </c>
      <c r="E2504" s="6">
        <v>47.0</v>
      </c>
    </row>
    <row r="2505">
      <c r="A2505" s="4" t="s">
        <v>4983</v>
      </c>
      <c r="B2505" s="5" t="s">
        <v>4984</v>
      </c>
      <c r="C2505" s="6">
        <v>5000.0</v>
      </c>
      <c r="D2505" s="6">
        <v>3.266666667</v>
      </c>
      <c r="E2505" s="6">
        <v>30.0</v>
      </c>
    </row>
    <row r="2506">
      <c r="A2506" s="4" t="s">
        <v>4985</v>
      </c>
      <c r="B2506" s="5" t="s">
        <v>4986</v>
      </c>
      <c r="C2506" s="6">
        <v>5000.0</v>
      </c>
      <c r="D2506" s="6">
        <v>2.214285714</v>
      </c>
      <c r="E2506" s="6">
        <v>42.0</v>
      </c>
    </row>
    <row r="2507">
      <c r="A2507" s="10" t="s">
        <v>4987</v>
      </c>
      <c r="B2507" s="5" t="s">
        <v>4988</v>
      </c>
      <c r="C2507" s="6">
        <v>5000.0</v>
      </c>
      <c r="D2507" s="6">
        <v>4.12195122</v>
      </c>
      <c r="E2507" s="6">
        <v>41.0</v>
      </c>
    </row>
    <row r="2508">
      <c r="A2508" s="4" t="s">
        <v>4989</v>
      </c>
      <c r="B2508" s="5" t="s">
        <v>4990</v>
      </c>
      <c r="C2508" s="6">
        <v>5000.0</v>
      </c>
      <c r="D2508" s="6">
        <v>4.782608696</v>
      </c>
      <c r="E2508" s="6">
        <v>23.0</v>
      </c>
    </row>
    <row r="2509">
      <c r="A2509" s="4" t="s">
        <v>4991</v>
      </c>
      <c r="B2509" s="5" t="s">
        <v>4992</v>
      </c>
      <c r="C2509" s="6">
        <v>5000.0</v>
      </c>
      <c r="D2509" s="6">
        <v>4.204081633</v>
      </c>
      <c r="E2509" s="6">
        <v>49.0</v>
      </c>
    </row>
    <row r="2510">
      <c r="A2510" s="4" t="s">
        <v>4993</v>
      </c>
      <c r="B2510" s="5" t="s">
        <v>4994</v>
      </c>
      <c r="C2510" s="6">
        <v>5000.0</v>
      </c>
      <c r="D2510" s="6">
        <v>4.37037037</v>
      </c>
      <c r="E2510" s="6">
        <v>27.0</v>
      </c>
    </row>
    <row r="2511">
      <c r="A2511" s="4" t="s">
        <v>4995</v>
      </c>
      <c r="B2511" s="5" t="s">
        <v>4996</v>
      </c>
      <c r="C2511" s="6">
        <v>5000.0</v>
      </c>
      <c r="D2511" s="6">
        <v>4.076923077</v>
      </c>
      <c r="E2511" s="6">
        <v>13.0</v>
      </c>
    </row>
    <row r="2512">
      <c r="A2512" s="4" t="s">
        <v>4997</v>
      </c>
      <c r="B2512" s="5" t="s">
        <v>4998</v>
      </c>
      <c r="C2512" s="6">
        <v>5000.0</v>
      </c>
      <c r="D2512" s="6">
        <v>4.739130435</v>
      </c>
      <c r="E2512" s="6">
        <v>69.0</v>
      </c>
    </row>
    <row r="2513">
      <c r="A2513" s="4" t="s">
        <v>4999</v>
      </c>
      <c r="B2513" s="5" t="s">
        <v>5000</v>
      </c>
      <c r="C2513" s="6">
        <v>5000.0</v>
      </c>
      <c r="D2513" s="6">
        <v>4.75</v>
      </c>
      <c r="E2513" s="6">
        <v>8.0</v>
      </c>
    </row>
    <row r="2514">
      <c r="A2514" s="4" t="s">
        <v>5001</v>
      </c>
      <c r="B2514" s="5" t="s">
        <v>5002</v>
      </c>
      <c r="C2514" s="6">
        <v>5000.0</v>
      </c>
      <c r="D2514" s="6">
        <v>2.875</v>
      </c>
      <c r="E2514" s="6">
        <v>16.0</v>
      </c>
    </row>
    <row r="2515">
      <c r="A2515" s="4" t="s">
        <v>5003</v>
      </c>
      <c r="B2515" s="5" t="s">
        <v>5004</v>
      </c>
      <c r="C2515" s="6">
        <v>5000.0</v>
      </c>
      <c r="D2515" s="6">
        <v>4.125</v>
      </c>
      <c r="E2515" s="6">
        <v>16.0</v>
      </c>
    </row>
    <row r="2516">
      <c r="A2516" s="4" t="s">
        <v>5005</v>
      </c>
      <c r="B2516" s="5" t="s">
        <v>5006</v>
      </c>
      <c r="C2516" s="6">
        <v>5000.0</v>
      </c>
      <c r="D2516" s="6">
        <v>4.236842105</v>
      </c>
      <c r="E2516" s="6">
        <v>76.0</v>
      </c>
    </row>
    <row r="2517">
      <c r="A2517" s="4" t="s">
        <v>5007</v>
      </c>
      <c r="B2517" s="5" t="s">
        <v>5008</v>
      </c>
      <c r="C2517" s="6">
        <v>5000.0</v>
      </c>
      <c r="D2517" s="6">
        <v>1.0</v>
      </c>
      <c r="E2517" s="6">
        <v>10.0</v>
      </c>
    </row>
    <row r="2518">
      <c r="A2518" s="4" t="s">
        <v>5009</v>
      </c>
      <c r="B2518" s="5" t="s">
        <v>5010</v>
      </c>
      <c r="C2518" s="6">
        <v>5000.0</v>
      </c>
      <c r="D2518" s="6">
        <v>4.0</v>
      </c>
      <c r="E2518" s="6">
        <v>5.0</v>
      </c>
    </row>
    <row r="2519">
      <c r="A2519" s="4" t="s">
        <v>5011</v>
      </c>
      <c r="B2519" s="5" t="s">
        <v>5012</v>
      </c>
      <c r="C2519" s="6">
        <v>5000.0</v>
      </c>
      <c r="D2519" s="6">
        <v>3.666666667</v>
      </c>
      <c r="E2519" s="6">
        <v>126.0</v>
      </c>
    </row>
    <row r="2520">
      <c r="A2520" s="4" t="s">
        <v>5013</v>
      </c>
      <c r="B2520" s="5" t="s">
        <v>5014</v>
      </c>
      <c r="C2520" s="6">
        <v>5000.0</v>
      </c>
      <c r="D2520" s="6">
        <v>4.55</v>
      </c>
      <c r="E2520" s="6">
        <v>20.0</v>
      </c>
    </row>
    <row r="2521">
      <c r="A2521" s="4" t="s">
        <v>5015</v>
      </c>
      <c r="B2521" s="5" t="s">
        <v>5016</v>
      </c>
      <c r="C2521" s="6">
        <v>5000.0</v>
      </c>
      <c r="D2521" s="6">
        <v>3.055555556</v>
      </c>
      <c r="E2521" s="6">
        <v>18.0</v>
      </c>
    </row>
    <row r="2522">
      <c r="A2522" s="4" t="s">
        <v>5017</v>
      </c>
      <c r="B2522" s="5" t="s">
        <v>5018</v>
      </c>
      <c r="C2522" s="6">
        <v>5000.0</v>
      </c>
      <c r="D2522" s="6">
        <v>4.38961039</v>
      </c>
      <c r="E2522" s="6">
        <v>77.0</v>
      </c>
    </row>
    <row r="2523">
      <c r="A2523" s="4" t="s">
        <v>5019</v>
      </c>
      <c r="B2523" s="5" t="s">
        <v>5020</v>
      </c>
      <c r="C2523" s="6">
        <v>5000.0</v>
      </c>
      <c r="D2523" s="6">
        <v>3.416666667</v>
      </c>
      <c r="E2523" s="6">
        <v>12.0</v>
      </c>
    </row>
    <row r="2524">
      <c r="A2524" s="4" t="s">
        <v>5021</v>
      </c>
      <c r="B2524" s="5" t="s">
        <v>5022</v>
      </c>
      <c r="C2524" s="6">
        <v>5000.0</v>
      </c>
      <c r="D2524" s="6">
        <v>1.757575758</v>
      </c>
      <c r="E2524" s="6">
        <v>33.0</v>
      </c>
    </row>
    <row r="2525">
      <c r="A2525" s="4" t="s">
        <v>5023</v>
      </c>
      <c r="B2525" s="5" t="s">
        <v>5024</v>
      </c>
      <c r="C2525" s="6">
        <v>5000.0</v>
      </c>
      <c r="D2525" s="6">
        <v>3.171171171</v>
      </c>
      <c r="E2525" s="6">
        <v>111.0</v>
      </c>
    </row>
    <row r="2526">
      <c r="A2526" s="4" t="s">
        <v>5025</v>
      </c>
      <c r="B2526" s="5" t="s">
        <v>5026</v>
      </c>
      <c r="C2526" s="6">
        <v>5000.0</v>
      </c>
      <c r="D2526" s="6">
        <v>2.651685393</v>
      </c>
      <c r="E2526" s="6">
        <v>89.0</v>
      </c>
    </row>
    <row r="2527">
      <c r="A2527" s="4" t="s">
        <v>5027</v>
      </c>
      <c r="B2527" s="5" t="s">
        <v>5028</v>
      </c>
      <c r="C2527" s="6">
        <v>5000.0</v>
      </c>
      <c r="D2527" s="6">
        <v>4.0</v>
      </c>
      <c r="E2527" s="6">
        <v>1.0</v>
      </c>
    </row>
    <row r="2528">
      <c r="A2528" s="4" t="s">
        <v>5029</v>
      </c>
      <c r="B2528" s="5" t="s">
        <v>5030</v>
      </c>
      <c r="C2528" s="6">
        <v>5000.0</v>
      </c>
      <c r="D2528" s="6">
        <v>3.688888889</v>
      </c>
      <c r="E2528" s="6">
        <v>360.0</v>
      </c>
    </row>
    <row r="2529">
      <c r="A2529" s="4" t="s">
        <v>227</v>
      </c>
      <c r="B2529" s="5" t="s">
        <v>5031</v>
      </c>
      <c r="C2529" s="6">
        <v>5000.0</v>
      </c>
      <c r="D2529" s="6">
        <v>3.619047619</v>
      </c>
      <c r="E2529" s="6">
        <v>21.0</v>
      </c>
    </row>
    <row r="2530">
      <c r="A2530" s="4" t="s">
        <v>5032</v>
      </c>
      <c r="B2530" s="5" t="s">
        <v>5033</v>
      </c>
      <c r="C2530" s="6">
        <v>5000.0</v>
      </c>
      <c r="D2530" s="6">
        <v>5.0</v>
      </c>
      <c r="E2530" s="6">
        <v>7.0</v>
      </c>
    </row>
    <row r="2531">
      <c r="A2531" s="4" t="s">
        <v>5034</v>
      </c>
      <c r="B2531" s="5" t="s">
        <v>5035</v>
      </c>
      <c r="C2531" s="6">
        <v>5000.0</v>
      </c>
      <c r="D2531" s="6">
        <v>4.210526316</v>
      </c>
      <c r="E2531" s="6">
        <v>19.0</v>
      </c>
    </row>
    <row r="2532">
      <c r="A2532" s="4" t="s">
        <v>5036</v>
      </c>
      <c r="B2532" s="5" t="s">
        <v>5037</v>
      </c>
      <c r="C2532" s="6">
        <v>5000.0</v>
      </c>
      <c r="D2532" s="6">
        <v>4.409090909</v>
      </c>
      <c r="E2532" s="6">
        <v>66.0</v>
      </c>
    </row>
    <row r="2533">
      <c r="A2533" s="4" t="s">
        <v>5038</v>
      </c>
      <c r="B2533" s="5" t="s">
        <v>5039</v>
      </c>
      <c r="C2533" s="6">
        <v>5000.0</v>
      </c>
      <c r="D2533" s="6">
        <v>5.0</v>
      </c>
      <c r="E2533" s="6">
        <v>10.0</v>
      </c>
    </row>
    <row r="2534">
      <c r="A2534" s="4" t="s">
        <v>5040</v>
      </c>
      <c r="B2534" s="5" t="s">
        <v>5041</v>
      </c>
      <c r="C2534" s="6">
        <v>5000.0</v>
      </c>
      <c r="D2534" s="6">
        <v>5.0</v>
      </c>
      <c r="E2534" s="6">
        <v>7.0</v>
      </c>
    </row>
    <row r="2535">
      <c r="A2535" s="4" t="s">
        <v>5042</v>
      </c>
      <c r="B2535" s="5" t="s">
        <v>5043</v>
      </c>
      <c r="C2535" s="6">
        <v>5000.0</v>
      </c>
      <c r="D2535" s="6">
        <v>4.463414634</v>
      </c>
      <c r="E2535" s="6">
        <v>41.0</v>
      </c>
    </row>
    <row r="2536">
      <c r="A2536" s="4" t="s">
        <v>5044</v>
      </c>
      <c r="B2536" s="5" t="s">
        <v>5045</v>
      </c>
      <c r="C2536" s="6">
        <v>5000.0</v>
      </c>
      <c r="D2536" s="6">
        <v>4.0</v>
      </c>
      <c r="E2536" s="6">
        <v>14.0</v>
      </c>
    </row>
    <row r="2537">
      <c r="A2537" s="4" t="s">
        <v>5046</v>
      </c>
      <c r="B2537" s="5" t="s">
        <v>5047</v>
      </c>
      <c r="C2537" s="6">
        <v>5000.0</v>
      </c>
      <c r="D2537" s="6">
        <v>2.878787879</v>
      </c>
      <c r="E2537" s="6">
        <v>33.0</v>
      </c>
    </row>
    <row r="2538">
      <c r="A2538" s="4" t="s">
        <v>5048</v>
      </c>
      <c r="B2538" s="5" t="s">
        <v>5049</v>
      </c>
      <c r="C2538" s="6">
        <v>5000.0</v>
      </c>
      <c r="D2538" s="6">
        <v>4.302752294</v>
      </c>
      <c r="E2538" s="6">
        <v>218.0</v>
      </c>
    </row>
    <row r="2539">
      <c r="A2539" s="4" t="s">
        <v>5050</v>
      </c>
      <c r="B2539" s="5" t="s">
        <v>5051</v>
      </c>
      <c r="C2539" s="6">
        <v>5000.0</v>
      </c>
      <c r="D2539" s="6">
        <v>4.583333333</v>
      </c>
      <c r="E2539" s="6">
        <v>12.0</v>
      </c>
    </row>
    <row r="2540">
      <c r="A2540" s="4" t="s">
        <v>5052</v>
      </c>
      <c r="B2540" s="5" t="s">
        <v>5053</v>
      </c>
      <c r="C2540" s="6">
        <v>5000.0</v>
      </c>
      <c r="D2540" s="6">
        <v>3.6</v>
      </c>
      <c r="E2540" s="6">
        <v>15.0</v>
      </c>
    </row>
    <row r="2541">
      <c r="A2541" s="4" t="s">
        <v>5054</v>
      </c>
      <c r="B2541" s="5" t="s">
        <v>5055</v>
      </c>
      <c r="C2541" s="6">
        <v>5000.0</v>
      </c>
      <c r="D2541" s="6">
        <v>3.432835821</v>
      </c>
      <c r="E2541" s="6">
        <v>134.0</v>
      </c>
    </row>
    <row r="2542">
      <c r="A2542" s="4" t="s">
        <v>5056</v>
      </c>
      <c r="B2542" s="5" t="s">
        <v>5057</v>
      </c>
      <c r="C2542" s="6">
        <v>5000.0</v>
      </c>
      <c r="D2542" s="6">
        <v>4.5</v>
      </c>
      <c r="E2542" s="6">
        <v>2.0</v>
      </c>
    </row>
    <row r="2543">
      <c r="A2543" s="4" t="s">
        <v>5058</v>
      </c>
      <c r="B2543" s="5" t="s">
        <v>5059</v>
      </c>
      <c r="C2543" s="6">
        <v>5000.0</v>
      </c>
      <c r="D2543" s="6">
        <v>4.282967033</v>
      </c>
      <c r="E2543" s="6">
        <v>364.0</v>
      </c>
    </row>
    <row r="2544">
      <c r="A2544" s="4" t="s">
        <v>2646</v>
      </c>
      <c r="B2544" s="5" t="s">
        <v>5060</v>
      </c>
      <c r="C2544" s="6">
        <v>5000.0</v>
      </c>
      <c r="D2544" s="6">
        <v>4.074074074</v>
      </c>
      <c r="E2544" s="6">
        <v>27.0</v>
      </c>
    </row>
    <row r="2545">
      <c r="A2545" s="4" t="s">
        <v>3632</v>
      </c>
      <c r="B2545" s="5" t="s">
        <v>5061</v>
      </c>
      <c r="C2545" s="6">
        <v>5000.0</v>
      </c>
      <c r="D2545" s="6">
        <v>5.0</v>
      </c>
      <c r="E2545" s="6">
        <v>6.0</v>
      </c>
    </row>
    <row r="2546">
      <c r="A2546" s="4" t="s">
        <v>5062</v>
      </c>
      <c r="B2546" s="5" t="s">
        <v>5063</v>
      </c>
      <c r="C2546" s="6">
        <v>5000.0</v>
      </c>
      <c r="D2546" s="6">
        <v>4.31042654</v>
      </c>
      <c r="E2546" s="6">
        <v>422.0</v>
      </c>
    </row>
    <row r="2547">
      <c r="A2547" s="4" t="s">
        <v>5064</v>
      </c>
      <c r="B2547" s="5" t="s">
        <v>5065</v>
      </c>
      <c r="C2547" s="6">
        <v>5000.0</v>
      </c>
      <c r="D2547" s="6">
        <v>3.2</v>
      </c>
      <c r="E2547" s="6">
        <v>20.0</v>
      </c>
    </row>
    <row r="2548">
      <c r="A2548" s="4" t="s">
        <v>5066</v>
      </c>
      <c r="B2548" s="5" t="s">
        <v>5067</v>
      </c>
      <c r="C2548" s="6">
        <v>5000.0</v>
      </c>
      <c r="D2548" s="6">
        <v>4.48</v>
      </c>
      <c r="E2548" s="6">
        <v>25.0</v>
      </c>
    </row>
    <row r="2549">
      <c r="A2549" s="4" t="s">
        <v>5068</v>
      </c>
      <c r="B2549" s="5" t="s">
        <v>5069</v>
      </c>
      <c r="C2549" s="6">
        <v>5000.0</v>
      </c>
      <c r="D2549" s="6">
        <v>5.0</v>
      </c>
      <c r="E2549" s="6">
        <v>1.0</v>
      </c>
    </row>
    <row r="2550">
      <c r="A2550" s="4" t="s">
        <v>5070</v>
      </c>
      <c r="B2550" s="5" t="s">
        <v>5071</v>
      </c>
      <c r="C2550" s="6">
        <v>5000.0</v>
      </c>
      <c r="D2550" s="6">
        <v>4.031088083</v>
      </c>
      <c r="E2550" s="6">
        <v>193.0</v>
      </c>
    </row>
    <row r="2551">
      <c r="A2551" s="4" t="s">
        <v>5072</v>
      </c>
      <c r="B2551" s="5" t="s">
        <v>5073</v>
      </c>
      <c r="C2551" s="6">
        <v>5000.0</v>
      </c>
      <c r="D2551" s="9"/>
      <c r="E2551" s="9"/>
    </row>
    <row r="2552">
      <c r="A2552" s="4" t="s">
        <v>5074</v>
      </c>
      <c r="B2552" s="5" t="s">
        <v>5075</v>
      </c>
      <c r="C2552" s="6">
        <v>5000.0</v>
      </c>
      <c r="D2552" s="6">
        <v>4.875</v>
      </c>
      <c r="E2552" s="6">
        <v>16.0</v>
      </c>
    </row>
    <row r="2553">
      <c r="A2553" s="4" t="s">
        <v>5076</v>
      </c>
      <c r="B2553" s="5" t="s">
        <v>5077</v>
      </c>
      <c r="C2553" s="6">
        <v>5000.0</v>
      </c>
      <c r="D2553" s="6">
        <v>4.222222222</v>
      </c>
      <c r="E2553" s="6">
        <v>9.0</v>
      </c>
    </row>
    <row r="2554">
      <c r="A2554" s="4" t="s">
        <v>5078</v>
      </c>
      <c r="B2554" s="5" t="s">
        <v>5079</v>
      </c>
      <c r="C2554" s="6">
        <v>5000.0</v>
      </c>
      <c r="D2554" s="6">
        <v>3.037037037</v>
      </c>
      <c r="E2554" s="6">
        <v>27.0</v>
      </c>
    </row>
    <row r="2555">
      <c r="A2555" s="4" t="s">
        <v>5080</v>
      </c>
      <c r="B2555" s="5" t="s">
        <v>5081</v>
      </c>
      <c r="C2555" s="6">
        <v>5000.0</v>
      </c>
      <c r="D2555" s="6">
        <v>4.8125</v>
      </c>
      <c r="E2555" s="6">
        <v>16.0</v>
      </c>
    </row>
    <row r="2556">
      <c r="A2556" s="4" t="s">
        <v>5082</v>
      </c>
      <c r="B2556" s="5" t="s">
        <v>5083</v>
      </c>
      <c r="C2556" s="6">
        <v>5000.0</v>
      </c>
      <c r="D2556" s="6">
        <v>3.989795918</v>
      </c>
      <c r="E2556" s="6">
        <v>98.0</v>
      </c>
    </row>
    <row r="2557">
      <c r="A2557" s="4" t="s">
        <v>5084</v>
      </c>
      <c r="B2557" s="5" t="s">
        <v>5085</v>
      </c>
      <c r="C2557" s="6">
        <v>5000.0</v>
      </c>
      <c r="D2557" s="6">
        <v>3.9</v>
      </c>
      <c r="E2557" s="6">
        <v>20.0</v>
      </c>
    </row>
    <row r="2558">
      <c r="A2558" s="4" t="s">
        <v>5086</v>
      </c>
      <c r="B2558" s="5" t="s">
        <v>5087</v>
      </c>
      <c r="C2558" s="6">
        <v>5000.0</v>
      </c>
      <c r="D2558" s="6">
        <v>3.561403509</v>
      </c>
      <c r="E2558" s="6">
        <v>114.0</v>
      </c>
    </row>
    <row r="2559">
      <c r="A2559" s="4" t="s">
        <v>5088</v>
      </c>
      <c r="B2559" s="5" t="s">
        <v>5089</v>
      </c>
      <c r="C2559" s="6">
        <v>5000.0</v>
      </c>
      <c r="D2559" s="6">
        <v>3.416666667</v>
      </c>
      <c r="E2559" s="6">
        <v>12.0</v>
      </c>
    </row>
    <row r="2560">
      <c r="A2560" s="4" t="s">
        <v>5090</v>
      </c>
      <c r="B2560" s="5" t="s">
        <v>5091</v>
      </c>
      <c r="C2560" s="6">
        <v>5000.0</v>
      </c>
      <c r="D2560" s="6">
        <v>2.434782609</v>
      </c>
      <c r="E2560" s="6">
        <v>161.0</v>
      </c>
    </row>
    <row r="2561">
      <c r="A2561" s="4" t="s">
        <v>5092</v>
      </c>
      <c r="B2561" s="5" t="s">
        <v>5093</v>
      </c>
      <c r="C2561" s="6">
        <v>5000.0</v>
      </c>
      <c r="D2561" s="6">
        <v>4.681818182</v>
      </c>
      <c r="E2561" s="6">
        <v>22.0</v>
      </c>
    </row>
    <row r="2562">
      <c r="A2562" s="4" t="s">
        <v>5094</v>
      </c>
      <c r="B2562" s="5" t="s">
        <v>5095</v>
      </c>
      <c r="C2562" s="6">
        <v>5000.0</v>
      </c>
      <c r="D2562" s="6">
        <v>4.735294118</v>
      </c>
      <c r="E2562" s="6">
        <v>68.0</v>
      </c>
    </row>
    <row r="2563">
      <c r="A2563" s="4" t="s">
        <v>5096</v>
      </c>
      <c r="B2563" s="5" t="s">
        <v>5097</v>
      </c>
      <c r="C2563" s="6">
        <v>5000.0</v>
      </c>
      <c r="D2563" s="6">
        <v>4.285714286</v>
      </c>
      <c r="E2563" s="6">
        <v>14.0</v>
      </c>
    </row>
    <row r="2564">
      <c r="A2564" s="4" t="s">
        <v>5098</v>
      </c>
      <c r="B2564" s="5" t="s">
        <v>5099</v>
      </c>
      <c r="C2564" s="6">
        <v>5000.0</v>
      </c>
      <c r="D2564" s="6">
        <v>4.855932203</v>
      </c>
      <c r="E2564" s="6">
        <v>118.0</v>
      </c>
    </row>
    <row r="2565">
      <c r="A2565" s="4" t="s">
        <v>5100</v>
      </c>
      <c r="B2565" s="5" t="s">
        <v>5101</v>
      </c>
      <c r="C2565" s="6">
        <v>5000.0</v>
      </c>
      <c r="D2565" s="6">
        <v>3.722222222</v>
      </c>
      <c r="E2565" s="6">
        <v>18.0</v>
      </c>
    </row>
    <row r="2566">
      <c r="A2566" s="4" t="s">
        <v>5102</v>
      </c>
      <c r="B2566" s="5" t="s">
        <v>5103</v>
      </c>
      <c r="C2566" s="6">
        <v>5000.0</v>
      </c>
      <c r="D2566" s="6">
        <v>4.444444444</v>
      </c>
      <c r="E2566" s="6">
        <v>9.0</v>
      </c>
    </row>
    <row r="2567">
      <c r="A2567" s="4" t="s">
        <v>5104</v>
      </c>
      <c r="B2567" s="5" t="s">
        <v>5105</v>
      </c>
      <c r="C2567" s="6">
        <v>5000.0</v>
      </c>
      <c r="D2567" s="6">
        <v>3.5</v>
      </c>
      <c r="E2567" s="6">
        <v>8.0</v>
      </c>
    </row>
    <row r="2568">
      <c r="A2568" s="4" t="s">
        <v>5106</v>
      </c>
      <c r="B2568" s="5" t="s">
        <v>5107</v>
      </c>
      <c r="C2568" s="6">
        <v>5000.0</v>
      </c>
      <c r="D2568" s="6">
        <v>4.447368421</v>
      </c>
      <c r="E2568" s="6">
        <v>38.0</v>
      </c>
    </row>
    <row r="2569">
      <c r="A2569" s="4" t="s">
        <v>5108</v>
      </c>
      <c r="B2569" s="5" t="s">
        <v>5109</v>
      </c>
      <c r="C2569" s="6">
        <v>5000.0</v>
      </c>
      <c r="D2569" s="6">
        <v>4.458333333</v>
      </c>
      <c r="E2569" s="6">
        <v>24.0</v>
      </c>
    </row>
    <row r="2570">
      <c r="A2570" s="5" t="s">
        <v>5110</v>
      </c>
      <c r="B2570" s="5" t="s">
        <v>5111</v>
      </c>
      <c r="C2570" s="6">
        <v>5000.0</v>
      </c>
      <c r="D2570" s="6">
        <v>3.833333333</v>
      </c>
      <c r="E2570" s="6">
        <v>18.0</v>
      </c>
    </row>
    <row r="2571">
      <c r="A2571" s="4" t="s">
        <v>5112</v>
      </c>
      <c r="B2571" s="5" t="s">
        <v>5113</v>
      </c>
      <c r="C2571" s="6">
        <v>5000.0</v>
      </c>
      <c r="D2571" s="6">
        <v>4.775</v>
      </c>
      <c r="E2571" s="6">
        <v>560.0</v>
      </c>
    </row>
    <row r="2572">
      <c r="A2572" s="4" t="s">
        <v>5114</v>
      </c>
      <c r="B2572" s="5" t="s">
        <v>5115</v>
      </c>
      <c r="C2572" s="6">
        <v>5000.0</v>
      </c>
      <c r="D2572" s="6">
        <v>5.0</v>
      </c>
      <c r="E2572" s="6">
        <v>1.0</v>
      </c>
    </row>
    <row r="2573">
      <c r="A2573" s="4" t="s">
        <v>5116</v>
      </c>
      <c r="B2573" s="5" t="s">
        <v>5117</v>
      </c>
      <c r="C2573" s="6">
        <v>5000.0</v>
      </c>
      <c r="D2573" s="6">
        <v>3.333333333</v>
      </c>
      <c r="E2573" s="6">
        <v>12.0</v>
      </c>
    </row>
    <row r="2574">
      <c r="A2574" s="4" t="s">
        <v>5118</v>
      </c>
      <c r="B2574" s="5" t="s">
        <v>5119</v>
      </c>
      <c r="C2574" s="6">
        <v>5000.0</v>
      </c>
      <c r="D2574" s="6">
        <v>3.666666667</v>
      </c>
      <c r="E2574" s="6">
        <v>6.0</v>
      </c>
    </row>
    <row r="2575">
      <c r="A2575" s="4" t="s">
        <v>5120</v>
      </c>
      <c r="B2575" s="5" t="s">
        <v>5121</v>
      </c>
      <c r="C2575" s="6">
        <v>5000.0</v>
      </c>
      <c r="D2575" s="6">
        <v>2.75</v>
      </c>
      <c r="E2575" s="6">
        <v>8.0</v>
      </c>
    </row>
    <row r="2576">
      <c r="A2576" s="4" t="s">
        <v>5122</v>
      </c>
      <c r="B2576" s="5" t="s">
        <v>5123</v>
      </c>
      <c r="C2576" s="6">
        <v>5000.0</v>
      </c>
      <c r="D2576" s="9"/>
      <c r="E2576" s="9"/>
    </row>
    <row r="2577">
      <c r="A2577" s="4" t="s">
        <v>5124</v>
      </c>
      <c r="B2577" s="5" t="s">
        <v>5125</v>
      </c>
      <c r="C2577" s="6">
        <v>5000.0</v>
      </c>
      <c r="D2577" s="6">
        <v>4.605263158</v>
      </c>
      <c r="E2577" s="6">
        <v>38.0</v>
      </c>
    </row>
    <row r="2578">
      <c r="A2578" s="4" t="s">
        <v>5126</v>
      </c>
      <c r="B2578" s="5" t="s">
        <v>5127</v>
      </c>
      <c r="C2578" s="6">
        <v>5000.0</v>
      </c>
      <c r="D2578" s="6">
        <v>2.980392157</v>
      </c>
      <c r="E2578" s="6">
        <v>102.0</v>
      </c>
    </row>
    <row r="2579">
      <c r="A2579" s="4" t="s">
        <v>5128</v>
      </c>
      <c r="B2579" s="5" t="s">
        <v>5129</v>
      </c>
      <c r="C2579" s="6">
        <v>5000.0</v>
      </c>
      <c r="D2579" s="6">
        <v>2.913669065</v>
      </c>
      <c r="E2579" s="6">
        <v>139.0</v>
      </c>
    </row>
    <row r="2580">
      <c r="A2580" s="4" t="s">
        <v>5130</v>
      </c>
      <c r="B2580" s="5" t="s">
        <v>5131</v>
      </c>
      <c r="C2580" s="6">
        <v>5000.0</v>
      </c>
      <c r="D2580" s="6">
        <v>3.285714286</v>
      </c>
      <c r="E2580" s="6">
        <v>77.0</v>
      </c>
    </row>
    <row r="2581">
      <c r="A2581" s="4" t="s">
        <v>5132</v>
      </c>
      <c r="B2581" s="5" t="s">
        <v>5133</v>
      </c>
      <c r="C2581" s="6">
        <v>5000.0</v>
      </c>
      <c r="D2581" s="6">
        <v>2.379746835</v>
      </c>
      <c r="E2581" s="6">
        <v>79.0</v>
      </c>
    </row>
    <row r="2582">
      <c r="A2582" s="4" t="s">
        <v>5134</v>
      </c>
      <c r="B2582" s="5" t="s">
        <v>5135</v>
      </c>
      <c r="C2582" s="6">
        <v>5000.0</v>
      </c>
      <c r="D2582" s="6">
        <v>3.085227273</v>
      </c>
      <c r="E2582" s="6">
        <v>176.0</v>
      </c>
    </row>
    <row r="2583">
      <c r="A2583" s="4" t="s">
        <v>5136</v>
      </c>
      <c r="B2583" s="5" t="s">
        <v>5137</v>
      </c>
      <c r="C2583" s="6">
        <v>5000.0</v>
      </c>
      <c r="D2583" s="6">
        <v>3.946428571</v>
      </c>
      <c r="E2583" s="6">
        <v>56.0</v>
      </c>
    </row>
    <row r="2584">
      <c r="A2584" s="4" t="s">
        <v>5138</v>
      </c>
      <c r="B2584" s="5" t="s">
        <v>5139</v>
      </c>
      <c r="C2584" s="6">
        <v>5000.0</v>
      </c>
      <c r="D2584" s="6">
        <v>4.142857143</v>
      </c>
      <c r="E2584" s="6">
        <v>21.0</v>
      </c>
    </row>
    <row r="2585">
      <c r="A2585" s="4" t="s">
        <v>5140</v>
      </c>
      <c r="B2585" s="5" t="s">
        <v>5141</v>
      </c>
      <c r="C2585" s="6">
        <v>5000.0</v>
      </c>
      <c r="D2585" s="6">
        <v>4.857142857</v>
      </c>
      <c r="E2585" s="6">
        <v>14.0</v>
      </c>
    </row>
    <row r="2586">
      <c r="A2586" s="4" t="s">
        <v>5142</v>
      </c>
      <c r="B2586" s="5" t="s">
        <v>5143</v>
      </c>
      <c r="C2586" s="6">
        <v>5000.0</v>
      </c>
      <c r="D2586" s="6">
        <v>4.76</v>
      </c>
      <c r="E2586" s="6">
        <v>25.0</v>
      </c>
    </row>
    <row r="2587">
      <c r="A2587" s="4" t="s">
        <v>5144</v>
      </c>
      <c r="B2587" s="5" t="s">
        <v>5145</v>
      </c>
      <c r="C2587" s="6">
        <v>5000.0</v>
      </c>
      <c r="D2587" s="6">
        <v>4.545454545</v>
      </c>
      <c r="E2587" s="6">
        <v>11.0</v>
      </c>
    </row>
    <row r="2588">
      <c r="A2588" s="4" t="s">
        <v>5146</v>
      </c>
      <c r="B2588" s="5" t="s">
        <v>5147</v>
      </c>
      <c r="C2588" s="6">
        <v>5000.0</v>
      </c>
      <c r="D2588" s="6">
        <v>4.352112676</v>
      </c>
      <c r="E2588" s="6">
        <v>71.0</v>
      </c>
    </row>
    <row r="2589">
      <c r="A2589" s="4" t="s">
        <v>5148</v>
      </c>
      <c r="B2589" s="5" t="s">
        <v>5149</v>
      </c>
      <c r="C2589" s="6">
        <v>5000.0</v>
      </c>
      <c r="D2589" s="6">
        <v>4.404761905</v>
      </c>
      <c r="E2589" s="6">
        <v>42.0</v>
      </c>
    </row>
    <row r="2590">
      <c r="A2590" s="5" t="s">
        <v>5150</v>
      </c>
      <c r="B2590" s="5" t="s">
        <v>5151</v>
      </c>
      <c r="C2590" s="6">
        <v>5000.0</v>
      </c>
      <c r="D2590" s="6">
        <v>3.481481481</v>
      </c>
      <c r="E2590" s="6">
        <v>54.0</v>
      </c>
    </row>
    <row r="2591">
      <c r="A2591" s="4" t="s">
        <v>5152</v>
      </c>
      <c r="B2591" s="5" t="s">
        <v>5153</v>
      </c>
      <c r="C2591" s="6">
        <v>5000.0</v>
      </c>
      <c r="D2591" s="6">
        <v>1.066666667</v>
      </c>
      <c r="E2591" s="6">
        <v>30.0</v>
      </c>
    </row>
    <row r="2592">
      <c r="A2592" s="4" t="s">
        <v>5154</v>
      </c>
      <c r="B2592" s="5" t="s">
        <v>5155</v>
      </c>
      <c r="C2592" s="6">
        <v>5000.0</v>
      </c>
      <c r="D2592" s="6">
        <v>2.857142857</v>
      </c>
      <c r="E2592" s="6">
        <v>21.0</v>
      </c>
    </row>
    <row r="2593">
      <c r="A2593" s="4" t="s">
        <v>5156</v>
      </c>
      <c r="B2593" s="5" t="s">
        <v>5157</v>
      </c>
      <c r="C2593" s="6">
        <v>5000.0</v>
      </c>
      <c r="D2593" s="6">
        <v>4.304347826</v>
      </c>
      <c r="E2593" s="6">
        <v>69.0</v>
      </c>
    </row>
    <row r="2594">
      <c r="A2594" s="4" t="s">
        <v>5158</v>
      </c>
      <c r="B2594" s="5" t="s">
        <v>5159</v>
      </c>
      <c r="C2594" s="6">
        <v>5000.0</v>
      </c>
      <c r="D2594" s="6">
        <v>3.295081967</v>
      </c>
      <c r="E2594" s="6">
        <v>61.0</v>
      </c>
    </row>
    <row r="2595">
      <c r="A2595" s="4" t="s">
        <v>5160</v>
      </c>
      <c r="B2595" s="5" t="s">
        <v>5161</v>
      </c>
      <c r="C2595" s="6">
        <v>5000.0</v>
      </c>
      <c r="D2595" s="6">
        <v>3.724137931</v>
      </c>
      <c r="E2595" s="6">
        <v>29.0</v>
      </c>
    </row>
    <row r="2596">
      <c r="A2596" s="4" t="s">
        <v>5162</v>
      </c>
      <c r="B2596" s="5" t="s">
        <v>5163</v>
      </c>
      <c r="C2596" s="6">
        <v>5000.0</v>
      </c>
      <c r="D2596" s="6">
        <v>5.0</v>
      </c>
      <c r="E2596" s="6">
        <v>1.0</v>
      </c>
    </row>
    <row r="2597">
      <c r="A2597" s="4" t="s">
        <v>5164</v>
      </c>
      <c r="B2597" s="5" t="s">
        <v>5165</v>
      </c>
      <c r="C2597" s="6">
        <v>5000.0</v>
      </c>
      <c r="D2597" s="6">
        <v>4.555555556</v>
      </c>
      <c r="E2597" s="6">
        <v>9.0</v>
      </c>
    </row>
    <row r="2598">
      <c r="A2598" s="4" t="s">
        <v>5166</v>
      </c>
      <c r="B2598" s="5" t="s">
        <v>5167</v>
      </c>
      <c r="C2598" s="6">
        <v>5000.0</v>
      </c>
      <c r="D2598" s="6">
        <v>3.666666667</v>
      </c>
      <c r="E2598" s="6">
        <v>3.0</v>
      </c>
    </row>
    <row r="2599">
      <c r="A2599" s="4" t="s">
        <v>5168</v>
      </c>
      <c r="B2599" s="5" t="s">
        <v>5169</v>
      </c>
      <c r="C2599" s="6">
        <v>5000.0</v>
      </c>
      <c r="D2599" s="6">
        <v>4.417910448</v>
      </c>
      <c r="E2599" s="6">
        <v>67.0</v>
      </c>
    </row>
    <row r="2600">
      <c r="A2600" s="4" t="s">
        <v>5170</v>
      </c>
      <c r="B2600" s="5" t="s">
        <v>5171</v>
      </c>
      <c r="C2600" s="6">
        <v>5000.0</v>
      </c>
      <c r="D2600" s="6">
        <v>2.432432432</v>
      </c>
      <c r="E2600" s="6">
        <v>37.0</v>
      </c>
    </row>
    <row r="2601">
      <c r="A2601" s="4" t="s">
        <v>5172</v>
      </c>
      <c r="B2601" s="5" t="s">
        <v>5173</v>
      </c>
      <c r="C2601" s="6">
        <v>5000.0</v>
      </c>
      <c r="D2601" s="9"/>
      <c r="E2601" s="9"/>
    </row>
    <row r="2602">
      <c r="A2602" s="4" t="s">
        <v>5174</v>
      </c>
      <c r="B2602" s="5" t="s">
        <v>5175</v>
      </c>
      <c r="C2602" s="6">
        <v>5000.0</v>
      </c>
      <c r="D2602" s="6">
        <v>4.5</v>
      </c>
      <c r="E2602" s="6">
        <v>20.0</v>
      </c>
    </row>
    <row r="2603">
      <c r="A2603" s="4" t="s">
        <v>5176</v>
      </c>
      <c r="B2603" s="5" t="s">
        <v>5177</v>
      </c>
      <c r="C2603" s="6">
        <v>5000.0</v>
      </c>
      <c r="D2603" s="6">
        <v>4.541666667</v>
      </c>
      <c r="E2603" s="6">
        <v>24.0</v>
      </c>
    </row>
    <row r="2604">
      <c r="A2604" s="4" t="s">
        <v>5178</v>
      </c>
      <c r="B2604" s="5" t="s">
        <v>5179</v>
      </c>
      <c r="C2604" s="6">
        <v>5000.0</v>
      </c>
      <c r="D2604" s="6">
        <v>4.341463415</v>
      </c>
      <c r="E2604" s="6">
        <v>41.0</v>
      </c>
    </row>
    <row r="2605">
      <c r="A2605" s="4" t="s">
        <v>5180</v>
      </c>
      <c r="B2605" s="5" t="s">
        <v>5181</v>
      </c>
      <c r="C2605" s="6">
        <v>5000.0</v>
      </c>
      <c r="D2605" s="6">
        <v>3.5</v>
      </c>
      <c r="E2605" s="6">
        <v>8.0</v>
      </c>
    </row>
    <row r="2606">
      <c r="A2606" s="4" t="s">
        <v>5182</v>
      </c>
      <c r="B2606" s="5" t="s">
        <v>5183</v>
      </c>
      <c r="C2606" s="6">
        <v>5000.0</v>
      </c>
      <c r="D2606" s="6">
        <v>3.991596639</v>
      </c>
      <c r="E2606" s="6">
        <v>119.0</v>
      </c>
    </row>
    <row r="2607">
      <c r="A2607" s="4" t="s">
        <v>5184</v>
      </c>
      <c r="B2607" s="5" t="s">
        <v>5185</v>
      </c>
      <c r="C2607" s="6">
        <v>5000.0</v>
      </c>
      <c r="D2607" s="6">
        <v>5.0</v>
      </c>
      <c r="E2607" s="6">
        <v>19.0</v>
      </c>
    </row>
    <row r="2608">
      <c r="A2608" s="4" t="s">
        <v>5186</v>
      </c>
      <c r="B2608" s="5" t="s">
        <v>5187</v>
      </c>
      <c r="C2608" s="6">
        <v>5000.0</v>
      </c>
      <c r="D2608" s="6">
        <v>4.291666667</v>
      </c>
      <c r="E2608" s="6">
        <v>24.0</v>
      </c>
    </row>
    <row r="2609">
      <c r="A2609" s="4" t="s">
        <v>5188</v>
      </c>
      <c r="B2609" s="5" t="s">
        <v>5189</v>
      </c>
      <c r="C2609" s="6">
        <v>5000.0</v>
      </c>
      <c r="D2609" s="6">
        <v>2.54954955</v>
      </c>
      <c r="E2609" s="6">
        <v>111.0</v>
      </c>
    </row>
    <row r="2610">
      <c r="A2610" s="4" t="s">
        <v>5190</v>
      </c>
      <c r="B2610" s="5" t="s">
        <v>5191</v>
      </c>
      <c r="C2610" s="6">
        <v>5000.0</v>
      </c>
      <c r="D2610" s="6">
        <v>4.6</v>
      </c>
      <c r="E2610" s="6">
        <v>90.0</v>
      </c>
    </row>
    <row r="2611">
      <c r="A2611" s="4" t="s">
        <v>5192</v>
      </c>
      <c r="B2611" s="5" t="s">
        <v>5193</v>
      </c>
      <c r="C2611" s="6">
        <v>5000.0</v>
      </c>
      <c r="D2611" s="6">
        <v>4.181818182</v>
      </c>
      <c r="E2611" s="6">
        <v>77.0</v>
      </c>
    </row>
    <row r="2612">
      <c r="A2612" s="4" t="s">
        <v>5194</v>
      </c>
      <c r="B2612" s="5" t="s">
        <v>5195</v>
      </c>
      <c r="C2612" s="6">
        <v>5000.0</v>
      </c>
      <c r="D2612" s="6">
        <v>3.5</v>
      </c>
      <c r="E2612" s="6">
        <v>2.0</v>
      </c>
    </row>
    <row r="2613">
      <c r="A2613" s="4" t="s">
        <v>5196</v>
      </c>
      <c r="B2613" s="5" t="s">
        <v>5197</v>
      </c>
      <c r="C2613" s="6">
        <v>5000.0</v>
      </c>
      <c r="D2613" s="6">
        <v>4.61971831</v>
      </c>
      <c r="E2613" s="6">
        <v>71.0</v>
      </c>
    </row>
    <row r="2614">
      <c r="A2614" s="4" t="s">
        <v>5198</v>
      </c>
      <c r="B2614" s="5" t="s">
        <v>5199</v>
      </c>
      <c r="C2614" s="6">
        <v>5000.0</v>
      </c>
      <c r="D2614" s="6">
        <v>3.347826087</v>
      </c>
      <c r="E2614" s="6">
        <v>46.0</v>
      </c>
    </row>
    <row r="2615">
      <c r="A2615" s="4" t="s">
        <v>5200</v>
      </c>
      <c r="B2615" s="5" t="s">
        <v>5201</v>
      </c>
      <c r="C2615" s="6">
        <v>5000.0</v>
      </c>
      <c r="D2615" s="6">
        <v>4.71875</v>
      </c>
      <c r="E2615" s="6">
        <v>64.0</v>
      </c>
    </row>
    <row r="2616">
      <c r="A2616" s="4" t="s">
        <v>5202</v>
      </c>
      <c r="B2616" s="5" t="s">
        <v>5203</v>
      </c>
      <c r="C2616" s="6">
        <v>5000.0</v>
      </c>
      <c r="D2616" s="6">
        <v>3.709677419</v>
      </c>
      <c r="E2616" s="6">
        <v>62.0</v>
      </c>
    </row>
    <row r="2617">
      <c r="A2617" s="4" t="s">
        <v>5204</v>
      </c>
      <c r="B2617" s="5" t="s">
        <v>5205</v>
      </c>
      <c r="C2617" s="6">
        <v>5000.0</v>
      </c>
      <c r="D2617" s="6">
        <v>4.803921569</v>
      </c>
      <c r="E2617" s="6">
        <v>51.0</v>
      </c>
    </row>
    <row r="2618">
      <c r="A2618" s="4" t="s">
        <v>5206</v>
      </c>
      <c r="B2618" s="5" t="s">
        <v>5207</v>
      </c>
      <c r="C2618" s="6">
        <v>5000.0</v>
      </c>
      <c r="D2618" s="9"/>
      <c r="E2618" s="9"/>
    </row>
    <row r="2619">
      <c r="A2619" s="4" t="s">
        <v>5208</v>
      </c>
      <c r="B2619" s="5" t="s">
        <v>5209</v>
      </c>
      <c r="C2619" s="6">
        <v>5000.0</v>
      </c>
      <c r="D2619" s="6">
        <v>4.553571429</v>
      </c>
      <c r="E2619" s="6">
        <v>56.0</v>
      </c>
    </row>
    <row r="2620">
      <c r="A2620" s="4" t="s">
        <v>5210</v>
      </c>
      <c r="B2620" s="5" t="s">
        <v>5211</v>
      </c>
      <c r="C2620" s="6">
        <v>5000.0</v>
      </c>
      <c r="D2620" s="6">
        <v>4.384615385</v>
      </c>
      <c r="E2620" s="6">
        <v>13.0</v>
      </c>
    </row>
    <row r="2621">
      <c r="A2621" s="4" t="s">
        <v>5212</v>
      </c>
      <c r="B2621" s="5" t="s">
        <v>5213</v>
      </c>
      <c r="C2621" s="6">
        <v>5000.0</v>
      </c>
      <c r="D2621" s="6">
        <v>4.37037037</v>
      </c>
      <c r="E2621" s="6">
        <v>27.0</v>
      </c>
    </row>
    <row r="2622">
      <c r="A2622" s="4" t="s">
        <v>5214</v>
      </c>
      <c r="B2622" s="5" t="s">
        <v>5215</v>
      </c>
      <c r="C2622" s="6">
        <v>5000.0</v>
      </c>
      <c r="D2622" s="6">
        <v>4.0</v>
      </c>
      <c r="E2622" s="6">
        <v>19.0</v>
      </c>
    </row>
    <row r="2623">
      <c r="A2623" s="4" t="s">
        <v>5216</v>
      </c>
      <c r="B2623" s="5" t="s">
        <v>5217</v>
      </c>
      <c r="C2623" s="6">
        <v>5000.0</v>
      </c>
      <c r="D2623" s="6">
        <v>4.592592593</v>
      </c>
      <c r="E2623" s="6">
        <v>27.0</v>
      </c>
    </row>
    <row r="2624">
      <c r="A2624" s="4" t="s">
        <v>5218</v>
      </c>
      <c r="B2624" s="5" t="s">
        <v>5219</v>
      </c>
      <c r="C2624" s="6">
        <v>5000.0</v>
      </c>
      <c r="D2624" s="6">
        <v>4.576271186</v>
      </c>
      <c r="E2624" s="6">
        <v>59.0</v>
      </c>
    </row>
    <row r="2625">
      <c r="A2625" s="4" t="s">
        <v>5220</v>
      </c>
      <c r="B2625" s="5" t="s">
        <v>5221</v>
      </c>
      <c r="C2625" s="6">
        <v>5000.0</v>
      </c>
      <c r="D2625" s="6">
        <v>3.666666667</v>
      </c>
      <c r="E2625" s="6">
        <v>3.0</v>
      </c>
    </row>
    <row r="2626">
      <c r="A2626" s="4" t="s">
        <v>5222</v>
      </c>
      <c r="B2626" s="5" t="s">
        <v>5223</v>
      </c>
      <c r="C2626" s="6">
        <v>5000.0</v>
      </c>
      <c r="D2626" s="6">
        <v>3.820224719</v>
      </c>
      <c r="E2626" s="6">
        <v>89.0</v>
      </c>
    </row>
    <row r="2627">
      <c r="A2627" s="4" t="s">
        <v>227</v>
      </c>
      <c r="B2627" s="5" t="s">
        <v>5224</v>
      </c>
      <c r="C2627" s="6">
        <v>5000.0</v>
      </c>
      <c r="D2627" s="6">
        <v>4.0</v>
      </c>
      <c r="E2627" s="6">
        <v>9.0</v>
      </c>
    </row>
    <row r="2628">
      <c r="A2628" s="4" t="s">
        <v>5225</v>
      </c>
      <c r="B2628" s="5" t="s">
        <v>5226</v>
      </c>
      <c r="C2628" s="6">
        <v>5000.0</v>
      </c>
      <c r="D2628" s="6">
        <v>3.8</v>
      </c>
      <c r="E2628" s="6">
        <v>20.0</v>
      </c>
    </row>
    <row r="2629">
      <c r="A2629" s="4" t="s">
        <v>5227</v>
      </c>
      <c r="B2629" s="5" t="s">
        <v>5228</v>
      </c>
      <c r="C2629" s="6">
        <v>5000.0</v>
      </c>
      <c r="D2629" s="6">
        <v>4.355371901</v>
      </c>
      <c r="E2629" s="6">
        <v>121.0</v>
      </c>
    </row>
    <row r="2630">
      <c r="A2630" s="4" t="s">
        <v>5229</v>
      </c>
      <c r="B2630" s="5" t="s">
        <v>5230</v>
      </c>
      <c r="C2630" s="6">
        <v>5000.0</v>
      </c>
      <c r="D2630" s="9"/>
      <c r="E2630" s="9"/>
    </row>
    <row r="2631">
      <c r="A2631" s="4" t="s">
        <v>5231</v>
      </c>
      <c r="B2631" s="5" t="s">
        <v>5232</v>
      </c>
      <c r="C2631" s="6">
        <v>5000.0</v>
      </c>
      <c r="D2631" s="6">
        <v>3.783505155</v>
      </c>
      <c r="E2631" s="6">
        <v>97.0</v>
      </c>
    </row>
    <row r="2632">
      <c r="A2632" s="4" t="s">
        <v>5233</v>
      </c>
      <c r="B2632" s="5" t="s">
        <v>5234</v>
      </c>
      <c r="C2632" s="6">
        <v>5000.0</v>
      </c>
      <c r="D2632" s="6">
        <v>4.384615385</v>
      </c>
      <c r="E2632" s="6">
        <v>91.0</v>
      </c>
    </row>
    <row r="2633">
      <c r="A2633" s="4" t="s">
        <v>5235</v>
      </c>
      <c r="B2633" s="5" t="s">
        <v>5236</v>
      </c>
      <c r="C2633" s="6">
        <v>5000.0</v>
      </c>
      <c r="D2633" s="6">
        <v>3.258064516</v>
      </c>
      <c r="E2633" s="6">
        <v>31.0</v>
      </c>
    </row>
    <row r="2634">
      <c r="A2634" s="4" t="s">
        <v>5237</v>
      </c>
      <c r="B2634" s="5" t="s">
        <v>5238</v>
      </c>
      <c r="C2634" s="6">
        <v>5000.0</v>
      </c>
      <c r="D2634" s="6">
        <v>4.379746835</v>
      </c>
      <c r="E2634" s="6">
        <v>79.0</v>
      </c>
    </row>
    <row r="2635">
      <c r="A2635" s="4" t="s">
        <v>5239</v>
      </c>
      <c r="B2635" s="5" t="s">
        <v>5240</v>
      </c>
      <c r="C2635" s="6">
        <v>5000.0</v>
      </c>
      <c r="D2635" s="6">
        <v>4.097222222</v>
      </c>
      <c r="E2635" s="6">
        <v>72.0</v>
      </c>
    </row>
    <row r="2636">
      <c r="A2636" s="4" t="s">
        <v>5241</v>
      </c>
      <c r="B2636" s="5" t="s">
        <v>5242</v>
      </c>
      <c r="C2636" s="6">
        <v>5000.0</v>
      </c>
      <c r="D2636" s="6">
        <v>4.5</v>
      </c>
      <c r="E2636" s="6">
        <v>50.0</v>
      </c>
    </row>
    <row r="2637">
      <c r="A2637" s="4" t="s">
        <v>5243</v>
      </c>
      <c r="B2637" s="5" t="s">
        <v>5244</v>
      </c>
      <c r="C2637" s="6">
        <v>5000.0</v>
      </c>
      <c r="D2637" s="6">
        <v>1.842105263</v>
      </c>
      <c r="E2637" s="6">
        <v>19.0</v>
      </c>
    </row>
    <row r="2638">
      <c r="A2638" s="4" t="s">
        <v>5245</v>
      </c>
      <c r="B2638" s="5" t="s">
        <v>5246</v>
      </c>
      <c r="C2638" s="6">
        <v>5000.0</v>
      </c>
      <c r="D2638" s="6">
        <v>4.473214286</v>
      </c>
      <c r="E2638" s="6">
        <v>112.0</v>
      </c>
    </row>
    <row r="2639">
      <c r="A2639" s="4" t="s">
        <v>5247</v>
      </c>
      <c r="B2639" s="5" t="s">
        <v>5248</v>
      </c>
      <c r="C2639" s="6">
        <v>5000.0</v>
      </c>
      <c r="D2639" s="6">
        <v>3.694444444</v>
      </c>
      <c r="E2639" s="6">
        <v>36.0</v>
      </c>
    </row>
    <row r="2640">
      <c r="A2640" s="4" t="s">
        <v>5249</v>
      </c>
      <c r="B2640" s="5" t="s">
        <v>5250</v>
      </c>
      <c r="C2640" s="6">
        <v>5000.0</v>
      </c>
      <c r="D2640" s="6">
        <v>4.5625</v>
      </c>
      <c r="E2640" s="6">
        <v>32.0</v>
      </c>
    </row>
    <row r="2641">
      <c r="A2641" s="4" t="s">
        <v>5251</v>
      </c>
      <c r="B2641" s="5" t="s">
        <v>5252</v>
      </c>
      <c r="C2641" s="6">
        <v>5000.0</v>
      </c>
      <c r="D2641" s="6">
        <v>4.073170732</v>
      </c>
      <c r="E2641" s="6">
        <v>82.0</v>
      </c>
    </row>
    <row r="2642">
      <c r="A2642" s="4" t="s">
        <v>5253</v>
      </c>
      <c r="B2642" s="5" t="s">
        <v>5254</v>
      </c>
      <c r="C2642" s="6">
        <v>5000.0</v>
      </c>
      <c r="D2642" s="6">
        <v>3.955223881</v>
      </c>
      <c r="E2642" s="6">
        <v>67.0</v>
      </c>
    </row>
    <row r="2643">
      <c r="A2643" s="4" t="s">
        <v>5255</v>
      </c>
      <c r="B2643" s="5" t="s">
        <v>5256</v>
      </c>
      <c r="C2643" s="6">
        <v>5000.0</v>
      </c>
      <c r="D2643" s="6">
        <v>4.764705882</v>
      </c>
      <c r="E2643" s="6">
        <v>17.0</v>
      </c>
    </row>
    <row r="2644">
      <c r="A2644" s="4" t="s">
        <v>5257</v>
      </c>
      <c r="B2644" s="5" t="s">
        <v>5258</v>
      </c>
      <c r="C2644" s="6">
        <v>5000.0</v>
      </c>
      <c r="D2644" s="6">
        <v>1.0</v>
      </c>
      <c r="E2644" s="6">
        <v>1.0</v>
      </c>
    </row>
    <row r="2645">
      <c r="A2645" s="4" t="s">
        <v>5259</v>
      </c>
      <c r="B2645" s="5" t="s">
        <v>5260</v>
      </c>
      <c r="C2645" s="6">
        <v>5000.0</v>
      </c>
      <c r="D2645" s="6">
        <v>3.846153846</v>
      </c>
      <c r="E2645" s="6">
        <v>78.0</v>
      </c>
    </row>
    <row r="2646">
      <c r="A2646" s="4" t="s">
        <v>5261</v>
      </c>
      <c r="B2646" s="5" t="s">
        <v>5262</v>
      </c>
      <c r="C2646" s="6">
        <v>5000.0</v>
      </c>
      <c r="D2646" s="6">
        <v>4.561643836</v>
      </c>
      <c r="E2646" s="6">
        <v>73.0</v>
      </c>
    </row>
    <row r="2647">
      <c r="A2647" s="4" t="s">
        <v>5263</v>
      </c>
      <c r="B2647" s="5" t="s">
        <v>5264</v>
      </c>
      <c r="C2647" s="6">
        <v>5000.0</v>
      </c>
      <c r="D2647" s="6">
        <v>4.078947368</v>
      </c>
      <c r="E2647" s="6">
        <v>38.0</v>
      </c>
    </row>
    <row r="2648">
      <c r="A2648" s="4" t="s">
        <v>5265</v>
      </c>
      <c r="B2648" s="5" t="s">
        <v>5266</v>
      </c>
      <c r="C2648" s="6">
        <v>5000.0</v>
      </c>
      <c r="D2648" s="6">
        <v>4.309090909</v>
      </c>
      <c r="E2648" s="6">
        <v>55.0</v>
      </c>
    </row>
    <row r="2649">
      <c r="A2649" s="4" t="s">
        <v>5267</v>
      </c>
      <c r="B2649" s="5" t="s">
        <v>5268</v>
      </c>
      <c r="C2649" s="6">
        <v>5000.0</v>
      </c>
      <c r="D2649" s="6">
        <v>4.578947368</v>
      </c>
      <c r="E2649" s="6">
        <v>38.0</v>
      </c>
    </row>
    <row r="2650">
      <c r="A2650" s="4" t="s">
        <v>5269</v>
      </c>
      <c r="B2650" s="5" t="s">
        <v>5270</v>
      </c>
      <c r="C2650" s="6">
        <v>5000.0</v>
      </c>
      <c r="D2650" s="6">
        <v>5.0</v>
      </c>
      <c r="E2650" s="6">
        <v>2.0</v>
      </c>
    </row>
    <row r="2651">
      <c r="A2651" s="4" t="s">
        <v>5271</v>
      </c>
      <c r="B2651" s="5" t="s">
        <v>5272</v>
      </c>
      <c r="C2651" s="6">
        <v>5000.0</v>
      </c>
      <c r="D2651" s="6">
        <v>4.8</v>
      </c>
      <c r="E2651" s="6">
        <v>20.0</v>
      </c>
    </row>
    <row r="2652">
      <c r="A2652" s="4" t="s">
        <v>5273</v>
      </c>
      <c r="B2652" s="5" t="s">
        <v>5274</v>
      </c>
      <c r="C2652" s="6">
        <v>5000.0</v>
      </c>
      <c r="D2652" s="6">
        <v>3.733333333</v>
      </c>
      <c r="E2652" s="6">
        <v>15.0</v>
      </c>
    </row>
    <row r="2653">
      <c r="A2653" s="4" t="s">
        <v>5275</v>
      </c>
      <c r="B2653" s="5" t="s">
        <v>5276</v>
      </c>
      <c r="C2653" s="6">
        <v>5000.0</v>
      </c>
      <c r="D2653" s="6">
        <v>4.25</v>
      </c>
      <c r="E2653" s="6">
        <v>28.0</v>
      </c>
    </row>
    <row r="2654">
      <c r="A2654" s="4" t="s">
        <v>5277</v>
      </c>
      <c r="B2654" s="5" t="s">
        <v>5278</v>
      </c>
      <c r="C2654" s="6">
        <v>5000.0</v>
      </c>
      <c r="D2654" s="6">
        <v>4.316666667</v>
      </c>
      <c r="E2654" s="6">
        <v>60.0</v>
      </c>
    </row>
    <row r="2655">
      <c r="A2655" s="4" t="s">
        <v>5279</v>
      </c>
      <c r="B2655" s="5" t="s">
        <v>5280</v>
      </c>
      <c r="C2655" s="6">
        <v>5000.0</v>
      </c>
      <c r="D2655" s="6">
        <v>4.541666667</v>
      </c>
      <c r="E2655" s="6">
        <v>24.0</v>
      </c>
    </row>
    <row r="2656">
      <c r="A2656" s="4" t="s">
        <v>5281</v>
      </c>
      <c r="B2656" s="5" t="s">
        <v>5282</v>
      </c>
      <c r="C2656" s="6">
        <v>5000.0</v>
      </c>
      <c r="D2656" s="6">
        <v>4.47826087</v>
      </c>
      <c r="E2656" s="6">
        <v>23.0</v>
      </c>
    </row>
    <row r="2657">
      <c r="A2657" s="4" t="s">
        <v>5283</v>
      </c>
      <c r="B2657" s="5" t="s">
        <v>5284</v>
      </c>
      <c r="C2657" s="6">
        <v>5000.0</v>
      </c>
      <c r="D2657" s="6">
        <v>3.333333333</v>
      </c>
      <c r="E2657" s="6">
        <v>12.0</v>
      </c>
    </row>
    <row r="2658">
      <c r="A2658" s="4" t="s">
        <v>5285</v>
      </c>
      <c r="B2658" s="5" t="s">
        <v>5286</v>
      </c>
      <c r="C2658" s="6">
        <v>5000.0</v>
      </c>
      <c r="D2658" s="6">
        <v>4.7</v>
      </c>
      <c r="E2658" s="6">
        <v>20.0</v>
      </c>
    </row>
    <row r="2659">
      <c r="A2659" s="4" t="s">
        <v>5287</v>
      </c>
      <c r="B2659" s="5" t="s">
        <v>5288</v>
      </c>
      <c r="C2659" s="6">
        <v>5000.0</v>
      </c>
      <c r="D2659" s="6">
        <v>4.530973451</v>
      </c>
      <c r="E2659" s="6">
        <v>113.0</v>
      </c>
    </row>
    <row r="2660">
      <c r="A2660" s="4" t="s">
        <v>5289</v>
      </c>
      <c r="B2660" s="5" t="s">
        <v>5290</v>
      </c>
      <c r="C2660" s="6">
        <v>5000.0</v>
      </c>
      <c r="D2660" s="6">
        <v>4.779092702</v>
      </c>
      <c r="E2660" s="6">
        <v>507.0</v>
      </c>
    </row>
    <row r="2661">
      <c r="A2661" s="4" t="s">
        <v>5291</v>
      </c>
      <c r="B2661" s="5" t="s">
        <v>5292</v>
      </c>
      <c r="C2661" s="6">
        <v>5000.0</v>
      </c>
      <c r="D2661" s="6">
        <v>4.888888889</v>
      </c>
      <c r="E2661" s="6">
        <v>18.0</v>
      </c>
    </row>
    <row r="2662">
      <c r="A2662" s="4" t="s">
        <v>5293</v>
      </c>
      <c r="B2662" s="5" t="s">
        <v>5294</v>
      </c>
      <c r="C2662" s="6">
        <v>5000.0</v>
      </c>
      <c r="D2662" s="6">
        <v>4.05</v>
      </c>
      <c r="E2662" s="6">
        <v>40.0</v>
      </c>
    </row>
    <row r="2663">
      <c r="A2663" s="4" t="s">
        <v>5295</v>
      </c>
      <c r="B2663" s="5" t="s">
        <v>5296</v>
      </c>
      <c r="C2663" s="6">
        <v>5000.0</v>
      </c>
      <c r="D2663" s="6">
        <v>3.944444444</v>
      </c>
      <c r="E2663" s="6">
        <v>18.0</v>
      </c>
    </row>
    <row r="2664">
      <c r="A2664" s="4" t="s">
        <v>5297</v>
      </c>
      <c r="B2664" s="5" t="s">
        <v>5298</v>
      </c>
      <c r="C2664" s="6">
        <v>5000.0</v>
      </c>
      <c r="D2664" s="6">
        <v>3.875</v>
      </c>
      <c r="E2664" s="6">
        <v>8.0</v>
      </c>
    </row>
    <row r="2665">
      <c r="A2665" s="4" t="s">
        <v>5299</v>
      </c>
      <c r="B2665" s="5" t="s">
        <v>5300</v>
      </c>
      <c r="C2665" s="6">
        <v>5000.0</v>
      </c>
      <c r="D2665" s="6">
        <v>3.206896552</v>
      </c>
      <c r="E2665" s="6">
        <v>29.0</v>
      </c>
    </row>
    <row r="2666">
      <c r="A2666" s="4" t="s">
        <v>5301</v>
      </c>
      <c r="B2666" s="5" t="s">
        <v>5302</v>
      </c>
      <c r="C2666" s="6">
        <v>5000.0</v>
      </c>
      <c r="D2666" s="6">
        <v>3.821243523</v>
      </c>
      <c r="E2666" s="6">
        <v>386.0</v>
      </c>
    </row>
    <row r="2667">
      <c r="A2667" s="4" t="s">
        <v>5303</v>
      </c>
      <c r="B2667" s="5" t="s">
        <v>5304</v>
      </c>
      <c r="C2667" s="6">
        <v>5000.0</v>
      </c>
      <c r="D2667" s="6">
        <v>2.051724138</v>
      </c>
      <c r="E2667" s="6">
        <v>58.0</v>
      </c>
    </row>
    <row r="2668">
      <c r="A2668" s="4" t="s">
        <v>5305</v>
      </c>
      <c r="B2668" s="5" t="s">
        <v>5306</v>
      </c>
      <c r="C2668" s="6">
        <v>5000.0</v>
      </c>
      <c r="D2668" s="6">
        <v>2.543478261</v>
      </c>
      <c r="E2668" s="6">
        <v>46.0</v>
      </c>
    </row>
    <row r="2669">
      <c r="A2669" s="4" t="s">
        <v>5307</v>
      </c>
      <c r="B2669" s="5" t="s">
        <v>5308</v>
      </c>
      <c r="C2669" s="6">
        <v>5000.0</v>
      </c>
      <c r="D2669" s="6">
        <v>4.8</v>
      </c>
      <c r="E2669" s="6">
        <v>10.0</v>
      </c>
    </row>
    <row r="2670">
      <c r="A2670" s="4" t="s">
        <v>5309</v>
      </c>
      <c r="B2670" s="5" t="s">
        <v>5310</v>
      </c>
      <c r="C2670" s="6">
        <v>5000.0</v>
      </c>
      <c r="D2670" s="6">
        <v>4.25</v>
      </c>
      <c r="E2670" s="6">
        <v>12.0</v>
      </c>
    </row>
    <row r="2671">
      <c r="A2671" s="4" t="s">
        <v>5311</v>
      </c>
      <c r="B2671" s="5" t="s">
        <v>5312</v>
      </c>
      <c r="C2671" s="6">
        <v>5000.0</v>
      </c>
      <c r="D2671" s="6">
        <v>4.228571429</v>
      </c>
      <c r="E2671" s="6">
        <v>35.0</v>
      </c>
    </row>
    <row r="2672">
      <c r="A2672" s="4" t="s">
        <v>5313</v>
      </c>
      <c r="B2672" s="5" t="s">
        <v>5314</v>
      </c>
      <c r="C2672" s="6">
        <v>5000.0</v>
      </c>
      <c r="D2672" s="6">
        <v>4.384615385</v>
      </c>
      <c r="E2672" s="6">
        <v>52.0</v>
      </c>
    </row>
    <row r="2673">
      <c r="A2673" s="4" t="s">
        <v>5315</v>
      </c>
      <c r="B2673" s="5" t="s">
        <v>5316</v>
      </c>
      <c r="C2673" s="6">
        <v>5000.0</v>
      </c>
      <c r="D2673" s="6">
        <v>2.470588235</v>
      </c>
      <c r="E2673" s="6">
        <v>34.0</v>
      </c>
    </row>
    <row r="2674">
      <c r="A2674" s="4" t="s">
        <v>5317</v>
      </c>
      <c r="B2674" s="5" t="s">
        <v>5318</v>
      </c>
      <c r="C2674" s="6">
        <v>5000.0</v>
      </c>
      <c r="D2674" s="6">
        <v>4.620967742</v>
      </c>
      <c r="E2674" s="6">
        <v>124.0</v>
      </c>
    </row>
    <row r="2675">
      <c r="A2675" s="4" t="s">
        <v>5319</v>
      </c>
      <c r="B2675" s="5" t="s">
        <v>5320</v>
      </c>
      <c r="C2675" s="6">
        <v>5000.0</v>
      </c>
      <c r="D2675" s="6">
        <v>2.580645161</v>
      </c>
      <c r="E2675" s="6">
        <v>31.0</v>
      </c>
    </row>
    <row r="2676">
      <c r="A2676" s="4" t="s">
        <v>5321</v>
      </c>
      <c r="B2676" s="5" t="s">
        <v>5322</v>
      </c>
      <c r="C2676" s="6">
        <v>5000.0</v>
      </c>
      <c r="D2676" s="6">
        <v>3.255813953</v>
      </c>
      <c r="E2676" s="6">
        <v>43.0</v>
      </c>
    </row>
    <row r="2677">
      <c r="A2677" s="4" t="s">
        <v>5323</v>
      </c>
      <c r="B2677" s="5" t="s">
        <v>5324</v>
      </c>
      <c r="C2677" s="6">
        <v>5000.0</v>
      </c>
      <c r="D2677" s="6">
        <v>4.366666667</v>
      </c>
      <c r="E2677" s="6">
        <v>30.0</v>
      </c>
    </row>
    <row r="2678">
      <c r="A2678" s="4" t="s">
        <v>5325</v>
      </c>
      <c r="B2678" s="5" t="s">
        <v>5326</v>
      </c>
      <c r="C2678" s="6">
        <v>5000.0</v>
      </c>
      <c r="D2678" s="6">
        <v>4.524390244</v>
      </c>
      <c r="E2678" s="6">
        <v>82.0</v>
      </c>
    </row>
    <row r="2679">
      <c r="A2679" s="4" t="s">
        <v>5327</v>
      </c>
      <c r="B2679" s="5" t="s">
        <v>5328</v>
      </c>
      <c r="C2679" s="6">
        <v>5000.0</v>
      </c>
      <c r="D2679" s="6">
        <v>4.0</v>
      </c>
      <c r="E2679" s="6">
        <v>5.0</v>
      </c>
    </row>
    <row r="2680">
      <c r="A2680" s="4" t="s">
        <v>5329</v>
      </c>
      <c r="B2680" s="5" t="s">
        <v>5330</v>
      </c>
      <c r="C2680" s="6">
        <v>5000.0</v>
      </c>
      <c r="D2680" s="6">
        <v>3.466666667</v>
      </c>
      <c r="E2680" s="6">
        <v>15.0</v>
      </c>
    </row>
    <row r="2681">
      <c r="A2681" s="4" t="s">
        <v>5331</v>
      </c>
      <c r="B2681" s="5" t="s">
        <v>5332</v>
      </c>
      <c r="C2681" s="6">
        <v>5000.0</v>
      </c>
      <c r="D2681" s="6">
        <v>2.922077922</v>
      </c>
      <c r="E2681" s="6">
        <v>77.0</v>
      </c>
    </row>
    <row r="2682">
      <c r="A2682" s="4" t="s">
        <v>5333</v>
      </c>
      <c r="B2682" s="5" t="s">
        <v>5334</v>
      </c>
      <c r="C2682" s="6">
        <v>5000.0</v>
      </c>
      <c r="D2682" s="6">
        <v>3.142857143</v>
      </c>
      <c r="E2682" s="6">
        <v>126.0</v>
      </c>
    </row>
    <row r="2683">
      <c r="A2683" s="4" t="s">
        <v>5335</v>
      </c>
      <c r="B2683" s="5" t="s">
        <v>5336</v>
      </c>
      <c r="C2683" s="6">
        <v>5000.0</v>
      </c>
      <c r="D2683" s="6">
        <v>3.724137931</v>
      </c>
      <c r="E2683" s="6">
        <v>87.0</v>
      </c>
    </row>
    <row r="2684">
      <c r="A2684" s="4" t="s">
        <v>5337</v>
      </c>
      <c r="B2684" s="5" t="s">
        <v>5338</v>
      </c>
      <c r="C2684" s="6">
        <v>5000.0</v>
      </c>
      <c r="D2684" s="6">
        <v>3.12</v>
      </c>
      <c r="E2684" s="6">
        <v>50.0</v>
      </c>
    </row>
    <row r="2685">
      <c r="A2685" s="4" t="s">
        <v>2693</v>
      </c>
      <c r="B2685" s="5" t="s">
        <v>5339</v>
      </c>
      <c r="C2685" s="6">
        <v>5000.0</v>
      </c>
      <c r="D2685" s="6">
        <v>4.103896104</v>
      </c>
      <c r="E2685" s="6">
        <v>77.0</v>
      </c>
    </row>
    <row r="2686">
      <c r="A2686" s="4" t="s">
        <v>5340</v>
      </c>
      <c r="B2686" s="5" t="s">
        <v>5341</v>
      </c>
      <c r="C2686" s="6">
        <v>5000.0</v>
      </c>
      <c r="D2686" s="6">
        <v>2.384615385</v>
      </c>
      <c r="E2686" s="6">
        <v>26.0</v>
      </c>
    </row>
    <row r="2687">
      <c r="A2687" s="4" t="s">
        <v>5342</v>
      </c>
      <c r="B2687" s="5" t="s">
        <v>5343</v>
      </c>
      <c r="C2687" s="6">
        <v>5000.0</v>
      </c>
      <c r="D2687" s="6">
        <v>4.6</v>
      </c>
      <c r="E2687" s="6">
        <v>5.0</v>
      </c>
    </row>
    <row r="2688">
      <c r="A2688" s="4" t="s">
        <v>5344</v>
      </c>
      <c r="B2688" s="5" t="s">
        <v>5345</v>
      </c>
      <c r="C2688" s="6">
        <v>5000.0</v>
      </c>
      <c r="D2688" s="6">
        <v>3.2</v>
      </c>
      <c r="E2688" s="6">
        <v>10.0</v>
      </c>
    </row>
    <row r="2689">
      <c r="A2689" s="4" t="s">
        <v>5346</v>
      </c>
      <c r="B2689" s="5" t="s">
        <v>5347</v>
      </c>
      <c r="C2689" s="6">
        <v>5000.0</v>
      </c>
      <c r="D2689" s="6">
        <v>4.111111111</v>
      </c>
      <c r="E2689" s="6">
        <v>9.0</v>
      </c>
    </row>
    <row r="2690">
      <c r="A2690" s="4" t="s">
        <v>3898</v>
      </c>
      <c r="B2690" s="5" t="s">
        <v>5348</v>
      </c>
      <c r="C2690" s="6">
        <v>5000.0</v>
      </c>
      <c r="D2690" s="6">
        <v>4.325</v>
      </c>
      <c r="E2690" s="6">
        <v>40.0</v>
      </c>
    </row>
    <row r="2691">
      <c r="A2691" s="4" t="s">
        <v>5349</v>
      </c>
      <c r="B2691" s="5" t="s">
        <v>5350</v>
      </c>
      <c r="C2691" s="6">
        <v>5000.0</v>
      </c>
      <c r="D2691" s="6">
        <v>3.324324324</v>
      </c>
      <c r="E2691" s="6">
        <v>37.0</v>
      </c>
    </row>
    <row r="2692">
      <c r="A2692" s="4" t="s">
        <v>5351</v>
      </c>
      <c r="B2692" s="5" t="s">
        <v>5352</v>
      </c>
      <c r="C2692" s="6">
        <v>5000.0</v>
      </c>
      <c r="D2692" s="6">
        <v>4.085714286</v>
      </c>
      <c r="E2692" s="6">
        <v>35.0</v>
      </c>
    </row>
    <row r="2693">
      <c r="A2693" s="4" t="s">
        <v>5353</v>
      </c>
      <c r="B2693" s="5" t="s">
        <v>5354</v>
      </c>
      <c r="C2693" s="6">
        <v>5000.0</v>
      </c>
      <c r="D2693" s="6">
        <v>4.555555556</v>
      </c>
      <c r="E2693" s="6">
        <v>9.0</v>
      </c>
    </row>
    <row r="2694">
      <c r="A2694" s="4" t="s">
        <v>5355</v>
      </c>
      <c r="B2694" s="5" t="s">
        <v>5356</v>
      </c>
      <c r="C2694" s="6">
        <v>5000.0</v>
      </c>
      <c r="D2694" s="6">
        <v>5.0</v>
      </c>
      <c r="E2694" s="6">
        <v>4.0</v>
      </c>
    </row>
    <row r="2695">
      <c r="A2695" s="4" t="s">
        <v>5357</v>
      </c>
      <c r="B2695" s="5" t="s">
        <v>5358</v>
      </c>
      <c r="C2695" s="6">
        <v>5000.0</v>
      </c>
      <c r="D2695" s="6">
        <v>4.71875</v>
      </c>
      <c r="E2695" s="6">
        <v>32.0</v>
      </c>
    </row>
    <row r="2696">
      <c r="A2696" s="4" t="s">
        <v>5359</v>
      </c>
      <c r="B2696" s="5" t="s">
        <v>5360</v>
      </c>
      <c r="C2696" s="6">
        <v>5000.0</v>
      </c>
      <c r="D2696" s="6">
        <v>3.5</v>
      </c>
      <c r="E2696" s="6">
        <v>16.0</v>
      </c>
    </row>
    <row r="2697">
      <c r="A2697" s="4" t="s">
        <v>5361</v>
      </c>
      <c r="B2697" s="5" t="s">
        <v>5362</v>
      </c>
      <c r="C2697" s="6">
        <v>5000.0</v>
      </c>
      <c r="D2697" s="6">
        <v>4.307692308</v>
      </c>
      <c r="E2697" s="6">
        <v>13.0</v>
      </c>
    </row>
    <row r="2698">
      <c r="A2698" s="4" t="s">
        <v>5363</v>
      </c>
      <c r="B2698" s="5" t="s">
        <v>5364</v>
      </c>
      <c r="C2698" s="6">
        <v>5000.0</v>
      </c>
      <c r="D2698" s="6">
        <v>3.678571429</v>
      </c>
      <c r="E2698" s="6">
        <v>28.0</v>
      </c>
    </row>
    <row r="2699">
      <c r="A2699" s="4" t="s">
        <v>5365</v>
      </c>
      <c r="B2699" s="5" t="s">
        <v>5366</v>
      </c>
      <c r="C2699" s="6">
        <v>5000.0</v>
      </c>
      <c r="D2699" s="6">
        <v>2.918429003</v>
      </c>
      <c r="E2699" s="6">
        <v>331.0</v>
      </c>
    </row>
    <row r="2700">
      <c r="A2700" s="4" t="s">
        <v>5367</v>
      </c>
      <c r="B2700" s="5" t="s">
        <v>5368</v>
      </c>
      <c r="C2700" s="6">
        <v>5000.0</v>
      </c>
      <c r="D2700" s="6">
        <v>2.053571429</v>
      </c>
      <c r="E2700" s="6">
        <v>56.0</v>
      </c>
    </row>
    <row r="2701">
      <c r="A2701" s="4" t="s">
        <v>5369</v>
      </c>
      <c r="B2701" s="5" t="s">
        <v>5370</v>
      </c>
      <c r="C2701" s="6">
        <v>5000.0</v>
      </c>
      <c r="D2701" s="6">
        <v>3.2</v>
      </c>
      <c r="E2701" s="6">
        <v>5.0</v>
      </c>
    </row>
    <row r="2702">
      <c r="A2702" s="4" t="s">
        <v>5371</v>
      </c>
      <c r="B2702" s="5" t="s">
        <v>5372</v>
      </c>
      <c r="C2702" s="6">
        <v>5000.0</v>
      </c>
      <c r="D2702" s="6">
        <v>4.804878049</v>
      </c>
      <c r="E2702" s="6">
        <v>41.0</v>
      </c>
    </row>
    <row r="2703">
      <c r="A2703" s="4" t="s">
        <v>5373</v>
      </c>
      <c r="B2703" s="5" t="s">
        <v>5374</v>
      </c>
      <c r="C2703" s="6">
        <v>5000.0</v>
      </c>
      <c r="D2703" s="6">
        <v>4.923076923</v>
      </c>
      <c r="E2703" s="6">
        <v>130.0</v>
      </c>
    </row>
    <row r="2704">
      <c r="A2704" s="4" t="s">
        <v>5375</v>
      </c>
      <c r="B2704" s="5" t="s">
        <v>5376</v>
      </c>
      <c r="C2704" s="6">
        <v>5000.0</v>
      </c>
      <c r="D2704" s="6">
        <v>4.615384615</v>
      </c>
      <c r="E2704" s="6">
        <v>13.0</v>
      </c>
    </row>
    <row r="2705">
      <c r="A2705" s="4" t="s">
        <v>5377</v>
      </c>
      <c r="B2705" s="5" t="s">
        <v>5378</v>
      </c>
      <c r="C2705" s="6">
        <v>5000.0</v>
      </c>
      <c r="D2705" s="6">
        <v>4.237288136</v>
      </c>
      <c r="E2705" s="6">
        <v>59.0</v>
      </c>
    </row>
    <row r="2706">
      <c r="A2706" s="4" t="s">
        <v>5379</v>
      </c>
      <c r="B2706" s="5" t="s">
        <v>5380</v>
      </c>
      <c r="C2706" s="6">
        <v>5000.0</v>
      </c>
      <c r="D2706" s="6">
        <v>4.457364341</v>
      </c>
      <c r="E2706" s="6">
        <v>129.0</v>
      </c>
    </row>
    <row r="2707">
      <c r="A2707" s="4" t="s">
        <v>5381</v>
      </c>
      <c r="B2707" s="5" t="s">
        <v>5382</v>
      </c>
      <c r="C2707" s="6">
        <v>5000.0</v>
      </c>
      <c r="D2707" s="9"/>
      <c r="E2707" s="9"/>
    </row>
    <row r="2708">
      <c r="A2708" s="4" t="s">
        <v>5383</v>
      </c>
      <c r="B2708" s="5" t="s">
        <v>5384</v>
      </c>
      <c r="C2708" s="6">
        <v>5000.0</v>
      </c>
      <c r="D2708" s="6">
        <v>4.661764706</v>
      </c>
      <c r="E2708" s="6">
        <v>68.0</v>
      </c>
    </row>
    <row r="2709">
      <c r="A2709" s="4" t="s">
        <v>5385</v>
      </c>
      <c r="B2709" s="5" t="s">
        <v>5386</v>
      </c>
      <c r="C2709" s="6">
        <v>5000.0</v>
      </c>
      <c r="D2709" s="6">
        <v>4.676470588</v>
      </c>
      <c r="E2709" s="6">
        <v>34.0</v>
      </c>
    </row>
    <row r="2710">
      <c r="A2710" s="4" t="s">
        <v>5387</v>
      </c>
      <c r="B2710" s="5" t="s">
        <v>5388</v>
      </c>
      <c r="C2710" s="6">
        <v>5000.0</v>
      </c>
      <c r="D2710" s="6">
        <v>4.615384615</v>
      </c>
      <c r="E2710" s="6">
        <v>117.0</v>
      </c>
    </row>
    <row r="2711">
      <c r="A2711" s="4" t="s">
        <v>5389</v>
      </c>
      <c r="B2711" s="5" t="s">
        <v>5390</v>
      </c>
      <c r="C2711" s="6">
        <v>5000.0</v>
      </c>
      <c r="D2711" s="6">
        <v>3.699646643</v>
      </c>
      <c r="E2711" s="6">
        <v>283.0</v>
      </c>
    </row>
    <row r="2712">
      <c r="A2712" s="4" t="s">
        <v>5391</v>
      </c>
      <c r="B2712" s="5" t="s">
        <v>5392</v>
      </c>
      <c r="C2712" s="6">
        <v>5000.0</v>
      </c>
      <c r="D2712" s="6">
        <v>3.111111111</v>
      </c>
      <c r="E2712" s="6">
        <v>9.0</v>
      </c>
    </row>
    <row r="2713">
      <c r="A2713" s="4" t="s">
        <v>5393</v>
      </c>
      <c r="B2713" s="5" t="s">
        <v>5394</v>
      </c>
      <c r="C2713" s="6">
        <v>5000.0</v>
      </c>
      <c r="D2713" s="6">
        <v>4.56</v>
      </c>
      <c r="E2713" s="6">
        <v>25.0</v>
      </c>
    </row>
    <row r="2714">
      <c r="A2714" s="4" t="s">
        <v>5395</v>
      </c>
      <c r="B2714" s="5" t="s">
        <v>5396</v>
      </c>
      <c r="C2714" s="6">
        <v>5000.0</v>
      </c>
      <c r="D2714" s="6">
        <v>3.777777778</v>
      </c>
      <c r="E2714" s="6">
        <v>18.0</v>
      </c>
    </row>
    <row r="2715">
      <c r="A2715" s="4" t="s">
        <v>2500</v>
      </c>
      <c r="B2715" s="5" t="s">
        <v>5397</v>
      </c>
      <c r="C2715" s="6">
        <v>5000.0</v>
      </c>
      <c r="D2715" s="6">
        <v>2.857142857</v>
      </c>
      <c r="E2715" s="6">
        <v>7.0</v>
      </c>
    </row>
    <row r="2716">
      <c r="A2716" s="4" t="s">
        <v>5398</v>
      </c>
      <c r="B2716" s="5" t="s">
        <v>5399</v>
      </c>
      <c r="C2716" s="6">
        <v>5000.0</v>
      </c>
      <c r="D2716" s="6">
        <v>2.526315789</v>
      </c>
      <c r="E2716" s="6">
        <v>19.0</v>
      </c>
    </row>
    <row r="2717">
      <c r="A2717" s="4" t="s">
        <v>5400</v>
      </c>
      <c r="B2717" s="5" t="s">
        <v>5401</v>
      </c>
      <c r="C2717" s="6">
        <v>5000.0</v>
      </c>
      <c r="D2717" s="9"/>
      <c r="E2717" s="9"/>
    </row>
    <row r="2718">
      <c r="A2718" s="4" t="s">
        <v>5402</v>
      </c>
      <c r="B2718" s="5" t="s">
        <v>5403</v>
      </c>
      <c r="C2718" s="6">
        <v>5000.0</v>
      </c>
      <c r="D2718" s="6">
        <v>4.537313433</v>
      </c>
      <c r="E2718" s="6">
        <v>67.0</v>
      </c>
    </row>
    <row r="2719">
      <c r="A2719" s="4" t="s">
        <v>5404</v>
      </c>
      <c r="B2719" s="5" t="s">
        <v>5405</v>
      </c>
      <c r="C2719" s="6">
        <v>5000.0</v>
      </c>
      <c r="D2719" s="6">
        <v>3.166666667</v>
      </c>
      <c r="E2719" s="6">
        <v>12.0</v>
      </c>
    </row>
    <row r="2720">
      <c r="A2720" s="4" t="s">
        <v>5406</v>
      </c>
      <c r="B2720" s="5" t="s">
        <v>5407</v>
      </c>
      <c r="C2720" s="6">
        <v>5000.0</v>
      </c>
      <c r="D2720" s="6">
        <v>3.212121212</v>
      </c>
      <c r="E2720" s="6">
        <v>33.0</v>
      </c>
    </row>
    <row r="2721">
      <c r="A2721" s="4" t="s">
        <v>5408</v>
      </c>
      <c r="B2721" s="5" t="s">
        <v>5409</v>
      </c>
      <c r="C2721" s="6">
        <v>5000.0</v>
      </c>
      <c r="D2721" s="6">
        <v>4.0</v>
      </c>
      <c r="E2721" s="6">
        <v>26.0</v>
      </c>
    </row>
    <row r="2722">
      <c r="A2722" s="4" t="s">
        <v>5410</v>
      </c>
      <c r="B2722" s="5" t="s">
        <v>5411</v>
      </c>
      <c r="C2722" s="6">
        <v>5000.0</v>
      </c>
      <c r="D2722" s="6">
        <v>3.285714286</v>
      </c>
      <c r="E2722" s="6">
        <v>28.0</v>
      </c>
    </row>
    <row r="2723">
      <c r="A2723" s="4" t="s">
        <v>5412</v>
      </c>
      <c r="B2723" s="5" t="s">
        <v>5413</v>
      </c>
      <c r="C2723" s="6">
        <v>5000.0</v>
      </c>
      <c r="D2723" s="6">
        <v>4.0</v>
      </c>
      <c r="E2723" s="6">
        <v>6.0</v>
      </c>
    </row>
    <row r="2724">
      <c r="A2724" s="4" t="s">
        <v>5414</v>
      </c>
      <c r="B2724" s="5" t="s">
        <v>5415</v>
      </c>
      <c r="C2724" s="6">
        <v>5000.0</v>
      </c>
      <c r="D2724" s="6">
        <v>4.555555556</v>
      </c>
      <c r="E2724" s="6">
        <v>27.0</v>
      </c>
    </row>
    <row r="2725">
      <c r="A2725" s="4" t="s">
        <v>5416</v>
      </c>
      <c r="B2725" s="5" t="s">
        <v>5417</v>
      </c>
      <c r="C2725" s="6">
        <v>5000.0</v>
      </c>
      <c r="D2725" s="6">
        <v>3.0</v>
      </c>
      <c r="E2725" s="6">
        <v>9.0</v>
      </c>
    </row>
    <row r="2726">
      <c r="A2726" s="4" t="s">
        <v>5418</v>
      </c>
      <c r="B2726" s="5" t="s">
        <v>5419</v>
      </c>
      <c r="C2726" s="6">
        <v>5000.0</v>
      </c>
      <c r="D2726" s="6">
        <v>3.214285714</v>
      </c>
      <c r="E2726" s="6">
        <v>14.0</v>
      </c>
    </row>
    <row r="2727">
      <c r="A2727" s="4" t="s">
        <v>5420</v>
      </c>
      <c r="B2727" s="5" t="s">
        <v>5421</v>
      </c>
      <c r="C2727" s="6">
        <v>5000.0</v>
      </c>
      <c r="D2727" s="6">
        <v>3.789473684</v>
      </c>
      <c r="E2727" s="6">
        <v>19.0</v>
      </c>
    </row>
    <row r="2728">
      <c r="A2728" s="4" t="s">
        <v>5422</v>
      </c>
      <c r="B2728" s="5" t="s">
        <v>5423</v>
      </c>
      <c r="C2728" s="6">
        <v>5000.0</v>
      </c>
      <c r="D2728" s="6">
        <v>2.875</v>
      </c>
      <c r="E2728" s="6">
        <v>40.0</v>
      </c>
    </row>
    <row r="2729">
      <c r="A2729" s="4" t="s">
        <v>5424</v>
      </c>
      <c r="B2729" s="5" t="s">
        <v>5425</v>
      </c>
      <c r="C2729" s="6">
        <v>5000.0</v>
      </c>
      <c r="D2729" s="6">
        <v>4.212121212</v>
      </c>
      <c r="E2729" s="6">
        <v>33.0</v>
      </c>
    </row>
    <row r="2730">
      <c r="A2730" s="4" t="s">
        <v>5426</v>
      </c>
      <c r="B2730" s="5" t="s">
        <v>5427</v>
      </c>
      <c r="C2730" s="6">
        <v>5000.0</v>
      </c>
      <c r="D2730" s="6">
        <v>3.0</v>
      </c>
      <c r="E2730" s="6">
        <v>6.0</v>
      </c>
    </row>
    <row r="2731">
      <c r="A2731" s="4" t="s">
        <v>5428</v>
      </c>
      <c r="B2731" s="5" t="s">
        <v>5429</v>
      </c>
      <c r="C2731" s="6">
        <v>5000.0</v>
      </c>
      <c r="D2731" s="6">
        <v>1.75</v>
      </c>
      <c r="E2731" s="6">
        <v>4.0</v>
      </c>
    </row>
    <row r="2732">
      <c r="A2732" s="4" t="s">
        <v>5430</v>
      </c>
      <c r="B2732" s="5" t="s">
        <v>5431</v>
      </c>
      <c r="C2732" s="6">
        <v>5000.0</v>
      </c>
      <c r="D2732" s="6">
        <v>3.666666667</v>
      </c>
      <c r="E2732" s="6">
        <v>6.0</v>
      </c>
    </row>
    <row r="2733">
      <c r="A2733" s="4" t="s">
        <v>5432</v>
      </c>
      <c r="B2733" s="5" t="s">
        <v>5433</v>
      </c>
      <c r="C2733" s="6">
        <v>5000.0</v>
      </c>
      <c r="D2733" s="6">
        <v>3.45</v>
      </c>
      <c r="E2733" s="6">
        <v>20.0</v>
      </c>
    </row>
    <row r="2734">
      <c r="A2734" s="4" t="s">
        <v>5434</v>
      </c>
      <c r="B2734" s="5" t="s">
        <v>5435</v>
      </c>
      <c r="C2734" s="6">
        <v>5000.0</v>
      </c>
      <c r="D2734" s="6">
        <v>5.0</v>
      </c>
      <c r="E2734" s="6">
        <v>5.0</v>
      </c>
    </row>
    <row r="2735">
      <c r="A2735" s="4" t="s">
        <v>5436</v>
      </c>
      <c r="B2735" s="5" t="s">
        <v>5437</v>
      </c>
      <c r="C2735" s="6">
        <v>5000.0</v>
      </c>
      <c r="D2735" s="6">
        <v>3.0</v>
      </c>
      <c r="E2735" s="6">
        <v>2.0</v>
      </c>
    </row>
    <row r="2736">
      <c r="A2736" s="4" t="s">
        <v>5438</v>
      </c>
      <c r="B2736" s="5" t="s">
        <v>5439</v>
      </c>
      <c r="C2736" s="6">
        <v>5000.0</v>
      </c>
      <c r="D2736" s="6">
        <v>4.163934426</v>
      </c>
      <c r="E2736" s="6">
        <v>61.0</v>
      </c>
    </row>
    <row r="2737">
      <c r="A2737" s="4" t="s">
        <v>5440</v>
      </c>
      <c r="B2737" s="5" t="s">
        <v>5441</v>
      </c>
      <c r="C2737" s="6">
        <v>5000.0</v>
      </c>
      <c r="D2737" s="6">
        <v>4.166666667</v>
      </c>
      <c r="E2737" s="6">
        <v>6.0</v>
      </c>
    </row>
    <row r="2738">
      <c r="A2738" s="4" t="s">
        <v>5442</v>
      </c>
      <c r="B2738" s="5" t="s">
        <v>5443</v>
      </c>
      <c r="C2738" s="6">
        <v>5000.0</v>
      </c>
      <c r="D2738" s="6">
        <v>4.5</v>
      </c>
      <c r="E2738" s="6">
        <v>12.0</v>
      </c>
    </row>
    <row r="2739">
      <c r="A2739" s="4" t="s">
        <v>5444</v>
      </c>
      <c r="B2739" s="5" t="s">
        <v>5445</v>
      </c>
      <c r="C2739" s="6">
        <v>5000.0</v>
      </c>
      <c r="D2739" s="6">
        <v>3.6</v>
      </c>
      <c r="E2739" s="6">
        <v>5.0</v>
      </c>
    </row>
    <row r="2740">
      <c r="A2740" s="4" t="s">
        <v>5446</v>
      </c>
      <c r="B2740" s="5" t="s">
        <v>5447</v>
      </c>
      <c r="C2740" s="6">
        <v>5000.0</v>
      </c>
      <c r="D2740" s="6">
        <v>4.588235294</v>
      </c>
      <c r="E2740" s="6">
        <v>34.0</v>
      </c>
    </row>
    <row r="2741">
      <c r="A2741" s="4" t="s">
        <v>5448</v>
      </c>
      <c r="B2741" s="5" t="s">
        <v>5449</v>
      </c>
      <c r="C2741" s="6">
        <v>5000.0</v>
      </c>
      <c r="D2741" s="6">
        <v>4.409090909</v>
      </c>
      <c r="E2741" s="6">
        <v>22.0</v>
      </c>
    </row>
    <row r="2742">
      <c r="A2742" s="4" t="s">
        <v>5450</v>
      </c>
      <c r="B2742" s="5" t="s">
        <v>5451</v>
      </c>
      <c r="C2742" s="6">
        <v>5000.0</v>
      </c>
      <c r="D2742" s="6">
        <v>2.891304348</v>
      </c>
      <c r="E2742" s="6">
        <v>184.0</v>
      </c>
    </row>
    <row r="2743">
      <c r="A2743" s="4" t="s">
        <v>5452</v>
      </c>
      <c r="B2743" s="5" t="s">
        <v>5453</v>
      </c>
      <c r="C2743" s="6">
        <v>5000.0</v>
      </c>
      <c r="D2743" s="6">
        <v>4.666666667</v>
      </c>
      <c r="E2743" s="6">
        <v>12.0</v>
      </c>
    </row>
    <row r="2744">
      <c r="A2744" s="4" t="s">
        <v>5454</v>
      </c>
      <c r="B2744" s="5" t="s">
        <v>5455</v>
      </c>
      <c r="C2744" s="6">
        <v>5000.0</v>
      </c>
      <c r="D2744" s="6">
        <v>4.18627451</v>
      </c>
      <c r="E2744" s="6">
        <v>102.0</v>
      </c>
    </row>
    <row r="2745">
      <c r="A2745" s="4" t="s">
        <v>5456</v>
      </c>
      <c r="B2745" s="5" t="s">
        <v>5457</v>
      </c>
      <c r="C2745" s="6">
        <v>5000.0</v>
      </c>
      <c r="D2745" s="6">
        <v>1.0</v>
      </c>
      <c r="E2745" s="6">
        <v>1.0</v>
      </c>
    </row>
    <row r="2746">
      <c r="A2746" s="4" t="s">
        <v>5458</v>
      </c>
      <c r="B2746" s="5" t="s">
        <v>5459</v>
      </c>
      <c r="C2746" s="6">
        <v>5000.0</v>
      </c>
      <c r="D2746" s="6">
        <v>3.533333333</v>
      </c>
      <c r="E2746" s="6">
        <v>15.0</v>
      </c>
    </row>
    <row r="2747">
      <c r="A2747" s="4" t="s">
        <v>5460</v>
      </c>
      <c r="B2747" s="5" t="s">
        <v>5461</v>
      </c>
      <c r="C2747" s="6">
        <v>5000.0</v>
      </c>
      <c r="D2747" s="6">
        <v>3.882352941</v>
      </c>
      <c r="E2747" s="6">
        <v>17.0</v>
      </c>
    </row>
    <row r="2748">
      <c r="A2748" s="4" t="s">
        <v>5462</v>
      </c>
      <c r="B2748" s="5" t="s">
        <v>5463</v>
      </c>
      <c r="C2748" s="6">
        <v>5000.0</v>
      </c>
      <c r="D2748" s="6">
        <v>4.461538462</v>
      </c>
      <c r="E2748" s="6">
        <v>13.0</v>
      </c>
    </row>
    <row r="2749">
      <c r="A2749" s="4" t="s">
        <v>5464</v>
      </c>
      <c r="B2749" s="5" t="s">
        <v>5465</v>
      </c>
      <c r="C2749" s="6">
        <v>5000.0</v>
      </c>
      <c r="D2749" s="6">
        <v>5.0</v>
      </c>
      <c r="E2749" s="6">
        <v>6.0</v>
      </c>
    </row>
    <row r="2750">
      <c r="A2750" s="4" t="s">
        <v>5466</v>
      </c>
      <c r="B2750" s="5" t="s">
        <v>5467</v>
      </c>
      <c r="C2750" s="6">
        <v>5000.0</v>
      </c>
      <c r="D2750" s="6">
        <v>5.0</v>
      </c>
      <c r="E2750" s="6">
        <v>10.0</v>
      </c>
    </row>
    <row r="2751">
      <c r="A2751" s="4" t="s">
        <v>5468</v>
      </c>
      <c r="B2751" s="5" t="s">
        <v>5469</v>
      </c>
      <c r="C2751" s="6">
        <v>5000.0</v>
      </c>
      <c r="D2751" s="9"/>
      <c r="E2751" s="9"/>
    </row>
    <row r="2752">
      <c r="A2752" s="4" t="s">
        <v>5470</v>
      </c>
      <c r="B2752" s="5" t="s">
        <v>5471</v>
      </c>
      <c r="C2752" s="6">
        <v>5000.0</v>
      </c>
      <c r="D2752" s="6">
        <v>4.0</v>
      </c>
      <c r="E2752" s="6">
        <v>9.0</v>
      </c>
    </row>
    <row r="2753">
      <c r="A2753" s="4" t="s">
        <v>5472</v>
      </c>
      <c r="B2753" s="5" t="s">
        <v>5473</v>
      </c>
      <c r="C2753" s="6">
        <v>5000.0</v>
      </c>
      <c r="D2753" s="6">
        <v>3.5</v>
      </c>
      <c r="E2753" s="6">
        <v>8.0</v>
      </c>
    </row>
    <row r="2754">
      <c r="A2754" s="4" t="s">
        <v>5474</v>
      </c>
      <c r="B2754" s="5" t="s">
        <v>5475</v>
      </c>
      <c r="C2754" s="6">
        <v>5000.0</v>
      </c>
      <c r="D2754" s="6">
        <v>3.75</v>
      </c>
      <c r="E2754" s="6">
        <v>12.0</v>
      </c>
    </row>
    <row r="2755">
      <c r="A2755" s="4" t="s">
        <v>5476</v>
      </c>
      <c r="B2755" s="5" t="s">
        <v>5477</v>
      </c>
      <c r="C2755" s="6">
        <v>5000.0</v>
      </c>
      <c r="D2755" s="6">
        <v>4.173913043</v>
      </c>
      <c r="E2755" s="6">
        <v>92.0</v>
      </c>
    </row>
    <row r="2756">
      <c r="A2756" s="4" t="s">
        <v>5478</v>
      </c>
      <c r="B2756" s="5" t="s">
        <v>5479</v>
      </c>
      <c r="C2756" s="6">
        <v>5000.0</v>
      </c>
      <c r="D2756" s="6">
        <v>2.673913043</v>
      </c>
      <c r="E2756" s="6">
        <v>46.0</v>
      </c>
    </row>
    <row r="2757">
      <c r="A2757" s="4" t="s">
        <v>5480</v>
      </c>
      <c r="B2757" s="5" t="s">
        <v>5481</v>
      </c>
      <c r="C2757" s="6">
        <v>5000.0</v>
      </c>
      <c r="D2757" s="6">
        <v>4.769230769</v>
      </c>
      <c r="E2757" s="6">
        <v>26.0</v>
      </c>
    </row>
    <row r="2758">
      <c r="A2758" s="4" t="s">
        <v>5482</v>
      </c>
      <c r="B2758" s="5" t="s">
        <v>5483</v>
      </c>
      <c r="C2758" s="6">
        <v>5000.0</v>
      </c>
      <c r="D2758" s="6">
        <v>4.75</v>
      </c>
      <c r="E2758" s="6">
        <v>8.0</v>
      </c>
    </row>
    <row r="2759">
      <c r="A2759" s="4" t="s">
        <v>5484</v>
      </c>
      <c r="B2759" s="5" t="s">
        <v>5485</v>
      </c>
      <c r="C2759" s="6">
        <v>5000.0</v>
      </c>
      <c r="D2759" s="6">
        <v>4.357142857</v>
      </c>
      <c r="E2759" s="6">
        <v>14.0</v>
      </c>
    </row>
    <row r="2760">
      <c r="A2760" s="4" t="s">
        <v>5486</v>
      </c>
      <c r="B2760" s="5" t="s">
        <v>5487</v>
      </c>
      <c r="C2760" s="6">
        <v>5000.0</v>
      </c>
      <c r="D2760" s="6">
        <v>4.631818182</v>
      </c>
      <c r="E2760" s="6">
        <v>220.0</v>
      </c>
    </row>
    <row r="2761">
      <c r="A2761" s="4" t="s">
        <v>5488</v>
      </c>
      <c r="B2761" s="5" t="s">
        <v>5489</v>
      </c>
      <c r="C2761" s="6">
        <v>5000.0</v>
      </c>
      <c r="D2761" s="6">
        <v>4.066666667</v>
      </c>
      <c r="E2761" s="6">
        <v>15.0</v>
      </c>
    </row>
    <row r="2762">
      <c r="A2762" s="4" t="s">
        <v>5490</v>
      </c>
      <c r="B2762" s="5" t="s">
        <v>5491</v>
      </c>
      <c r="C2762" s="6">
        <v>5000.0</v>
      </c>
      <c r="D2762" s="6">
        <v>4.603448276</v>
      </c>
      <c r="E2762" s="6">
        <v>58.0</v>
      </c>
    </row>
    <row r="2763">
      <c r="A2763" s="4" t="s">
        <v>5492</v>
      </c>
      <c r="B2763" s="5" t="s">
        <v>5493</v>
      </c>
      <c r="C2763" s="6">
        <v>5000.0</v>
      </c>
      <c r="D2763" s="6">
        <v>3.834782609</v>
      </c>
      <c r="E2763" s="6">
        <v>115.0</v>
      </c>
    </row>
    <row r="2764">
      <c r="A2764" s="4" t="s">
        <v>5494</v>
      </c>
      <c r="B2764" s="5" t="s">
        <v>5495</v>
      </c>
      <c r="C2764" s="6">
        <v>5000.0</v>
      </c>
      <c r="D2764" s="6">
        <v>4.290322581</v>
      </c>
      <c r="E2764" s="6">
        <v>31.0</v>
      </c>
    </row>
    <row r="2765">
      <c r="A2765" s="4" t="s">
        <v>5496</v>
      </c>
      <c r="B2765" s="5" t="s">
        <v>5497</v>
      </c>
      <c r="C2765" s="6">
        <v>5000.0</v>
      </c>
      <c r="D2765" s="6">
        <v>3.567164179</v>
      </c>
      <c r="E2765" s="6">
        <v>67.0</v>
      </c>
    </row>
    <row r="2766">
      <c r="A2766" s="4" t="s">
        <v>5498</v>
      </c>
      <c r="B2766" s="5" t="s">
        <v>5499</v>
      </c>
      <c r="C2766" s="6">
        <v>5000.0</v>
      </c>
      <c r="D2766" s="9"/>
      <c r="E2766" s="9"/>
    </row>
    <row r="2767">
      <c r="A2767" s="4" t="s">
        <v>5500</v>
      </c>
      <c r="B2767" s="5" t="s">
        <v>5501</v>
      </c>
      <c r="C2767" s="6">
        <v>5000.0</v>
      </c>
      <c r="D2767" s="6">
        <v>4.714285714</v>
      </c>
      <c r="E2767" s="6">
        <v>7.0</v>
      </c>
    </row>
    <row r="2768">
      <c r="A2768" s="4" t="s">
        <v>5502</v>
      </c>
      <c r="B2768" s="5" t="s">
        <v>5503</v>
      </c>
      <c r="C2768" s="6">
        <v>5000.0</v>
      </c>
      <c r="D2768" s="6">
        <v>3.540740741</v>
      </c>
      <c r="E2768" s="6">
        <v>270.0</v>
      </c>
    </row>
    <row r="2769">
      <c r="A2769" s="4" t="s">
        <v>5504</v>
      </c>
      <c r="B2769" s="5" t="s">
        <v>5505</v>
      </c>
      <c r="C2769" s="6">
        <v>5000.0</v>
      </c>
      <c r="D2769" s="6">
        <v>3.666666667</v>
      </c>
      <c r="E2769" s="6">
        <v>6.0</v>
      </c>
    </row>
    <row r="2770">
      <c r="A2770" s="4" t="s">
        <v>5506</v>
      </c>
      <c r="B2770" s="5" t="s">
        <v>5507</v>
      </c>
      <c r="C2770" s="6">
        <v>5000.0</v>
      </c>
      <c r="D2770" s="6">
        <v>3.37007874</v>
      </c>
      <c r="E2770" s="6">
        <v>127.0</v>
      </c>
    </row>
    <row r="2771">
      <c r="A2771" s="4" t="s">
        <v>5508</v>
      </c>
      <c r="B2771" s="5" t="s">
        <v>5509</v>
      </c>
      <c r="C2771" s="6">
        <v>5000.0</v>
      </c>
      <c r="D2771" s="6">
        <v>3.931506849</v>
      </c>
      <c r="E2771" s="6">
        <v>73.0</v>
      </c>
    </row>
    <row r="2772">
      <c r="A2772" s="4" t="s">
        <v>5510</v>
      </c>
      <c r="B2772" s="5" t="s">
        <v>5511</v>
      </c>
      <c r="C2772" s="6">
        <v>5000.0</v>
      </c>
      <c r="D2772" s="6">
        <v>4.375</v>
      </c>
      <c r="E2772" s="6">
        <v>8.0</v>
      </c>
    </row>
    <row r="2773">
      <c r="A2773" s="4" t="s">
        <v>5512</v>
      </c>
      <c r="B2773" s="5" t="s">
        <v>5513</v>
      </c>
      <c r="C2773" s="6">
        <v>5000.0</v>
      </c>
      <c r="D2773" s="6">
        <v>4.555555556</v>
      </c>
      <c r="E2773" s="6">
        <v>9.0</v>
      </c>
    </row>
    <row r="2774">
      <c r="A2774" s="4" t="s">
        <v>5514</v>
      </c>
      <c r="B2774" s="5" t="s">
        <v>5515</v>
      </c>
      <c r="C2774" s="6">
        <v>5000.0</v>
      </c>
      <c r="D2774" s="6">
        <v>4.15</v>
      </c>
      <c r="E2774" s="6">
        <v>40.0</v>
      </c>
    </row>
    <row r="2775">
      <c r="A2775" s="4" t="s">
        <v>5516</v>
      </c>
      <c r="B2775" s="5" t="s">
        <v>5517</v>
      </c>
      <c r="C2775" s="6">
        <v>5000.0</v>
      </c>
      <c r="D2775" s="9"/>
      <c r="E2775" s="9"/>
    </row>
    <row r="2776">
      <c r="A2776" s="4" t="s">
        <v>5518</v>
      </c>
      <c r="B2776" s="5" t="s">
        <v>5519</v>
      </c>
      <c r="C2776" s="6">
        <v>5000.0</v>
      </c>
      <c r="D2776" s="6">
        <v>3.930232558</v>
      </c>
      <c r="E2776" s="6">
        <v>43.0</v>
      </c>
    </row>
    <row r="2777">
      <c r="A2777" s="4" t="s">
        <v>5520</v>
      </c>
      <c r="B2777" s="5" t="s">
        <v>5521</v>
      </c>
      <c r="C2777" s="6">
        <v>5000.0</v>
      </c>
      <c r="D2777" s="6">
        <v>3.788461538</v>
      </c>
      <c r="E2777" s="6">
        <v>104.0</v>
      </c>
    </row>
    <row r="2778">
      <c r="A2778" s="4" t="s">
        <v>5522</v>
      </c>
      <c r="B2778" s="5" t="s">
        <v>5523</v>
      </c>
      <c r="C2778" s="6">
        <v>5000.0</v>
      </c>
      <c r="D2778" s="6">
        <v>4.5</v>
      </c>
      <c r="E2778" s="6">
        <v>6.0</v>
      </c>
    </row>
    <row r="2779">
      <c r="A2779" s="4" t="s">
        <v>5524</v>
      </c>
      <c r="B2779" s="5" t="s">
        <v>5525</v>
      </c>
      <c r="C2779" s="6">
        <v>5000.0</v>
      </c>
      <c r="D2779" s="6">
        <v>4.0</v>
      </c>
      <c r="E2779" s="6">
        <v>2.0</v>
      </c>
    </row>
    <row r="2780">
      <c r="A2780" s="4" t="s">
        <v>5526</v>
      </c>
      <c r="B2780" s="5" t="s">
        <v>5527</v>
      </c>
      <c r="C2780" s="6">
        <v>5000.0</v>
      </c>
      <c r="D2780" s="6">
        <v>4.26519337</v>
      </c>
      <c r="E2780" s="6">
        <v>181.0</v>
      </c>
    </row>
    <row r="2781">
      <c r="A2781" s="4" t="s">
        <v>5528</v>
      </c>
      <c r="B2781" s="5" t="s">
        <v>5529</v>
      </c>
      <c r="C2781" s="6">
        <v>5000.0</v>
      </c>
      <c r="D2781" s="6">
        <v>5.0</v>
      </c>
      <c r="E2781" s="6">
        <v>2.0</v>
      </c>
    </row>
    <row r="2782">
      <c r="A2782" s="4" t="s">
        <v>5530</v>
      </c>
      <c r="B2782" s="5" t="s">
        <v>5531</v>
      </c>
      <c r="C2782" s="6">
        <v>5000.0</v>
      </c>
      <c r="D2782" s="6">
        <v>4.913978495</v>
      </c>
      <c r="E2782" s="6">
        <v>93.0</v>
      </c>
    </row>
    <row r="2783">
      <c r="A2783" s="4" t="s">
        <v>5532</v>
      </c>
      <c r="B2783" s="5" t="s">
        <v>5533</v>
      </c>
      <c r="C2783" s="6">
        <v>5000.0</v>
      </c>
      <c r="D2783" s="6">
        <v>4.041666667</v>
      </c>
      <c r="E2783" s="6">
        <v>24.0</v>
      </c>
    </row>
    <row r="2784">
      <c r="A2784" s="4" t="s">
        <v>5534</v>
      </c>
      <c r="B2784" s="5" t="s">
        <v>5535</v>
      </c>
      <c r="C2784" s="6">
        <v>5000.0</v>
      </c>
      <c r="D2784" s="6">
        <v>4.333333333</v>
      </c>
      <c r="E2784" s="6">
        <v>3.0</v>
      </c>
    </row>
    <row r="2785">
      <c r="A2785" s="4" t="s">
        <v>5536</v>
      </c>
      <c r="B2785" s="5" t="s">
        <v>5537</v>
      </c>
      <c r="C2785" s="6">
        <v>5000.0</v>
      </c>
      <c r="D2785" s="6">
        <v>4.0</v>
      </c>
      <c r="E2785" s="6">
        <v>40.0</v>
      </c>
    </row>
    <row r="2786">
      <c r="A2786" s="4" t="s">
        <v>5538</v>
      </c>
      <c r="B2786" s="5" t="s">
        <v>5539</v>
      </c>
      <c r="C2786" s="6">
        <v>5000.0</v>
      </c>
      <c r="D2786" s="6">
        <v>3.904761905</v>
      </c>
      <c r="E2786" s="6">
        <v>21.0</v>
      </c>
    </row>
    <row r="2787">
      <c r="A2787" s="4" t="s">
        <v>4168</v>
      </c>
      <c r="B2787" s="5" t="s">
        <v>5540</v>
      </c>
      <c r="C2787" s="6">
        <v>5000.0</v>
      </c>
      <c r="D2787" s="6">
        <v>3.90625</v>
      </c>
      <c r="E2787" s="6">
        <v>32.0</v>
      </c>
    </row>
    <row r="2788">
      <c r="A2788" s="4" t="s">
        <v>5541</v>
      </c>
      <c r="B2788" s="5" t="s">
        <v>5542</v>
      </c>
      <c r="C2788" s="6">
        <v>5000.0</v>
      </c>
      <c r="D2788" s="6">
        <v>4.652173913</v>
      </c>
      <c r="E2788" s="6">
        <v>23.0</v>
      </c>
    </row>
    <row r="2789">
      <c r="A2789" s="4" t="s">
        <v>5543</v>
      </c>
      <c r="B2789" s="5" t="s">
        <v>5544</v>
      </c>
      <c r="C2789" s="6">
        <v>5000.0</v>
      </c>
      <c r="D2789" s="6">
        <v>2.0</v>
      </c>
      <c r="E2789" s="6">
        <v>9.0</v>
      </c>
    </row>
    <row r="2790">
      <c r="A2790" s="4" t="s">
        <v>5545</v>
      </c>
      <c r="B2790" s="5" t="s">
        <v>5546</v>
      </c>
      <c r="C2790" s="6">
        <v>5000.0</v>
      </c>
      <c r="D2790" s="6">
        <v>3.074074074</v>
      </c>
      <c r="E2790" s="6">
        <v>27.0</v>
      </c>
    </row>
    <row r="2791">
      <c r="A2791" s="4" t="s">
        <v>5547</v>
      </c>
      <c r="B2791" s="5" t="s">
        <v>5548</v>
      </c>
      <c r="C2791" s="6">
        <v>5000.0</v>
      </c>
      <c r="D2791" s="6">
        <v>4.5</v>
      </c>
      <c r="E2791" s="6">
        <v>6.0</v>
      </c>
    </row>
    <row r="2792">
      <c r="A2792" s="4" t="s">
        <v>5549</v>
      </c>
      <c r="B2792" s="5" t="s">
        <v>5550</v>
      </c>
      <c r="C2792" s="6">
        <v>5000.0</v>
      </c>
      <c r="D2792" s="6">
        <v>4.606617647</v>
      </c>
      <c r="E2792" s="6">
        <v>272.0</v>
      </c>
    </row>
    <row r="2793">
      <c r="A2793" s="4" t="s">
        <v>5551</v>
      </c>
      <c r="B2793" s="5" t="s">
        <v>5552</v>
      </c>
      <c r="C2793" s="6">
        <v>5000.0</v>
      </c>
      <c r="D2793" s="6">
        <v>4.511111111</v>
      </c>
      <c r="E2793" s="6">
        <v>45.0</v>
      </c>
    </row>
    <row r="2794">
      <c r="A2794" s="4" t="s">
        <v>5553</v>
      </c>
      <c r="B2794" s="5" t="s">
        <v>5554</v>
      </c>
      <c r="C2794" s="6">
        <v>5000.0</v>
      </c>
      <c r="D2794" s="6">
        <v>4.042553191</v>
      </c>
      <c r="E2794" s="6">
        <v>47.0</v>
      </c>
    </row>
    <row r="2795">
      <c r="A2795" s="4" t="s">
        <v>5555</v>
      </c>
      <c r="B2795" s="5" t="s">
        <v>5556</v>
      </c>
      <c r="C2795" s="6">
        <v>5000.0</v>
      </c>
      <c r="D2795" s="6">
        <v>3.555555556</v>
      </c>
      <c r="E2795" s="6">
        <v>9.0</v>
      </c>
    </row>
    <row r="2796">
      <c r="A2796" s="4" t="s">
        <v>5557</v>
      </c>
      <c r="B2796" s="5" t="s">
        <v>5558</v>
      </c>
      <c r="C2796" s="6">
        <v>5000.0</v>
      </c>
      <c r="D2796" s="9"/>
      <c r="E2796" s="9"/>
    </row>
    <row r="2797">
      <c r="A2797" s="4" t="s">
        <v>5559</v>
      </c>
      <c r="B2797" s="5" t="s">
        <v>5560</v>
      </c>
      <c r="C2797" s="6">
        <v>5000.0</v>
      </c>
      <c r="D2797" s="6">
        <v>3.909090909</v>
      </c>
      <c r="E2797" s="6">
        <v>11.0</v>
      </c>
    </row>
    <row r="2798">
      <c r="A2798" s="4" t="s">
        <v>5561</v>
      </c>
      <c r="B2798" s="5" t="s">
        <v>5562</v>
      </c>
      <c r="C2798" s="6">
        <v>4000.0</v>
      </c>
      <c r="D2798" s="6">
        <v>4.0</v>
      </c>
      <c r="E2798" s="6">
        <v>9.0</v>
      </c>
    </row>
    <row r="2799">
      <c r="A2799" s="4" t="s">
        <v>5563</v>
      </c>
      <c r="B2799" s="5" t="s">
        <v>5564</v>
      </c>
      <c r="C2799" s="6">
        <v>4000.0</v>
      </c>
      <c r="D2799" s="6">
        <v>4.363636364</v>
      </c>
      <c r="E2799" s="6">
        <v>11.0</v>
      </c>
    </row>
    <row r="2800">
      <c r="A2800" s="4" t="s">
        <v>5565</v>
      </c>
      <c r="B2800" s="5" t="s">
        <v>5566</v>
      </c>
      <c r="C2800" s="6">
        <v>4000.0</v>
      </c>
      <c r="D2800" s="6">
        <v>1.0</v>
      </c>
      <c r="E2800" s="6">
        <v>1.0</v>
      </c>
    </row>
    <row r="2801">
      <c r="A2801" s="4" t="s">
        <v>5567</v>
      </c>
      <c r="B2801" s="5" t="s">
        <v>5568</v>
      </c>
      <c r="C2801" s="6">
        <v>4000.0</v>
      </c>
      <c r="D2801" s="6">
        <v>4.659300184</v>
      </c>
      <c r="E2801" s="6">
        <v>543.0</v>
      </c>
    </row>
    <row r="2802">
      <c r="A2802" s="4" t="s">
        <v>5569</v>
      </c>
      <c r="B2802" s="5" t="s">
        <v>5570</v>
      </c>
      <c r="C2802" s="6">
        <v>4000.0</v>
      </c>
      <c r="D2802" s="6">
        <v>4.130081301</v>
      </c>
      <c r="E2802" s="6">
        <v>123.0</v>
      </c>
    </row>
    <row r="2803">
      <c r="A2803" s="4" t="s">
        <v>5571</v>
      </c>
      <c r="B2803" s="5" t="s">
        <v>5572</v>
      </c>
      <c r="C2803" s="6">
        <v>4000.0</v>
      </c>
      <c r="D2803" s="6">
        <v>4.0</v>
      </c>
      <c r="E2803" s="6">
        <v>1.0</v>
      </c>
    </row>
    <row r="2804">
      <c r="A2804" s="4" t="s">
        <v>5573</v>
      </c>
      <c r="B2804" s="5" t="s">
        <v>5574</v>
      </c>
      <c r="C2804" s="6">
        <v>4000.0</v>
      </c>
      <c r="D2804" s="6">
        <v>4.833333333</v>
      </c>
      <c r="E2804" s="6">
        <v>12.0</v>
      </c>
    </row>
    <row r="2805">
      <c r="A2805" s="4" t="s">
        <v>5575</v>
      </c>
      <c r="B2805" s="5" t="s">
        <v>5576</v>
      </c>
      <c r="C2805" s="6">
        <v>4000.0</v>
      </c>
      <c r="D2805" s="6">
        <v>4.115853659</v>
      </c>
      <c r="E2805" s="6">
        <v>164.0</v>
      </c>
    </row>
    <row r="2806">
      <c r="A2806" s="4" t="s">
        <v>5577</v>
      </c>
      <c r="B2806" s="5" t="s">
        <v>5578</v>
      </c>
      <c r="C2806" s="6">
        <v>4000.0</v>
      </c>
      <c r="D2806" s="6">
        <v>4.352941176</v>
      </c>
      <c r="E2806" s="6">
        <v>17.0</v>
      </c>
    </row>
    <row r="2807">
      <c r="A2807" s="4" t="s">
        <v>5579</v>
      </c>
      <c r="B2807" s="5" t="s">
        <v>5580</v>
      </c>
      <c r="C2807" s="6">
        <v>4000.0</v>
      </c>
      <c r="D2807" s="6">
        <v>5.0</v>
      </c>
      <c r="E2807" s="6">
        <v>1.0</v>
      </c>
    </row>
    <row r="2808">
      <c r="A2808" s="4" t="s">
        <v>5581</v>
      </c>
      <c r="B2808" s="5" t="s">
        <v>5582</v>
      </c>
      <c r="C2808" s="6">
        <v>4000.0</v>
      </c>
      <c r="D2808" s="6">
        <v>4.428571429</v>
      </c>
      <c r="E2808" s="6">
        <v>28.0</v>
      </c>
    </row>
    <row r="2809">
      <c r="A2809" s="4" t="s">
        <v>5583</v>
      </c>
      <c r="B2809" s="5" t="s">
        <v>5584</v>
      </c>
      <c r="C2809" s="6">
        <v>4000.0</v>
      </c>
      <c r="D2809" s="6">
        <v>4.509803922</v>
      </c>
      <c r="E2809" s="6">
        <v>51.0</v>
      </c>
    </row>
    <row r="2810">
      <c r="A2810" s="4" t="s">
        <v>227</v>
      </c>
      <c r="B2810" s="5" t="s">
        <v>5585</v>
      </c>
      <c r="C2810" s="6">
        <v>4000.0</v>
      </c>
      <c r="D2810" s="6">
        <v>4.349514563</v>
      </c>
      <c r="E2810" s="6">
        <v>103.0</v>
      </c>
    </row>
    <row r="2811">
      <c r="A2811" s="4" t="s">
        <v>5586</v>
      </c>
      <c r="B2811" s="5" t="s">
        <v>5587</v>
      </c>
      <c r="C2811" s="6">
        <v>4000.0</v>
      </c>
      <c r="D2811" s="6">
        <v>4.041666667</v>
      </c>
      <c r="E2811" s="6">
        <v>48.0</v>
      </c>
    </row>
    <row r="2812">
      <c r="A2812" s="4" t="s">
        <v>5588</v>
      </c>
      <c r="B2812" s="5" t="s">
        <v>5589</v>
      </c>
      <c r="C2812" s="6">
        <v>4000.0</v>
      </c>
      <c r="D2812" s="6">
        <v>4.722222222</v>
      </c>
      <c r="E2812" s="6">
        <v>18.0</v>
      </c>
    </row>
    <row r="2813">
      <c r="A2813" s="4" t="s">
        <v>5590</v>
      </c>
      <c r="B2813" s="5" t="s">
        <v>5591</v>
      </c>
      <c r="C2813" s="6">
        <v>4000.0</v>
      </c>
      <c r="D2813" s="6">
        <v>4.734375</v>
      </c>
      <c r="E2813" s="6">
        <v>64.0</v>
      </c>
    </row>
    <row r="2814">
      <c r="A2814" s="4" t="s">
        <v>5592</v>
      </c>
      <c r="B2814" s="5" t="s">
        <v>5593</v>
      </c>
      <c r="C2814" s="6">
        <v>4000.0</v>
      </c>
      <c r="D2814" s="6">
        <v>2.333333333</v>
      </c>
      <c r="E2814" s="6">
        <v>6.0</v>
      </c>
    </row>
    <row r="2815">
      <c r="A2815" s="4" t="s">
        <v>5594</v>
      </c>
      <c r="B2815" s="5" t="s">
        <v>5595</v>
      </c>
      <c r="C2815" s="6">
        <v>4000.0</v>
      </c>
      <c r="D2815" s="6">
        <v>2.5</v>
      </c>
      <c r="E2815" s="6">
        <v>6.0</v>
      </c>
    </row>
    <row r="2816">
      <c r="A2816" s="4" t="s">
        <v>5596</v>
      </c>
      <c r="B2816" s="5" t="s">
        <v>5597</v>
      </c>
      <c r="C2816" s="6">
        <v>4000.0</v>
      </c>
      <c r="D2816" s="6">
        <v>2.444444444</v>
      </c>
      <c r="E2816" s="6">
        <v>9.0</v>
      </c>
    </row>
    <row r="2817">
      <c r="A2817" s="4" t="s">
        <v>5598</v>
      </c>
      <c r="B2817" s="5" t="s">
        <v>5599</v>
      </c>
      <c r="C2817" s="6">
        <v>4000.0</v>
      </c>
      <c r="D2817" s="6">
        <v>4.857142857</v>
      </c>
      <c r="E2817" s="6">
        <v>7.0</v>
      </c>
    </row>
    <row r="2818">
      <c r="A2818" s="4" t="s">
        <v>5600</v>
      </c>
      <c r="B2818" s="5" t="s">
        <v>5601</v>
      </c>
      <c r="C2818" s="6">
        <v>4000.0</v>
      </c>
      <c r="D2818" s="6">
        <v>4.0</v>
      </c>
      <c r="E2818" s="6">
        <v>18.0</v>
      </c>
    </row>
    <row r="2819">
      <c r="A2819" s="4" t="s">
        <v>5602</v>
      </c>
      <c r="B2819" s="5" t="s">
        <v>5603</v>
      </c>
      <c r="C2819" s="6">
        <v>4000.0</v>
      </c>
      <c r="D2819" s="6">
        <v>4.25</v>
      </c>
      <c r="E2819" s="6">
        <v>24.0</v>
      </c>
    </row>
    <row r="2820">
      <c r="A2820" s="4" t="s">
        <v>5604</v>
      </c>
      <c r="B2820" s="5" t="s">
        <v>5605</v>
      </c>
      <c r="C2820" s="6">
        <v>4000.0</v>
      </c>
      <c r="D2820" s="6">
        <v>5.0</v>
      </c>
      <c r="E2820" s="6">
        <v>2.0</v>
      </c>
    </row>
    <row r="2821">
      <c r="A2821" s="4" t="s">
        <v>5606</v>
      </c>
      <c r="B2821" s="5" t="s">
        <v>5607</v>
      </c>
      <c r="C2821" s="6">
        <v>4000.0</v>
      </c>
      <c r="D2821" s="6">
        <v>5.0</v>
      </c>
      <c r="E2821" s="6">
        <v>14.0</v>
      </c>
    </row>
    <row r="2822">
      <c r="A2822" s="4" t="s">
        <v>5608</v>
      </c>
      <c r="B2822" s="5" t="s">
        <v>5609</v>
      </c>
      <c r="C2822" s="6">
        <v>4000.0</v>
      </c>
      <c r="D2822" s="6">
        <v>4.666666667</v>
      </c>
      <c r="E2822" s="6">
        <v>9.0</v>
      </c>
    </row>
    <row r="2823">
      <c r="A2823" s="4" t="s">
        <v>5610</v>
      </c>
      <c r="B2823" s="5" t="s">
        <v>5611</v>
      </c>
      <c r="C2823" s="6">
        <v>4000.0</v>
      </c>
      <c r="D2823" s="6">
        <v>3.666666667</v>
      </c>
      <c r="E2823" s="6">
        <v>3.0</v>
      </c>
    </row>
    <row r="2824">
      <c r="A2824" s="4" t="s">
        <v>5612</v>
      </c>
      <c r="B2824" s="5" t="s">
        <v>5613</v>
      </c>
      <c r="C2824" s="6">
        <v>4000.0</v>
      </c>
      <c r="D2824" s="6">
        <v>2.736842105</v>
      </c>
      <c r="E2824" s="6">
        <v>19.0</v>
      </c>
    </row>
    <row r="2825">
      <c r="A2825" s="4" t="s">
        <v>5614</v>
      </c>
      <c r="B2825" s="5" t="s">
        <v>5615</v>
      </c>
      <c r="C2825" s="6">
        <v>4000.0</v>
      </c>
      <c r="D2825" s="6">
        <v>3.1</v>
      </c>
      <c r="E2825" s="6">
        <v>10.0</v>
      </c>
    </row>
    <row r="2826">
      <c r="A2826" s="4" t="s">
        <v>5616</v>
      </c>
      <c r="B2826" s="5" t="s">
        <v>5617</v>
      </c>
      <c r="C2826" s="6">
        <v>4000.0</v>
      </c>
      <c r="D2826" s="6">
        <v>4.683673469</v>
      </c>
      <c r="E2826" s="6">
        <v>98.0</v>
      </c>
    </row>
    <row r="2827">
      <c r="A2827" s="4" t="s">
        <v>5618</v>
      </c>
      <c r="B2827" s="5" t="s">
        <v>5619</v>
      </c>
      <c r="C2827" s="6">
        <v>4000.0</v>
      </c>
      <c r="D2827" s="6">
        <v>4.979166667</v>
      </c>
      <c r="E2827" s="6">
        <v>48.0</v>
      </c>
    </row>
    <row r="2828">
      <c r="A2828" s="4" t="s">
        <v>5620</v>
      </c>
      <c r="B2828" s="5" t="s">
        <v>5621</v>
      </c>
      <c r="C2828" s="6">
        <v>4000.0</v>
      </c>
      <c r="D2828" s="6">
        <v>4.333333333</v>
      </c>
      <c r="E2828" s="6">
        <v>6.0</v>
      </c>
    </row>
    <row r="2829">
      <c r="A2829" s="4" t="s">
        <v>5622</v>
      </c>
      <c r="B2829" s="5" t="s">
        <v>5623</v>
      </c>
      <c r="C2829" s="6">
        <v>4000.0</v>
      </c>
      <c r="D2829" s="6">
        <v>3.24</v>
      </c>
      <c r="E2829" s="6">
        <v>75.0</v>
      </c>
    </row>
    <row r="2830">
      <c r="A2830" s="4" t="s">
        <v>5624</v>
      </c>
      <c r="B2830" s="5" t="s">
        <v>5625</v>
      </c>
      <c r="C2830" s="6">
        <v>4000.0</v>
      </c>
      <c r="D2830" s="6">
        <v>2.0</v>
      </c>
      <c r="E2830" s="6">
        <v>8.0</v>
      </c>
    </row>
    <row r="2831">
      <c r="A2831" s="4" t="s">
        <v>5626</v>
      </c>
      <c r="B2831" s="5" t="s">
        <v>5627</v>
      </c>
      <c r="C2831" s="6">
        <v>4000.0</v>
      </c>
      <c r="D2831" s="6">
        <v>4.428571429</v>
      </c>
      <c r="E2831" s="6">
        <v>7.0</v>
      </c>
    </row>
    <row r="2832">
      <c r="A2832" s="4" t="s">
        <v>5628</v>
      </c>
      <c r="B2832" s="5" t="s">
        <v>5629</v>
      </c>
      <c r="C2832" s="6">
        <v>4000.0</v>
      </c>
      <c r="D2832" s="6">
        <v>3.4</v>
      </c>
      <c r="E2832" s="6">
        <v>5.0</v>
      </c>
    </row>
    <row r="2833">
      <c r="A2833" s="4" t="s">
        <v>5630</v>
      </c>
      <c r="B2833" s="5" t="s">
        <v>5631</v>
      </c>
      <c r="C2833" s="6">
        <v>4000.0</v>
      </c>
      <c r="D2833" s="6">
        <v>3.203389831</v>
      </c>
      <c r="E2833" s="6">
        <v>59.0</v>
      </c>
    </row>
    <row r="2834">
      <c r="A2834" s="4" t="s">
        <v>5632</v>
      </c>
      <c r="B2834" s="5" t="s">
        <v>5633</v>
      </c>
      <c r="C2834" s="6">
        <v>4000.0</v>
      </c>
      <c r="D2834" s="6">
        <v>4.733333333</v>
      </c>
      <c r="E2834" s="6">
        <v>15.0</v>
      </c>
    </row>
    <row r="2835">
      <c r="A2835" s="10" t="s">
        <v>5634</v>
      </c>
      <c r="B2835" s="5" t="s">
        <v>5635</v>
      </c>
      <c r="C2835" s="6">
        <v>4000.0</v>
      </c>
      <c r="D2835" s="6">
        <v>4.277777778</v>
      </c>
      <c r="E2835" s="6">
        <v>18.0</v>
      </c>
    </row>
    <row r="2836">
      <c r="A2836" s="4" t="s">
        <v>5636</v>
      </c>
      <c r="B2836" s="5" t="s">
        <v>5637</v>
      </c>
      <c r="C2836" s="6">
        <v>4000.0</v>
      </c>
      <c r="D2836" s="6">
        <v>4.333333333</v>
      </c>
      <c r="E2836" s="6">
        <v>9.0</v>
      </c>
    </row>
    <row r="2837">
      <c r="A2837" s="4" t="s">
        <v>5638</v>
      </c>
      <c r="B2837" s="5" t="s">
        <v>5639</v>
      </c>
      <c r="C2837" s="6">
        <v>4000.0</v>
      </c>
      <c r="D2837" s="6">
        <v>4.1875</v>
      </c>
      <c r="E2837" s="6">
        <v>16.0</v>
      </c>
    </row>
    <row r="2838">
      <c r="A2838" s="4" t="s">
        <v>5640</v>
      </c>
      <c r="B2838" s="5" t="s">
        <v>5641</v>
      </c>
      <c r="C2838" s="6">
        <v>4000.0</v>
      </c>
      <c r="D2838" s="6">
        <v>4.933333333</v>
      </c>
      <c r="E2838" s="6">
        <v>15.0</v>
      </c>
    </row>
    <row r="2839">
      <c r="A2839" s="4" t="s">
        <v>5642</v>
      </c>
      <c r="B2839" s="5" t="s">
        <v>5643</v>
      </c>
      <c r="C2839" s="6">
        <v>4000.0</v>
      </c>
      <c r="D2839" s="6">
        <v>4.0</v>
      </c>
      <c r="E2839" s="6">
        <v>4.0</v>
      </c>
    </row>
    <row r="2840">
      <c r="A2840" s="4" t="s">
        <v>5644</v>
      </c>
      <c r="B2840" s="5" t="s">
        <v>5645</v>
      </c>
      <c r="C2840" s="6">
        <v>4000.0</v>
      </c>
      <c r="D2840" s="9"/>
      <c r="E2840" s="9"/>
    </row>
    <row r="2841">
      <c r="A2841" s="4" t="s">
        <v>5646</v>
      </c>
      <c r="B2841" s="5" t="s">
        <v>5647</v>
      </c>
      <c r="C2841" s="6">
        <v>4000.0</v>
      </c>
      <c r="D2841" s="6">
        <v>5.0</v>
      </c>
      <c r="E2841" s="6">
        <v>4.0</v>
      </c>
    </row>
    <row r="2842">
      <c r="A2842" s="4" t="s">
        <v>5648</v>
      </c>
      <c r="B2842" s="5" t="s">
        <v>5649</v>
      </c>
      <c r="C2842" s="6">
        <v>4000.0</v>
      </c>
      <c r="D2842" s="6">
        <v>4.473684211</v>
      </c>
      <c r="E2842" s="6">
        <v>19.0</v>
      </c>
    </row>
    <row r="2843">
      <c r="A2843" s="4" t="s">
        <v>5650</v>
      </c>
      <c r="B2843" s="5" t="s">
        <v>5651</v>
      </c>
      <c r="C2843" s="6">
        <v>4000.0</v>
      </c>
      <c r="D2843" s="6">
        <v>3.517241379</v>
      </c>
      <c r="E2843" s="6">
        <v>29.0</v>
      </c>
    </row>
    <row r="2844">
      <c r="A2844" s="4" t="s">
        <v>5652</v>
      </c>
      <c r="B2844" s="5" t="s">
        <v>5653</v>
      </c>
      <c r="C2844" s="6">
        <v>4000.0</v>
      </c>
      <c r="D2844" s="6">
        <v>3.3125</v>
      </c>
      <c r="E2844" s="6">
        <v>64.0</v>
      </c>
    </row>
    <row r="2845">
      <c r="A2845" s="4" t="s">
        <v>5654</v>
      </c>
      <c r="B2845" s="5" t="s">
        <v>5655</v>
      </c>
      <c r="C2845" s="6">
        <v>4000.0</v>
      </c>
      <c r="D2845" s="6">
        <v>4.5</v>
      </c>
      <c r="E2845" s="6">
        <v>64.0</v>
      </c>
    </row>
    <row r="2846">
      <c r="A2846" s="4" t="s">
        <v>5656</v>
      </c>
      <c r="B2846" s="5" t="s">
        <v>5657</v>
      </c>
      <c r="C2846" s="6">
        <v>4000.0</v>
      </c>
      <c r="D2846" s="6">
        <v>4.4375</v>
      </c>
      <c r="E2846" s="6">
        <v>16.0</v>
      </c>
    </row>
    <row r="2847">
      <c r="A2847" s="4" t="s">
        <v>5658</v>
      </c>
      <c r="B2847" s="5" t="s">
        <v>5659</v>
      </c>
      <c r="C2847" s="6">
        <v>4000.0</v>
      </c>
      <c r="D2847" s="6">
        <v>4.76744186</v>
      </c>
      <c r="E2847" s="6">
        <v>43.0</v>
      </c>
    </row>
    <row r="2848">
      <c r="A2848" s="4" t="s">
        <v>5660</v>
      </c>
      <c r="B2848" s="5" t="s">
        <v>5661</v>
      </c>
      <c r="C2848" s="6">
        <v>4000.0</v>
      </c>
      <c r="D2848" s="6">
        <v>4.692307692</v>
      </c>
      <c r="E2848" s="6">
        <v>13.0</v>
      </c>
    </row>
    <row r="2849">
      <c r="A2849" s="4" t="s">
        <v>5662</v>
      </c>
      <c r="B2849" s="5" t="s">
        <v>5663</v>
      </c>
      <c r="C2849" s="6">
        <v>4000.0</v>
      </c>
      <c r="D2849" s="6">
        <v>4.571428571</v>
      </c>
      <c r="E2849" s="6">
        <v>7.0</v>
      </c>
    </row>
    <row r="2850">
      <c r="A2850" s="4" t="s">
        <v>5664</v>
      </c>
      <c r="B2850" s="5" t="s">
        <v>5665</v>
      </c>
      <c r="C2850" s="6">
        <v>4000.0</v>
      </c>
      <c r="D2850" s="6">
        <v>3.4</v>
      </c>
      <c r="E2850" s="6">
        <v>5.0</v>
      </c>
    </row>
    <row r="2851">
      <c r="A2851" s="4" t="s">
        <v>5666</v>
      </c>
      <c r="B2851" s="5" t="s">
        <v>5667</v>
      </c>
      <c r="C2851" s="6">
        <v>4000.0</v>
      </c>
      <c r="D2851" s="6">
        <v>4.714285714</v>
      </c>
      <c r="E2851" s="6">
        <v>7.0</v>
      </c>
    </row>
    <row r="2852">
      <c r="A2852" s="4" t="s">
        <v>5668</v>
      </c>
      <c r="B2852" s="5" t="s">
        <v>5669</v>
      </c>
      <c r="C2852" s="6">
        <v>4000.0</v>
      </c>
      <c r="D2852" s="6">
        <v>4.285714286</v>
      </c>
      <c r="E2852" s="6">
        <v>21.0</v>
      </c>
    </row>
    <row r="2853">
      <c r="A2853" s="4" t="s">
        <v>5670</v>
      </c>
      <c r="B2853" s="5" t="s">
        <v>5671</v>
      </c>
      <c r="C2853" s="6">
        <v>4000.0</v>
      </c>
      <c r="D2853" s="6">
        <v>4.142857143</v>
      </c>
      <c r="E2853" s="6">
        <v>7.0</v>
      </c>
    </row>
    <row r="2854">
      <c r="A2854" s="4" t="s">
        <v>5672</v>
      </c>
      <c r="B2854" s="5" t="s">
        <v>5673</v>
      </c>
      <c r="C2854" s="6">
        <v>4000.0</v>
      </c>
      <c r="D2854" s="6">
        <v>4.636363636</v>
      </c>
      <c r="E2854" s="6">
        <v>55.0</v>
      </c>
    </row>
    <row r="2855">
      <c r="A2855" s="4" t="s">
        <v>5674</v>
      </c>
      <c r="B2855" s="5" t="s">
        <v>5675</v>
      </c>
      <c r="C2855" s="6">
        <v>4000.0</v>
      </c>
      <c r="D2855" s="6">
        <v>2.04</v>
      </c>
      <c r="E2855" s="6">
        <v>25.0</v>
      </c>
    </row>
    <row r="2856">
      <c r="A2856" s="4" t="s">
        <v>5676</v>
      </c>
      <c r="B2856" s="5" t="s">
        <v>5677</v>
      </c>
      <c r="C2856" s="6">
        <v>4000.0</v>
      </c>
      <c r="D2856" s="6">
        <v>1.882352941</v>
      </c>
      <c r="E2856" s="6">
        <v>17.0</v>
      </c>
    </row>
    <row r="2857">
      <c r="A2857" s="4" t="s">
        <v>5678</v>
      </c>
      <c r="B2857" s="5" t="s">
        <v>5679</v>
      </c>
      <c r="C2857" s="6">
        <v>4000.0</v>
      </c>
      <c r="D2857" s="6">
        <v>4.285714286</v>
      </c>
      <c r="E2857" s="6">
        <v>7.0</v>
      </c>
    </row>
    <row r="2858">
      <c r="A2858" s="4" t="s">
        <v>5680</v>
      </c>
      <c r="B2858" s="5" t="s">
        <v>5681</v>
      </c>
      <c r="C2858" s="6">
        <v>4000.0</v>
      </c>
      <c r="D2858" s="6">
        <v>4.666666667</v>
      </c>
      <c r="E2858" s="6">
        <v>3.0</v>
      </c>
    </row>
    <row r="2859">
      <c r="A2859" s="4" t="s">
        <v>5682</v>
      </c>
      <c r="B2859" s="5" t="s">
        <v>5683</v>
      </c>
      <c r="C2859" s="6">
        <v>4000.0</v>
      </c>
      <c r="D2859" s="6">
        <v>4.428571429</v>
      </c>
      <c r="E2859" s="6">
        <v>7.0</v>
      </c>
    </row>
    <row r="2860">
      <c r="A2860" s="4" t="s">
        <v>5684</v>
      </c>
      <c r="B2860" s="5" t="s">
        <v>5685</v>
      </c>
      <c r="C2860" s="6">
        <v>4000.0</v>
      </c>
      <c r="D2860" s="6">
        <v>3.974358974</v>
      </c>
      <c r="E2860" s="6">
        <v>39.0</v>
      </c>
    </row>
    <row r="2861">
      <c r="A2861" s="4" t="s">
        <v>5686</v>
      </c>
      <c r="B2861" s="5" t="s">
        <v>5687</v>
      </c>
      <c r="C2861" s="6">
        <v>4000.0</v>
      </c>
      <c r="D2861" s="6">
        <v>4.116071429</v>
      </c>
      <c r="E2861" s="6">
        <v>112.0</v>
      </c>
    </row>
    <row r="2862">
      <c r="A2862" s="4" t="s">
        <v>5688</v>
      </c>
      <c r="B2862" s="5" t="s">
        <v>5689</v>
      </c>
      <c r="C2862" s="6">
        <v>4000.0</v>
      </c>
      <c r="D2862" s="6">
        <v>2.615384615</v>
      </c>
      <c r="E2862" s="6">
        <v>13.0</v>
      </c>
    </row>
    <row r="2863">
      <c r="A2863" s="4" t="s">
        <v>5690</v>
      </c>
      <c r="B2863" s="5" t="s">
        <v>5691</v>
      </c>
      <c r="C2863" s="6">
        <v>4000.0</v>
      </c>
      <c r="D2863" s="6">
        <v>4.529411765</v>
      </c>
      <c r="E2863" s="6">
        <v>153.0</v>
      </c>
    </row>
    <row r="2864">
      <c r="A2864" s="4" t="s">
        <v>5692</v>
      </c>
      <c r="B2864" s="5" t="s">
        <v>5693</v>
      </c>
      <c r="C2864" s="6">
        <v>4000.0</v>
      </c>
      <c r="D2864" s="6">
        <v>4.181818182</v>
      </c>
      <c r="E2864" s="6">
        <v>11.0</v>
      </c>
    </row>
    <row r="2865">
      <c r="A2865" s="4" t="s">
        <v>5694</v>
      </c>
      <c r="B2865" s="5" t="s">
        <v>5695</v>
      </c>
      <c r="C2865" s="6">
        <v>4000.0</v>
      </c>
      <c r="D2865" s="6">
        <v>3.5625</v>
      </c>
      <c r="E2865" s="6">
        <v>16.0</v>
      </c>
    </row>
    <row r="2866">
      <c r="A2866" s="4" t="s">
        <v>5696</v>
      </c>
      <c r="B2866" s="5" t="s">
        <v>5697</v>
      </c>
      <c r="C2866" s="6">
        <v>4000.0</v>
      </c>
      <c r="D2866" s="6">
        <v>2.625</v>
      </c>
      <c r="E2866" s="6">
        <v>16.0</v>
      </c>
    </row>
    <row r="2867">
      <c r="A2867" s="4" t="s">
        <v>5698</v>
      </c>
      <c r="B2867" s="5" t="s">
        <v>5699</v>
      </c>
      <c r="C2867" s="6">
        <v>4000.0</v>
      </c>
      <c r="D2867" s="6">
        <v>4.272727273</v>
      </c>
      <c r="E2867" s="6">
        <v>33.0</v>
      </c>
    </row>
    <row r="2868">
      <c r="A2868" s="4" t="s">
        <v>5700</v>
      </c>
      <c r="B2868" s="5" t="s">
        <v>5701</v>
      </c>
      <c r="C2868" s="6">
        <v>4000.0</v>
      </c>
      <c r="D2868" s="6">
        <v>3.833333333</v>
      </c>
      <c r="E2868" s="6">
        <v>6.0</v>
      </c>
    </row>
    <row r="2869">
      <c r="A2869" s="4" t="s">
        <v>5702</v>
      </c>
      <c r="B2869" s="5" t="s">
        <v>5703</v>
      </c>
      <c r="C2869" s="6">
        <v>4000.0</v>
      </c>
      <c r="D2869" s="6">
        <v>4.677419355</v>
      </c>
      <c r="E2869" s="6">
        <v>31.0</v>
      </c>
    </row>
    <row r="2870">
      <c r="A2870" s="4" t="s">
        <v>5704</v>
      </c>
      <c r="B2870" s="5" t="s">
        <v>5705</v>
      </c>
      <c r="C2870" s="6">
        <v>4000.0</v>
      </c>
      <c r="D2870" s="6">
        <v>4.666666667</v>
      </c>
      <c r="E2870" s="6">
        <v>3.0</v>
      </c>
    </row>
    <row r="2871">
      <c r="A2871" s="4" t="s">
        <v>5706</v>
      </c>
      <c r="B2871" s="5" t="s">
        <v>5707</v>
      </c>
      <c r="C2871" s="6">
        <v>4000.0</v>
      </c>
      <c r="D2871" s="6">
        <v>2.875</v>
      </c>
      <c r="E2871" s="6">
        <v>8.0</v>
      </c>
    </row>
    <row r="2872">
      <c r="A2872" s="4" t="s">
        <v>5708</v>
      </c>
      <c r="B2872" s="5" t="s">
        <v>5709</v>
      </c>
      <c r="C2872" s="6">
        <v>4000.0</v>
      </c>
      <c r="D2872" s="6">
        <v>3.928571429</v>
      </c>
      <c r="E2872" s="6">
        <v>70.0</v>
      </c>
    </row>
    <row r="2873">
      <c r="A2873" s="4" t="s">
        <v>5710</v>
      </c>
      <c r="B2873" s="5" t="s">
        <v>5711</v>
      </c>
      <c r="C2873" s="6">
        <v>4000.0</v>
      </c>
      <c r="D2873" s="6">
        <v>4.230769231</v>
      </c>
      <c r="E2873" s="6">
        <v>26.0</v>
      </c>
    </row>
    <row r="2874">
      <c r="A2874" s="4" t="s">
        <v>5712</v>
      </c>
      <c r="B2874" s="5" t="s">
        <v>5713</v>
      </c>
      <c r="C2874" s="6">
        <v>4000.0</v>
      </c>
      <c r="D2874" s="6">
        <v>4.2</v>
      </c>
      <c r="E2874" s="6">
        <v>5.0</v>
      </c>
    </row>
    <row r="2875">
      <c r="A2875" s="4" t="s">
        <v>5714</v>
      </c>
      <c r="B2875" s="5" t="s">
        <v>5715</v>
      </c>
      <c r="C2875" s="6">
        <v>4000.0</v>
      </c>
      <c r="D2875" s="6">
        <v>4.066666667</v>
      </c>
      <c r="E2875" s="6">
        <v>45.0</v>
      </c>
    </row>
    <row r="2876">
      <c r="A2876" s="4" t="s">
        <v>5716</v>
      </c>
      <c r="B2876" s="5" t="s">
        <v>5717</v>
      </c>
      <c r="C2876" s="6">
        <v>4000.0</v>
      </c>
      <c r="D2876" s="6">
        <v>2.979591837</v>
      </c>
      <c r="E2876" s="6">
        <v>49.0</v>
      </c>
    </row>
    <row r="2877">
      <c r="A2877" s="4" t="s">
        <v>5718</v>
      </c>
      <c r="B2877" s="5" t="s">
        <v>5719</v>
      </c>
      <c r="C2877" s="6">
        <v>4000.0</v>
      </c>
      <c r="D2877" s="6">
        <v>3.222222222</v>
      </c>
      <c r="E2877" s="6">
        <v>27.0</v>
      </c>
    </row>
    <row r="2878">
      <c r="A2878" s="4" t="s">
        <v>5720</v>
      </c>
      <c r="B2878" s="5" t="s">
        <v>5721</v>
      </c>
      <c r="C2878" s="6">
        <v>4000.0</v>
      </c>
      <c r="D2878" s="6">
        <v>4.795918367</v>
      </c>
      <c r="E2878" s="6">
        <v>49.0</v>
      </c>
    </row>
    <row r="2879">
      <c r="A2879" s="4" t="s">
        <v>5722</v>
      </c>
      <c r="B2879" s="5" t="s">
        <v>5723</v>
      </c>
      <c r="C2879" s="6">
        <v>4000.0</v>
      </c>
      <c r="D2879" s="6">
        <v>4.823529412</v>
      </c>
      <c r="E2879" s="6">
        <v>17.0</v>
      </c>
    </row>
    <row r="2880">
      <c r="A2880" s="4" t="s">
        <v>5724</v>
      </c>
      <c r="B2880" s="5" t="s">
        <v>5725</v>
      </c>
      <c r="C2880" s="6">
        <v>4000.0</v>
      </c>
      <c r="D2880" s="6">
        <v>4.444444444</v>
      </c>
      <c r="E2880" s="6">
        <v>9.0</v>
      </c>
    </row>
    <row r="2881">
      <c r="A2881" s="4" t="s">
        <v>5726</v>
      </c>
      <c r="B2881" s="5" t="s">
        <v>5727</v>
      </c>
      <c r="C2881" s="6">
        <v>4000.0</v>
      </c>
      <c r="D2881" s="6">
        <v>4.333333333</v>
      </c>
      <c r="E2881" s="6">
        <v>18.0</v>
      </c>
    </row>
    <row r="2882">
      <c r="A2882" s="4" t="s">
        <v>5728</v>
      </c>
      <c r="B2882" s="5" t="s">
        <v>5729</v>
      </c>
      <c r="C2882" s="6">
        <v>4000.0</v>
      </c>
      <c r="D2882" s="6">
        <v>4.2</v>
      </c>
      <c r="E2882" s="6">
        <v>10.0</v>
      </c>
    </row>
    <row r="2883">
      <c r="A2883" s="4" t="s">
        <v>5730</v>
      </c>
      <c r="B2883" s="5" t="s">
        <v>5731</v>
      </c>
      <c r="C2883" s="6">
        <v>4000.0</v>
      </c>
      <c r="D2883" s="6">
        <v>3.9</v>
      </c>
      <c r="E2883" s="6">
        <v>60.0</v>
      </c>
    </row>
    <row r="2884">
      <c r="A2884" s="4" t="s">
        <v>5732</v>
      </c>
      <c r="B2884" s="5" t="s">
        <v>5733</v>
      </c>
      <c r="C2884" s="6">
        <v>4000.0</v>
      </c>
      <c r="D2884" s="6">
        <v>4.42</v>
      </c>
      <c r="E2884" s="6">
        <v>50.0</v>
      </c>
    </row>
    <row r="2885">
      <c r="A2885" s="4" t="s">
        <v>5734</v>
      </c>
      <c r="B2885" s="5" t="s">
        <v>5735</v>
      </c>
      <c r="C2885" s="6">
        <v>4000.0</v>
      </c>
      <c r="D2885" s="6">
        <v>4.758865248</v>
      </c>
      <c r="E2885" s="6">
        <v>141.0</v>
      </c>
    </row>
    <row r="2886">
      <c r="A2886" s="4" t="s">
        <v>5736</v>
      </c>
      <c r="B2886" s="5" t="s">
        <v>5737</v>
      </c>
      <c r="C2886" s="6">
        <v>4000.0</v>
      </c>
      <c r="D2886" s="9"/>
      <c r="E2886" s="9"/>
    </row>
    <row r="2887">
      <c r="A2887" s="4" t="s">
        <v>5738</v>
      </c>
      <c r="B2887" s="5" t="s">
        <v>5739</v>
      </c>
      <c r="C2887" s="6">
        <v>4000.0</v>
      </c>
      <c r="D2887" s="6">
        <v>3.0</v>
      </c>
      <c r="E2887" s="6">
        <v>6.0</v>
      </c>
    </row>
    <row r="2888">
      <c r="A2888" s="4" t="s">
        <v>5740</v>
      </c>
      <c r="B2888" s="5" t="s">
        <v>5741</v>
      </c>
      <c r="C2888" s="6">
        <v>4000.0</v>
      </c>
      <c r="D2888" s="9"/>
      <c r="E2888" s="9"/>
    </row>
    <row r="2889">
      <c r="A2889" s="4" t="s">
        <v>5742</v>
      </c>
      <c r="B2889" s="5" t="s">
        <v>5743</v>
      </c>
      <c r="C2889" s="6">
        <v>4000.0</v>
      </c>
      <c r="D2889" s="6">
        <v>5.0</v>
      </c>
      <c r="E2889" s="6">
        <v>3.0</v>
      </c>
    </row>
    <row r="2890">
      <c r="A2890" s="4" t="s">
        <v>5744</v>
      </c>
      <c r="B2890" s="5" t="s">
        <v>5745</v>
      </c>
      <c r="C2890" s="6">
        <v>4000.0</v>
      </c>
      <c r="D2890" s="6">
        <v>3.133333333</v>
      </c>
      <c r="E2890" s="6">
        <v>60.0</v>
      </c>
    </row>
    <row r="2891">
      <c r="A2891" s="4" t="s">
        <v>5746</v>
      </c>
      <c r="B2891" s="5" t="s">
        <v>5747</v>
      </c>
      <c r="C2891" s="6">
        <v>4000.0</v>
      </c>
      <c r="D2891" s="6">
        <v>3.886792453</v>
      </c>
      <c r="E2891" s="6">
        <v>53.0</v>
      </c>
    </row>
    <row r="2892">
      <c r="A2892" s="4" t="s">
        <v>5748</v>
      </c>
      <c r="B2892" s="5" t="s">
        <v>5749</v>
      </c>
      <c r="C2892" s="6">
        <v>4000.0</v>
      </c>
      <c r="D2892" s="6">
        <v>4.088888889</v>
      </c>
      <c r="E2892" s="6">
        <v>45.0</v>
      </c>
    </row>
    <row r="2893">
      <c r="A2893" s="4" t="s">
        <v>5750</v>
      </c>
      <c r="B2893" s="5" t="s">
        <v>5751</v>
      </c>
      <c r="C2893" s="6">
        <v>4000.0</v>
      </c>
      <c r="D2893" s="6">
        <v>4.357142857</v>
      </c>
      <c r="E2893" s="6">
        <v>14.0</v>
      </c>
    </row>
    <row r="2894">
      <c r="A2894" s="4" t="s">
        <v>5752</v>
      </c>
      <c r="B2894" s="5" t="s">
        <v>5753</v>
      </c>
      <c r="C2894" s="6">
        <v>4000.0</v>
      </c>
      <c r="D2894" s="9"/>
      <c r="E2894" s="9"/>
    </row>
    <row r="2895">
      <c r="A2895" s="4" t="s">
        <v>5754</v>
      </c>
      <c r="B2895" s="5" t="s">
        <v>5755</v>
      </c>
      <c r="C2895" s="6">
        <v>4000.0</v>
      </c>
      <c r="D2895" s="6">
        <v>4.822222222</v>
      </c>
      <c r="E2895" s="6">
        <v>45.0</v>
      </c>
    </row>
    <row r="2896">
      <c r="A2896" s="4" t="s">
        <v>5756</v>
      </c>
      <c r="B2896" s="5" t="s">
        <v>5757</v>
      </c>
      <c r="C2896" s="6">
        <v>4000.0</v>
      </c>
      <c r="D2896" s="6">
        <v>3.111111111</v>
      </c>
      <c r="E2896" s="6">
        <v>18.0</v>
      </c>
    </row>
    <row r="2897">
      <c r="A2897" s="4" t="s">
        <v>5758</v>
      </c>
      <c r="B2897" s="5" t="s">
        <v>5759</v>
      </c>
      <c r="C2897" s="6">
        <v>4000.0</v>
      </c>
      <c r="D2897" s="6">
        <v>3.780487805</v>
      </c>
      <c r="E2897" s="6">
        <v>41.0</v>
      </c>
    </row>
    <row r="2898">
      <c r="A2898" s="4" t="s">
        <v>5760</v>
      </c>
      <c r="B2898" s="5" t="s">
        <v>5761</v>
      </c>
      <c r="C2898" s="6">
        <v>4000.0</v>
      </c>
      <c r="D2898" s="6">
        <v>4.0</v>
      </c>
      <c r="E2898" s="6">
        <v>12.0</v>
      </c>
    </row>
    <row r="2899">
      <c r="A2899" s="4" t="s">
        <v>5762</v>
      </c>
      <c r="B2899" s="5" t="s">
        <v>5763</v>
      </c>
      <c r="C2899" s="6">
        <v>4000.0</v>
      </c>
      <c r="D2899" s="6">
        <v>2.808219178</v>
      </c>
      <c r="E2899" s="6">
        <v>73.0</v>
      </c>
    </row>
    <row r="2900">
      <c r="A2900" s="4" t="s">
        <v>5764</v>
      </c>
      <c r="B2900" s="5" t="s">
        <v>5765</v>
      </c>
      <c r="C2900" s="6">
        <v>4000.0</v>
      </c>
      <c r="D2900" s="6">
        <v>4.547215496</v>
      </c>
      <c r="E2900" s="6">
        <v>413.0</v>
      </c>
    </row>
    <row r="2901">
      <c r="A2901" s="4" t="s">
        <v>5766</v>
      </c>
      <c r="B2901" s="5" t="s">
        <v>5767</v>
      </c>
      <c r="C2901" s="6">
        <v>4000.0</v>
      </c>
      <c r="D2901" s="6">
        <v>4.1</v>
      </c>
      <c r="E2901" s="6">
        <v>20.0</v>
      </c>
    </row>
    <row r="2902">
      <c r="A2902" s="4" t="s">
        <v>5768</v>
      </c>
      <c r="B2902" s="5" t="s">
        <v>5769</v>
      </c>
      <c r="C2902" s="6">
        <v>4000.0</v>
      </c>
      <c r="D2902" s="9"/>
      <c r="E2902" s="9"/>
    </row>
    <row r="2903">
      <c r="A2903" s="4" t="s">
        <v>5770</v>
      </c>
      <c r="B2903" s="5" t="s">
        <v>5771</v>
      </c>
      <c r="C2903" s="6">
        <v>4000.0</v>
      </c>
      <c r="D2903" s="6">
        <v>4.833333333</v>
      </c>
      <c r="E2903" s="6">
        <v>6.0</v>
      </c>
    </row>
    <row r="2904">
      <c r="A2904" s="4" t="s">
        <v>5772</v>
      </c>
      <c r="B2904" s="5" t="s">
        <v>5773</v>
      </c>
      <c r="C2904" s="6">
        <v>4000.0</v>
      </c>
      <c r="D2904" s="6">
        <v>2.136363636</v>
      </c>
      <c r="E2904" s="6">
        <v>22.0</v>
      </c>
    </row>
    <row r="2905">
      <c r="A2905" s="4" t="s">
        <v>5774</v>
      </c>
      <c r="B2905" s="12" t="s">
        <v>5775</v>
      </c>
      <c r="C2905" s="7">
        <v>4000.0</v>
      </c>
      <c r="D2905" s="6">
        <v>1.7</v>
      </c>
      <c r="E2905" s="6">
        <v>17.0</v>
      </c>
    </row>
    <row r="2906">
      <c r="A2906" s="4" t="s">
        <v>5776</v>
      </c>
      <c r="B2906" s="5" t="s">
        <v>5777</v>
      </c>
      <c r="C2906" s="6">
        <v>4000.0</v>
      </c>
      <c r="D2906" s="6">
        <v>2.166666667</v>
      </c>
      <c r="E2906" s="6">
        <v>18.0</v>
      </c>
    </row>
    <row r="2907">
      <c r="A2907" s="4" t="s">
        <v>5778</v>
      </c>
      <c r="B2907" s="5" t="s">
        <v>5779</v>
      </c>
      <c r="C2907" s="6">
        <v>4000.0</v>
      </c>
      <c r="D2907" s="6">
        <v>4.789473684</v>
      </c>
      <c r="E2907" s="6">
        <v>19.0</v>
      </c>
    </row>
    <row r="2908">
      <c r="A2908" s="4" t="s">
        <v>5780</v>
      </c>
      <c r="B2908" s="5" t="s">
        <v>5781</v>
      </c>
      <c r="C2908" s="6">
        <v>4000.0</v>
      </c>
      <c r="D2908" s="6">
        <v>4.0</v>
      </c>
      <c r="E2908" s="6">
        <v>6.0</v>
      </c>
    </row>
    <row r="2909">
      <c r="A2909" s="4" t="s">
        <v>5782</v>
      </c>
      <c r="B2909" s="5" t="s">
        <v>5783</v>
      </c>
      <c r="C2909" s="6">
        <v>4000.0</v>
      </c>
      <c r="D2909" s="6">
        <v>3.824324324</v>
      </c>
      <c r="E2909" s="6">
        <v>74.0</v>
      </c>
    </row>
    <row r="2910">
      <c r="A2910" s="4" t="s">
        <v>5784</v>
      </c>
      <c r="B2910" s="5" t="s">
        <v>5785</v>
      </c>
      <c r="C2910" s="6">
        <v>4000.0</v>
      </c>
      <c r="D2910" s="6">
        <v>2.25</v>
      </c>
      <c r="E2910" s="6">
        <v>12.0</v>
      </c>
    </row>
    <row r="2911">
      <c r="A2911" s="4" t="s">
        <v>5786</v>
      </c>
      <c r="B2911" s="5" t="s">
        <v>5787</v>
      </c>
      <c r="C2911" s="6">
        <v>4000.0</v>
      </c>
      <c r="D2911" s="6">
        <v>2.0</v>
      </c>
      <c r="E2911" s="6">
        <v>6.0</v>
      </c>
    </row>
    <row r="2912">
      <c r="A2912" s="4" t="s">
        <v>5788</v>
      </c>
      <c r="B2912" s="5" t="s">
        <v>5789</v>
      </c>
      <c r="C2912" s="6">
        <v>4000.0</v>
      </c>
      <c r="D2912" s="6">
        <v>4.626198083</v>
      </c>
      <c r="E2912" s="6">
        <v>313.0</v>
      </c>
    </row>
    <row r="2913">
      <c r="A2913" s="4" t="s">
        <v>5790</v>
      </c>
      <c r="B2913" s="5" t="s">
        <v>5791</v>
      </c>
      <c r="C2913" s="6">
        <v>4000.0</v>
      </c>
      <c r="D2913" s="6">
        <v>4.826086957</v>
      </c>
      <c r="E2913" s="6">
        <v>23.0</v>
      </c>
    </row>
    <row r="2914">
      <c r="A2914" s="4" t="s">
        <v>5792</v>
      </c>
      <c r="B2914" s="5" t="s">
        <v>5793</v>
      </c>
      <c r="C2914" s="6">
        <v>4000.0</v>
      </c>
      <c r="D2914" s="6">
        <v>3.428571429</v>
      </c>
      <c r="E2914" s="6">
        <v>7.0</v>
      </c>
    </row>
    <row r="2915">
      <c r="A2915" s="4" t="s">
        <v>5794</v>
      </c>
      <c r="B2915" s="5" t="s">
        <v>5795</v>
      </c>
      <c r="C2915" s="6">
        <v>4000.0</v>
      </c>
      <c r="D2915" s="6">
        <v>4.833333333</v>
      </c>
      <c r="E2915" s="6">
        <v>6.0</v>
      </c>
    </row>
    <row r="2916">
      <c r="A2916" s="4" t="s">
        <v>5796</v>
      </c>
      <c r="B2916" s="5" t="s">
        <v>5797</v>
      </c>
      <c r="C2916" s="6">
        <v>4000.0</v>
      </c>
      <c r="D2916" s="6">
        <v>4.210526316</v>
      </c>
      <c r="E2916" s="6">
        <v>38.0</v>
      </c>
    </row>
    <row r="2917">
      <c r="A2917" s="4" t="s">
        <v>5798</v>
      </c>
      <c r="B2917" s="5" t="s">
        <v>5799</v>
      </c>
      <c r="C2917" s="6">
        <v>4000.0</v>
      </c>
      <c r="D2917" s="6">
        <v>4.090909091</v>
      </c>
      <c r="E2917" s="6">
        <v>11.0</v>
      </c>
    </row>
    <row r="2918">
      <c r="A2918" s="4" t="s">
        <v>5800</v>
      </c>
      <c r="B2918" s="5" t="s">
        <v>5801</v>
      </c>
      <c r="C2918" s="6">
        <v>4000.0</v>
      </c>
      <c r="D2918" s="6">
        <v>4.3</v>
      </c>
      <c r="E2918" s="6">
        <v>20.0</v>
      </c>
    </row>
    <row r="2919">
      <c r="A2919" s="4" t="s">
        <v>5802</v>
      </c>
      <c r="B2919" s="5" t="s">
        <v>5803</v>
      </c>
      <c r="C2919" s="6">
        <v>4000.0</v>
      </c>
      <c r="D2919" s="6">
        <v>2.777777778</v>
      </c>
      <c r="E2919" s="6">
        <v>9.0</v>
      </c>
    </row>
    <row r="2920">
      <c r="A2920" s="4" t="s">
        <v>5804</v>
      </c>
      <c r="B2920" s="5" t="s">
        <v>5805</v>
      </c>
      <c r="C2920" s="6">
        <v>4000.0</v>
      </c>
      <c r="D2920" s="6">
        <v>4.04</v>
      </c>
      <c r="E2920" s="6">
        <v>25.0</v>
      </c>
    </row>
    <row r="2921">
      <c r="A2921" s="4" t="s">
        <v>5806</v>
      </c>
      <c r="B2921" s="5" t="s">
        <v>5807</v>
      </c>
      <c r="C2921" s="6">
        <v>4000.0</v>
      </c>
      <c r="D2921" s="6">
        <v>3.128205128</v>
      </c>
      <c r="E2921" s="6">
        <v>39.0</v>
      </c>
    </row>
    <row r="2922">
      <c r="A2922" s="4" t="s">
        <v>5808</v>
      </c>
      <c r="B2922" s="5" t="s">
        <v>5809</v>
      </c>
      <c r="C2922" s="6">
        <v>4000.0</v>
      </c>
      <c r="D2922" s="6">
        <v>4.381355932</v>
      </c>
      <c r="E2922" s="6">
        <v>118.0</v>
      </c>
    </row>
    <row r="2923">
      <c r="A2923" s="4" t="s">
        <v>5810</v>
      </c>
      <c r="B2923" s="5" t="s">
        <v>5811</v>
      </c>
      <c r="C2923" s="6">
        <v>4000.0</v>
      </c>
      <c r="D2923" s="6">
        <v>3.404761905</v>
      </c>
      <c r="E2923" s="6">
        <v>42.0</v>
      </c>
    </row>
    <row r="2924">
      <c r="A2924" s="4" t="s">
        <v>5812</v>
      </c>
      <c r="B2924" s="5" t="s">
        <v>5813</v>
      </c>
      <c r="C2924" s="6">
        <v>4000.0</v>
      </c>
      <c r="D2924" s="6">
        <v>3.571428571</v>
      </c>
      <c r="E2924" s="6">
        <v>7.0</v>
      </c>
    </row>
    <row r="2925">
      <c r="A2925" s="4" t="s">
        <v>5814</v>
      </c>
      <c r="B2925" s="5" t="s">
        <v>5815</v>
      </c>
      <c r="C2925" s="6">
        <v>4000.0</v>
      </c>
      <c r="D2925" s="9"/>
      <c r="E2925" s="9"/>
    </row>
    <row r="2926">
      <c r="A2926" s="4" t="s">
        <v>5816</v>
      </c>
      <c r="B2926" s="5" t="s">
        <v>5817</v>
      </c>
      <c r="C2926" s="6">
        <v>4000.0</v>
      </c>
      <c r="D2926" s="6">
        <v>4.5</v>
      </c>
      <c r="E2926" s="6">
        <v>12.0</v>
      </c>
    </row>
    <row r="2927">
      <c r="A2927" s="4" t="s">
        <v>5818</v>
      </c>
      <c r="B2927" s="5" t="s">
        <v>5819</v>
      </c>
      <c r="C2927" s="6">
        <v>4000.0</v>
      </c>
      <c r="D2927" s="6">
        <v>4.2</v>
      </c>
      <c r="E2927" s="6">
        <v>20.0</v>
      </c>
    </row>
    <row r="2928">
      <c r="A2928" s="4" t="s">
        <v>5820</v>
      </c>
      <c r="B2928" s="5" t="s">
        <v>5821</v>
      </c>
      <c r="C2928" s="6">
        <v>4000.0</v>
      </c>
      <c r="D2928" s="6">
        <v>3.2</v>
      </c>
      <c r="E2928" s="6">
        <v>5.0</v>
      </c>
    </row>
    <row r="2929">
      <c r="A2929" s="4" t="s">
        <v>5822</v>
      </c>
      <c r="B2929" s="5" t="s">
        <v>5823</v>
      </c>
      <c r="C2929" s="6">
        <v>4000.0</v>
      </c>
      <c r="D2929" s="6">
        <v>4.309090909</v>
      </c>
      <c r="E2929" s="6">
        <v>55.0</v>
      </c>
    </row>
    <row r="2930">
      <c r="A2930" s="4" t="s">
        <v>5824</v>
      </c>
      <c r="B2930" s="5" t="s">
        <v>5825</v>
      </c>
      <c r="C2930" s="6">
        <v>4000.0</v>
      </c>
      <c r="D2930" s="9"/>
      <c r="E2930" s="9"/>
    </row>
    <row r="2931">
      <c r="A2931" s="4" t="s">
        <v>5826</v>
      </c>
      <c r="B2931" s="5" t="s">
        <v>5827</v>
      </c>
      <c r="C2931" s="6">
        <v>4000.0</v>
      </c>
      <c r="D2931" s="6">
        <v>2.172413793</v>
      </c>
      <c r="E2931" s="6">
        <v>29.0</v>
      </c>
    </row>
    <row r="2932">
      <c r="A2932" s="4" t="s">
        <v>5828</v>
      </c>
      <c r="B2932" s="5" t="s">
        <v>5829</v>
      </c>
      <c r="C2932" s="6">
        <v>4000.0</v>
      </c>
      <c r="D2932" s="6">
        <v>2.94</v>
      </c>
      <c r="E2932" s="6">
        <v>50.0</v>
      </c>
    </row>
    <row r="2933">
      <c r="A2933" s="4" t="s">
        <v>5830</v>
      </c>
      <c r="B2933" s="5" t="s">
        <v>5831</v>
      </c>
      <c r="C2933" s="6">
        <v>4000.0</v>
      </c>
      <c r="D2933" s="6">
        <v>4.178571429</v>
      </c>
      <c r="E2933" s="6">
        <v>28.0</v>
      </c>
    </row>
    <row r="2934">
      <c r="A2934" s="4" t="s">
        <v>5832</v>
      </c>
      <c r="B2934" s="5" t="s">
        <v>5833</v>
      </c>
      <c r="C2934" s="6">
        <v>4000.0</v>
      </c>
      <c r="D2934" s="9"/>
      <c r="E2934" s="9"/>
    </row>
    <row r="2935">
      <c r="A2935" s="4" t="s">
        <v>5834</v>
      </c>
      <c r="B2935" s="5" t="s">
        <v>5835</v>
      </c>
      <c r="C2935" s="6">
        <v>4000.0</v>
      </c>
      <c r="D2935" s="6">
        <v>4.710900474</v>
      </c>
      <c r="E2935" s="6">
        <v>211.0</v>
      </c>
    </row>
    <row r="2936">
      <c r="A2936" s="4" t="s">
        <v>5836</v>
      </c>
      <c r="B2936" s="5" t="s">
        <v>5837</v>
      </c>
      <c r="C2936" s="6">
        <v>4000.0</v>
      </c>
      <c r="D2936" s="6">
        <v>4.333333333</v>
      </c>
      <c r="E2936" s="6">
        <v>9.0</v>
      </c>
    </row>
    <row r="2937">
      <c r="A2937" s="4" t="s">
        <v>5838</v>
      </c>
      <c r="B2937" s="5" t="s">
        <v>5839</v>
      </c>
      <c r="C2937" s="6">
        <v>4000.0</v>
      </c>
      <c r="D2937" s="6">
        <v>5.0</v>
      </c>
      <c r="E2937" s="6">
        <v>12.0</v>
      </c>
    </row>
    <row r="2938">
      <c r="A2938" s="4" t="s">
        <v>5840</v>
      </c>
      <c r="B2938" s="5" t="s">
        <v>5841</v>
      </c>
      <c r="C2938" s="6">
        <v>4000.0</v>
      </c>
      <c r="D2938" s="6">
        <v>1.363636364</v>
      </c>
      <c r="E2938" s="6">
        <v>11.0</v>
      </c>
    </row>
    <row r="2939">
      <c r="A2939" s="4" t="s">
        <v>5842</v>
      </c>
      <c r="B2939" s="5" t="s">
        <v>5843</v>
      </c>
      <c r="C2939" s="6">
        <v>4000.0</v>
      </c>
      <c r="D2939" s="6">
        <v>3.909090909</v>
      </c>
      <c r="E2939" s="6">
        <v>22.0</v>
      </c>
    </row>
    <row r="2940">
      <c r="A2940" s="4" t="s">
        <v>5844</v>
      </c>
      <c r="B2940" s="5" t="s">
        <v>5845</v>
      </c>
      <c r="C2940" s="6">
        <v>4000.0</v>
      </c>
      <c r="D2940" s="6">
        <v>4.727272727</v>
      </c>
      <c r="E2940" s="6">
        <v>11.0</v>
      </c>
    </row>
    <row r="2941">
      <c r="A2941" s="4" t="s">
        <v>5846</v>
      </c>
      <c r="B2941" s="5" t="s">
        <v>5847</v>
      </c>
      <c r="C2941" s="6">
        <v>4000.0</v>
      </c>
      <c r="D2941" s="9"/>
      <c r="E2941" s="9"/>
    </row>
    <row r="2942">
      <c r="A2942" s="4" t="s">
        <v>5848</v>
      </c>
      <c r="B2942" s="5" t="s">
        <v>5849</v>
      </c>
      <c r="C2942" s="6">
        <v>4000.0</v>
      </c>
      <c r="D2942" s="6">
        <v>3.444444444</v>
      </c>
      <c r="E2942" s="6">
        <v>18.0</v>
      </c>
    </row>
    <row r="2943">
      <c r="A2943" s="4" t="s">
        <v>5850</v>
      </c>
      <c r="B2943" s="5" t="s">
        <v>5851</v>
      </c>
      <c r="C2943" s="6">
        <v>4000.0</v>
      </c>
      <c r="D2943" s="6">
        <v>4.848484848</v>
      </c>
      <c r="E2943" s="6">
        <v>66.0</v>
      </c>
    </row>
    <row r="2944">
      <c r="A2944" s="4" t="s">
        <v>5852</v>
      </c>
      <c r="B2944" s="5" t="s">
        <v>5853</v>
      </c>
      <c r="C2944" s="6">
        <v>4000.0</v>
      </c>
      <c r="D2944" s="6">
        <v>2.857142857</v>
      </c>
      <c r="E2944" s="6">
        <v>7.0</v>
      </c>
    </row>
    <row r="2945">
      <c r="A2945" s="4" t="s">
        <v>5854</v>
      </c>
      <c r="B2945" s="5" t="s">
        <v>5855</v>
      </c>
      <c r="C2945" s="6">
        <v>4000.0</v>
      </c>
      <c r="D2945" s="6">
        <v>2.764150943</v>
      </c>
      <c r="E2945" s="6">
        <v>106.0</v>
      </c>
    </row>
    <row r="2946">
      <c r="A2946" s="4" t="s">
        <v>5856</v>
      </c>
      <c r="B2946" s="5" t="s">
        <v>5857</v>
      </c>
      <c r="C2946" s="6">
        <v>4000.0</v>
      </c>
      <c r="D2946" s="6">
        <v>4.1</v>
      </c>
      <c r="E2946" s="6">
        <v>20.0</v>
      </c>
    </row>
    <row r="2947">
      <c r="A2947" s="4" t="s">
        <v>5858</v>
      </c>
      <c r="B2947" s="5" t="s">
        <v>5859</v>
      </c>
      <c r="C2947" s="6">
        <v>4000.0</v>
      </c>
      <c r="D2947" s="6">
        <v>3.111111111</v>
      </c>
      <c r="E2947" s="6">
        <v>36.0</v>
      </c>
    </row>
    <row r="2948">
      <c r="A2948" s="4" t="s">
        <v>5860</v>
      </c>
      <c r="B2948" s="5" t="s">
        <v>5861</v>
      </c>
      <c r="C2948" s="6">
        <v>4000.0</v>
      </c>
      <c r="D2948" s="6">
        <v>3.96</v>
      </c>
      <c r="E2948" s="6">
        <v>25.0</v>
      </c>
    </row>
    <row r="2949">
      <c r="A2949" s="4" t="s">
        <v>5862</v>
      </c>
      <c r="B2949" s="5" t="s">
        <v>5863</v>
      </c>
      <c r="C2949" s="6">
        <v>4000.0</v>
      </c>
      <c r="D2949" s="6">
        <v>4.185185185</v>
      </c>
      <c r="E2949" s="6">
        <v>81.0</v>
      </c>
    </row>
    <row r="2950">
      <c r="A2950" s="4" t="s">
        <v>5864</v>
      </c>
      <c r="B2950" s="5" t="s">
        <v>5865</v>
      </c>
      <c r="C2950" s="6">
        <v>4000.0</v>
      </c>
      <c r="D2950" s="6">
        <v>5.0</v>
      </c>
      <c r="E2950" s="6">
        <v>1.0</v>
      </c>
    </row>
    <row r="2951">
      <c r="A2951" s="4" t="s">
        <v>5866</v>
      </c>
      <c r="B2951" s="5" t="s">
        <v>5867</v>
      </c>
      <c r="C2951" s="6">
        <v>4000.0</v>
      </c>
      <c r="D2951" s="6">
        <v>4.181818182</v>
      </c>
      <c r="E2951" s="6">
        <v>11.0</v>
      </c>
    </row>
    <row r="2952">
      <c r="A2952" s="4" t="s">
        <v>5868</v>
      </c>
      <c r="B2952" s="5" t="s">
        <v>5869</v>
      </c>
      <c r="C2952" s="6">
        <v>4000.0</v>
      </c>
      <c r="D2952" s="6">
        <v>2.666666667</v>
      </c>
      <c r="E2952" s="6">
        <v>3.0</v>
      </c>
    </row>
    <row r="2953">
      <c r="A2953" s="4" t="s">
        <v>5870</v>
      </c>
      <c r="B2953" s="5" t="s">
        <v>5871</v>
      </c>
      <c r="C2953" s="6">
        <v>4000.0</v>
      </c>
      <c r="D2953" s="6">
        <v>3.666666667</v>
      </c>
      <c r="E2953" s="6">
        <v>3.0</v>
      </c>
    </row>
    <row r="2954">
      <c r="A2954" s="5" t="s">
        <v>5872</v>
      </c>
      <c r="B2954" s="5" t="s">
        <v>5873</v>
      </c>
      <c r="C2954" s="6">
        <v>4000.0</v>
      </c>
      <c r="D2954" s="6">
        <v>3.2</v>
      </c>
      <c r="E2954" s="6">
        <v>5.0</v>
      </c>
    </row>
    <row r="2955">
      <c r="A2955" s="4" t="s">
        <v>5874</v>
      </c>
      <c r="B2955" s="5" t="s">
        <v>5875</v>
      </c>
      <c r="C2955" s="6">
        <v>4000.0</v>
      </c>
      <c r="D2955" s="6">
        <v>3.628571429</v>
      </c>
      <c r="E2955" s="6">
        <v>35.0</v>
      </c>
    </row>
    <row r="2956">
      <c r="A2956" s="4" t="s">
        <v>5876</v>
      </c>
      <c r="B2956" s="5" t="s">
        <v>5877</v>
      </c>
      <c r="C2956" s="6">
        <v>4000.0</v>
      </c>
      <c r="D2956" s="6">
        <v>3.183098592</v>
      </c>
      <c r="E2956" s="6">
        <v>71.0</v>
      </c>
    </row>
    <row r="2957">
      <c r="A2957" s="4" t="s">
        <v>5878</v>
      </c>
      <c r="B2957" s="5" t="s">
        <v>5879</v>
      </c>
      <c r="C2957" s="6">
        <v>4000.0</v>
      </c>
      <c r="D2957" s="6">
        <v>2.5</v>
      </c>
      <c r="E2957" s="6">
        <v>14.0</v>
      </c>
    </row>
    <row r="2958">
      <c r="A2958" s="4" t="s">
        <v>5880</v>
      </c>
      <c r="B2958" s="5" t="s">
        <v>5881</v>
      </c>
      <c r="C2958" s="6">
        <v>4000.0</v>
      </c>
      <c r="D2958" s="6">
        <v>4.572815534</v>
      </c>
      <c r="E2958" s="6">
        <v>103.0</v>
      </c>
    </row>
    <row r="2959">
      <c r="A2959" s="4" t="s">
        <v>5882</v>
      </c>
      <c r="B2959" s="5" t="s">
        <v>5883</v>
      </c>
      <c r="C2959" s="6">
        <v>4000.0</v>
      </c>
      <c r="D2959" s="6">
        <v>4.037037037</v>
      </c>
      <c r="E2959" s="6">
        <v>27.0</v>
      </c>
    </row>
    <row r="2960">
      <c r="A2960" s="4" t="s">
        <v>5884</v>
      </c>
      <c r="B2960" s="5" t="s">
        <v>5885</v>
      </c>
      <c r="C2960" s="6">
        <v>4000.0</v>
      </c>
      <c r="D2960" s="6">
        <v>3.181818182</v>
      </c>
      <c r="E2960" s="6">
        <v>33.0</v>
      </c>
    </row>
    <row r="2961">
      <c r="A2961" s="4" t="s">
        <v>5886</v>
      </c>
      <c r="B2961" s="5" t="s">
        <v>5887</v>
      </c>
      <c r="C2961" s="6">
        <v>4000.0</v>
      </c>
      <c r="D2961" s="6">
        <v>3.238095238</v>
      </c>
      <c r="E2961" s="6">
        <v>21.0</v>
      </c>
    </row>
    <row r="2962">
      <c r="A2962" s="4" t="s">
        <v>5888</v>
      </c>
      <c r="B2962" s="5" t="s">
        <v>5889</v>
      </c>
      <c r="C2962" s="6">
        <v>4000.0</v>
      </c>
      <c r="D2962" s="6">
        <v>2.142857143</v>
      </c>
      <c r="E2962" s="6">
        <v>7.0</v>
      </c>
    </row>
    <row r="2963">
      <c r="A2963" s="4" t="s">
        <v>5890</v>
      </c>
      <c r="B2963" s="5" t="s">
        <v>5891</v>
      </c>
      <c r="C2963" s="6">
        <v>4000.0</v>
      </c>
      <c r="D2963" s="6">
        <v>4.473684211</v>
      </c>
      <c r="E2963" s="6">
        <v>19.0</v>
      </c>
    </row>
    <row r="2964">
      <c r="A2964" s="4" t="s">
        <v>5892</v>
      </c>
      <c r="B2964" s="5" t="s">
        <v>5893</v>
      </c>
      <c r="C2964" s="6">
        <v>4000.0</v>
      </c>
      <c r="D2964" s="6">
        <v>4.5</v>
      </c>
      <c r="E2964" s="6">
        <v>12.0</v>
      </c>
    </row>
    <row r="2965">
      <c r="A2965" s="4" t="s">
        <v>5894</v>
      </c>
      <c r="B2965" s="5" t="s">
        <v>5895</v>
      </c>
      <c r="C2965" s="6">
        <v>4000.0</v>
      </c>
      <c r="D2965" s="6">
        <v>4.555555556</v>
      </c>
      <c r="E2965" s="6">
        <v>9.0</v>
      </c>
    </row>
    <row r="2966">
      <c r="A2966" s="4" t="s">
        <v>5896</v>
      </c>
      <c r="B2966" s="5" t="s">
        <v>5897</v>
      </c>
      <c r="C2966" s="6">
        <v>4000.0</v>
      </c>
      <c r="D2966" s="6">
        <v>4.47826087</v>
      </c>
      <c r="E2966" s="6">
        <v>92.0</v>
      </c>
    </row>
    <row r="2967">
      <c r="A2967" s="4" t="s">
        <v>5898</v>
      </c>
      <c r="B2967" s="5" t="s">
        <v>5899</v>
      </c>
      <c r="C2967" s="6">
        <v>4000.0</v>
      </c>
      <c r="D2967" s="6">
        <v>3.518518519</v>
      </c>
      <c r="E2967" s="6">
        <v>27.0</v>
      </c>
    </row>
    <row r="2968">
      <c r="A2968" s="4" t="s">
        <v>5900</v>
      </c>
      <c r="B2968" s="5" t="s">
        <v>5901</v>
      </c>
      <c r="C2968" s="6">
        <v>4000.0</v>
      </c>
      <c r="D2968" s="6">
        <v>4.909090909</v>
      </c>
      <c r="E2968" s="6">
        <v>22.0</v>
      </c>
    </row>
    <row r="2969">
      <c r="A2969" s="4" t="s">
        <v>5902</v>
      </c>
      <c r="B2969" s="5" t="s">
        <v>5903</v>
      </c>
      <c r="C2969" s="6">
        <v>4000.0</v>
      </c>
      <c r="D2969" s="6">
        <v>5.0</v>
      </c>
      <c r="E2969" s="6">
        <v>7.0</v>
      </c>
    </row>
    <row r="2970">
      <c r="A2970" s="4" t="s">
        <v>5904</v>
      </c>
      <c r="B2970" s="5" t="s">
        <v>5905</v>
      </c>
      <c r="C2970" s="6">
        <v>4000.0</v>
      </c>
      <c r="D2970" s="6">
        <v>3.542857143</v>
      </c>
      <c r="E2970" s="6">
        <v>35.0</v>
      </c>
    </row>
    <row r="2971">
      <c r="A2971" s="4" t="s">
        <v>5906</v>
      </c>
      <c r="B2971" s="5" t="s">
        <v>5907</v>
      </c>
      <c r="C2971" s="6">
        <v>4000.0</v>
      </c>
      <c r="D2971" s="6">
        <v>3.095238095</v>
      </c>
      <c r="E2971" s="6">
        <v>21.0</v>
      </c>
    </row>
    <row r="2972">
      <c r="A2972" s="4" t="s">
        <v>5908</v>
      </c>
      <c r="B2972" s="5" t="s">
        <v>5909</v>
      </c>
      <c r="C2972" s="6">
        <v>4000.0</v>
      </c>
      <c r="D2972" s="6">
        <v>4.857142857</v>
      </c>
      <c r="E2972" s="6">
        <v>14.0</v>
      </c>
    </row>
    <row r="2973">
      <c r="A2973" s="4" t="s">
        <v>5910</v>
      </c>
      <c r="B2973" s="5" t="s">
        <v>5911</v>
      </c>
      <c r="C2973" s="6">
        <v>4000.0</v>
      </c>
      <c r="D2973" s="6">
        <v>3.952380952</v>
      </c>
      <c r="E2973" s="6">
        <v>42.0</v>
      </c>
    </row>
    <row r="2974">
      <c r="A2974" s="4" t="s">
        <v>5912</v>
      </c>
      <c r="B2974" s="5" t="s">
        <v>5913</v>
      </c>
      <c r="C2974" s="6">
        <v>4000.0</v>
      </c>
      <c r="D2974" s="6">
        <v>3.142857143</v>
      </c>
      <c r="E2974" s="6">
        <v>28.0</v>
      </c>
    </row>
    <row r="2975">
      <c r="A2975" s="4" t="s">
        <v>5914</v>
      </c>
      <c r="B2975" s="5" t="s">
        <v>5915</v>
      </c>
      <c r="C2975" s="6">
        <v>4000.0</v>
      </c>
      <c r="D2975" s="6">
        <v>3.214285714</v>
      </c>
      <c r="E2975" s="6">
        <v>14.0</v>
      </c>
    </row>
    <row r="2976">
      <c r="A2976" s="4" t="s">
        <v>5916</v>
      </c>
      <c r="B2976" s="5" t="s">
        <v>5917</v>
      </c>
      <c r="C2976" s="6">
        <v>4000.0</v>
      </c>
      <c r="D2976" s="6">
        <v>4.453125</v>
      </c>
      <c r="E2976" s="6">
        <v>64.0</v>
      </c>
    </row>
    <row r="2977">
      <c r="A2977" s="4" t="s">
        <v>5918</v>
      </c>
      <c r="B2977" s="5" t="s">
        <v>5919</v>
      </c>
      <c r="C2977" s="6">
        <v>4000.0</v>
      </c>
      <c r="D2977" s="6">
        <v>2.871794872</v>
      </c>
      <c r="E2977" s="6">
        <v>39.0</v>
      </c>
    </row>
    <row r="2978">
      <c r="A2978" s="4" t="s">
        <v>5920</v>
      </c>
      <c r="B2978" s="5" t="s">
        <v>5921</v>
      </c>
      <c r="C2978" s="6">
        <v>4000.0</v>
      </c>
      <c r="D2978" s="6">
        <v>3.068181818</v>
      </c>
      <c r="E2978" s="6">
        <v>44.0</v>
      </c>
    </row>
    <row r="2979">
      <c r="A2979" s="4" t="s">
        <v>5922</v>
      </c>
      <c r="B2979" s="5" t="s">
        <v>5923</v>
      </c>
      <c r="C2979" s="6">
        <v>4000.0</v>
      </c>
      <c r="D2979" s="6">
        <v>4.119565217</v>
      </c>
      <c r="E2979" s="6">
        <v>184.0</v>
      </c>
    </row>
    <row r="2980">
      <c r="A2980" s="4" t="s">
        <v>5924</v>
      </c>
      <c r="B2980" s="5" t="s">
        <v>5925</v>
      </c>
      <c r="C2980" s="6">
        <v>4000.0</v>
      </c>
      <c r="D2980" s="6">
        <v>3.875</v>
      </c>
      <c r="E2980" s="6">
        <v>16.0</v>
      </c>
    </row>
    <row r="2981">
      <c r="A2981" s="4" t="s">
        <v>5926</v>
      </c>
      <c r="B2981" s="5" t="s">
        <v>5927</v>
      </c>
      <c r="C2981" s="6">
        <v>4000.0</v>
      </c>
      <c r="D2981" s="6">
        <v>3.75</v>
      </c>
      <c r="E2981" s="6">
        <v>20.0</v>
      </c>
    </row>
    <row r="2982">
      <c r="A2982" s="4" t="s">
        <v>5928</v>
      </c>
      <c r="B2982" s="5" t="s">
        <v>5929</v>
      </c>
      <c r="C2982" s="6">
        <v>4000.0</v>
      </c>
      <c r="D2982" s="6">
        <v>4.337837838</v>
      </c>
      <c r="E2982" s="6">
        <v>74.0</v>
      </c>
    </row>
    <row r="2983">
      <c r="A2983" s="4" t="s">
        <v>5930</v>
      </c>
      <c r="B2983" s="5" t="s">
        <v>5931</v>
      </c>
      <c r="C2983" s="6">
        <v>4000.0</v>
      </c>
      <c r="D2983" s="6">
        <v>4.2</v>
      </c>
      <c r="E2983" s="6">
        <v>10.0</v>
      </c>
    </row>
    <row r="2984">
      <c r="A2984" s="4" t="s">
        <v>5932</v>
      </c>
      <c r="B2984" s="5" t="s">
        <v>5933</v>
      </c>
      <c r="C2984" s="6">
        <v>4000.0</v>
      </c>
      <c r="D2984" s="6">
        <v>3.725</v>
      </c>
      <c r="E2984" s="6">
        <v>80.0</v>
      </c>
    </row>
    <row r="2985">
      <c r="A2985" s="4" t="s">
        <v>5934</v>
      </c>
      <c r="B2985" s="5" t="s">
        <v>5935</v>
      </c>
      <c r="C2985" s="6">
        <v>4000.0</v>
      </c>
      <c r="D2985" s="6">
        <v>4.153846154</v>
      </c>
      <c r="E2985" s="6">
        <v>26.0</v>
      </c>
    </row>
    <row r="2986">
      <c r="A2986" s="4" t="s">
        <v>5936</v>
      </c>
      <c r="B2986" s="5" t="s">
        <v>5937</v>
      </c>
      <c r="C2986" s="6">
        <v>4000.0</v>
      </c>
      <c r="D2986" s="6">
        <v>4.172413793</v>
      </c>
      <c r="E2986" s="6">
        <v>29.0</v>
      </c>
    </row>
    <row r="2987">
      <c r="A2987" s="4" t="s">
        <v>5938</v>
      </c>
      <c r="B2987" s="5" t="s">
        <v>5939</v>
      </c>
      <c r="C2987" s="6">
        <v>4000.0</v>
      </c>
      <c r="D2987" s="6">
        <v>3.888888889</v>
      </c>
      <c r="E2987" s="6">
        <v>27.0</v>
      </c>
    </row>
    <row r="2988">
      <c r="A2988" s="4" t="s">
        <v>5940</v>
      </c>
      <c r="B2988" s="5" t="s">
        <v>5941</v>
      </c>
      <c r="C2988" s="6">
        <v>4000.0</v>
      </c>
      <c r="D2988" s="6">
        <v>3.805555556</v>
      </c>
      <c r="E2988" s="6">
        <v>36.0</v>
      </c>
    </row>
    <row r="2989">
      <c r="A2989" s="4" t="s">
        <v>5942</v>
      </c>
      <c r="B2989" s="5" t="s">
        <v>5943</v>
      </c>
      <c r="C2989" s="6">
        <v>4000.0</v>
      </c>
      <c r="D2989" s="9"/>
      <c r="E2989" s="9"/>
    </row>
    <row r="2990">
      <c r="A2990" s="4" t="s">
        <v>5944</v>
      </c>
      <c r="B2990" s="5" t="s">
        <v>5945</v>
      </c>
      <c r="C2990" s="6">
        <v>4000.0</v>
      </c>
      <c r="D2990" s="6">
        <v>4.75</v>
      </c>
      <c r="E2990" s="6">
        <v>60.0</v>
      </c>
    </row>
    <row r="2991">
      <c r="A2991" s="4" t="s">
        <v>5946</v>
      </c>
      <c r="B2991" s="5" t="s">
        <v>5947</v>
      </c>
      <c r="C2991" s="6">
        <v>4000.0</v>
      </c>
      <c r="D2991" s="6">
        <v>4.369565217</v>
      </c>
      <c r="E2991" s="6">
        <v>46.0</v>
      </c>
    </row>
    <row r="2992">
      <c r="A2992" s="4" t="s">
        <v>5948</v>
      </c>
      <c r="B2992" s="5" t="s">
        <v>5949</v>
      </c>
      <c r="C2992" s="6">
        <v>4000.0</v>
      </c>
      <c r="D2992" s="6">
        <v>3.692307692</v>
      </c>
      <c r="E2992" s="6">
        <v>13.0</v>
      </c>
    </row>
    <row r="2993">
      <c r="A2993" s="4" t="s">
        <v>5950</v>
      </c>
      <c r="B2993" s="5" t="s">
        <v>5951</v>
      </c>
      <c r="C2993" s="6">
        <v>4000.0</v>
      </c>
      <c r="D2993" s="6">
        <v>4.234567901</v>
      </c>
      <c r="E2993" s="6">
        <v>81.0</v>
      </c>
    </row>
    <row r="2994">
      <c r="A2994" s="4" t="s">
        <v>5952</v>
      </c>
      <c r="B2994" s="5" t="s">
        <v>5953</v>
      </c>
      <c r="C2994" s="6">
        <v>4000.0</v>
      </c>
      <c r="D2994" s="6">
        <v>2.857142857</v>
      </c>
      <c r="E2994" s="6">
        <v>28.0</v>
      </c>
    </row>
    <row r="2995">
      <c r="A2995" s="4" t="s">
        <v>5954</v>
      </c>
      <c r="B2995" s="5" t="s">
        <v>5955</v>
      </c>
      <c r="C2995" s="6">
        <v>4000.0</v>
      </c>
      <c r="D2995" s="6">
        <v>3.5</v>
      </c>
      <c r="E2995" s="6">
        <v>6.0</v>
      </c>
    </row>
    <row r="2996">
      <c r="A2996" s="4" t="s">
        <v>5956</v>
      </c>
      <c r="B2996" s="5" t="s">
        <v>5957</v>
      </c>
      <c r="C2996" s="6">
        <v>4000.0</v>
      </c>
      <c r="D2996" s="6">
        <v>3.709090909</v>
      </c>
      <c r="E2996" s="6">
        <v>55.0</v>
      </c>
    </row>
    <row r="2997">
      <c r="A2997" s="4" t="s">
        <v>5958</v>
      </c>
      <c r="B2997" s="5" t="s">
        <v>5959</v>
      </c>
      <c r="C2997" s="6">
        <v>4000.0</v>
      </c>
      <c r="D2997" s="6">
        <v>2.317073171</v>
      </c>
      <c r="E2997" s="6">
        <v>41.0</v>
      </c>
    </row>
    <row r="2998">
      <c r="A2998" s="4" t="s">
        <v>5960</v>
      </c>
      <c r="B2998" s="5" t="s">
        <v>5961</v>
      </c>
      <c r="C2998" s="6">
        <v>4000.0</v>
      </c>
      <c r="D2998" s="6">
        <v>3.88</v>
      </c>
      <c r="E2998" s="6">
        <v>25.0</v>
      </c>
    </row>
    <row r="2999">
      <c r="A2999" s="4" t="s">
        <v>5962</v>
      </c>
      <c r="B2999" s="5" t="s">
        <v>5963</v>
      </c>
      <c r="C2999" s="6">
        <v>4000.0</v>
      </c>
      <c r="D2999" s="6">
        <v>4.744897959</v>
      </c>
      <c r="E2999" s="6">
        <v>98.0</v>
      </c>
    </row>
    <row r="3000">
      <c r="A3000" s="4" t="s">
        <v>5964</v>
      </c>
      <c r="B3000" s="5" t="s">
        <v>5965</v>
      </c>
      <c r="C3000" s="6">
        <v>4000.0</v>
      </c>
      <c r="D3000" s="6">
        <v>4.833333333</v>
      </c>
      <c r="E3000" s="6">
        <v>6.0</v>
      </c>
    </row>
    <row r="3001">
      <c r="A3001" s="4" t="s">
        <v>5966</v>
      </c>
      <c r="B3001" s="5" t="s">
        <v>5967</v>
      </c>
      <c r="C3001" s="6">
        <v>4000.0</v>
      </c>
      <c r="D3001" s="6">
        <v>3.666666667</v>
      </c>
      <c r="E3001" s="6">
        <v>15.0</v>
      </c>
    </row>
    <row r="3002">
      <c r="A3002" s="4" t="s">
        <v>5968</v>
      </c>
      <c r="B3002" s="5" t="s">
        <v>5969</v>
      </c>
      <c r="C3002" s="6">
        <v>4000.0</v>
      </c>
      <c r="D3002" s="6">
        <v>4.666666667</v>
      </c>
      <c r="E3002" s="6">
        <v>24.0</v>
      </c>
    </row>
    <row r="3003">
      <c r="A3003" s="4" t="s">
        <v>5970</v>
      </c>
      <c r="B3003" s="5" t="s">
        <v>5971</v>
      </c>
      <c r="C3003" s="6">
        <v>4000.0</v>
      </c>
      <c r="D3003" s="6">
        <v>3.833333333</v>
      </c>
      <c r="E3003" s="6">
        <v>12.0</v>
      </c>
    </row>
    <row r="3004">
      <c r="A3004" s="4" t="s">
        <v>5972</v>
      </c>
      <c r="B3004" s="5" t="s">
        <v>5973</v>
      </c>
      <c r="C3004" s="6">
        <v>4000.0</v>
      </c>
      <c r="D3004" s="6">
        <v>3.977777778</v>
      </c>
      <c r="E3004" s="6">
        <v>45.0</v>
      </c>
    </row>
    <row r="3005">
      <c r="A3005" s="4" t="s">
        <v>5974</v>
      </c>
      <c r="B3005" s="5" t="s">
        <v>5975</v>
      </c>
      <c r="C3005" s="6">
        <v>4000.0</v>
      </c>
      <c r="D3005" s="6">
        <v>3.315789474</v>
      </c>
      <c r="E3005" s="6">
        <v>19.0</v>
      </c>
    </row>
    <row r="3006">
      <c r="A3006" s="4" t="s">
        <v>5976</v>
      </c>
      <c r="B3006" s="5" t="s">
        <v>5977</v>
      </c>
      <c r="C3006" s="6">
        <v>4000.0</v>
      </c>
      <c r="D3006" s="6">
        <v>4.5</v>
      </c>
      <c r="E3006" s="6">
        <v>98.0</v>
      </c>
    </row>
    <row r="3007">
      <c r="A3007" s="4" t="s">
        <v>5978</v>
      </c>
      <c r="B3007" s="5" t="s">
        <v>5979</v>
      </c>
      <c r="C3007" s="6">
        <v>4000.0</v>
      </c>
      <c r="D3007" s="6">
        <v>3.875</v>
      </c>
      <c r="E3007" s="6">
        <v>8.0</v>
      </c>
    </row>
    <row r="3008">
      <c r="A3008" s="4" t="s">
        <v>5980</v>
      </c>
      <c r="B3008" s="5" t="s">
        <v>5981</v>
      </c>
      <c r="C3008" s="6">
        <v>4000.0</v>
      </c>
      <c r="D3008" s="6">
        <v>5.0</v>
      </c>
      <c r="E3008" s="6">
        <v>37.0</v>
      </c>
    </row>
    <row r="3009">
      <c r="A3009" s="4" t="s">
        <v>5982</v>
      </c>
      <c r="B3009" s="5" t="s">
        <v>5983</v>
      </c>
      <c r="C3009" s="6">
        <v>4000.0</v>
      </c>
      <c r="D3009" s="6">
        <v>4.375</v>
      </c>
      <c r="E3009" s="6">
        <v>8.0</v>
      </c>
    </row>
    <row r="3010">
      <c r="A3010" s="4" t="s">
        <v>5984</v>
      </c>
      <c r="B3010" s="5" t="s">
        <v>5985</v>
      </c>
      <c r="C3010" s="6">
        <v>4000.0</v>
      </c>
      <c r="D3010" s="6">
        <v>4.736842105</v>
      </c>
      <c r="E3010" s="6">
        <v>38.0</v>
      </c>
    </row>
    <row r="3011">
      <c r="A3011" s="4" t="s">
        <v>5986</v>
      </c>
      <c r="B3011" s="5" t="s">
        <v>5987</v>
      </c>
      <c r="C3011" s="6">
        <v>4000.0</v>
      </c>
      <c r="D3011" s="6">
        <v>3.44</v>
      </c>
      <c r="E3011" s="6">
        <v>25.0</v>
      </c>
    </row>
    <row r="3012">
      <c r="A3012" s="4" t="s">
        <v>5988</v>
      </c>
      <c r="B3012" s="5" t="s">
        <v>5989</v>
      </c>
      <c r="C3012" s="6">
        <v>4000.0</v>
      </c>
      <c r="D3012" s="9"/>
      <c r="E3012" s="9"/>
    </row>
    <row r="3013">
      <c r="A3013" s="4" t="s">
        <v>5990</v>
      </c>
      <c r="B3013" s="5" t="s">
        <v>5991</v>
      </c>
      <c r="C3013" s="6">
        <v>4000.0</v>
      </c>
      <c r="D3013" s="6">
        <v>3.5</v>
      </c>
      <c r="E3013" s="6">
        <v>4.0</v>
      </c>
    </row>
    <row r="3014">
      <c r="A3014" s="4" t="s">
        <v>5992</v>
      </c>
      <c r="B3014" s="5" t="s">
        <v>5993</v>
      </c>
      <c r="C3014" s="6">
        <v>4000.0</v>
      </c>
      <c r="D3014" s="6">
        <v>4.64213198</v>
      </c>
      <c r="E3014" s="6">
        <v>394.0</v>
      </c>
    </row>
    <row r="3015">
      <c r="A3015" s="4" t="s">
        <v>5994</v>
      </c>
      <c r="B3015" s="5" t="s">
        <v>5995</v>
      </c>
      <c r="C3015" s="6">
        <v>4000.0</v>
      </c>
      <c r="D3015" s="6">
        <v>3.428571429</v>
      </c>
      <c r="E3015" s="6">
        <v>28.0</v>
      </c>
    </row>
    <row r="3016">
      <c r="A3016" s="4" t="s">
        <v>5996</v>
      </c>
      <c r="B3016" s="5" t="s">
        <v>5997</v>
      </c>
      <c r="C3016" s="6">
        <v>4000.0</v>
      </c>
      <c r="D3016" s="6">
        <v>4.5</v>
      </c>
      <c r="E3016" s="6">
        <v>8.0</v>
      </c>
    </row>
    <row r="3017">
      <c r="A3017" s="4" t="s">
        <v>5998</v>
      </c>
      <c r="B3017" s="5" t="s">
        <v>5999</v>
      </c>
      <c r="C3017" s="6">
        <v>4000.0</v>
      </c>
      <c r="D3017" s="6">
        <v>4.583333333</v>
      </c>
      <c r="E3017" s="6">
        <v>12.0</v>
      </c>
    </row>
    <row r="3018">
      <c r="A3018" s="4" t="s">
        <v>6000</v>
      </c>
      <c r="B3018" s="5" t="s">
        <v>6001</v>
      </c>
      <c r="C3018" s="6">
        <v>4000.0</v>
      </c>
      <c r="D3018" s="6">
        <v>2.912280702</v>
      </c>
      <c r="E3018" s="6">
        <v>57.0</v>
      </c>
    </row>
    <row r="3019">
      <c r="A3019" s="4" t="s">
        <v>6002</v>
      </c>
      <c r="B3019" s="5" t="s">
        <v>6003</v>
      </c>
      <c r="C3019" s="6">
        <v>4000.0</v>
      </c>
      <c r="D3019" s="6">
        <v>4.08</v>
      </c>
      <c r="E3019" s="6">
        <v>25.0</v>
      </c>
    </row>
    <row r="3020">
      <c r="A3020" s="4" t="s">
        <v>6004</v>
      </c>
      <c r="B3020" s="5" t="s">
        <v>6005</v>
      </c>
      <c r="C3020" s="6">
        <v>4000.0</v>
      </c>
      <c r="D3020" s="6">
        <v>4.904761905</v>
      </c>
      <c r="E3020" s="6">
        <v>21.0</v>
      </c>
    </row>
    <row r="3021">
      <c r="A3021" s="4" t="s">
        <v>6006</v>
      </c>
      <c r="B3021" s="5" t="s">
        <v>6007</v>
      </c>
      <c r="C3021" s="6">
        <v>4000.0</v>
      </c>
      <c r="D3021" s="6">
        <v>4.217391304</v>
      </c>
      <c r="E3021" s="6">
        <v>23.0</v>
      </c>
    </row>
    <row r="3022">
      <c r="A3022" s="4" t="s">
        <v>6008</v>
      </c>
      <c r="B3022" s="5" t="s">
        <v>6009</v>
      </c>
      <c r="C3022" s="6">
        <v>4000.0</v>
      </c>
      <c r="D3022" s="6">
        <v>4.555555556</v>
      </c>
      <c r="E3022" s="6">
        <v>18.0</v>
      </c>
    </row>
    <row r="3023">
      <c r="A3023" s="4" t="s">
        <v>6010</v>
      </c>
      <c r="B3023" s="5" t="s">
        <v>6011</v>
      </c>
      <c r="C3023" s="6">
        <v>4000.0</v>
      </c>
      <c r="D3023" s="6">
        <v>4.588235294</v>
      </c>
      <c r="E3023" s="6">
        <v>51.0</v>
      </c>
    </row>
    <row r="3024">
      <c r="A3024" s="4" t="s">
        <v>6012</v>
      </c>
      <c r="B3024" s="5" t="s">
        <v>6013</v>
      </c>
      <c r="C3024" s="6">
        <v>4000.0</v>
      </c>
      <c r="D3024" s="6">
        <v>4.318181818</v>
      </c>
      <c r="E3024" s="6">
        <v>22.0</v>
      </c>
    </row>
    <row r="3025">
      <c r="A3025" s="4" t="s">
        <v>6014</v>
      </c>
      <c r="B3025" s="5" t="s">
        <v>6015</v>
      </c>
      <c r="C3025" s="6">
        <v>4000.0</v>
      </c>
      <c r="D3025" s="6">
        <v>3.371900826</v>
      </c>
      <c r="E3025" s="6">
        <v>242.0</v>
      </c>
    </row>
    <row r="3026">
      <c r="A3026" s="4" t="s">
        <v>6016</v>
      </c>
      <c r="B3026" s="5" t="s">
        <v>6017</v>
      </c>
      <c r="C3026" s="6">
        <v>4000.0</v>
      </c>
      <c r="D3026" s="6">
        <v>3.0</v>
      </c>
      <c r="E3026" s="6">
        <v>6.0</v>
      </c>
    </row>
    <row r="3027">
      <c r="A3027" s="4" t="s">
        <v>6018</v>
      </c>
      <c r="B3027" s="5" t="s">
        <v>6019</v>
      </c>
      <c r="C3027" s="6">
        <v>4000.0</v>
      </c>
      <c r="D3027" s="6">
        <v>4.611111111</v>
      </c>
      <c r="E3027" s="6">
        <v>18.0</v>
      </c>
    </row>
    <row r="3028">
      <c r="A3028" s="4" t="s">
        <v>6020</v>
      </c>
      <c r="B3028" s="5" t="s">
        <v>6021</v>
      </c>
      <c r="C3028" s="6">
        <v>4000.0</v>
      </c>
      <c r="D3028" s="6">
        <v>4.25</v>
      </c>
      <c r="E3028" s="6">
        <v>4.0</v>
      </c>
    </row>
    <row r="3029">
      <c r="A3029" s="4" t="s">
        <v>6022</v>
      </c>
      <c r="B3029" s="5" t="s">
        <v>6023</v>
      </c>
      <c r="C3029" s="6">
        <v>4000.0</v>
      </c>
      <c r="D3029" s="6">
        <v>4.512195122</v>
      </c>
      <c r="E3029" s="6">
        <v>41.0</v>
      </c>
    </row>
    <row r="3030">
      <c r="A3030" s="4" t="s">
        <v>6024</v>
      </c>
      <c r="B3030" s="5" t="s">
        <v>6025</v>
      </c>
      <c r="C3030" s="6">
        <v>4000.0</v>
      </c>
      <c r="D3030" s="9"/>
      <c r="E3030" s="9"/>
    </row>
    <row r="3031">
      <c r="A3031" s="4" t="s">
        <v>6026</v>
      </c>
      <c r="B3031" s="5" t="s">
        <v>6027</v>
      </c>
      <c r="C3031" s="6">
        <v>4000.0</v>
      </c>
      <c r="D3031" s="6">
        <v>1.8</v>
      </c>
      <c r="E3031" s="6">
        <v>5.0</v>
      </c>
    </row>
    <row r="3032">
      <c r="A3032" s="4" t="s">
        <v>6028</v>
      </c>
      <c r="B3032" s="5" t="s">
        <v>6029</v>
      </c>
      <c r="C3032" s="6">
        <v>4000.0</v>
      </c>
      <c r="D3032" s="6">
        <v>4.92</v>
      </c>
      <c r="E3032" s="6">
        <v>25.0</v>
      </c>
    </row>
    <row r="3033">
      <c r="A3033" s="4" t="s">
        <v>6030</v>
      </c>
      <c r="B3033" s="5" t="s">
        <v>6031</v>
      </c>
      <c r="C3033" s="6">
        <v>4000.0</v>
      </c>
      <c r="D3033" s="6">
        <v>2.977777778</v>
      </c>
      <c r="E3033" s="6">
        <v>45.0</v>
      </c>
    </row>
    <row r="3034">
      <c r="A3034" s="4" t="s">
        <v>6032</v>
      </c>
      <c r="B3034" s="5" t="s">
        <v>6033</v>
      </c>
      <c r="C3034" s="6">
        <v>4000.0</v>
      </c>
      <c r="D3034" s="6">
        <v>4.524590164</v>
      </c>
      <c r="E3034" s="6">
        <v>122.0</v>
      </c>
    </row>
    <row r="3035">
      <c r="A3035" s="4" t="s">
        <v>6034</v>
      </c>
      <c r="B3035" s="5" t="s">
        <v>6035</v>
      </c>
      <c r="C3035" s="6">
        <v>4000.0</v>
      </c>
      <c r="D3035" s="6">
        <v>4.769230769</v>
      </c>
      <c r="E3035" s="6">
        <v>13.0</v>
      </c>
    </row>
    <row r="3036">
      <c r="A3036" s="4" t="s">
        <v>6036</v>
      </c>
      <c r="B3036" s="5" t="s">
        <v>6037</v>
      </c>
      <c r="C3036" s="6">
        <v>4000.0</v>
      </c>
      <c r="D3036" s="6">
        <v>4.153846154</v>
      </c>
      <c r="E3036" s="6">
        <v>13.0</v>
      </c>
    </row>
    <row r="3037">
      <c r="A3037" s="10" t="s">
        <v>6038</v>
      </c>
      <c r="B3037" s="5" t="s">
        <v>6039</v>
      </c>
      <c r="C3037" s="6">
        <v>4000.0</v>
      </c>
      <c r="D3037" s="6">
        <v>4.814814815</v>
      </c>
      <c r="E3037" s="6">
        <v>27.0</v>
      </c>
    </row>
    <row r="3038">
      <c r="A3038" s="4" t="s">
        <v>6040</v>
      </c>
      <c r="B3038" s="5" t="s">
        <v>6041</v>
      </c>
      <c r="C3038" s="6">
        <v>4000.0</v>
      </c>
      <c r="D3038" s="6">
        <v>4.857142857</v>
      </c>
      <c r="E3038" s="6">
        <v>7.0</v>
      </c>
    </row>
    <row r="3039">
      <c r="A3039" s="4" t="s">
        <v>6042</v>
      </c>
      <c r="B3039" s="5" t="s">
        <v>6043</v>
      </c>
      <c r="C3039" s="6">
        <v>4000.0</v>
      </c>
      <c r="D3039" s="6">
        <v>4.395348837</v>
      </c>
      <c r="E3039" s="6">
        <v>43.0</v>
      </c>
    </row>
    <row r="3040">
      <c r="A3040" s="4" t="s">
        <v>6044</v>
      </c>
      <c r="B3040" s="5" t="s">
        <v>6045</v>
      </c>
      <c r="C3040" s="6">
        <v>4000.0</v>
      </c>
      <c r="D3040" s="6">
        <v>4.5</v>
      </c>
      <c r="E3040" s="6">
        <v>16.0</v>
      </c>
    </row>
    <row r="3041">
      <c r="A3041" s="4" t="s">
        <v>6046</v>
      </c>
      <c r="B3041" s="5" t="s">
        <v>6047</v>
      </c>
      <c r="C3041" s="6">
        <v>4000.0</v>
      </c>
      <c r="D3041" s="6">
        <v>5.0</v>
      </c>
      <c r="E3041" s="6">
        <v>2.0</v>
      </c>
    </row>
    <row r="3042">
      <c r="A3042" s="4" t="s">
        <v>6048</v>
      </c>
      <c r="B3042" s="5" t="s">
        <v>6049</v>
      </c>
      <c r="C3042" s="6">
        <v>4000.0</v>
      </c>
      <c r="D3042" s="6">
        <v>3.5</v>
      </c>
      <c r="E3042" s="6">
        <v>4.0</v>
      </c>
    </row>
    <row r="3043">
      <c r="A3043" s="4" t="s">
        <v>6050</v>
      </c>
      <c r="B3043" s="5" t="s">
        <v>6051</v>
      </c>
      <c r="C3043" s="6">
        <v>4000.0</v>
      </c>
      <c r="D3043" s="6">
        <v>3.736842105</v>
      </c>
      <c r="E3043" s="6">
        <v>19.0</v>
      </c>
    </row>
    <row r="3044">
      <c r="A3044" s="4" t="s">
        <v>6052</v>
      </c>
      <c r="B3044" s="5" t="s">
        <v>6053</v>
      </c>
      <c r="C3044" s="6">
        <v>4000.0</v>
      </c>
      <c r="D3044" s="6">
        <v>3.666666667</v>
      </c>
      <c r="E3044" s="6">
        <v>3.0</v>
      </c>
    </row>
    <row r="3045">
      <c r="A3045" s="4" t="s">
        <v>465</v>
      </c>
      <c r="B3045" s="5" t="s">
        <v>6054</v>
      </c>
      <c r="C3045" s="6">
        <v>4000.0</v>
      </c>
      <c r="D3045" s="6">
        <v>3.213114754</v>
      </c>
      <c r="E3045" s="6">
        <v>61.0</v>
      </c>
    </row>
    <row r="3046">
      <c r="A3046" s="4" t="s">
        <v>6055</v>
      </c>
      <c r="B3046" s="5" t="s">
        <v>6056</v>
      </c>
      <c r="C3046" s="6">
        <v>4000.0</v>
      </c>
      <c r="D3046" s="6">
        <v>4.329268293</v>
      </c>
      <c r="E3046" s="6">
        <v>82.0</v>
      </c>
    </row>
    <row r="3047">
      <c r="A3047" s="4" t="s">
        <v>6057</v>
      </c>
      <c r="B3047" s="5" t="s">
        <v>6058</v>
      </c>
      <c r="C3047" s="6">
        <v>4000.0</v>
      </c>
      <c r="D3047" s="6">
        <v>4.615384615</v>
      </c>
      <c r="E3047" s="6">
        <v>13.0</v>
      </c>
    </row>
    <row r="3048">
      <c r="A3048" s="4" t="s">
        <v>6059</v>
      </c>
      <c r="B3048" s="5" t="s">
        <v>6060</v>
      </c>
      <c r="C3048" s="6">
        <v>4000.0</v>
      </c>
      <c r="D3048" s="6">
        <v>5.0</v>
      </c>
      <c r="E3048" s="6">
        <v>3.0</v>
      </c>
    </row>
    <row r="3049">
      <c r="A3049" s="4" t="s">
        <v>6061</v>
      </c>
      <c r="B3049" s="5" t="s">
        <v>6062</v>
      </c>
      <c r="C3049" s="6">
        <v>4000.0</v>
      </c>
      <c r="D3049" s="6">
        <v>4.839285714</v>
      </c>
      <c r="E3049" s="6">
        <v>56.0</v>
      </c>
    </row>
    <row r="3050">
      <c r="A3050" s="4" t="s">
        <v>6063</v>
      </c>
      <c r="B3050" s="5" t="s">
        <v>6064</v>
      </c>
      <c r="C3050" s="6">
        <v>4000.0</v>
      </c>
      <c r="D3050" s="6">
        <v>3.944444444</v>
      </c>
      <c r="E3050" s="6">
        <v>18.0</v>
      </c>
    </row>
    <row r="3051">
      <c r="A3051" s="4" t="s">
        <v>6065</v>
      </c>
      <c r="B3051" s="5" t="s">
        <v>6066</v>
      </c>
      <c r="C3051" s="6">
        <v>4000.0</v>
      </c>
      <c r="D3051" s="6">
        <v>5.0</v>
      </c>
      <c r="E3051" s="6">
        <v>13.0</v>
      </c>
    </row>
    <row r="3052">
      <c r="A3052" s="4" t="s">
        <v>6067</v>
      </c>
      <c r="B3052" s="5" t="s">
        <v>6068</v>
      </c>
      <c r="C3052" s="6">
        <v>4000.0</v>
      </c>
      <c r="D3052" s="6">
        <v>3.807692308</v>
      </c>
      <c r="E3052" s="6">
        <v>26.0</v>
      </c>
    </row>
    <row r="3053">
      <c r="A3053" s="4" t="s">
        <v>6069</v>
      </c>
      <c r="B3053" s="5" t="s">
        <v>6070</v>
      </c>
      <c r="C3053" s="6">
        <v>4000.0</v>
      </c>
      <c r="D3053" s="6">
        <v>2.863636364</v>
      </c>
      <c r="E3053" s="6">
        <v>22.0</v>
      </c>
    </row>
    <row r="3054">
      <c r="A3054" s="4" t="s">
        <v>6071</v>
      </c>
      <c r="B3054" s="5" t="s">
        <v>6072</v>
      </c>
      <c r="C3054" s="6">
        <v>4000.0</v>
      </c>
      <c r="D3054" s="6">
        <v>4.083333333</v>
      </c>
      <c r="E3054" s="6">
        <v>12.0</v>
      </c>
    </row>
    <row r="3055">
      <c r="A3055" s="4" t="s">
        <v>6073</v>
      </c>
      <c r="B3055" s="5" t="s">
        <v>6074</v>
      </c>
      <c r="C3055" s="6">
        <v>4000.0</v>
      </c>
      <c r="D3055" s="6">
        <v>5.0</v>
      </c>
      <c r="E3055" s="6">
        <v>4.0</v>
      </c>
    </row>
    <row r="3056">
      <c r="A3056" s="4" t="s">
        <v>6075</v>
      </c>
      <c r="B3056" s="5" t="s">
        <v>6076</v>
      </c>
      <c r="C3056" s="6">
        <v>4000.0</v>
      </c>
      <c r="D3056" s="6">
        <v>3.818181818</v>
      </c>
      <c r="E3056" s="6">
        <v>11.0</v>
      </c>
    </row>
    <row r="3057">
      <c r="A3057" s="4" t="s">
        <v>6077</v>
      </c>
      <c r="B3057" s="5" t="s">
        <v>6078</v>
      </c>
      <c r="C3057" s="6">
        <v>4000.0</v>
      </c>
      <c r="D3057" s="9"/>
      <c r="E3057" s="9"/>
    </row>
    <row r="3058">
      <c r="A3058" s="4" t="s">
        <v>6079</v>
      </c>
      <c r="B3058" s="5" t="s">
        <v>6080</v>
      </c>
      <c r="C3058" s="6">
        <v>4000.0</v>
      </c>
      <c r="D3058" s="6">
        <v>3.666666667</v>
      </c>
      <c r="E3058" s="6">
        <v>6.0</v>
      </c>
    </row>
    <row r="3059">
      <c r="A3059" s="4" t="s">
        <v>6081</v>
      </c>
      <c r="B3059" s="5" t="s">
        <v>6082</v>
      </c>
      <c r="C3059" s="6">
        <v>4000.0</v>
      </c>
      <c r="D3059" s="6">
        <v>5.0</v>
      </c>
      <c r="E3059" s="6">
        <v>5.0</v>
      </c>
    </row>
    <row r="3060">
      <c r="A3060" s="4" t="s">
        <v>6083</v>
      </c>
      <c r="B3060" s="5" t="s">
        <v>6084</v>
      </c>
      <c r="C3060" s="6">
        <v>4000.0</v>
      </c>
      <c r="D3060" s="6">
        <v>5.0</v>
      </c>
      <c r="E3060" s="6">
        <v>13.0</v>
      </c>
    </row>
    <row r="3061">
      <c r="A3061" s="4" t="s">
        <v>6085</v>
      </c>
      <c r="B3061" s="5" t="s">
        <v>6086</v>
      </c>
      <c r="C3061" s="6">
        <v>4000.0</v>
      </c>
      <c r="D3061" s="6">
        <v>4.705882353</v>
      </c>
      <c r="E3061" s="6">
        <v>17.0</v>
      </c>
    </row>
    <row r="3062">
      <c r="A3062" s="4" t="s">
        <v>6087</v>
      </c>
      <c r="B3062" s="5" t="s">
        <v>6088</v>
      </c>
      <c r="C3062" s="6">
        <v>4000.0</v>
      </c>
      <c r="D3062" s="6">
        <v>4.395509499</v>
      </c>
      <c r="E3062" s="6">
        <v>579.0</v>
      </c>
    </row>
    <row r="3063">
      <c r="A3063" s="4" t="s">
        <v>6089</v>
      </c>
      <c r="B3063" s="5" t="s">
        <v>6090</v>
      </c>
      <c r="C3063" s="6">
        <v>4000.0</v>
      </c>
      <c r="D3063" s="6">
        <v>3.4</v>
      </c>
      <c r="E3063" s="6">
        <v>50.0</v>
      </c>
    </row>
    <row r="3064">
      <c r="A3064" s="4" t="s">
        <v>6091</v>
      </c>
      <c r="B3064" s="5" t="s">
        <v>6092</v>
      </c>
      <c r="C3064" s="6">
        <v>4000.0</v>
      </c>
      <c r="D3064" s="6">
        <v>4.360128617</v>
      </c>
      <c r="E3064" s="6">
        <v>311.0</v>
      </c>
    </row>
    <row r="3065">
      <c r="A3065" s="4" t="s">
        <v>6093</v>
      </c>
      <c r="B3065" s="5" t="s">
        <v>6094</v>
      </c>
      <c r="C3065" s="6">
        <v>4000.0</v>
      </c>
      <c r="D3065" s="6">
        <v>3.85</v>
      </c>
      <c r="E3065" s="6">
        <v>40.0</v>
      </c>
    </row>
    <row r="3066">
      <c r="A3066" s="4" t="s">
        <v>6095</v>
      </c>
      <c r="B3066" s="5" t="s">
        <v>6096</v>
      </c>
      <c r="C3066" s="6">
        <v>4000.0</v>
      </c>
      <c r="D3066" s="6">
        <v>4.701754386</v>
      </c>
      <c r="E3066" s="6">
        <v>57.0</v>
      </c>
    </row>
    <row r="3067">
      <c r="A3067" s="4" t="s">
        <v>6097</v>
      </c>
      <c r="B3067" s="5" t="s">
        <v>6098</v>
      </c>
      <c r="C3067" s="6">
        <v>4000.0</v>
      </c>
      <c r="D3067" s="6">
        <v>3.666666667</v>
      </c>
      <c r="E3067" s="6">
        <v>6.0</v>
      </c>
    </row>
    <row r="3068">
      <c r="A3068" s="4" t="s">
        <v>6099</v>
      </c>
      <c r="B3068" s="5" t="s">
        <v>6100</v>
      </c>
      <c r="C3068" s="6">
        <v>4000.0</v>
      </c>
      <c r="D3068" s="6">
        <v>4.090909091</v>
      </c>
      <c r="E3068" s="6">
        <v>22.0</v>
      </c>
    </row>
    <row r="3069">
      <c r="A3069" s="4" t="s">
        <v>6101</v>
      </c>
      <c r="B3069" s="5" t="s">
        <v>6102</v>
      </c>
      <c r="C3069" s="6">
        <v>4000.0</v>
      </c>
      <c r="D3069" s="6">
        <v>3.285714286</v>
      </c>
      <c r="E3069" s="6">
        <v>14.0</v>
      </c>
    </row>
    <row r="3070">
      <c r="A3070" s="4" t="s">
        <v>6103</v>
      </c>
      <c r="B3070" s="5" t="s">
        <v>6104</v>
      </c>
      <c r="C3070" s="6">
        <v>4000.0</v>
      </c>
      <c r="D3070" s="6">
        <v>4.451612903</v>
      </c>
      <c r="E3070" s="6">
        <v>31.0</v>
      </c>
    </row>
    <row r="3071">
      <c r="A3071" s="4" t="s">
        <v>6105</v>
      </c>
      <c r="B3071" s="5" t="s">
        <v>6106</v>
      </c>
      <c r="C3071" s="6">
        <v>4000.0</v>
      </c>
      <c r="D3071" s="6">
        <v>3.647058824</v>
      </c>
      <c r="E3071" s="6">
        <v>17.0</v>
      </c>
    </row>
    <row r="3072">
      <c r="A3072" s="4" t="s">
        <v>6107</v>
      </c>
      <c r="B3072" s="5" t="s">
        <v>6108</v>
      </c>
      <c r="C3072" s="6">
        <v>4000.0</v>
      </c>
      <c r="D3072" s="6">
        <v>3.772727273</v>
      </c>
      <c r="E3072" s="6">
        <v>22.0</v>
      </c>
    </row>
    <row r="3073">
      <c r="A3073" s="4" t="s">
        <v>6109</v>
      </c>
      <c r="B3073" s="5" t="s">
        <v>6110</v>
      </c>
      <c r="C3073" s="6">
        <v>4000.0</v>
      </c>
      <c r="D3073" s="6">
        <v>2.672897196</v>
      </c>
      <c r="E3073" s="6">
        <v>107.0</v>
      </c>
    </row>
    <row r="3074">
      <c r="A3074" s="4" t="s">
        <v>6111</v>
      </c>
      <c r="B3074" s="5" t="s">
        <v>6112</v>
      </c>
      <c r="C3074" s="6">
        <v>4000.0</v>
      </c>
      <c r="D3074" s="6">
        <v>4.075471698</v>
      </c>
      <c r="E3074" s="6">
        <v>53.0</v>
      </c>
    </row>
    <row r="3075">
      <c r="A3075" s="4" t="s">
        <v>6113</v>
      </c>
      <c r="B3075" s="5" t="s">
        <v>6114</v>
      </c>
      <c r="C3075" s="6">
        <v>4000.0</v>
      </c>
      <c r="D3075" s="6">
        <v>5.0</v>
      </c>
      <c r="E3075" s="6">
        <v>55.0</v>
      </c>
    </row>
    <row r="3076">
      <c r="A3076" s="4" t="s">
        <v>6115</v>
      </c>
      <c r="B3076" s="5" t="s">
        <v>6116</v>
      </c>
      <c r="C3076" s="6">
        <v>4000.0</v>
      </c>
      <c r="D3076" s="6">
        <v>3.5</v>
      </c>
      <c r="E3076" s="6">
        <v>4.0</v>
      </c>
    </row>
    <row r="3077">
      <c r="A3077" s="4" t="s">
        <v>6117</v>
      </c>
      <c r="B3077" s="5" t="s">
        <v>6118</v>
      </c>
      <c r="C3077" s="6">
        <v>4000.0</v>
      </c>
      <c r="D3077" s="6">
        <v>4.875</v>
      </c>
      <c r="E3077" s="6">
        <v>8.0</v>
      </c>
    </row>
    <row r="3078">
      <c r="A3078" s="4" t="s">
        <v>6119</v>
      </c>
      <c r="B3078" s="5" t="s">
        <v>6120</v>
      </c>
      <c r="C3078" s="6">
        <v>4000.0</v>
      </c>
      <c r="D3078" s="6">
        <v>4.555555556</v>
      </c>
      <c r="E3078" s="6">
        <v>9.0</v>
      </c>
    </row>
    <row r="3079">
      <c r="A3079" s="4" t="s">
        <v>6121</v>
      </c>
      <c r="B3079" s="5" t="s">
        <v>6122</v>
      </c>
      <c r="C3079" s="6">
        <v>4000.0</v>
      </c>
      <c r="D3079" s="6">
        <v>4.852631579</v>
      </c>
      <c r="E3079" s="6">
        <v>95.0</v>
      </c>
    </row>
    <row r="3080">
      <c r="A3080" s="4" t="s">
        <v>6123</v>
      </c>
      <c r="B3080" s="5" t="s">
        <v>6124</v>
      </c>
      <c r="C3080" s="6">
        <v>4000.0</v>
      </c>
      <c r="D3080" s="6">
        <v>4.5</v>
      </c>
      <c r="E3080" s="6">
        <v>8.0</v>
      </c>
    </row>
    <row r="3081">
      <c r="A3081" s="4" t="s">
        <v>6125</v>
      </c>
      <c r="B3081" s="5" t="s">
        <v>6126</v>
      </c>
      <c r="C3081" s="6">
        <v>4000.0</v>
      </c>
      <c r="D3081" s="6">
        <v>4.0</v>
      </c>
      <c r="E3081" s="6">
        <v>19.0</v>
      </c>
    </row>
    <row r="3082">
      <c r="A3082" s="4" t="s">
        <v>6127</v>
      </c>
      <c r="B3082" s="5" t="s">
        <v>6128</v>
      </c>
      <c r="C3082" s="6">
        <v>4000.0</v>
      </c>
      <c r="D3082" s="6">
        <v>3.965909091</v>
      </c>
      <c r="E3082" s="6">
        <v>88.0</v>
      </c>
    </row>
    <row r="3083">
      <c r="A3083" s="4" t="s">
        <v>6129</v>
      </c>
      <c r="B3083" s="5" t="s">
        <v>6130</v>
      </c>
      <c r="C3083" s="6">
        <v>4000.0</v>
      </c>
      <c r="D3083" s="6">
        <v>5.0</v>
      </c>
      <c r="E3083" s="6">
        <v>1.0</v>
      </c>
    </row>
    <row r="3084">
      <c r="A3084" s="4" t="s">
        <v>6131</v>
      </c>
      <c r="B3084" s="5" t="s">
        <v>6132</v>
      </c>
      <c r="C3084" s="6">
        <v>4000.0</v>
      </c>
      <c r="D3084" s="6">
        <v>2.909090909</v>
      </c>
      <c r="E3084" s="6">
        <v>33.0</v>
      </c>
    </row>
    <row r="3085">
      <c r="A3085" s="4" t="s">
        <v>6133</v>
      </c>
      <c r="B3085" s="5" t="s">
        <v>6134</v>
      </c>
      <c r="C3085" s="6">
        <v>4000.0</v>
      </c>
      <c r="D3085" s="6">
        <v>4.914285714</v>
      </c>
      <c r="E3085" s="6">
        <v>35.0</v>
      </c>
    </row>
    <row r="3086">
      <c r="A3086" s="4" t="s">
        <v>6135</v>
      </c>
      <c r="B3086" s="5" t="s">
        <v>6136</v>
      </c>
      <c r="C3086" s="6">
        <v>4000.0</v>
      </c>
      <c r="D3086" s="6">
        <v>2.0</v>
      </c>
      <c r="E3086" s="6">
        <v>8.0</v>
      </c>
    </row>
    <row r="3087">
      <c r="A3087" s="4" t="s">
        <v>6137</v>
      </c>
      <c r="B3087" s="5" t="s">
        <v>6138</v>
      </c>
      <c r="C3087" s="6">
        <v>4000.0</v>
      </c>
      <c r="D3087" s="6">
        <v>4.466666667</v>
      </c>
      <c r="E3087" s="6">
        <v>45.0</v>
      </c>
    </row>
    <row r="3088">
      <c r="A3088" s="4" t="s">
        <v>6139</v>
      </c>
      <c r="B3088" s="5" t="s">
        <v>6140</v>
      </c>
      <c r="C3088" s="6">
        <v>4000.0</v>
      </c>
      <c r="D3088" s="6">
        <v>1.0</v>
      </c>
      <c r="E3088" s="6">
        <v>2.0</v>
      </c>
    </row>
    <row r="3089">
      <c r="A3089" s="4" t="s">
        <v>6141</v>
      </c>
      <c r="B3089" s="5" t="s">
        <v>6142</v>
      </c>
      <c r="C3089" s="6">
        <v>4000.0</v>
      </c>
      <c r="D3089" s="6">
        <v>5.0</v>
      </c>
      <c r="E3089" s="6">
        <v>14.0</v>
      </c>
    </row>
    <row r="3090">
      <c r="A3090" s="4" t="s">
        <v>6143</v>
      </c>
      <c r="B3090" s="5" t="s">
        <v>6144</v>
      </c>
      <c r="C3090" s="6">
        <v>4000.0</v>
      </c>
      <c r="D3090" s="6">
        <v>5.0</v>
      </c>
      <c r="E3090" s="6">
        <v>2.0</v>
      </c>
    </row>
    <row r="3091">
      <c r="A3091" s="4" t="s">
        <v>6145</v>
      </c>
      <c r="B3091" s="5" t="s">
        <v>6146</v>
      </c>
      <c r="C3091" s="6">
        <v>4000.0</v>
      </c>
      <c r="D3091" s="6">
        <v>5.0</v>
      </c>
      <c r="E3091" s="6">
        <v>4.0</v>
      </c>
    </row>
    <row r="3092">
      <c r="A3092" s="4" t="s">
        <v>6147</v>
      </c>
      <c r="B3092" s="5" t="s">
        <v>6148</v>
      </c>
      <c r="C3092" s="6">
        <v>4000.0</v>
      </c>
      <c r="D3092" s="6">
        <v>4.25</v>
      </c>
      <c r="E3092" s="6">
        <v>16.0</v>
      </c>
    </row>
    <row r="3093">
      <c r="A3093" s="4" t="s">
        <v>6149</v>
      </c>
      <c r="B3093" s="5" t="s">
        <v>6150</v>
      </c>
      <c r="C3093" s="6">
        <v>4000.0</v>
      </c>
      <c r="D3093" s="6">
        <v>3.684210526</v>
      </c>
      <c r="E3093" s="6">
        <v>19.0</v>
      </c>
    </row>
    <row r="3094">
      <c r="A3094" s="4" t="s">
        <v>6151</v>
      </c>
      <c r="B3094" s="5" t="s">
        <v>6152</v>
      </c>
      <c r="C3094" s="6">
        <v>4000.0</v>
      </c>
      <c r="D3094" s="6">
        <v>4.875</v>
      </c>
      <c r="E3094" s="6">
        <v>8.0</v>
      </c>
    </row>
    <row r="3095">
      <c r="A3095" s="4" t="s">
        <v>6153</v>
      </c>
      <c r="B3095" s="5" t="s">
        <v>6154</v>
      </c>
      <c r="C3095" s="6">
        <v>4000.0</v>
      </c>
      <c r="D3095" s="6">
        <v>5.0</v>
      </c>
      <c r="E3095" s="6">
        <v>7.0</v>
      </c>
    </row>
    <row r="3096">
      <c r="A3096" s="4" t="s">
        <v>6155</v>
      </c>
      <c r="B3096" s="5" t="s">
        <v>6156</v>
      </c>
      <c r="C3096" s="6">
        <v>4000.0</v>
      </c>
      <c r="D3096" s="6">
        <v>5.0</v>
      </c>
      <c r="E3096" s="6">
        <v>8.0</v>
      </c>
    </row>
    <row r="3097">
      <c r="A3097" s="4" t="s">
        <v>6157</v>
      </c>
      <c r="B3097" s="5" t="s">
        <v>6158</v>
      </c>
      <c r="C3097" s="6">
        <v>4000.0</v>
      </c>
      <c r="D3097" s="6">
        <v>3.363636364</v>
      </c>
      <c r="E3097" s="6">
        <v>11.0</v>
      </c>
    </row>
    <row r="3098">
      <c r="A3098" s="4" t="s">
        <v>6159</v>
      </c>
      <c r="B3098" s="5" t="s">
        <v>6160</v>
      </c>
      <c r="C3098" s="6">
        <v>4000.0</v>
      </c>
      <c r="D3098" s="6">
        <v>1.888888889</v>
      </c>
      <c r="E3098" s="6">
        <v>9.0</v>
      </c>
    </row>
    <row r="3099">
      <c r="A3099" s="4" t="s">
        <v>6161</v>
      </c>
      <c r="B3099" s="5" t="s">
        <v>6162</v>
      </c>
      <c r="C3099" s="6">
        <v>4000.0</v>
      </c>
      <c r="D3099" s="6">
        <v>4.2</v>
      </c>
      <c r="E3099" s="6">
        <v>5.0</v>
      </c>
    </row>
    <row r="3100">
      <c r="A3100" s="4" t="s">
        <v>6163</v>
      </c>
      <c r="B3100" s="5" t="s">
        <v>6164</v>
      </c>
      <c r="C3100" s="6">
        <v>4000.0</v>
      </c>
      <c r="D3100" s="6">
        <v>4.35</v>
      </c>
      <c r="E3100" s="6">
        <v>20.0</v>
      </c>
    </row>
    <row r="3101">
      <c r="A3101" s="4" t="s">
        <v>6165</v>
      </c>
      <c r="B3101" s="5" t="s">
        <v>6166</v>
      </c>
      <c r="C3101" s="6">
        <v>4000.0</v>
      </c>
      <c r="D3101" s="6">
        <v>5.0</v>
      </c>
      <c r="E3101" s="6">
        <v>4.0</v>
      </c>
    </row>
    <row r="3102">
      <c r="A3102" s="4" t="s">
        <v>6167</v>
      </c>
      <c r="B3102" s="5" t="s">
        <v>6168</v>
      </c>
      <c r="C3102" s="6">
        <v>4000.0</v>
      </c>
      <c r="D3102" s="9"/>
      <c r="E3102" s="9"/>
    </row>
    <row r="3103">
      <c r="A3103" s="4" t="s">
        <v>6169</v>
      </c>
      <c r="B3103" s="5" t="s">
        <v>6170</v>
      </c>
      <c r="C3103" s="6">
        <v>4000.0</v>
      </c>
      <c r="D3103" s="6">
        <v>4.630434783</v>
      </c>
      <c r="E3103" s="6">
        <v>92.0</v>
      </c>
    </row>
    <row r="3104">
      <c r="A3104" s="4" t="s">
        <v>6171</v>
      </c>
      <c r="B3104" s="5" t="s">
        <v>6172</v>
      </c>
      <c r="C3104" s="6">
        <v>4000.0</v>
      </c>
      <c r="D3104" s="6">
        <v>3.222222222</v>
      </c>
      <c r="E3104" s="6">
        <v>18.0</v>
      </c>
    </row>
    <row r="3105">
      <c r="A3105" s="4" t="s">
        <v>6173</v>
      </c>
      <c r="B3105" s="5" t="s">
        <v>6174</v>
      </c>
      <c r="C3105" s="6">
        <v>4000.0</v>
      </c>
      <c r="D3105" s="6">
        <v>5.0</v>
      </c>
      <c r="E3105" s="6">
        <v>2.0</v>
      </c>
    </row>
    <row r="3106">
      <c r="A3106" s="4" t="s">
        <v>6175</v>
      </c>
      <c r="B3106" s="5" t="s">
        <v>6176</v>
      </c>
      <c r="C3106" s="6">
        <v>4000.0</v>
      </c>
      <c r="D3106" s="6">
        <v>5.0</v>
      </c>
      <c r="E3106" s="6">
        <v>5.0</v>
      </c>
    </row>
    <row r="3107">
      <c r="A3107" s="4" t="s">
        <v>6177</v>
      </c>
      <c r="B3107" s="5" t="s">
        <v>6178</v>
      </c>
      <c r="C3107" s="6">
        <v>4000.0</v>
      </c>
      <c r="D3107" s="6">
        <v>4.363636364</v>
      </c>
      <c r="E3107" s="6">
        <v>11.0</v>
      </c>
    </row>
    <row r="3108">
      <c r="A3108" s="4" t="s">
        <v>6179</v>
      </c>
      <c r="B3108" s="5" t="s">
        <v>6180</v>
      </c>
      <c r="C3108" s="6">
        <v>4000.0</v>
      </c>
      <c r="D3108" s="6">
        <v>4.785714286</v>
      </c>
      <c r="E3108" s="6">
        <v>14.0</v>
      </c>
    </row>
    <row r="3109">
      <c r="A3109" s="4" t="s">
        <v>6181</v>
      </c>
      <c r="B3109" s="5" t="s">
        <v>6182</v>
      </c>
      <c r="C3109" s="6">
        <v>4000.0</v>
      </c>
      <c r="D3109" s="6">
        <v>3.705882353</v>
      </c>
      <c r="E3109" s="6">
        <v>17.0</v>
      </c>
    </row>
    <row r="3110">
      <c r="A3110" s="4" t="s">
        <v>6183</v>
      </c>
      <c r="B3110" s="5" t="s">
        <v>6184</v>
      </c>
      <c r="C3110" s="6">
        <v>4000.0</v>
      </c>
      <c r="D3110" s="6">
        <v>4.75</v>
      </c>
      <c r="E3110" s="6">
        <v>8.0</v>
      </c>
    </row>
    <row r="3111">
      <c r="A3111" s="4" t="s">
        <v>6185</v>
      </c>
      <c r="B3111" s="5" t="s">
        <v>6186</v>
      </c>
      <c r="C3111" s="6">
        <v>4000.0</v>
      </c>
      <c r="D3111" s="6">
        <v>2.0</v>
      </c>
      <c r="E3111" s="6">
        <v>7.0</v>
      </c>
    </row>
    <row r="3112">
      <c r="A3112" s="4" t="s">
        <v>6187</v>
      </c>
      <c r="B3112" s="5" t="s">
        <v>6188</v>
      </c>
      <c r="C3112" s="6">
        <v>4000.0</v>
      </c>
      <c r="D3112" s="6">
        <v>4.75</v>
      </c>
      <c r="E3112" s="6">
        <v>4.0</v>
      </c>
    </row>
    <row r="3113">
      <c r="A3113" s="4" t="s">
        <v>6189</v>
      </c>
      <c r="B3113" s="5" t="s">
        <v>6190</v>
      </c>
      <c r="C3113" s="6">
        <v>4000.0</v>
      </c>
      <c r="D3113" s="6">
        <v>3.166666667</v>
      </c>
      <c r="E3113" s="6">
        <v>6.0</v>
      </c>
    </row>
    <row r="3114">
      <c r="A3114" s="4" t="s">
        <v>6191</v>
      </c>
      <c r="B3114" s="5" t="s">
        <v>6192</v>
      </c>
      <c r="C3114" s="6">
        <v>4000.0</v>
      </c>
      <c r="D3114" s="6">
        <v>4.694444444</v>
      </c>
      <c r="E3114" s="6">
        <v>72.0</v>
      </c>
    </row>
    <row r="3115">
      <c r="A3115" s="4" t="s">
        <v>6193</v>
      </c>
      <c r="B3115" s="5" t="s">
        <v>6194</v>
      </c>
      <c r="C3115" s="6">
        <v>4000.0</v>
      </c>
      <c r="D3115" s="6">
        <v>3.169014085</v>
      </c>
      <c r="E3115" s="6">
        <v>71.0</v>
      </c>
    </row>
    <row r="3116">
      <c r="A3116" s="4" t="s">
        <v>6195</v>
      </c>
      <c r="B3116" s="5" t="s">
        <v>6196</v>
      </c>
      <c r="C3116" s="6">
        <v>4000.0</v>
      </c>
      <c r="D3116" s="6">
        <v>4.5</v>
      </c>
      <c r="E3116" s="6">
        <v>10.0</v>
      </c>
    </row>
    <row r="3117">
      <c r="A3117" s="4" t="s">
        <v>6197</v>
      </c>
      <c r="B3117" s="5" t="s">
        <v>6198</v>
      </c>
      <c r="C3117" s="6">
        <v>4000.0</v>
      </c>
      <c r="D3117" s="6">
        <v>4.5</v>
      </c>
      <c r="E3117" s="6">
        <v>12.0</v>
      </c>
    </row>
    <row r="3118">
      <c r="A3118" s="4" t="s">
        <v>6199</v>
      </c>
      <c r="B3118" s="5" t="s">
        <v>6200</v>
      </c>
      <c r="C3118" s="6">
        <v>4000.0</v>
      </c>
      <c r="D3118" s="6">
        <v>4.574074074</v>
      </c>
      <c r="E3118" s="6">
        <v>54.0</v>
      </c>
    </row>
    <row r="3119">
      <c r="A3119" s="4" t="s">
        <v>6201</v>
      </c>
      <c r="B3119" s="5" t="s">
        <v>6202</v>
      </c>
      <c r="C3119" s="6">
        <v>4000.0</v>
      </c>
      <c r="D3119" s="6">
        <v>4.578947368</v>
      </c>
      <c r="E3119" s="6">
        <v>19.0</v>
      </c>
    </row>
    <row r="3120">
      <c r="A3120" s="4" t="s">
        <v>6203</v>
      </c>
      <c r="B3120" s="5" t="s">
        <v>6204</v>
      </c>
      <c r="C3120" s="6">
        <v>4000.0</v>
      </c>
      <c r="D3120" s="6">
        <v>3.47826087</v>
      </c>
      <c r="E3120" s="6">
        <v>23.0</v>
      </c>
    </row>
    <row r="3121">
      <c r="A3121" s="4" t="s">
        <v>6205</v>
      </c>
      <c r="B3121" s="5" t="s">
        <v>6206</v>
      </c>
      <c r="C3121" s="6">
        <v>4000.0</v>
      </c>
      <c r="D3121" s="6">
        <v>3.6875</v>
      </c>
      <c r="E3121" s="6">
        <v>16.0</v>
      </c>
    </row>
    <row r="3122">
      <c r="A3122" s="4" t="s">
        <v>6207</v>
      </c>
      <c r="B3122" s="5" t="s">
        <v>6208</v>
      </c>
      <c r="C3122" s="6">
        <v>4000.0</v>
      </c>
      <c r="D3122" s="6">
        <v>3.3125</v>
      </c>
      <c r="E3122" s="6">
        <v>16.0</v>
      </c>
    </row>
    <row r="3123">
      <c r="A3123" s="4" t="s">
        <v>6209</v>
      </c>
      <c r="B3123" s="5" t="s">
        <v>6210</v>
      </c>
      <c r="C3123" s="6">
        <v>4000.0</v>
      </c>
      <c r="D3123" s="6">
        <v>4.151515152</v>
      </c>
      <c r="E3123" s="6">
        <v>33.0</v>
      </c>
    </row>
    <row r="3124">
      <c r="A3124" s="4" t="s">
        <v>6211</v>
      </c>
      <c r="B3124" s="5" t="s">
        <v>6212</v>
      </c>
      <c r="C3124" s="6">
        <v>4000.0</v>
      </c>
      <c r="D3124" s="6">
        <v>4.5</v>
      </c>
      <c r="E3124" s="6">
        <v>52.0</v>
      </c>
    </row>
    <row r="3125">
      <c r="A3125" s="4" t="s">
        <v>6213</v>
      </c>
      <c r="B3125" s="5" t="s">
        <v>6214</v>
      </c>
      <c r="C3125" s="6">
        <v>4000.0</v>
      </c>
      <c r="D3125" s="6">
        <v>4.333333333</v>
      </c>
      <c r="E3125" s="6">
        <v>3.0</v>
      </c>
    </row>
    <row r="3126">
      <c r="A3126" s="4" t="s">
        <v>6215</v>
      </c>
      <c r="B3126" s="5" t="s">
        <v>6216</v>
      </c>
      <c r="C3126" s="6">
        <v>4000.0</v>
      </c>
      <c r="D3126" s="6">
        <v>4.727272727</v>
      </c>
      <c r="E3126" s="6">
        <v>11.0</v>
      </c>
    </row>
    <row r="3127">
      <c r="A3127" s="4" t="s">
        <v>6217</v>
      </c>
      <c r="B3127" s="5" t="s">
        <v>6218</v>
      </c>
      <c r="C3127" s="6">
        <v>4000.0</v>
      </c>
      <c r="D3127" s="6">
        <v>3.0</v>
      </c>
      <c r="E3127" s="6">
        <v>4.0</v>
      </c>
    </row>
    <row r="3128">
      <c r="A3128" s="4" t="s">
        <v>6219</v>
      </c>
      <c r="B3128" s="5" t="s">
        <v>6220</v>
      </c>
      <c r="C3128" s="6">
        <v>4000.0</v>
      </c>
      <c r="D3128" s="6">
        <v>4.863636364</v>
      </c>
      <c r="E3128" s="6">
        <v>22.0</v>
      </c>
    </row>
    <row r="3129">
      <c r="A3129" s="4" t="s">
        <v>6221</v>
      </c>
      <c r="B3129" s="5" t="s">
        <v>6222</v>
      </c>
      <c r="C3129" s="6">
        <v>4000.0</v>
      </c>
      <c r="D3129" s="6">
        <v>3.852941176</v>
      </c>
      <c r="E3129" s="6">
        <v>34.0</v>
      </c>
    </row>
    <row r="3130">
      <c r="A3130" s="4" t="s">
        <v>6223</v>
      </c>
      <c r="B3130" s="5" t="s">
        <v>6224</v>
      </c>
      <c r="C3130" s="6">
        <v>4000.0</v>
      </c>
      <c r="D3130" s="6">
        <v>3.575630252</v>
      </c>
      <c r="E3130" s="6">
        <v>238.0</v>
      </c>
    </row>
    <row r="3131">
      <c r="A3131" s="4" t="s">
        <v>6225</v>
      </c>
      <c r="B3131" s="5" t="s">
        <v>6226</v>
      </c>
      <c r="C3131" s="6">
        <v>4000.0</v>
      </c>
      <c r="D3131" s="6">
        <v>3.315789474</v>
      </c>
      <c r="E3131" s="6">
        <v>19.0</v>
      </c>
    </row>
    <row r="3132">
      <c r="A3132" s="4" t="s">
        <v>6227</v>
      </c>
      <c r="B3132" s="5" t="s">
        <v>6228</v>
      </c>
      <c r="C3132" s="6">
        <v>4000.0</v>
      </c>
      <c r="D3132" s="6">
        <v>4.486342043</v>
      </c>
      <c r="E3132" s="6">
        <v>1684.0</v>
      </c>
    </row>
    <row r="3133">
      <c r="A3133" s="4" t="s">
        <v>6229</v>
      </c>
      <c r="B3133" s="5" t="s">
        <v>6230</v>
      </c>
      <c r="C3133" s="6">
        <v>4000.0</v>
      </c>
      <c r="D3133" s="6">
        <v>5.0</v>
      </c>
      <c r="E3133" s="6">
        <v>1.0</v>
      </c>
    </row>
    <row r="3134">
      <c r="A3134" s="4" t="s">
        <v>6231</v>
      </c>
      <c r="B3134" s="5" t="s">
        <v>6232</v>
      </c>
      <c r="C3134" s="6">
        <v>4000.0</v>
      </c>
      <c r="D3134" s="6">
        <v>2.926470588</v>
      </c>
      <c r="E3134" s="6">
        <v>68.0</v>
      </c>
    </row>
    <row r="3135">
      <c r="A3135" s="4" t="s">
        <v>6233</v>
      </c>
      <c r="B3135" s="5" t="s">
        <v>6234</v>
      </c>
      <c r="C3135" s="6">
        <v>4000.0</v>
      </c>
      <c r="D3135" s="6">
        <v>4.333333333</v>
      </c>
      <c r="E3135" s="6">
        <v>33.0</v>
      </c>
    </row>
    <row r="3136">
      <c r="A3136" s="4" t="s">
        <v>6235</v>
      </c>
      <c r="B3136" s="5" t="s">
        <v>6236</v>
      </c>
      <c r="C3136" s="6">
        <v>4000.0</v>
      </c>
      <c r="D3136" s="6">
        <v>3.75</v>
      </c>
      <c r="E3136" s="6">
        <v>4.0</v>
      </c>
    </row>
    <row r="3137">
      <c r="A3137" s="4" t="s">
        <v>6237</v>
      </c>
      <c r="B3137" s="5" t="s">
        <v>6238</v>
      </c>
      <c r="C3137" s="6">
        <v>4000.0</v>
      </c>
      <c r="D3137" s="6">
        <v>3.947368421</v>
      </c>
      <c r="E3137" s="6">
        <v>19.0</v>
      </c>
    </row>
    <row r="3138">
      <c r="A3138" s="4" t="s">
        <v>6239</v>
      </c>
      <c r="B3138" s="5" t="s">
        <v>6240</v>
      </c>
      <c r="C3138" s="6">
        <v>4000.0</v>
      </c>
      <c r="D3138" s="6">
        <v>3.363636364</v>
      </c>
      <c r="E3138" s="6">
        <v>88.0</v>
      </c>
    </row>
    <row r="3139">
      <c r="A3139" s="4" t="s">
        <v>6241</v>
      </c>
      <c r="B3139" s="5" t="s">
        <v>6242</v>
      </c>
      <c r="C3139" s="6">
        <v>4000.0</v>
      </c>
      <c r="D3139" s="6">
        <v>3.230769231</v>
      </c>
      <c r="E3139" s="6">
        <v>39.0</v>
      </c>
    </row>
    <row r="3140">
      <c r="A3140" s="4" t="s">
        <v>6243</v>
      </c>
      <c r="B3140" s="5" t="s">
        <v>6244</v>
      </c>
      <c r="C3140" s="6">
        <v>4000.0</v>
      </c>
      <c r="D3140" s="6">
        <v>3.612244898</v>
      </c>
      <c r="E3140" s="6">
        <v>49.0</v>
      </c>
    </row>
    <row r="3141">
      <c r="A3141" s="4" t="s">
        <v>6245</v>
      </c>
      <c r="B3141" s="5" t="s">
        <v>6246</v>
      </c>
      <c r="C3141" s="6">
        <v>4000.0</v>
      </c>
      <c r="D3141" s="6">
        <v>3.820512821</v>
      </c>
      <c r="E3141" s="6">
        <v>39.0</v>
      </c>
    </row>
    <row r="3142">
      <c r="A3142" s="4" t="s">
        <v>6247</v>
      </c>
      <c r="B3142" s="5" t="s">
        <v>6248</v>
      </c>
      <c r="C3142" s="6">
        <v>4000.0</v>
      </c>
      <c r="D3142" s="6">
        <v>4.727272727</v>
      </c>
      <c r="E3142" s="6">
        <v>11.0</v>
      </c>
    </row>
    <row r="3143">
      <c r="A3143" s="4" t="s">
        <v>6249</v>
      </c>
      <c r="B3143" s="5" t="s">
        <v>6250</v>
      </c>
      <c r="C3143" s="6">
        <v>4000.0</v>
      </c>
      <c r="D3143" s="6">
        <v>3.454545455</v>
      </c>
      <c r="E3143" s="6">
        <v>22.0</v>
      </c>
    </row>
    <row r="3144">
      <c r="A3144" s="4" t="s">
        <v>6251</v>
      </c>
      <c r="B3144" s="5" t="s">
        <v>6252</v>
      </c>
      <c r="C3144" s="6">
        <v>4000.0</v>
      </c>
      <c r="D3144" s="6">
        <v>4.244444444</v>
      </c>
      <c r="E3144" s="6">
        <v>45.0</v>
      </c>
    </row>
    <row r="3145">
      <c r="A3145" s="4" t="s">
        <v>6253</v>
      </c>
      <c r="B3145" s="5" t="s">
        <v>6254</v>
      </c>
      <c r="C3145" s="6">
        <v>4000.0</v>
      </c>
      <c r="D3145" s="6">
        <v>4.155555556</v>
      </c>
      <c r="E3145" s="6">
        <v>45.0</v>
      </c>
    </row>
    <row r="3146">
      <c r="A3146" s="4" t="s">
        <v>6255</v>
      </c>
      <c r="B3146" s="5" t="s">
        <v>6256</v>
      </c>
      <c r="C3146" s="6">
        <v>4000.0</v>
      </c>
      <c r="D3146" s="6">
        <v>4.2</v>
      </c>
      <c r="E3146" s="6">
        <v>5.0</v>
      </c>
    </row>
    <row r="3147">
      <c r="A3147" s="4" t="s">
        <v>6257</v>
      </c>
      <c r="B3147" s="5" t="s">
        <v>6258</v>
      </c>
      <c r="C3147" s="6">
        <v>4000.0</v>
      </c>
      <c r="D3147" s="6">
        <v>3.455882353</v>
      </c>
      <c r="E3147" s="6">
        <v>68.0</v>
      </c>
    </row>
    <row r="3148">
      <c r="A3148" s="4" t="s">
        <v>6259</v>
      </c>
      <c r="B3148" s="5" t="s">
        <v>6260</v>
      </c>
      <c r="C3148" s="6">
        <v>4000.0</v>
      </c>
      <c r="D3148" s="6">
        <v>4.5</v>
      </c>
      <c r="E3148" s="6">
        <v>24.0</v>
      </c>
    </row>
    <row r="3149">
      <c r="A3149" s="4" t="s">
        <v>6261</v>
      </c>
      <c r="B3149" s="5" t="s">
        <v>6262</v>
      </c>
      <c r="C3149" s="6">
        <v>4000.0</v>
      </c>
      <c r="D3149" s="6">
        <v>3.875</v>
      </c>
      <c r="E3149" s="6">
        <v>16.0</v>
      </c>
    </row>
    <row r="3150">
      <c r="A3150" s="4" t="s">
        <v>6263</v>
      </c>
      <c r="B3150" s="5" t="s">
        <v>6264</v>
      </c>
      <c r="C3150" s="6">
        <v>4000.0</v>
      </c>
      <c r="D3150" s="6">
        <v>4.4</v>
      </c>
      <c r="E3150" s="6">
        <v>5.0</v>
      </c>
    </row>
    <row r="3151">
      <c r="A3151" s="4" t="s">
        <v>6265</v>
      </c>
      <c r="B3151" s="5" t="s">
        <v>6266</v>
      </c>
      <c r="C3151" s="6">
        <v>4000.0</v>
      </c>
      <c r="D3151" s="6">
        <v>2.555555556</v>
      </c>
      <c r="E3151" s="6">
        <v>9.0</v>
      </c>
    </row>
    <row r="3152">
      <c r="A3152" s="4" t="s">
        <v>6267</v>
      </c>
      <c r="B3152" s="5" t="s">
        <v>6268</v>
      </c>
      <c r="C3152" s="6">
        <v>4000.0</v>
      </c>
      <c r="D3152" s="6">
        <v>3.457142857</v>
      </c>
      <c r="E3152" s="6">
        <v>35.0</v>
      </c>
    </row>
    <row r="3153">
      <c r="A3153" s="4" t="s">
        <v>6269</v>
      </c>
      <c r="B3153" s="5" t="s">
        <v>6270</v>
      </c>
      <c r="C3153" s="6">
        <v>4000.0</v>
      </c>
      <c r="D3153" s="6">
        <v>4.02020202</v>
      </c>
      <c r="E3153" s="6">
        <v>99.0</v>
      </c>
    </row>
    <row r="3154">
      <c r="A3154" s="4" t="s">
        <v>6271</v>
      </c>
      <c r="B3154" s="5" t="s">
        <v>6272</v>
      </c>
      <c r="C3154" s="6">
        <v>4000.0</v>
      </c>
      <c r="D3154" s="6">
        <v>4.347826087</v>
      </c>
      <c r="E3154" s="6">
        <v>23.0</v>
      </c>
    </row>
    <row r="3155">
      <c r="A3155" s="4" t="s">
        <v>6273</v>
      </c>
      <c r="B3155" s="5" t="s">
        <v>6274</v>
      </c>
      <c r="C3155" s="6">
        <v>4000.0</v>
      </c>
      <c r="D3155" s="6">
        <v>4.810218978</v>
      </c>
      <c r="E3155" s="6">
        <v>137.0</v>
      </c>
    </row>
    <row r="3156">
      <c r="A3156" s="4" t="s">
        <v>6275</v>
      </c>
      <c r="B3156" s="5" t="s">
        <v>6276</v>
      </c>
      <c r="C3156" s="6">
        <v>4000.0</v>
      </c>
      <c r="D3156" s="6">
        <v>5.0</v>
      </c>
      <c r="E3156" s="6">
        <v>5.0</v>
      </c>
    </row>
    <row r="3157">
      <c r="A3157" s="4" t="s">
        <v>6277</v>
      </c>
      <c r="B3157" s="5" t="s">
        <v>6278</v>
      </c>
      <c r="C3157" s="6">
        <v>4000.0</v>
      </c>
      <c r="D3157" s="6">
        <v>3.136363636</v>
      </c>
      <c r="E3157" s="6">
        <v>66.0</v>
      </c>
    </row>
    <row r="3158">
      <c r="A3158" s="4" t="s">
        <v>6279</v>
      </c>
      <c r="B3158" s="5" t="s">
        <v>6280</v>
      </c>
      <c r="C3158" s="6">
        <v>4000.0</v>
      </c>
      <c r="D3158" s="6">
        <v>3.264705882</v>
      </c>
      <c r="E3158" s="6">
        <v>34.0</v>
      </c>
    </row>
    <row r="3159">
      <c r="A3159" s="4" t="s">
        <v>6281</v>
      </c>
      <c r="B3159" s="5" t="s">
        <v>6282</v>
      </c>
      <c r="C3159" s="6">
        <v>4000.0</v>
      </c>
      <c r="D3159" s="6">
        <v>3.0</v>
      </c>
      <c r="E3159" s="6">
        <v>2.0</v>
      </c>
    </row>
    <row r="3160">
      <c r="A3160" s="4" t="s">
        <v>6283</v>
      </c>
      <c r="B3160" s="5" t="s">
        <v>6284</v>
      </c>
      <c r="C3160" s="6">
        <v>4000.0</v>
      </c>
      <c r="D3160" s="9"/>
      <c r="E3160" s="9"/>
    </row>
    <row r="3161">
      <c r="A3161" s="4" t="s">
        <v>6285</v>
      </c>
      <c r="B3161" s="5" t="s">
        <v>6286</v>
      </c>
      <c r="C3161" s="6">
        <v>4000.0</v>
      </c>
      <c r="D3161" s="6">
        <v>5.0</v>
      </c>
      <c r="E3161" s="6">
        <v>6.0</v>
      </c>
    </row>
    <row r="3162">
      <c r="A3162" s="4" t="s">
        <v>6287</v>
      </c>
      <c r="B3162" s="5" t="s">
        <v>6288</v>
      </c>
      <c r="C3162" s="6">
        <v>4000.0</v>
      </c>
      <c r="D3162" s="6">
        <v>4.608695652</v>
      </c>
      <c r="E3162" s="6">
        <v>46.0</v>
      </c>
    </row>
    <row r="3163">
      <c r="A3163" s="4" t="s">
        <v>6289</v>
      </c>
      <c r="B3163" s="5" t="s">
        <v>6290</v>
      </c>
      <c r="C3163" s="6">
        <v>4000.0</v>
      </c>
      <c r="D3163" s="6">
        <v>1.888888889</v>
      </c>
      <c r="E3163" s="6">
        <v>9.0</v>
      </c>
    </row>
    <row r="3164">
      <c r="A3164" s="4" t="s">
        <v>6291</v>
      </c>
      <c r="B3164" s="5" t="s">
        <v>6292</v>
      </c>
      <c r="C3164" s="6">
        <v>4000.0</v>
      </c>
      <c r="D3164" s="6">
        <v>1.696078431</v>
      </c>
      <c r="E3164" s="6">
        <v>102.0</v>
      </c>
    </row>
    <row r="3165">
      <c r="A3165" s="4" t="s">
        <v>6293</v>
      </c>
      <c r="B3165" s="5" t="s">
        <v>6294</v>
      </c>
      <c r="C3165" s="6">
        <v>4000.0</v>
      </c>
      <c r="D3165" s="6">
        <v>3.938202247</v>
      </c>
      <c r="E3165" s="6">
        <v>178.0</v>
      </c>
    </row>
    <row r="3166">
      <c r="A3166" s="4" t="s">
        <v>6295</v>
      </c>
      <c r="B3166" s="5" t="s">
        <v>6296</v>
      </c>
      <c r="C3166" s="6">
        <v>4000.0</v>
      </c>
      <c r="D3166" s="6">
        <v>4.1875</v>
      </c>
      <c r="E3166" s="6">
        <v>32.0</v>
      </c>
    </row>
    <row r="3167">
      <c r="A3167" s="4" t="s">
        <v>6297</v>
      </c>
      <c r="B3167" s="5" t="s">
        <v>6298</v>
      </c>
      <c r="C3167" s="6">
        <v>4000.0</v>
      </c>
      <c r="D3167" s="6">
        <v>4.882352941</v>
      </c>
      <c r="E3167" s="6">
        <v>17.0</v>
      </c>
    </row>
    <row r="3168">
      <c r="A3168" s="4" t="s">
        <v>6299</v>
      </c>
      <c r="B3168" s="5" t="s">
        <v>6300</v>
      </c>
      <c r="C3168" s="6">
        <v>4000.0</v>
      </c>
      <c r="D3168" s="6">
        <v>4.8</v>
      </c>
      <c r="E3168" s="6">
        <v>5.0</v>
      </c>
    </row>
    <row r="3169">
      <c r="A3169" s="4" t="s">
        <v>6301</v>
      </c>
      <c r="B3169" s="5" t="s">
        <v>6302</v>
      </c>
      <c r="C3169" s="6">
        <v>4000.0</v>
      </c>
      <c r="D3169" s="6">
        <v>4.103448276</v>
      </c>
      <c r="E3169" s="6">
        <v>29.0</v>
      </c>
    </row>
    <row r="3170">
      <c r="A3170" s="4" t="s">
        <v>6303</v>
      </c>
      <c r="B3170" s="5" t="s">
        <v>6304</v>
      </c>
      <c r="C3170" s="6">
        <v>4000.0</v>
      </c>
      <c r="D3170" s="6">
        <v>4.008474576</v>
      </c>
      <c r="E3170" s="6">
        <v>118.0</v>
      </c>
    </row>
    <row r="3171">
      <c r="A3171" s="4" t="s">
        <v>6305</v>
      </c>
      <c r="B3171" s="5" t="s">
        <v>6306</v>
      </c>
      <c r="C3171" s="6">
        <v>4000.0</v>
      </c>
      <c r="D3171" s="6">
        <v>4.4</v>
      </c>
      <c r="E3171" s="6">
        <v>15.0</v>
      </c>
    </row>
    <row r="3172">
      <c r="A3172" s="4" t="s">
        <v>6307</v>
      </c>
      <c r="B3172" s="5" t="s">
        <v>6308</v>
      </c>
      <c r="C3172" s="6">
        <v>4000.0</v>
      </c>
      <c r="D3172" s="6">
        <v>4.5</v>
      </c>
      <c r="E3172" s="6">
        <v>6.0</v>
      </c>
    </row>
    <row r="3173">
      <c r="A3173" s="4" t="s">
        <v>6309</v>
      </c>
      <c r="B3173" s="5" t="s">
        <v>6310</v>
      </c>
      <c r="C3173" s="6">
        <v>4000.0</v>
      </c>
      <c r="D3173" s="6">
        <v>4.413793103</v>
      </c>
      <c r="E3173" s="6">
        <v>58.0</v>
      </c>
    </row>
    <row r="3174">
      <c r="A3174" s="4" t="s">
        <v>355</v>
      </c>
      <c r="B3174" s="5" t="s">
        <v>6311</v>
      </c>
      <c r="C3174" s="6">
        <v>4000.0</v>
      </c>
      <c r="D3174" s="6">
        <v>4.857142857</v>
      </c>
      <c r="E3174" s="6">
        <v>7.0</v>
      </c>
    </row>
    <row r="3175">
      <c r="A3175" s="4" t="s">
        <v>6312</v>
      </c>
      <c r="B3175" s="5" t="s">
        <v>6313</v>
      </c>
      <c r="C3175" s="6">
        <v>4000.0</v>
      </c>
      <c r="D3175" s="6">
        <v>3.230769231</v>
      </c>
      <c r="E3175" s="6">
        <v>13.0</v>
      </c>
    </row>
    <row r="3176">
      <c r="A3176" s="4" t="s">
        <v>6314</v>
      </c>
      <c r="B3176" s="5" t="s">
        <v>6315</v>
      </c>
      <c r="C3176" s="6">
        <v>4000.0</v>
      </c>
      <c r="D3176" s="6">
        <v>4.545454545</v>
      </c>
      <c r="E3176" s="6">
        <v>11.0</v>
      </c>
    </row>
    <row r="3177">
      <c r="A3177" s="4" t="s">
        <v>6316</v>
      </c>
      <c r="B3177" s="5" t="s">
        <v>6317</v>
      </c>
      <c r="C3177" s="6">
        <v>4000.0</v>
      </c>
      <c r="D3177" s="6">
        <v>4.972222222</v>
      </c>
      <c r="E3177" s="6">
        <v>36.0</v>
      </c>
    </row>
    <row r="3178">
      <c r="A3178" s="4" t="s">
        <v>6318</v>
      </c>
      <c r="B3178" s="5" t="s">
        <v>6319</v>
      </c>
      <c r="C3178" s="6">
        <v>4000.0</v>
      </c>
      <c r="D3178" s="6">
        <v>4.5</v>
      </c>
      <c r="E3178" s="6">
        <v>6.0</v>
      </c>
    </row>
    <row r="3179">
      <c r="A3179" s="4" t="s">
        <v>6320</v>
      </c>
      <c r="B3179" s="5" t="s">
        <v>6321</v>
      </c>
      <c r="C3179" s="6">
        <v>4000.0</v>
      </c>
      <c r="D3179" s="6">
        <v>3.0</v>
      </c>
      <c r="E3179" s="6">
        <v>2.0</v>
      </c>
    </row>
    <row r="3180">
      <c r="A3180" s="4" t="s">
        <v>6322</v>
      </c>
      <c r="B3180" s="5" t="s">
        <v>6323</v>
      </c>
      <c r="C3180" s="6">
        <v>4000.0</v>
      </c>
      <c r="D3180" s="6">
        <v>4.75</v>
      </c>
      <c r="E3180" s="6">
        <v>4.0</v>
      </c>
    </row>
    <row r="3181">
      <c r="A3181" s="4" t="s">
        <v>6324</v>
      </c>
      <c r="B3181" s="5" t="s">
        <v>6325</v>
      </c>
      <c r="C3181" s="6">
        <v>4000.0</v>
      </c>
      <c r="D3181" s="6">
        <v>1.0</v>
      </c>
      <c r="E3181" s="6">
        <v>1.0</v>
      </c>
    </row>
    <row r="3182">
      <c r="A3182" s="4" t="s">
        <v>6326</v>
      </c>
      <c r="B3182" s="5" t="s">
        <v>6327</v>
      </c>
      <c r="C3182" s="6">
        <v>4000.0</v>
      </c>
      <c r="D3182" s="6">
        <v>3.7</v>
      </c>
      <c r="E3182" s="6">
        <v>10.0</v>
      </c>
    </row>
    <row r="3183">
      <c r="A3183" s="4" t="s">
        <v>6328</v>
      </c>
      <c r="B3183" s="5" t="s">
        <v>6329</v>
      </c>
      <c r="C3183" s="6">
        <v>4000.0</v>
      </c>
      <c r="D3183" s="6">
        <v>4.293103448</v>
      </c>
      <c r="E3183" s="6">
        <v>58.0</v>
      </c>
    </row>
    <row r="3184">
      <c r="A3184" s="4" t="s">
        <v>6330</v>
      </c>
      <c r="B3184" s="5" t="s">
        <v>6331</v>
      </c>
      <c r="C3184" s="6">
        <v>4000.0</v>
      </c>
      <c r="D3184" s="6">
        <v>3.75</v>
      </c>
      <c r="E3184" s="6">
        <v>24.0</v>
      </c>
    </row>
    <row r="3185">
      <c r="A3185" s="4" t="s">
        <v>6332</v>
      </c>
      <c r="B3185" s="5" t="s">
        <v>6333</v>
      </c>
      <c r="C3185" s="6">
        <v>4000.0</v>
      </c>
      <c r="D3185" s="6">
        <v>4.5</v>
      </c>
      <c r="E3185" s="6">
        <v>10.0</v>
      </c>
    </row>
    <row r="3186">
      <c r="A3186" s="4" t="s">
        <v>6334</v>
      </c>
      <c r="B3186" s="5" t="s">
        <v>6335</v>
      </c>
      <c r="C3186" s="6">
        <v>4000.0</v>
      </c>
      <c r="D3186" s="6">
        <v>5.0</v>
      </c>
      <c r="E3186" s="6">
        <v>1.0</v>
      </c>
    </row>
    <row r="3187">
      <c r="A3187" s="4" t="s">
        <v>6336</v>
      </c>
      <c r="B3187" s="5" t="s">
        <v>6337</v>
      </c>
      <c r="C3187" s="6">
        <v>4000.0</v>
      </c>
      <c r="D3187" s="6">
        <v>4.75</v>
      </c>
      <c r="E3187" s="6">
        <v>8.0</v>
      </c>
    </row>
    <row r="3188">
      <c r="A3188" s="4" t="s">
        <v>6338</v>
      </c>
      <c r="B3188" s="5" t="s">
        <v>6339</v>
      </c>
      <c r="C3188" s="6">
        <v>4000.0</v>
      </c>
      <c r="D3188" s="6">
        <v>5.0</v>
      </c>
      <c r="E3188" s="6">
        <v>22.0</v>
      </c>
    </row>
    <row r="3189">
      <c r="A3189" s="4" t="s">
        <v>6340</v>
      </c>
      <c r="B3189" s="5" t="s">
        <v>6341</v>
      </c>
      <c r="C3189" s="6">
        <v>4000.0</v>
      </c>
      <c r="D3189" s="6">
        <v>3.15</v>
      </c>
      <c r="E3189" s="6">
        <v>20.0</v>
      </c>
    </row>
    <row r="3190">
      <c r="A3190" s="4" t="s">
        <v>6342</v>
      </c>
      <c r="B3190" s="5" t="s">
        <v>6343</v>
      </c>
      <c r="C3190" s="6">
        <v>4000.0</v>
      </c>
      <c r="D3190" s="6">
        <v>4.797619048</v>
      </c>
      <c r="E3190" s="6">
        <v>84.0</v>
      </c>
    </row>
    <row r="3191">
      <c r="A3191" s="4" t="s">
        <v>6344</v>
      </c>
      <c r="B3191" s="5" t="s">
        <v>6345</v>
      </c>
      <c r="C3191" s="6">
        <v>4000.0</v>
      </c>
      <c r="D3191" s="6">
        <v>3.583333333</v>
      </c>
      <c r="E3191" s="6">
        <v>36.0</v>
      </c>
    </row>
    <row r="3192">
      <c r="A3192" s="4" t="s">
        <v>6346</v>
      </c>
      <c r="B3192" s="5" t="s">
        <v>6347</v>
      </c>
      <c r="C3192" s="6">
        <v>4000.0</v>
      </c>
      <c r="D3192" s="6">
        <v>3.0</v>
      </c>
      <c r="E3192" s="6">
        <v>69.0</v>
      </c>
    </row>
    <row r="3193">
      <c r="A3193" s="4" t="s">
        <v>6348</v>
      </c>
      <c r="B3193" s="5" t="s">
        <v>6349</v>
      </c>
      <c r="C3193" s="6">
        <v>4000.0</v>
      </c>
      <c r="D3193" s="6">
        <v>2.285714286</v>
      </c>
      <c r="E3193" s="6">
        <v>7.0</v>
      </c>
    </row>
    <row r="3194">
      <c r="A3194" s="4" t="s">
        <v>6350</v>
      </c>
      <c r="B3194" s="5" t="s">
        <v>6351</v>
      </c>
      <c r="C3194" s="6">
        <v>4000.0</v>
      </c>
      <c r="D3194" s="6">
        <v>4.1</v>
      </c>
      <c r="E3194" s="6">
        <v>10.0</v>
      </c>
    </row>
    <row r="3195">
      <c r="A3195" s="4" t="s">
        <v>6352</v>
      </c>
      <c r="B3195" s="5" t="s">
        <v>6353</v>
      </c>
      <c r="C3195" s="6">
        <v>4000.0</v>
      </c>
      <c r="D3195" s="6">
        <v>4.518691589</v>
      </c>
      <c r="E3195" s="6">
        <v>214.0</v>
      </c>
    </row>
    <row r="3196">
      <c r="A3196" s="4" t="s">
        <v>6354</v>
      </c>
      <c r="B3196" s="5" t="s">
        <v>6355</v>
      </c>
      <c r="C3196" s="6">
        <v>4000.0</v>
      </c>
      <c r="D3196" s="6">
        <v>3.454545455</v>
      </c>
      <c r="E3196" s="6">
        <v>22.0</v>
      </c>
    </row>
    <row r="3197">
      <c r="A3197" s="4" t="s">
        <v>6356</v>
      </c>
      <c r="B3197" s="5" t="s">
        <v>6357</v>
      </c>
      <c r="C3197" s="6">
        <v>4000.0</v>
      </c>
      <c r="D3197" s="6">
        <v>3.535714286</v>
      </c>
      <c r="E3197" s="6">
        <v>28.0</v>
      </c>
    </row>
    <row r="3198">
      <c r="A3198" s="4" t="s">
        <v>6358</v>
      </c>
      <c r="B3198" s="5" t="s">
        <v>6359</v>
      </c>
      <c r="C3198" s="6">
        <v>4000.0</v>
      </c>
      <c r="D3198" s="6">
        <v>4.846153846</v>
      </c>
      <c r="E3198" s="6">
        <v>13.0</v>
      </c>
    </row>
    <row r="3199">
      <c r="A3199" s="4" t="s">
        <v>6360</v>
      </c>
      <c r="B3199" s="5" t="s">
        <v>6361</v>
      </c>
      <c r="C3199" s="6">
        <v>4000.0</v>
      </c>
      <c r="D3199" s="6">
        <v>3.9375</v>
      </c>
      <c r="E3199" s="6">
        <v>32.0</v>
      </c>
    </row>
    <row r="3200">
      <c r="A3200" s="4" t="s">
        <v>6362</v>
      </c>
      <c r="B3200" s="5" t="s">
        <v>6363</v>
      </c>
      <c r="C3200" s="6">
        <v>4000.0</v>
      </c>
      <c r="D3200" s="6">
        <v>4.15</v>
      </c>
      <c r="E3200" s="6">
        <v>20.0</v>
      </c>
    </row>
    <row r="3201">
      <c r="A3201" s="4" t="s">
        <v>6364</v>
      </c>
      <c r="B3201" s="5" t="s">
        <v>6365</v>
      </c>
      <c r="C3201" s="6">
        <v>4000.0</v>
      </c>
      <c r="D3201" s="6">
        <v>4.058823529</v>
      </c>
      <c r="E3201" s="6">
        <v>51.0</v>
      </c>
    </row>
    <row r="3202">
      <c r="A3202" s="4" t="s">
        <v>6366</v>
      </c>
      <c r="B3202" s="5" t="s">
        <v>6367</v>
      </c>
      <c r="C3202" s="6">
        <v>4000.0</v>
      </c>
      <c r="D3202" s="6">
        <v>3.230769231</v>
      </c>
      <c r="E3202" s="6">
        <v>13.0</v>
      </c>
    </row>
    <row r="3203">
      <c r="A3203" s="4" t="s">
        <v>6368</v>
      </c>
      <c r="B3203" s="5" t="s">
        <v>6369</v>
      </c>
      <c r="C3203" s="6">
        <v>4000.0</v>
      </c>
      <c r="D3203" s="6">
        <v>4.090909091</v>
      </c>
      <c r="E3203" s="6">
        <v>11.0</v>
      </c>
    </row>
    <row r="3204">
      <c r="A3204" s="4" t="s">
        <v>6370</v>
      </c>
      <c r="B3204" s="5" t="s">
        <v>6371</v>
      </c>
      <c r="C3204" s="6">
        <v>4000.0</v>
      </c>
      <c r="D3204" s="6">
        <v>4.857142857</v>
      </c>
      <c r="E3204" s="6">
        <v>7.0</v>
      </c>
    </row>
    <row r="3205">
      <c r="A3205" s="4" t="s">
        <v>6372</v>
      </c>
      <c r="B3205" s="5" t="s">
        <v>6373</v>
      </c>
      <c r="C3205" s="6">
        <v>4000.0</v>
      </c>
      <c r="D3205" s="6">
        <v>3.416666667</v>
      </c>
      <c r="E3205" s="6">
        <v>12.0</v>
      </c>
    </row>
    <row r="3206">
      <c r="A3206" s="4" t="s">
        <v>6374</v>
      </c>
      <c r="B3206" s="5" t="s">
        <v>6375</v>
      </c>
      <c r="C3206" s="6">
        <v>4000.0</v>
      </c>
      <c r="D3206" s="6">
        <v>4.25</v>
      </c>
      <c r="E3206" s="6">
        <v>8.0</v>
      </c>
    </row>
    <row r="3207">
      <c r="A3207" s="4" t="s">
        <v>6376</v>
      </c>
      <c r="B3207" s="5" t="s">
        <v>6377</v>
      </c>
      <c r="C3207" s="6">
        <v>4000.0</v>
      </c>
      <c r="D3207" s="6">
        <v>4.0</v>
      </c>
      <c r="E3207" s="6">
        <v>12.0</v>
      </c>
    </row>
    <row r="3208">
      <c r="A3208" s="4" t="s">
        <v>6378</v>
      </c>
      <c r="B3208" s="5" t="s">
        <v>6379</v>
      </c>
      <c r="C3208" s="6">
        <v>4000.0</v>
      </c>
      <c r="D3208" s="6">
        <v>3.729166667</v>
      </c>
      <c r="E3208" s="6">
        <v>96.0</v>
      </c>
    </row>
    <row r="3209">
      <c r="A3209" s="4" t="s">
        <v>6380</v>
      </c>
      <c r="B3209" s="5" t="s">
        <v>6381</v>
      </c>
      <c r="C3209" s="6">
        <v>4000.0</v>
      </c>
      <c r="D3209" s="6">
        <v>4.827956989</v>
      </c>
      <c r="E3209" s="6">
        <v>372.0</v>
      </c>
    </row>
    <row r="3210">
      <c r="A3210" s="4" t="s">
        <v>6382</v>
      </c>
      <c r="B3210" s="5" t="s">
        <v>6383</v>
      </c>
      <c r="C3210" s="6">
        <v>4000.0</v>
      </c>
      <c r="D3210" s="6">
        <v>3.946428571</v>
      </c>
      <c r="E3210" s="6">
        <v>112.0</v>
      </c>
    </row>
    <row r="3211">
      <c r="A3211" s="4" t="s">
        <v>6384</v>
      </c>
      <c r="B3211" s="5" t="s">
        <v>6385</v>
      </c>
      <c r="C3211" s="6">
        <v>4000.0</v>
      </c>
      <c r="D3211" s="6">
        <v>3.475</v>
      </c>
      <c r="E3211" s="6">
        <v>40.0</v>
      </c>
    </row>
    <row r="3212">
      <c r="A3212" s="4" t="s">
        <v>6386</v>
      </c>
      <c r="B3212" s="5" t="s">
        <v>6387</v>
      </c>
      <c r="C3212" s="6">
        <v>4000.0</v>
      </c>
      <c r="D3212" s="6">
        <v>4.096774194</v>
      </c>
      <c r="E3212" s="6">
        <v>31.0</v>
      </c>
    </row>
    <row r="3213">
      <c r="A3213" s="4" t="s">
        <v>6388</v>
      </c>
      <c r="B3213" s="5" t="s">
        <v>6389</v>
      </c>
      <c r="C3213" s="6">
        <v>4000.0</v>
      </c>
      <c r="D3213" s="6">
        <v>4.117647059</v>
      </c>
      <c r="E3213" s="6">
        <v>17.0</v>
      </c>
    </row>
    <row r="3214">
      <c r="A3214" s="4" t="s">
        <v>6390</v>
      </c>
      <c r="B3214" s="5" t="s">
        <v>6391</v>
      </c>
      <c r="C3214" s="6">
        <v>4000.0</v>
      </c>
      <c r="D3214" s="6">
        <v>2.0</v>
      </c>
      <c r="E3214" s="6">
        <v>4.0</v>
      </c>
    </row>
    <row r="3215">
      <c r="A3215" s="4" t="s">
        <v>6392</v>
      </c>
      <c r="B3215" s="5" t="s">
        <v>6393</v>
      </c>
      <c r="C3215" s="6">
        <v>4000.0</v>
      </c>
      <c r="D3215" s="6">
        <v>4.625</v>
      </c>
      <c r="E3215" s="6">
        <v>88.0</v>
      </c>
    </row>
    <row r="3216">
      <c r="A3216" s="4" t="s">
        <v>6394</v>
      </c>
      <c r="B3216" s="5" t="s">
        <v>6395</v>
      </c>
      <c r="C3216" s="6">
        <v>4000.0</v>
      </c>
      <c r="D3216" s="6">
        <v>4.5</v>
      </c>
      <c r="E3216" s="6">
        <v>14.0</v>
      </c>
    </row>
    <row r="3217">
      <c r="A3217" s="4" t="s">
        <v>6396</v>
      </c>
      <c r="B3217" s="5" t="s">
        <v>6397</v>
      </c>
      <c r="C3217" s="6">
        <v>4000.0</v>
      </c>
      <c r="D3217" s="6">
        <v>4.026315789</v>
      </c>
      <c r="E3217" s="6">
        <v>76.0</v>
      </c>
    </row>
    <row r="3218">
      <c r="A3218" s="4" t="s">
        <v>6398</v>
      </c>
      <c r="B3218" s="5" t="s">
        <v>6399</v>
      </c>
      <c r="C3218" s="6">
        <v>4000.0</v>
      </c>
      <c r="D3218" s="6">
        <v>1.444444444</v>
      </c>
      <c r="E3218" s="6">
        <v>18.0</v>
      </c>
    </row>
    <row r="3219">
      <c r="A3219" s="4" t="s">
        <v>6400</v>
      </c>
      <c r="B3219" s="5" t="s">
        <v>6401</v>
      </c>
      <c r="C3219" s="6">
        <v>4000.0</v>
      </c>
      <c r="D3219" s="6">
        <v>4.173913043</v>
      </c>
      <c r="E3219" s="6">
        <v>46.0</v>
      </c>
    </row>
    <row r="3220">
      <c r="A3220" s="4" t="s">
        <v>6402</v>
      </c>
      <c r="B3220" s="5" t="s">
        <v>6403</v>
      </c>
      <c r="C3220" s="6">
        <v>4000.0</v>
      </c>
      <c r="D3220" s="6">
        <v>4.5</v>
      </c>
      <c r="E3220" s="6">
        <v>22.0</v>
      </c>
    </row>
    <row r="3221">
      <c r="A3221" s="4" t="s">
        <v>6404</v>
      </c>
      <c r="B3221" s="5" t="s">
        <v>6405</v>
      </c>
      <c r="C3221" s="6">
        <v>4000.0</v>
      </c>
      <c r="D3221" s="6">
        <v>3.12</v>
      </c>
      <c r="E3221" s="6">
        <v>75.0</v>
      </c>
    </row>
    <row r="3222">
      <c r="A3222" s="4" t="s">
        <v>6406</v>
      </c>
      <c r="B3222" s="5" t="s">
        <v>6407</v>
      </c>
      <c r="C3222" s="6">
        <v>4000.0</v>
      </c>
      <c r="D3222" s="6">
        <v>3.571428571</v>
      </c>
      <c r="E3222" s="6">
        <v>21.0</v>
      </c>
    </row>
    <row r="3223">
      <c r="A3223" s="4" t="s">
        <v>6408</v>
      </c>
      <c r="B3223" s="5" t="s">
        <v>6409</v>
      </c>
      <c r="C3223" s="6">
        <v>4000.0</v>
      </c>
      <c r="D3223" s="6">
        <v>2.954545455</v>
      </c>
      <c r="E3223" s="6">
        <v>22.0</v>
      </c>
    </row>
    <row r="3224">
      <c r="A3224" s="4" t="s">
        <v>6410</v>
      </c>
      <c r="B3224" s="5" t="s">
        <v>6411</v>
      </c>
      <c r="C3224" s="6">
        <v>4000.0</v>
      </c>
      <c r="D3224" s="6">
        <v>3.857142857</v>
      </c>
      <c r="E3224" s="6">
        <v>7.0</v>
      </c>
    </row>
    <row r="3225">
      <c r="A3225" s="4" t="s">
        <v>6412</v>
      </c>
      <c r="B3225" s="5" t="s">
        <v>6413</v>
      </c>
      <c r="C3225" s="6">
        <v>4000.0</v>
      </c>
      <c r="D3225" s="6">
        <v>4.625</v>
      </c>
      <c r="E3225" s="6">
        <v>16.0</v>
      </c>
    </row>
    <row r="3226">
      <c r="A3226" s="4" t="s">
        <v>6414</v>
      </c>
      <c r="B3226" s="5" t="s">
        <v>6415</v>
      </c>
      <c r="C3226" s="6">
        <v>4000.0</v>
      </c>
      <c r="D3226" s="6">
        <v>4.9</v>
      </c>
      <c r="E3226" s="6">
        <v>10.0</v>
      </c>
    </row>
    <row r="3227">
      <c r="A3227" s="4" t="s">
        <v>6416</v>
      </c>
      <c r="B3227" s="5" t="s">
        <v>6417</v>
      </c>
      <c r="C3227" s="6">
        <v>4000.0</v>
      </c>
      <c r="D3227" s="6">
        <v>4.714285714</v>
      </c>
      <c r="E3227" s="6">
        <v>7.0</v>
      </c>
    </row>
    <row r="3228">
      <c r="A3228" s="4" t="s">
        <v>6418</v>
      </c>
      <c r="B3228" s="5" t="s">
        <v>6419</v>
      </c>
      <c r="C3228" s="6">
        <v>4000.0</v>
      </c>
      <c r="D3228" s="6">
        <v>4.666666667</v>
      </c>
      <c r="E3228" s="6">
        <v>6.0</v>
      </c>
    </row>
    <row r="3229">
      <c r="A3229" s="4" t="s">
        <v>6420</v>
      </c>
      <c r="B3229" s="5" t="s">
        <v>6421</v>
      </c>
      <c r="C3229" s="6">
        <v>4000.0</v>
      </c>
      <c r="D3229" s="6">
        <v>2.771929825</v>
      </c>
      <c r="E3229" s="6">
        <v>57.0</v>
      </c>
    </row>
    <row r="3230">
      <c r="A3230" s="4" t="s">
        <v>6422</v>
      </c>
      <c r="B3230" s="5" t="s">
        <v>6423</v>
      </c>
      <c r="C3230" s="7">
        <v>4000.0</v>
      </c>
      <c r="D3230" s="6">
        <v>3.6</v>
      </c>
      <c r="E3230" s="6">
        <v>55.0</v>
      </c>
    </row>
    <row r="3231">
      <c r="A3231" s="4" t="s">
        <v>6424</v>
      </c>
      <c r="B3231" s="5" t="s">
        <v>6425</v>
      </c>
      <c r="C3231" s="7">
        <v>4000.0</v>
      </c>
      <c r="D3231" s="6">
        <v>4.8</v>
      </c>
      <c r="E3231" s="6">
        <v>105.0</v>
      </c>
    </row>
    <row r="3232">
      <c r="A3232" s="4" t="s">
        <v>6426</v>
      </c>
      <c r="B3232" s="5" t="s">
        <v>6427</v>
      </c>
      <c r="C3232" s="7">
        <v>4000.0</v>
      </c>
      <c r="D3232" s="6">
        <v>2.2</v>
      </c>
      <c r="E3232" s="6">
        <v>39.0</v>
      </c>
    </row>
    <row r="3233">
      <c r="A3233" s="4" t="s">
        <v>6428</v>
      </c>
      <c r="B3233" s="5" t="s">
        <v>6429</v>
      </c>
      <c r="C3233" s="6">
        <v>3000.0</v>
      </c>
      <c r="D3233" s="6">
        <v>4.75</v>
      </c>
      <c r="E3233" s="6">
        <v>4.0</v>
      </c>
    </row>
    <row r="3234">
      <c r="A3234" s="4" t="s">
        <v>6430</v>
      </c>
      <c r="B3234" s="5" t="s">
        <v>6431</v>
      </c>
      <c r="C3234" s="6">
        <v>3000.0</v>
      </c>
      <c r="D3234" s="6">
        <v>5.0</v>
      </c>
      <c r="E3234" s="6">
        <v>1.0</v>
      </c>
    </row>
    <row r="3235">
      <c r="A3235" s="4" t="s">
        <v>6432</v>
      </c>
      <c r="B3235" s="5" t="s">
        <v>6433</v>
      </c>
      <c r="C3235" s="6">
        <v>3000.0</v>
      </c>
      <c r="D3235" s="6">
        <v>4.32</v>
      </c>
      <c r="E3235" s="6">
        <v>25.0</v>
      </c>
    </row>
    <row r="3236">
      <c r="A3236" s="4" t="s">
        <v>6434</v>
      </c>
      <c r="B3236" s="5" t="s">
        <v>6435</v>
      </c>
      <c r="C3236" s="6">
        <v>3000.0</v>
      </c>
      <c r="D3236" s="6">
        <v>4.0</v>
      </c>
      <c r="E3236" s="6">
        <v>10.0</v>
      </c>
    </row>
    <row r="3237">
      <c r="A3237" s="4" t="s">
        <v>6436</v>
      </c>
      <c r="B3237" s="5" t="s">
        <v>6437</v>
      </c>
      <c r="C3237" s="6">
        <v>3000.0</v>
      </c>
      <c r="D3237" s="6">
        <v>2.166666667</v>
      </c>
      <c r="E3237" s="6">
        <v>42.0</v>
      </c>
    </row>
    <row r="3238">
      <c r="A3238" s="4" t="s">
        <v>6438</v>
      </c>
      <c r="B3238" s="5" t="s">
        <v>6439</v>
      </c>
      <c r="C3238" s="6">
        <v>3000.0</v>
      </c>
      <c r="D3238" s="6">
        <v>5.0</v>
      </c>
      <c r="E3238" s="6">
        <v>3.0</v>
      </c>
    </row>
    <row r="3239">
      <c r="A3239" s="4" t="s">
        <v>6440</v>
      </c>
      <c r="B3239" s="5" t="s">
        <v>6441</v>
      </c>
      <c r="C3239" s="6">
        <v>3000.0</v>
      </c>
      <c r="D3239" s="9"/>
      <c r="E3239" s="9"/>
    </row>
    <row r="3240">
      <c r="A3240" s="4" t="s">
        <v>6442</v>
      </c>
      <c r="B3240" s="5" t="s">
        <v>6443</v>
      </c>
      <c r="C3240" s="6">
        <v>3000.0</v>
      </c>
      <c r="D3240" s="6">
        <v>4.25</v>
      </c>
      <c r="E3240" s="6">
        <v>4.0</v>
      </c>
    </row>
    <row r="3241">
      <c r="A3241" s="4" t="s">
        <v>6444</v>
      </c>
      <c r="B3241" s="5" t="s">
        <v>6445</v>
      </c>
      <c r="C3241" s="6">
        <v>3000.0</v>
      </c>
      <c r="D3241" s="6">
        <v>4.2</v>
      </c>
      <c r="E3241" s="6">
        <v>5.0</v>
      </c>
    </row>
    <row r="3242">
      <c r="A3242" s="4" t="s">
        <v>6446</v>
      </c>
      <c r="B3242" s="5" t="s">
        <v>6447</v>
      </c>
      <c r="C3242" s="6">
        <v>3000.0</v>
      </c>
      <c r="D3242" s="6">
        <v>1.769230769</v>
      </c>
      <c r="E3242" s="6">
        <v>13.0</v>
      </c>
    </row>
    <row r="3243">
      <c r="A3243" s="4" t="s">
        <v>6448</v>
      </c>
      <c r="B3243" s="5" t="s">
        <v>6449</v>
      </c>
      <c r="C3243" s="6">
        <v>3000.0</v>
      </c>
      <c r="D3243" s="6">
        <v>3.8</v>
      </c>
      <c r="E3243" s="6">
        <v>10.0</v>
      </c>
    </row>
    <row r="3244">
      <c r="A3244" s="4" t="s">
        <v>6450</v>
      </c>
      <c r="B3244" s="5" t="s">
        <v>6451</v>
      </c>
      <c r="C3244" s="6">
        <v>3000.0</v>
      </c>
      <c r="D3244" s="6">
        <v>2.574074074</v>
      </c>
      <c r="E3244" s="6">
        <v>54.0</v>
      </c>
    </row>
    <row r="3245">
      <c r="A3245" s="4" t="s">
        <v>6452</v>
      </c>
      <c r="B3245" s="5" t="s">
        <v>6453</v>
      </c>
      <c r="C3245" s="6">
        <v>3000.0</v>
      </c>
      <c r="D3245" s="6">
        <v>5.0</v>
      </c>
      <c r="E3245" s="6">
        <v>3.0</v>
      </c>
    </row>
    <row r="3246">
      <c r="A3246" s="4" t="s">
        <v>6454</v>
      </c>
      <c r="B3246" s="5" t="s">
        <v>6455</v>
      </c>
      <c r="C3246" s="6">
        <v>3000.0</v>
      </c>
      <c r="D3246" s="6">
        <v>5.0</v>
      </c>
      <c r="E3246" s="6">
        <v>2.0</v>
      </c>
    </row>
    <row r="3247">
      <c r="A3247" s="4" t="s">
        <v>6456</v>
      </c>
      <c r="B3247" s="5" t="s">
        <v>6457</v>
      </c>
      <c r="C3247" s="6">
        <v>3000.0</v>
      </c>
      <c r="D3247" s="6">
        <v>3.444444444</v>
      </c>
      <c r="E3247" s="6">
        <v>27.0</v>
      </c>
    </row>
    <row r="3248">
      <c r="A3248" s="4" t="s">
        <v>6458</v>
      </c>
      <c r="B3248" s="5" t="s">
        <v>6459</v>
      </c>
      <c r="C3248" s="6">
        <v>3000.0</v>
      </c>
      <c r="D3248" s="6">
        <v>4.1875</v>
      </c>
      <c r="E3248" s="6">
        <v>16.0</v>
      </c>
    </row>
    <row r="3249">
      <c r="A3249" s="4" t="s">
        <v>6460</v>
      </c>
      <c r="B3249" s="5" t="s">
        <v>6461</v>
      </c>
      <c r="C3249" s="6">
        <v>3000.0</v>
      </c>
      <c r="D3249" s="6">
        <v>4.777777778</v>
      </c>
      <c r="E3249" s="6">
        <v>9.0</v>
      </c>
    </row>
    <row r="3250">
      <c r="A3250" s="4" t="s">
        <v>6462</v>
      </c>
      <c r="B3250" s="5" t="s">
        <v>6463</v>
      </c>
      <c r="C3250" s="6">
        <v>3000.0</v>
      </c>
      <c r="D3250" s="6">
        <v>3.047619048</v>
      </c>
      <c r="E3250" s="6">
        <v>42.0</v>
      </c>
    </row>
    <row r="3251">
      <c r="A3251" s="4" t="s">
        <v>6464</v>
      </c>
      <c r="B3251" s="5" t="s">
        <v>6465</v>
      </c>
      <c r="C3251" s="6">
        <v>3000.0</v>
      </c>
      <c r="D3251" s="6">
        <v>4.111111111</v>
      </c>
      <c r="E3251" s="6">
        <v>9.0</v>
      </c>
    </row>
    <row r="3252">
      <c r="A3252" s="4" t="s">
        <v>6466</v>
      </c>
      <c r="B3252" s="5" t="s">
        <v>6467</v>
      </c>
      <c r="C3252" s="6">
        <v>3000.0</v>
      </c>
      <c r="D3252" s="6">
        <v>4.4</v>
      </c>
      <c r="E3252" s="6">
        <v>40.0</v>
      </c>
    </row>
    <row r="3253">
      <c r="A3253" s="4" t="s">
        <v>6468</v>
      </c>
      <c r="B3253" s="5" t="s">
        <v>6469</v>
      </c>
      <c r="C3253" s="6">
        <v>3000.0</v>
      </c>
      <c r="D3253" s="6">
        <v>4.261904762</v>
      </c>
      <c r="E3253" s="6">
        <v>42.0</v>
      </c>
    </row>
    <row r="3254">
      <c r="A3254" s="4" t="s">
        <v>6470</v>
      </c>
      <c r="B3254" s="5" t="s">
        <v>6471</v>
      </c>
      <c r="C3254" s="6">
        <v>3000.0</v>
      </c>
      <c r="D3254" s="9"/>
      <c r="E3254" s="9"/>
    </row>
    <row r="3255">
      <c r="A3255" s="4" t="s">
        <v>6472</v>
      </c>
      <c r="B3255" s="5" t="s">
        <v>6473</v>
      </c>
      <c r="C3255" s="6">
        <v>3000.0</v>
      </c>
      <c r="D3255" s="6">
        <v>4.0</v>
      </c>
      <c r="E3255" s="6">
        <v>13.0</v>
      </c>
    </row>
    <row r="3256">
      <c r="A3256" s="4" t="s">
        <v>6474</v>
      </c>
      <c r="B3256" s="5" t="s">
        <v>6475</v>
      </c>
      <c r="C3256" s="6">
        <v>3000.0</v>
      </c>
      <c r="D3256" s="6">
        <v>3.125</v>
      </c>
      <c r="E3256" s="6">
        <v>8.0</v>
      </c>
    </row>
    <row r="3257">
      <c r="A3257" s="4" t="s">
        <v>3729</v>
      </c>
      <c r="B3257" s="5" t="s">
        <v>6476</v>
      </c>
      <c r="C3257" s="6">
        <v>3000.0</v>
      </c>
      <c r="D3257" s="6">
        <v>4.068181818</v>
      </c>
      <c r="E3257" s="6">
        <v>88.0</v>
      </c>
    </row>
    <row r="3258">
      <c r="A3258" s="4" t="s">
        <v>6477</v>
      </c>
      <c r="B3258" s="5" t="s">
        <v>6478</v>
      </c>
      <c r="C3258" s="6">
        <v>3000.0</v>
      </c>
      <c r="D3258" s="6">
        <v>4.189189189</v>
      </c>
      <c r="E3258" s="6">
        <v>37.0</v>
      </c>
    </row>
    <row r="3259">
      <c r="A3259" s="4" t="s">
        <v>6479</v>
      </c>
      <c r="B3259" s="5" t="s">
        <v>6480</v>
      </c>
      <c r="C3259" s="6">
        <v>3000.0</v>
      </c>
      <c r="D3259" s="6">
        <v>4.0</v>
      </c>
      <c r="E3259" s="6">
        <v>1.0</v>
      </c>
    </row>
    <row r="3260">
      <c r="A3260" s="4" t="s">
        <v>6481</v>
      </c>
      <c r="B3260" s="5" t="s">
        <v>6482</v>
      </c>
      <c r="C3260" s="6">
        <v>3000.0</v>
      </c>
      <c r="D3260" s="6">
        <v>4.698113208</v>
      </c>
      <c r="E3260" s="6">
        <v>53.0</v>
      </c>
    </row>
    <row r="3261">
      <c r="A3261" s="4" t="s">
        <v>6483</v>
      </c>
      <c r="B3261" s="5" t="s">
        <v>6484</v>
      </c>
      <c r="C3261" s="6">
        <v>3000.0</v>
      </c>
      <c r="D3261" s="6">
        <v>2.060606061</v>
      </c>
      <c r="E3261" s="6">
        <v>33.0</v>
      </c>
    </row>
    <row r="3262">
      <c r="A3262" s="4" t="s">
        <v>6485</v>
      </c>
      <c r="B3262" s="5" t="s">
        <v>6486</v>
      </c>
      <c r="C3262" s="6">
        <v>3000.0</v>
      </c>
      <c r="D3262" s="6">
        <v>4.163265306</v>
      </c>
      <c r="E3262" s="6">
        <v>49.0</v>
      </c>
    </row>
    <row r="3263">
      <c r="A3263" s="4" t="s">
        <v>6487</v>
      </c>
      <c r="B3263" s="5" t="s">
        <v>6488</v>
      </c>
      <c r="C3263" s="6">
        <v>3000.0</v>
      </c>
      <c r="D3263" s="6">
        <v>5.0</v>
      </c>
      <c r="E3263" s="6">
        <v>1.0</v>
      </c>
    </row>
    <row r="3264">
      <c r="A3264" s="4" t="s">
        <v>6489</v>
      </c>
      <c r="B3264" s="5" t="s">
        <v>6490</v>
      </c>
      <c r="C3264" s="6">
        <v>3000.0</v>
      </c>
      <c r="D3264" s="6">
        <v>4.4</v>
      </c>
      <c r="E3264" s="6">
        <v>20.0</v>
      </c>
    </row>
    <row r="3265">
      <c r="A3265" s="4" t="s">
        <v>6491</v>
      </c>
      <c r="B3265" s="5" t="s">
        <v>6492</v>
      </c>
      <c r="C3265" s="6">
        <v>3000.0</v>
      </c>
      <c r="D3265" s="6">
        <v>4.285714286</v>
      </c>
      <c r="E3265" s="6">
        <v>7.0</v>
      </c>
    </row>
    <row r="3266">
      <c r="A3266" s="4" t="s">
        <v>6493</v>
      </c>
      <c r="B3266" s="5" t="s">
        <v>6494</v>
      </c>
      <c r="C3266" s="6">
        <v>3000.0</v>
      </c>
      <c r="D3266" s="6">
        <v>4.583333333</v>
      </c>
      <c r="E3266" s="6">
        <v>24.0</v>
      </c>
    </row>
    <row r="3267">
      <c r="A3267" s="4" t="s">
        <v>6495</v>
      </c>
      <c r="B3267" s="5" t="s">
        <v>6496</v>
      </c>
      <c r="C3267" s="6">
        <v>3000.0</v>
      </c>
      <c r="D3267" s="6">
        <v>4.285714286</v>
      </c>
      <c r="E3267" s="6">
        <v>35.0</v>
      </c>
    </row>
    <row r="3268">
      <c r="A3268" s="4" t="s">
        <v>6497</v>
      </c>
      <c r="B3268" s="5" t="s">
        <v>6498</v>
      </c>
      <c r="C3268" s="6">
        <v>3000.0</v>
      </c>
      <c r="D3268" s="6">
        <v>4.5</v>
      </c>
      <c r="E3268" s="6">
        <v>2.0</v>
      </c>
    </row>
    <row r="3269">
      <c r="A3269" s="4" t="s">
        <v>6499</v>
      </c>
      <c r="B3269" s="5" t="s">
        <v>6500</v>
      </c>
      <c r="C3269" s="6">
        <v>3000.0</v>
      </c>
      <c r="D3269" s="6">
        <v>4.641891892</v>
      </c>
      <c r="E3269" s="6">
        <v>148.0</v>
      </c>
    </row>
    <row r="3270">
      <c r="A3270" s="4" t="s">
        <v>6501</v>
      </c>
      <c r="B3270" s="5" t="s">
        <v>6502</v>
      </c>
      <c r="C3270" s="6">
        <v>3000.0</v>
      </c>
      <c r="D3270" s="6">
        <v>4.426966292</v>
      </c>
      <c r="E3270" s="6">
        <v>89.0</v>
      </c>
    </row>
    <row r="3271">
      <c r="A3271" s="4" t="s">
        <v>6503</v>
      </c>
      <c r="B3271" s="5" t="s">
        <v>6504</v>
      </c>
      <c r="C3271" s="6">
        <v>3000.0</v>
      </c>
      <c r="D3271" s="6">
        <v>4.2</v>
      </c>
      <c r="E3271" s="6">
        <v>5.0</v>
      </c>
    </row>
    <row r="3272">
      <c r="A3272" s="4" t="s">
        <v>6505</v>
      </c>
      <c r="B3272" s="5" t="s">
        <v>6506</v>
      </c>
      <c r="C3272" s="6">
        <v>3000.0</v>
      </c>
      <c r="D3272" s="6">
        <v>4.0</v>
      </c>
      <c r="E3272" s="6">
        <v>14.0</v>
      </c>
    </row>
    <row r="3273">
      <c r="A3273" s="4" t="s">
        <v>6507</v>
      </c>
      <c r="B3273" s="5" t="s">
        <v>6508</v>
      </c>
      <c r="C3273" s="6">
        <v>3000.0</v>
      </c>
      <c r="D3273" s="6">
        <v>3.4</v>
      </c>
      <c r="E3273" s="6">
        <v>15.0</v>
      </c>
    </row>
    <row r="3274">
      <c r="A3274" s="4" t="s">
        <v>6509</v>
      </c>
      <c r="B3274" s="5" t="s">
        <v>6510</v>
      </c>
      <c r="C3274" s="6">
        <v>3000.0</v>
      </c>
      <c r="D3274" s="9"/>
      <c r="E3274" s="9"/>
    </row>
    <row r="3275">
      <c r="A3275" s="4" t="s">
        <v>6511</v>
      </c>
      <c r="B3275" s="5" t="s">
        <v>6512</v>
      </c>
      <c r="C3275" s="6">
        <v>3000.0</v>
      </c>
      <c r="D3275" s="6">
        <v>4.625</v>
      </c>
      <c r="E3275" s="6">
        <v>24.0</v>
      </c>
    </row>
    <row r="3276">
      <c r="A3276" s="4" t="s">
        <v>6513</v>
      </c>
      <c r="B3276" s="5" t="s">
        <v>6514</v>
      </c>
      <c r="C3276" s="6">
        <v>3000.0</v>
      </c>
      <c r="D3276" s="6">
        <v>4.666666667</v>
      </c>
      <c r="E3276" s="6">
        <v>24.0</v>
      </c>
    </row>
    <row r="3277">
      <c r="A3277" s="4" t="s">
        <v>6515</v>
      </c>
      <c r="B3277" s="5" t="s">
        <v>6516</v>
      </c>
      <c r="C3277" s="6">
        <v>3000.0</v>
      </c>
      <c r="D3277" s="6">
        <v>2.615384615</v>
      </c>
      <c r="E3277" s="6">
        <v>13.0</v>
      </c>
    </row>
    <row r="3278">
      <c r="A3278" s="4" t="s">
        <v>6517</v>
      </c>
      <c r="B3278" s="5" t="s">
        <v>6518</v>
      </c>
      <c r="C3278" s="6">
        <v>3000.0</v>
      </c>
      <c r="D3278" s="6">
        <v>3.333333333</v>
      </c>
      <c r="E3278" s="6">
        <v>9.0</v>
      </c>
    </row>
    <row r="3279">
      <c r="A3279" s="4" t="s">
        <v>6519</v>
      </c>
      <c r="B3279" s="5" t="s">
        <v>6520</v>
      </c>
      <c r="C3279" s="6">
        <v>3000.0</v>
      </c>
      <c r="D3279" s="6">
        <v>5.0</v>
      </c>
      <c r="E3279" s="6">
        <v>10.0</v>
      </c>
    </row>
    <row r="3280">
      <c r="A3280" s="4" t="s">
        <v>6521</v>
      </c>
      <c r="B3280" s="5" t="s">
        <v>6522</v>
      </c>
      <c r="C3280" s="6">
        <v>3000.0</v>
      </c>
      <c r="D3280" s="6">
        <v>2.566666667</v>
      </c>
      <c r="E3280" s="6">
        <v>30.0</v>
      </c>
    </row>
    <row r="3281">
      <c r="A3281" s="4" t="s">
        <v>6523</v>
      </c>
      <c r="B3281" s="5" t="s">
        <v>6524</v>
      </c>
      <c r="C3281" s="6">
        <v>3000.0</v>
      </c>
      <c r="D3281" s="6">
        <v>3.5</v>
      </c>
      <c r="E3281" s="6">
        <v>24.0</v>
      </c>
    </row>
    <row r="3282">
      <c r="A3282" s="4" t="s">
        <v>6525</v>
      </c>
      <c r="B3282" s="5" t="s">
        <v>6526</v>
      </c>
      <c r="C3282" s="6">
        <v>3000.0</v>
      </c>
      <c r="D3282" s="6">
        <v>1.095238095</v>
      </c>
      <c r="E3282" s="6">
        <v>21.0</v>
      </c>
    </row>
    <row r="3283">
      <c r="A3283" s="4" t="s">
        <v>6527</v>
      </c>
      <c r="B3283" s="5" t="s">
        <v>6528</v>
      </c>
      <c r="C3283" s="6">
        <v>3000.0</v>
      </c>
      <c r="D3283" s="6">
        <v>4.685714286</v>
      </c>
      <c r="E3283" s="6">
        <v>35.0</v>
      </c>
    </row>
    <row r="3284">
      <c r="A3284" s="4" t="s">
        <v>6529</v>
      </c>
      <c r="B3284" s="5" t="s">
        <v>6530</v>
      </c>
      <c r="C3284" s="6">
        <v>3000.0</v>
      </c>
      <c r="D3284" s="6">
        <v>3.884615385</v>
      </c>
      <c r="E3284" s="6">
        <v>26.0</v>
      </c>
    </row>
    <row r="3285">
      <c r="A3285" s="4" t="s">
        <v>6531</v>
      </c>
      <c r="B3285" s="5" t="s">
        <v>6532</v>
      </c>
      <c r="C3285" s="6">
        <v>3000.0</v>
      </c>
      <c r="D3285" s="6">
        <v>3.333333333</v>
      </c>
      <c r="E3285" s="6">
        <v>12.0</v>
      </c>
    </row>
    <row r="3286">
      <c r="A3286" s="4" t="s">
        <v>6533</v>
      </c>
      <c r="B3286" s="5" t="s">
        <v>6534</v>
      </c>
      <c r="C3286" s="6">
        <v>3000.0</v>
      </c>
      <c r="D3286" s="6">
        <v>3.487804878</v>
      </c>
      <c r="E3286" s="6">
        <v>41.0</v>
      </c>
    </row>
    <row r="3287">
      <c r="A3287" s="4" t="s">
        <v>6535</v>
      </c>
      <c r="B3287" s="5" t="s">
        <v>6536</v>
      </c>
      <c r="C3287" s="6">
        <v>3000.0</v>
      </c>
      <c r="D3287" s="6">
        <v>5.0</v>
      </c>
      <c r="E3287" s="6">
        <v>2.0</v>
      </c>
    </row>
    <row r="3288">
      <c r="A3288" s="4" t="s">
        <v>6537</v>
      </c>
      <c r="B3288" s="5" t="s">
        <v>6538</v>
      </c>
      <c r="C3288" s="6">
        <v>3000.0</v>
      </c>
      <c r="D3288" s="6">
        <v>4.476190476</v>
      </c>
      <c r="E3288" s="6">
        <v>42.0</v>
      </c>
    </row>
    <row r="3289">
      <c r="A3289" s="4" t="s">
        <v>6539</v>
      </c>
      <c r="B3289" s="5" t="s">
        <v>6540</v>
      </c>
      <c r="C3289" s="6">
        <v>3000.0</v>
      </c>
      <c r="D3289" s="6">
        <v>4.5</v>
      </c>
      <c r="E3289" s="6">
        <v>14.0</v>
      </c>
    </row>
    <row r="3290">
      <c r="A3290" s="4" t="s">
        <v>6541</v>
      </c>
      <c r="B3290" s="5" t="s">
        <v>6542</v>
      </c>
      <c r="C3290" s="6">
        <v>3000.0</v>
      </c>
      <c r="D3290" s="6">
        <v>4.70212766</v>
      </c>
      <c r="E3290" s="6">
        <v>47.0</v>
      </c>
    </row>
    <row r="3291">
      <c r="A3291" s="4" t="s">
        <v>6543</v>
      </c>
      <c r="B3291" s="5" t="s">
        <v>6544</v>
      </c>
      <c r="C3291" s="6">
        <v>3000.0</v>
      </c>
      <c r="D3291" s="6">
        <v>3.962962963</v>
      </c>
      <c r="E3291" s="6">
        <v>27.0</v>
      </c>
    </row>
    <row r="3292">
      <c r="A3292" s="10" t="s">
        <v>6545</v>
      </c>
      <c r="B3292" s="5" t="s">
        <v>6546</v>
      </c>
      <c r="C3292" s="6">
        <v>3000.0</v>
      </c>
      <c r="D3292" s="6">
        <v>4.777777778</v>
      </c>
      <c r="E3292" s="6">
        <v>72.0</v>
      </c>
    </row>
    <row r="3293">
      <c r="A3293" s="4" t="s">
        <v>6547</v>
      </c>
      <c r="B3293" s="5" t="s">
        <v>6548</v>
      </c>
      <c r="C3293" s="6">
        <v>3000.0</v>
      </c>
      <c r="D3293" s="6">
        <v>4.2</v>
      </c>
      <c r="E3293" s="6">
        <v>5.0</v>
      </c>
    </row>
    <row r="3294">
      <c r="A3294" s="4" t="s">
        <v>6549</v>
      </c>
      <c r="B3294" s="5" t="s">
        <v>6550</v>
      </c>
      <c r="C3294" s="6">
        <v>3000.0</v>
      </c>
      <c r="D3294" s="6">
        <v>5.0</v>
      </c>
      <c r="E3294" s="6">
        <v>4.0</v>
      </c>
    </row>
    <row r="3295">
      <c r="A3295" s="4" t="s">
        <v>6551</v>
      </c>
      <c r="B3295" s="5" t="s">
        <v>6552</v>
      </c>
      <c r="C3295" s="6">
        <v>3000.0</v>
      </c>
      <c r="D3295" s="6">
        <v>3.8125</v>
      </c>
      <c r="E3295" s="6">
        <v>16.0</v>
      </c>
    </row>
    <row r="3296">
      <c r="A3296" s="4" t="s">
        <v>6553</v>
      </c>
      <c r="B3296" s="5" t="s">
        <v>6554</v>
      </c>
      <c r="C3296" s="6">
        <v>3000.0</v>
      </c>
      <c r="D3296" s="6">
        <v>5.0</v>
      </c>
      <c r="E3296" s="6">
        <v>2.0</v>
      </c>
    </row>
    <row r="3297">
      <c r="A3297" s="4" t="s">
        <v>6555</v>
      </c>
      <c r="B3297" s="5" t="s">
        <v>6556</v>
      </c>
      <c r="C3297" s="6">
        <v>3000.0</v>
      </c>
      <c r="D3297" s="6">
        <v>4.764705882</v>
      </c>
      <c r="E3297" s="6">
        <v>17.0</v>
      </c>
    </row>
    <row r="3298">
      <c r="A3298" s="4" t="s">
        <v>6557</v>
      </c>
      <c r="B3298" s="5" t="s">
        <v>6558</v>
      </c>
      <c r="C3298" s="6">
        <v>3000.0</v>
      </c>
      <c r="D3298" s="6">
        <v>3.366412214</v>
      </c>
      <c r="E3298" s="6">
        <v>131.0</v>
      </c>
    </row>
    <row r="3299">
      <c r="A3299" s="4" t="s">
        <v>6559</v>
      </c>
      <c r="B3299" s="5" t="s">
        <v>6560</v>
      </c>
      <c r="C3299" s="6">
        <v>3000.0</v>
      </c>
      <c r="D3299" s="6">
        <v>2.722222222</v>
      </c>
      <c r="E3299" s="6">
        <v>18.0</v>
      </c>
    </row>
    <row r="3300">
      <c r="A3300" s="4" t="s">
        <v>6561</v>
      </c>
      <c r="B3300" s="5" t="s">
        <v>6562</v>
      </c>
      <c r="C3300" s="6">
        <v>3000.0</v>
      </c>
      <c r="D3300" s="6">
        <v>5.0</v>
      </c>
      <c r="E3300" s="6">
        <v>3.0</v>
      </c>
    </row>
    <row r="3301">
      <c r="A3301" s="4" t="s">
        <v>6563</v>
      </c>
      <c r="B3301" s="5" t="s">
        <v>6564</v>
      </c>
      <c r="C3301" s="6">
        <v>3000.0</v>
      </c>
      <c r="D3301" s="6">
        <v>3.711538462</v>
      </c>
      <c r="E3301" s="6">
        <v>104.0</v>
      </c>
    </row>
    <row r="3302">
      <c r="A3302" s="4" t="s">
        <v>6565</v>
      </c>
      <c r="B3302" s="5" t="s">
        <v>6566</v>
      </c>
      <c r="C3302" s="6">
        <v>3000.0</v>
      </c>
      <c r="D3302" s="6">
        <v>5.0</v>
      </c>
      <c r="E3302" s="6">
        <v>4.0</v>
      </c>
    </row>
    <row r="3303">
      <c r="A3303" s="4" t="s">
        <v>6567</v>
      </c>
      <c r="B3303" s="5" t="s">
        <v>6568</v>
      </c>
      <c r="C3303" s="6">
        <v>3000.0</v>
      </c>
      <c r="D3303" s="6">
        <v>4.582089552</v>
      </c>
      <c r="E3303" s="6">
        <v>134.0</v>
      </c>
    </row>
    <row r="3304">
      <c r="A3304" s="4" t="s">
        <v>6569</v>
      </c>
      <c r="B3304" s="5" t="s">
        <v>6570</v>
      </c>
      <c r="C3304" s="6">
        <v>3000.0</v>
      </c>
      <c r="D3304" s="6">
        <v>4.181818182</v>
      </c>
      <c r="E3304" s="6">
        <v>55.0</v>
      </c>
    </row>
    <row r="3305">
      <c r="A3305" s="4" t="s">
        <v>6571</v>
      </c>
      <c r="B3305" s="5" t="s">
        <v>6572</v>
      </c>
      <c r="C3305" s="6">
        <v>3000.0</v>
      </c>
      <c r="D3305" s="6">
        <v>5.0</v>
      </c>
      <c r="E3305" s="6">
        <v>2.0</v>
      </c>
    </row>
    <row r="3306">
      <c r="A3306" s="4" t="s">
        <v>6573</v>
      </c>
      <c r="B3306" s="5" t="s">
        <v>6574</v>
      </c>
      <c r="C3306" s="6">
        <v>3000.0</v>
      </c>
      <c r="D3306" s="6">
        <v>3.0</v>
      </c>
      <c r="E3306" s="6">
        <v>8.0</v>
      </c>
    </row>
    <row r="3307">
      <c r="A3307" s="4" t="s">
        <v>6575</v>
      </c>
      <c r="B3307" s="5" t="s">
        <v>6576</v>
      </c>
      <c r="C3307" s="6">
        <v>3000.0</v>
      </c>
      <c r="D3307" s="6">
        <v>4.0</v>
      </c>
      <c r="E3307" s="6">
        <v>9.0</v>
      </c>
    </row>
    <row r="3308">
      <c r="A3308" s="4" t="s">
        <v>6577</v>
      </c>
      <c r="B3308" s="5" t="s">
        <v>6578</v>
      </c>
      <c r="C3308" s="6">
        <v>3000.0</v>
      </c>
      <c r="D3308" s="6">
        <v>4.913644214</v>
      </c>
      <c r="E3308" s="6">
        <v>579.0</v>
      </c>
    </row>
    <row r="3309">
      <c r="A3309" s="4" t="s">
        <v>6579</v>
      </c>
      <c r="B3309" s="5" t="s">
        <v>6580</v>
      </c>
      <c r="C3309" s="6">
        <v>3000.0</v>
      </c>
      <c r="D3309" s="6">
        <v>3.933333333</v>
      </c>
      <c r="E3309" s="6">
        <v>45.0</v>
      </c>
    </row>
    <row r="3310">
      <c r="A3310" s="4" t="s">
        <v>6581</v>
      </c>
      <c r="B3310" s="5" t="s">
        <v>6582</v>
      </c>
      <c r="C3310" s="6">
        <v>3000.0</v>
      </c>
      <c r="D3310" s="6">
        <v>3.75</v>
      </c>
      <c r="E3310" s="6">
        <v>12.0</v>
      </c>
    </row>
    <row r="3311">
      <c r="A3311" s="4" t="s">
        <v>6583</v>
      </c>
      <c r="B3311" s="5" t="s">
        <v>6584</v>
      </c>
      <c r="C3311" s="6">
        <v>3000.0</v>
      </c>
      <c r="D3311" s="6">
        <v>4.8</v>
      </c>
      <c r="E3311" s="6">
        <v>15.0</v>
      </c>
    </row>
    <row r="3312">
      <c r="A3312" s="4" t="s">
        <v>6585</v>
      </c>
      <c r="B3312" s="5" t="s">
        <v>6586</v>
      </c>
      <c r="C3312" s="6">
        <v>3000.0</v>
      </c>
      <c r="D3312" s="6">
        <v>4.266666667</v>
      </c>
      <c r="E3312" s="6">
        <v>15.0</v>
      </c>
    </row>
    <row r="3313">
      <c r="A3313" s="4" t="s">
        <v>6587</v>
      </c>
      <c r="B3313" s="5" t="s">
        <v>6588</v>
      </c>
      <c r="C3313" s="6">
        <v>3000.0</v>
      </c>
      <c r="D3313" s="9"/>
      <c r="E3313" s="9"/>
    </row>
    <row r="3314">
      <c r="A3314" s="4" t="s">
        <v>6589</v>
      </c>
      <c r="B3314" s="5" t="s">
        <v>6590</v>
      </c>
      <c r="C3314" s="6">
        <v>3000.0</v>
      </c>
      <c r="D3314" s="6">
        <v>3.714285714</v>
      </c>
      <c r="E3314" s="6">
        <v>14.0</v>
      </c>
    </row>
    <row r="3315">
      <c r="A3315" s="4" t="s">
        <v>6591</v>
      </c>
      <c r="B3315" s="5" t="s">
        <v>6592</v>
      </c>
      <c r="C3315" s="6">
        <v>3000.0</v>
      </c>
      <c r="D3315" s="6">
        <v>3.37037037</v>
      </c>
      <c r="E3315" s="6">
        <v>27.0</v>
      </c>
    </row>
    <row r="3316">
      <c r="A3316" s="4" t="s">
        <v>6593</v>
      </c>
      <c r="B3316" s="5" t="s">
        <v>6594</v>
      </c>
      <c r="C3316" s="6">
        <v>3000.0</v>
      </c>
      <c r="D3316" s="6">
        <v>4.361111111</v>
      </c>
      <c r="E3316" s="6">
        <v>36.0</v>
      </c>
    </row>
    <row r="3317">
      <c r="A3317" s="4" t="s">
        <v>6595</v>
      </c>
      <c r="B3317" s="5" t="s">
        <v>6596</v>
      </c>
      <c r="C3317" s="6">
        <v>3000.0</v>
      </c>
      <c r="D3317" s="6">
        <v>4.818181818</v>
      </c>
      <c r="E3317" s="6">
        <v>22.0</v>
      </c>
    </row>
    <row r="3318">
      <c r="A3318" s="4" t="s">
        <v>6597</v>
      </c>
      <c r="B3318" s="5" t="s">
        <v>6598</v>
      </c>
      <c r="C3318" s="6">
        <v>3000.0</v>
      </c>
      <c r="D3318" s="6">
        <v>3.714285714</v>
      </c>
      <c r="E3318" s="6">
        <v>7.0</v>
      </c>
    </row>
    <row r="3319">
      <c r="A3319" s="4" t="s">
        <v>6599</v>
      </c>
      <c r="B3319" s="5" t="s">
        <v>6600</v>
      </c>
      <c r="C3319" s="6">
        <v>3000.0</v>
      </c>
      <c r="D3319" s="6">
        <v>4.2</v>
      </c>
      <c r="E3319" s="6">
        <v>65.0</v>
      </c>
    </row>
    <row r="3320">
      <c r="A3320" s="4" t="s">
        <v>6601</v>
      </c>
      <c r="B3320" s="5" t="s">
        <v>6602</v>
      </c>
      <c r="C3320" s="6">
        <v>3000.0</v>
      </c>
      <c r="D3320" s="6">
        <v>2.4</v>
      </c>
      <c r="E3320" s="6">
        <v>15.0</v>
      </c>
    </row>
    <row r="3321">
      <c r="A3321" s="4" t="s">
        <v>6603</v>
      </c>
      <c r="B3321" s="5" t="s">
        <v>6604</v>
      </c>
      <c r="C3321" s="6">
        <v>3000.0</v>
      </c>
      <c r="D3321" s="6">
        <v>3.4</v>
      </c>
      <c r="E3321" s="6">
        <v>5.0</v>
      </c>
    </row>
    <row r="3322">
      <c r="A3322" s="4" t="s">
        <v>6605</v>
      </c>
      <c r="B3322" s="5" t="s">
        <v>6606</v>
      </c>
      <c r="C3322" s="6">
        <v>3000.0</v>
      </c>
      <c r="D3322" s="6">
        <v>3.5</v>
      </c>
      <c r="E3322" s="6">
        <v>8.0</v>
      </c>
    </row>
    <row r="3323">
      <c r="A3323" s="4" t="s">
        <v>6607</v>
      </c>
      <c r="B3323" s="5" t="s">
        <v>6608</v>
      </c>
      <c r="C3323" s="6">
        <v>3000.0</v>
      </c>
      <c r="D3323" s="6">
        <v>3.333333333</v>
      </c>
      <c r="E3323" s="6">
        <v>12.0</v>
      </c>
    </row>
    <row r="3324">
      <c r="A3324" s="4" t="s">
        <v>6609</v>
      </c>
      <c r="B3324" s="5" t="s">
        <v>6610</v>
      </c>
      <c r="C3324" s="6">
        <v>3000.0</v>
      </c>
      <c r="D3324" s="6">
        <v>4.129032258</v>
      </c>
      <c r="E3324" s="6">
        <v>31.0</v>
      </c>
    </row>
    <row r="3325">
      <c r="A3325" s="4" t="s">
        <v>6611</v>
      </c>
      <c r="B3325" s="5" t="s">
        <v>6612</v>
      </c>
      <c r="C3325" s="6">
        <v>3000.0</v>
      </c>
      <c r="D3325" s="6">
        <v>4.181818182</v>
      </c>
      <c r="E3325" s="6">
        <v>11.0</v>
      </c>
    </row>
    <row r="3326">
      <c r="A3326" s="4" t="s">
        <v>6613</v>
      </c>
      <c r="B3326" s="5" t="s">
        <v>6614</v>
      </c>
      <c r="C3326" s="6">
        <v>3000.0</v>
      </c>
      <c r="D3326" s="6">
        <v>4.210526316</v>
      </c>
      <c r="E3326" s="6">
        <v>19.0</v>
      </c>
    </row>
    <row r="3327">
      <c r="A3327" s="4" t="s">
        <v>6615</v>
      </c>
      <c r="B3327" s="5" t="s">
        <v>6616</v>
      </c>
      <c r="C3327" s="6">
        <v>3000.0</v>
      </c>
      <c r="D3327" s="6">
        <v>3.692307692</v>
      </c>
      <c r="E3327" s="6">
        <v>13.0</v>
      </c>
    </row>
    <row r="3328">
      <c r="A3328" s="4" t="s">
        <v>6617</v>
      </c>
      <c r="B3328" s="5" t="s">
        <v>6618</v>
      </c>
      <c r="C3328" s="6">
        <v>3000.0</v>
      </c>
      <c r="D3328" s="6">
        <v>3.857142857</v>
      </c>
      <c r="E3328" s="6">
        <v>42.0</v>
      </c>
    </row>
    <row r="3329">
      <c r="A3329" s="4" t="s">
        <v>6619</v>
      </c>
      <c r="B3329" s="5" t="s">
        <v>6620</v>
      </c>
      <c r="C3329" s="6">
        <v>3000.0</v>
      </c>
      <c r="D3329" s="6">
        <v>4.833333333</v>
      </c>
      <c r="E3329" s="6">
        <v>6.0</v>
      </c>
    </row>
    <row r="3330">
      <c r="A3330" s="4" t="s">
        <v>6621</v>
      </c>
      <c r="B3330" s="5" t="s">
        <v>6622</v>
      </c>
      <c r="C3330" s="6">
        <v>3000.0</v>
      </c>
      <c r="D3330" s="6">
        <v>4.896907216</v>
      </c>
      <c r="E3330" s="6">
        <v>97.0</v>
      </c>
    </row>
    <row r="3331">
      <c r="A3331" s="4" t="s">
        <v>6623</v>
      </c>
      <c r="B3331" s="5" t="s">
        <v>6624</v>
      </c>
      <c r="C3331" s="6">
        <v>3000.0</v>
      </c>
      <c r="D3331" s="6">
        <v>2.464912281</v>
      </c>
      <c r="E3331" s="6">
        <v>114.0</v>
      </c>
    </row>
    <row r="3332">
      <c r="A3332" s="4" t="s">
        <v>6625</v>
      </c>
      <c r="B3332" s="5" t="s">
        <v>6626</v>
      </c>
      <c r="C3332" s="6">
        <v>3000.0</v>
      </c>
      <c r="D3332" s="6">
        <v>3.767123288</v>
      </c>
      <c r="E3332" s="6">
        <v>73.0</v>
      </c>
    </row>
    <row r="3333">
      <c r="A3333" s="4" t="s">
        <v>6627</v>
      </c>
      <c r="B3333" s="5" t="s">
        <v>6628</v>
      </c>
      <c r="C3333" s="6">
        <v>3000.0</v>
      </c>
      <c r="D3333" s="6">
        <v>4.217391304</v>
      </c>
      <c r="E3333" s="6">
        <v>23.0</v>
      </c>
    </row>
    <row r="3334">
      <c r="A3334" s="4" t="s">
        <v>6629</v>
      </c>
      <c r="B3334" s="5" t="s">
        <v>6630</v>
      </c>
      <c r="C3334" s="6">
        <v>3000.0</v>
      </c>
      <c r="D3334" s="6">
        <v>4.034482759</v>
      </c>
      <c r="E3334" s="6">
        <v>29.0</v>
      </c>
    </row>
    <row r="3335">
      <c r="A3335" s="4" t="s">
        <v>431</v>
      </c>
      <c r="B3335" s="5" t="s">
        <v>6631</v>
      </c>
      <c r="C3335" s="6">
        <v>3000.0</v>
      </c>
      <c r="D3335" s="6">
        <v>3.583333333</v>
      </c>
      <c r="E3335" s="6">
        <v>24.0</v>
      </c>
    </row>
    <row r="3336">
      <c r="A3336" s="4" t="s">
        <v>6632</v>
      </c>
      <c r="B3336" s="5" t="s">
        <v>6633</v>
      </c>
      <c r="C3336" s="6">
        <v>3000.0</v>
      </c>
      <c r="D3336" s="6">
        <v>4.714285714</v>
      </c>
      <c r="E3336" s="6">
        <v>7.0</v>
      </c>
    </row>
    <row r="3337">
      <c r="A3337" s="4" t="s">
        <v>6634</v>
      </c>
      <c r="B3337" s="5" t="s">
        <v>6635</v>
      </c>
      <c r="C3337" s="6">
        <v>3000.0</v>
      </c>
      <c r="D3337" s="6">
        <v>4.302325581</v>
      </c>
      <c r="E3337" s="6">
        <v>43.0</v>
      </c>
    </row>
    <row r="3338">
      <c r="A3338" s="4" t="s">
        <v>6636</v>
      </c>
      <c r="B3338" s="5" t="s">
        <v>6637</v>
      </c>
      <c r="C3338" s="6">
        <v>3000.0</v>
      </c>
      <c r="D3338" s="6">
        <v>4.613207547</v>
      </c>
      <c r="E3338" s="6">
        <v>424.0</v>
      </c>
    </row>
    <row r="3339">
      <c r="A3339" s="4" t="s">
        <v>6638</v>
      </c>
      <c r="B3339" s="5" t="s">
        <v>6639</v>
      </c>
      <c r="C3339" s="6">
        <v>3000.0</v>
      </c>
      <c r="D3339" s="6">
        <v>4.0</v>
      </c>
      <c r="E3339" s="6">
        <v>13.0</v>
      </c>
    </row>
    <row r="3340">
      <c r="A3340" s="4" t="s">
        <v>6640</v>
      </c>
      <c r="B3340" s="5" t="s">
        <v>6641</v>
      </c>
      <c r="C3340" s="6">
        <v>3000.0</v>
      </c>
      <c r="D3340" s="6">
        <v>4.482758621</v>
      </c>
      <c r="E3340" s="6">
        <v>29.0</v>
      </c>
    </row>
    <row r="3341">
      <c r="A3341" s="4" t="s">
        <v>6642</v>
      </c>
      <c r="B3341" s="5" t="s">
        <v>6643</v>
      </c>
      <c r="C3341" s="6">
        <v>3000.0</v>
      </c>
      <c r="D3341" s="6">
        <v>4.368421053</v>
      </c>
      <c r="E3341" s="6">
        <v>19.0</v>
      </c>
    </row>
    <row r="3342">
      <c r="A3342" s="4" t="s">
        <v>6644</v>
      </c>
      <c r="B3342" s="5" t="s">
        <v>6645</v>
      </c>
      <c r="C3342" s="6">
        <v>3000.0</v>
      </c>
      <c r="D3342" s="6">
        <v>3.55</v>
      </c>
      <c r="E3342" s="6">
        <v>20.0</v>
      </c>
    </row>
    <row r="3343">
      <c r="A3343" s="4" t="s">
        <v>6646</v>
      </c>
      <c r="B3343" s="5" t="s">
        <v>6647</v>
      </c>
      <c r="C3343" s="6">
        <v>3000.0</v>
      </c>
      <c r="D3343" s="6">
        <v>4.319148936</v>
      </c>
      <c r="E3343" s="6">
        <v>47.0</v>
      </c>
    </row>
    <row r="3344">
      <c r="A3344" s="4" t="s">
        <v>6648</v>
      </c>
      <c r="B3344" s="5" t="s">
        <v>6649</v>
      </c>
      <c r="C3344" s="6">
        <v>3000.0</v>
      </c>
      <c r="D3344" s="6">
        <v>3.0</v>
      </c>
      <c r="E3344" s="6">
        <v>2.0</v>
      </c>
    </row>
    <row r="3345">
      <c r="A3345" s="4" t="s">
        <v>6650</v>
      </c>
      <c r="B3345" s="5" t="s">
        <v>6651</v>
      </c>
      <c r="C3345" s="6">
        <v>3000.0</v>
      </c>
      <c r="D3345" s="6">
        <v>3.833333333</v>
      </c>
      <c r="E3345" s="6">
        <v>18.0</v>
      </c>
    </row>
    <row r="3346">
      <c r="A3346" s="4" t="s">
        <v>6652</v>
      </c>
      <c r="B3346" s="5" t="s">
        <v>6653</v>
      </c>
      <c r="C3346" s="6">
        <v>3000.0</v>
      </c>
      <c r="D3346" s="6">
        <v>5.0</v>
      </c>
      <c r="E3346" s="6">
        <v>6.0</v>
      </c>
    </row>
    <row r="3347">
      <c r="A3347" s="4" t="s">
        <v>6654</v>
      </c>
      <c r="B3347" s="5" t="s">
        <v>6655</v>
      </c>
      <c r="C3347" s="6">
        <v>3000.0</v>
      </c>
      <c r="D3347" s="6">
        <v>2.571428571</v>
      </c>
      <c r="E3347" s="6">
        <v>14.0</v>
      </c>
    </row>
    <row r="3348">
      <c r="A3348" s="4" t="s">
        <v>6656</v>
      </c>
      <c r="B3348" s="5" t="s">
        <v>6657</v>
      </c>
      <c r="C3348" s="6">
        <v>3000.0</v>
      </c>
      <c r="D3348" s="6">
        <v>4.266666667</v>
      </c>
      <c r="E3348" s="6">
        <v>15.0</v>
      </c>
    </row>
    <row r="3349">
      <c r="A3349" s="4" t="s">
        <v>6658</v>
      </c>
      <c r="B3349" s="5" t="s">
        <v>6659</v>
      </c>
      <c r="C3349" s="6">
        <v>3000.0</v>
      </c>
      <c r="D3349" s="6">
        <v>4.268292683</v>
      </c>
      <c r="E3349" s="6">
        <v>41.0</v>
      </c>
    </row>
    <row r="3350">
      <c r="A3350" s="4" t="s">
        <v>6660</v>
      </c>
      <c r="B3350" s="5" t="s">
        <v>6661</v>
      </c>
      <c r="C3350" s="6">
        <v>3000.0</v>
      </c>
      <c r="D3350" s="6">
        <v>2.142857143</v>
      </c>
      <c r="E3350" s="6">
        <v>7.0</v>
      </c>
    </row>
    <row r="3351">
      <c r="A3351" s="4" t="s">
        <v>6662</v>
      </c>
      <c r="B3351" s="5" t="s">
        <v>6663</v>
      </c>
      <c r="C3351" s="6">
        <v>3000.0</v>
      </c>
      <c r="D3351" s="6">
        <v>3.4</v>
      </c>
      <c r="E3351" s="6">
        <v>5.0</v>
      </c>
    </row>
    <row r="3352">
      <c r="A3352" s="4" t="s">
        <v>1032</v>
      </c>
      <c r="B3352" s="5" t="s">
        <v>6664</v>
      </c>
      <c r="C3352" s="6">
        <v>3000.0</v>
      </c>
      <c r="D3352" s="6">
        <v>4.5</v>
      </c>
      <c r="E3352" s="6">
        <v>2.0</v>
      </c>
    </row>
    <row r="3353">
      <c r="A3353" s="4" t="s">
        <v>6665</v>
      </c>
      <c r="B3353" s="5" t="s">
        <v>6666</v>
      </c>
      <c r="C3353" s="6">
        <v>3000.0</v>
      </c>
      <c r="D3353" s="6">
        <v>1.913043478</v>
      </c>
      <c r="E3353" s="6">
        <v>23.0</v>
      </c>
    </row>
    <row r="3354">
      <c r="A3354" s="4" t="s">
        <v>6667</v>
      </c>
      <c r="B3354" s="12" t="s">
        <v>6668</v>
      </c>
      <c r="C3354" s="7">
        <v>3000.0</v>
      </c>
      <c r="D3354" s="6">
        <v>4.7</v>
      </c>
      <c r="E3354" s="6">
        <v>38.0</v>
      </c>
    </row>
    <row r="3355">
      <c r="A3355" s="4" t="s">
        <v>6669</v>
      </c>
      <c r="B3355" s="5" t="s">
        <v>6670</v>
      </c>
      <c r="C3355" s="6">
        <v>3000.0</v>
      </c>
      <c r="D3355" s="6">
        <v>3.833333333</v>
      </c>
      <c r="E3355" s="6">
        <v>6.0</v>
      </c>
    </row>
    <row r="3356">
      <c r="A3356" s="4" t="s">
        <v>6671</v>
      </c>
      <c r="B3356" s="5" t="s">
        <v>6672</v>
      </c>
      <c r="C3356" s="6">
        <v>3000.0</v>
      </c>
      <c r="D3356" s="6">
        <v>3.181818182</v>
      </c>
      <c r="E3356" s="6">
        <v>22.0</v>
      </c>
    </row>
    <row r="3357">
      <c r="A3357" s="4" t="s">
        <v>6673</v>
      </c>
      <c r="B3357" s="5" t="s">
        <v>6674</v>
      </c>
      <c r="C3357" s="6">
        <v>3000.0</v>
      </c>
      <c r="D3357" s="6">
        <v>5.0</v>
      </c>
      <c r="E3357" s="6">
        <v>3.0</v>
      </c>
    </row>
    <row r="3358">
      <c r="A3358" s="4" t="s">
        <v>6675</v>
      </c>
      <c r="B3358" s="5" t="s">
        <v>6676</v>
      </c>
      <c r="C3358" s="6">
        <v>3000.0</v>
      </c>
      <c r="D3358" s="6">
        <v>2.25</v>
      </c>
      <c r="E3358" s="6">
        <v>8.0</v>
      </c>
    </row>
    <row r="3359">
      <c r="A3359" s="4" t="s">
        <v>6677</v>
      </c>
      <c r="B3359" s="5" t="s">
        <v>6678</v>
      </c>
      <c r="C3359" s="6">
        <v>3000.0</v>
      </c>
      <c r="D3359" s="9"/>
      <c r="E3359" s="9"/>
    </row>
    <row r="3360">
      <c r="A3360" s="4" t="s">
        <v>6679</v>
      </c>
      <c r="B3360" s="5" t="s">
        <v>6680</v>
      </c>
      <c r="C3360" s="6">
        <v>3000.0</v>
      </c>
      <c r="D3360" s="6">
        <v>4.634408602</v>
      </c>
      <c r="E3360" s="6">
        <v>93.0</v>
      </c>
    </row>
    <row r="3361">
      <c r="A3361" s="4" t="s">
        <v>6681</v>
      </c>
      <c r="B3361" s="5" t="s">
        <v>6682</v>
      </c>
      <c r="C3361" s="6">
        <v>3000.0</v>
      </c>
      <c r="D3361" s="6">
        <v>4.904214559</v>
      </c>
      <c r="E3361" s="6">
        <v>261.0</v>
      </c>
    </row>
    <row r="3362">
      <c r="A3362" s="4" t="s">
        <v>6683</v>
      </c>
      <c r="B3362" s="5" t="s">
        <v>6684</v>
      </c>
      <c r="C3362" s="6">
        <v>3000.0</v>
      </c>
      <c r="D3362" s="6">
        <v>3.7</v>
      </c>
      <c r="E3362" s="6">
        <v>10.0</v>
      </c>
    </row>
    <row r="3363">
      <c r="A3363" s="4" t="s">
        <v>6685</v>
      </c>
      <c r="B3363" s="5" t="s">
        <v>6686</v>
      </c>
      <c r="C3363" s="6">
        <v>3000.0</v>
      </c>
      <c r="D3363" s="6">
        <v>3.35</v>
      </c>
      <c r="E3363" s="6">
        <v>20.0</v>
      </c>
    </row>
    <row r="3364">
      <c r="A3364" s="4" t="s">
        <v>6687</v>
      </c>
      <c r="B3364" s="5" t="s">
        <v>6688</v>
      </c>
      <c r="C3364" s="6">
        <v>3000.0</v>
      </c>
      <c r="D3364" s="6">
        <v>3.875</v>
      </c>
      <c r="E3364" s="6">
        <v>8.0</v>
      </c>
    </row>
    <row r="3365">
      <c r="A3365" s="4" t="s">
        <v>6689</v>
      </c>
      <c r="B3365" s="5" t="s">
        <v>6690</v>
      </c>
      <c r="C3365" s="6">
        <v>3000.0</v>
      </c>
      <c r="D3365" s="6">
        <v>3.857142857</v>
      </c>
      <c r="E3365" s="6">
        <v>7.0</v>
      </c>
    </row>
    <row r="3366">
      <c r="A3366" s="4" t="s">
        <v>6691</v>
      </c>
      <c r="B3366" s="5" t="s">
        <v>6692</v>
      </c>
      <c r="C3366" s="6">
        <v>3000.0</v>
      </c>
      <c r="D3366" s="6">
        <v>4.617647059</v>
      </c>
      <c r="E3366" s="6">
        <v>34.0</v>
      </c>
    </row>
    <row r="3367">
      <c r="A3367" s="4" t="s">
        <v>6693</v>
      </c>
      <c r="B3367" s="5" t="s">
        <v>6694</v>
      </c>
      <c r="C3367" s="6">
        <v>3000.0</v>
      </c>
      <c r="D3367" s="6">
        <v>3.838709677</v>
      </c>
      <c r="E3367" s="6">
        <v>62.0</v>
      </c>
    </row>
    <row r="3368">
      <c r="A3368" s="4" t="s">
        <v>6695</v>
      </c>
      <c r="B3368" s="5" t="s">
        <v>6696</v>
      </c>
      <c r="C3368" s="6">
        <v>3000.0</v>
      </c>
      <c r="D3368" s="6">
        <v>4.0</v>
      </c>
      <c r="E3368" s="6">
        <v>7.0</v>
      </c>
    </row>
    <row r="3369">
      <c r="A3369" s="4" t="s">
        <v>6697</v>
      </c>
      <c r="B3369" s="5" t="s">
        <v>6698</v>
      </c>
      <c r="C3369" s="6">
        <v>3000.0</v>
      </c>
      <c r="D3369" s="6">
        <v>5.0</v>
      </c>
      <c r="E3369" s="6">
        <v>1.0</v>
      </c>
    </row>
    <row r="3370">
      <c r="A3370" s="4" t="s">
        <v>6699</v>
      </c>
      <c r="B3370" s="5" t="s">
        <v>6700</v>
      </c>
      <c r="C3370" s="6">
        <v>3000.0</v>
      </c>
      <c r="D3370" s="6">
        <v>2.866666667</v>
      </c>
      <c r="E3370" s="6">
        <v>15.0</v>
      </c>
    </row>
    <row r="3371">
      <c r="A3371" s="4" t="s">
        <v>6701</v>
      </c>
      <c r="B3371" s="5" t="s">
        <v>6702</v>
      </c>
      <c r="C3371" s="6">
        <v>3000.0</v>
      </c>
      <c r="D3371" s="6">
        <v>3.25</v>
      </c>
      <c r="E3371" s="6">
        <v>24.0</v>
      </c>
    </row>
    <row r="3372">
      <c r="A3372" s="4" t="s">
        <v>6703</v>
      </c>
      <c r="B3372" s="5" t="s">
        <v>6704</v>
      </c>
      <c r="C3372" s="6">
        <v>3000.0</v>
      </c>
      <c r="D3372" s="6">
        <v>5.0</v>
      </c>
      <c r="E3372" s="6">
        <v>4.0</v>
      </c>
    </row>
    <row r="3373">
      <c r="A3373" s="4" t="s">
        <v>6705</v>
      </c>
      <c r="B3373" s="5" t="s">
        <v>6706</v>
      </c>
      <c r="C3373" s="6">
        <v>3000.0</v>
      </c>
      <c r="D3373" s="6">
        <v>1.8</v>
      </c>
      <c r="E3373" s="6">
        <v>5.0</v>
      </c>
    </row>
    <row r="3374">
      <c r="A3374" s="4" t="s">
        <v>6707</v>
      </c>
      <c r="B3374" s="5" t="s">
        <v>6708</v>
      </c>
      <c r="C3374" s="6">
        <v>3000.0</v>
      </c>
      <c r="D3374" s="6">
        <v>3.238095238</v>
      </c>
      <c r="E3374" s="6">
        <v>21.0</v>
      </c>
    </row>
    <row r="3375">
      <c r="A3375" s="4" t="s">
        <v>6709</v>
      </c>
      <c r="B3375" s="5" t="s">
        <v>6710</v>
      </c>
      <c r="C3375" s="6">
        <v>3000.0</v>
      </c>
      <c r="D3375" s="6">
        <v>3.882352941</v>
      </c>
      <c r="E3375" s="6">
        <v>17.0</v>
      </c>
    </row>
    <row r="3376">
      <c r="A3376" s="4" t="s">
        <v>227</v>
      </c>
      <c r="B3376" s="5" t="s">
        <v>6711</v>
      </c>
      <c r="C3376" s="6">
        <v>3000.0</v>
      </c>
      <c r="D3376" s="6">
        <v>4.303571429</v>
      </c>
      <c r="E3376" s="6">
        <v>56.0</v>
      </c>
    </row>
    <row r="3377">
      <c r="A3377" s="4" t="s">
        <v>6712</v>
      </c>
      <c r="B3377" s="5" t="s">
        <v>6713</v>
      </c>
      <c r="C3377" s="6">
        <v>3000.0</v>
      </c>
      <c r="D3377" s="6">
        <v>3.666666667</v>
      </c>
      <c r="E3377" s="6">
        <v>21.0</v>
      </c>
    </row>
    <row r="3378">
      <c r="A3378" s="4" t="s">
        <v>6714</v>
      </c>
      <c r="B3378" s="5" t="s">
        <v>6715</v>
      </c>
      <c r="C3378" s="6">
        <v>3000.0</v>
      </c>
      <c r="D3378" s="6">
        <v>3.909090909</v>
      </c>
      <c r="E3378" s="6">
        <v>11.0</v>
      </c>
    </row>
    <row r="3379">
      <c r="A3379" s="4" t="s">
        <v>6716</v>
      </c>
      <c r="B3379" s="5" t="s">
        <v>6717</v>
      </c>
      <c r="C3379" s="6">
        <v>3000.0</v>
      </c>
      <c r="D3379" s="6">
        <v>4.441176471</v>
      </c>
      <c r="E3379" s="6">
        <v>34.0</v>
      </c>
    </row>
    <row r="3380">
      <c r="A3380" s="4" t="s">
        <v>6718</v>
      </c>
      <c r="B3380" s="5" t="s">
        <v>6719</v>
      </c>
      <c r="C3380" s="6">
        <v>3000.0</v>
      </c>
      <c r="D3380" s="6">
        <v>1.785714286</v>
      </c>
      <c r="E3380" s="6">
        <v>14.0</v>
      </c>
    </row>
    <row r="3381">
      <c r="A3381" s="4" t="s">
        <v>6720</v>
      </c>
      <c r="B3381" s="5" t="s">
        <v>6721</v>
      </c>
      <c r="C3381" s="6">
        <v>3000.0</v>
      </c>
      <c r="D3381" s="6">
        <v>3.081632653</v>
      </c>
      <c r="E3381" s="6">
        <v>49.0</v>
      </c>
    </row>
    <row r="3382">
      <c r="A3382" s="4" t="s">
        <v>6722</v>
      </c>
      <c r="B3382" s="5" t="s">
        <v>6723</v>
      </c>
      <c r="C3382" s="6">
        <v>3000.0</v>
      </c>
      <c r="D3382" s="6">
        <v>2.0</v>
      </c>
      <c r="E3382" s="6">
        <v>11.0</v>
      </c>
    </row>
    <row r="3383">
      <c r="A3383" s="4" t="s">
        <v>6724</v>
      </c>
      <c r="B3383" s="5" t="s">
        <v>6725</v>
      </c>
      <c r="C3383" s="6">
        <v>3000.0</v>
      </c>
      <c r="D3383" s="6">
        <v>3.911764706</v>
      </c>
      <c r="E3383" s="6">
        <v>34.0</v>
      </c>
    </row>
    <row r="3384">
      <c r="A3384" s="4" t="s">
        <v>6726</v>
      </c>
      <c r="B3384" s="5" t="s">
        <v>6727</v>
      </c>
      <c r="C3384" s="6">
        <v>3000.0</v>
      </c>
      <c r="D3384" s="6">
        <v>2.428571429</v>
      </c>
      <c r="E3384" s="6">
        <v>21.0</v>
      </c>
    </row>
    <row r="3385">
      <c r="A3385" s="4" t="s">
        <v>6728</v>
      </c>
      <c r="B3385" s="5" t="s">
        <v>6729</v>
      </c>
      <c r="C3385" s="6">
        <v>3000.0</v>
      </c>
      <c r="D3385" s="6">
        <v>4.777777778</v>
      </c>
      <c r="E3385" s="6">
        <v>9.0</v>
      </c>
    </row>
    <row r="3386">
      <c r="A3386" s="4" t="s">
        <v>6730</v>
      </c>
      <c r="B3386" s="5" t="s">
        <v>6731</v>
      </c>
      <c r="C3386" s="6">
        <v>3000.0</v>
      </c>
      <c r="D3386" s="6">
        <v>1.485981308</v>
      </c>
      <c r="E3386" s="6">
        <v>107.0</v>
      </c>
    </row>
    <row r="3387">
      <c r="A3387" s="4" t="s">
        <v>6732</v>
      </c>
      <c r="B3387" s="5" t="s">
        <v>6733</v>
      </c>
      <c r="C3387" s="6">
        <v>3000.0</v>
      </c>
      <c r="D3387" s="6">
        <v>3.654320988</v>
      </c>
      <c r="E3387" s="6">
        <v>81.0</v>
      </c>
    </row>
    <row r="3388">
      <c r="A3388" s="4" t="s">
        <v>6734</v>
      </c>
      <c r="B3388" s="5" t="s">
        <v>6735</v>
      </c>
      <c r="C3388" s="6">
        <v>3000.0</v>
      </c>
      <c r="D3388" s="6">
        <v>3.647058824</v>
      </c>
      <c r="E3388" s="6">
        <v>17.0</v>
      </c>
    </row>
    <row r="3389">
      <c r="A3389" s="4" t="s">
        <v>6736</v>
      </c>
      <c r="B3389" s="5" t="s">
        <v>6737</v>
      </c>
      <c r="C3389" s="6">
        <v>3000.0</v>
      </c>
      <c r="D3389" s="6">
        <v>3.211538462</v>
      </c>
      <c r="E3389" s="6">
        <v>52.0</v>
      </c>
    </row>
    <row r="3390">
      <c r="A3390" s="4" t="s">
        <v>6738</v>
      </c>
      <c r="B3390" s="5" t="s">
        <v>6739</v>
      </c>
      <c r="C3390" s="6">
        <v>3000.0</v>
      </c>
      <c r="D3390" s="6">
        <v>4.24</v>
      </c>
      <c r="E3390" s="6">
        <v>25.0</v>
      </c>
    </row>
    <row r="3391">
      <c r="A3391" s="4" t="s">
        <v>6740</v>
      </c>
      <c r="B3391" s="5" t="s">
        <v>6741</v>
      </c>
      <c r="C3391" s="6">
        <v>3000.0</v>
      </c>
      <c r="D3391" s="6">
        <v>4.351851852</v>
      </c>
      <c r="E3391" s="6">
        <v>54.0</v>
      </c>
    </row>
    <row r="3392">
      <c r="A3392" s="4" t="s">
        <v>6742</v>
      </c>
      <c r="B3392" s="5" t="s">
        <v>6743</v>
      </c>
      <c r="C3392" s="6">
        <v>3000.0</v>
      </c>
      <c r="D3392" s="6">
        <v>4.5</v>
      </c>
      <c r="E3392" s="6">
        <v>2.0</v>
      </c>
    </row>
    <row r="3393">
      <c r="A3393" s="4" t="s">
        <v>6744</v>
      </c>
      <c r="B3393" s="5" t="s">
        <v>6745</v>
      </c>
      <c r="C3393" s="6">
        <v>3000.0</v>
      </c>
      <c r="D3393" s="6">
        <v>3.666666667</v>
      </c>
      <c r="E3393" s="6">
        <v>3.0</v>
      </c>
    </row>
    <row r="3394">
      <c r="A3394" s="4" t="s">
        <v>6746</v>
      </c>
      <c r="B3394" s="5" t="s">
        <v>6747</v>
      </c>
      <c r="C3394" s="6">
        <v>3000.0</v>
      </c>
      <c r="D3394" s="6">
        <v>4.503311258</v>
      </c>
      <c r="E3394" s="6">
        <v>151.0</v>
      </c>
    </row>
    <row r="3395">
      <c r="A3395" s="4" t="s">
        <v>6748</v>
      </c>
      <c r="B3395" s="5" t="s">
        <v>6749</v>
      </c>
      <c r="C3395" s="6">
        <v>3000.0</v>
      </c>
      <c r="D3395" s="6">
        <v>2.485714286</v>
      </c>
      <c r="E3395" s="6">
        <v>35.0</v>
      </c>
    </row>
    <row r="3396">
      <c r="A3396" s="4" t="s">
        <v>6750</v>
      </c>
      <c r="B3396" s="5" t="s">
        <v>6751</v>
      </c>
      <c r="C3396" s="6">
        <v>3000.0</v>
      </c>
      <c r="D3396" s="6">
        <v>2.384615385</v>
      </c>
      <c r="E3396" s="6">
        <v>13.0</v>
      </c>
    </row>
    <row r="3397">
      <c r="A3397" s="4" t="s">
        <v>6752</v>
      </c>
      <c r="B3397" s="5" t="s">
        <v>6753</v>
      </c>
      <c r="C3397" s="6">
        <v>3000.0</v>
      </c>
      <c r="D3397" s="6">
        <v>3.97826087</v>
      </c>
      <c r="E3397" s="6">
        <v>46.0</v>
      </c>
    </row>
    <row r="3398">
      <c r="A3398" s="4" t="s">
        <v>6754</v>
      </c>
      <c r="B3398" s="5" t="s">
        <v>6755</v>
      </c>
      <c r="C3398" s="6">
        <v>3000.0</v>
      </c>
      <c r="D3398" s="6">
        <v>2.547945205</v>
      </c>
      <c r="E3398" s="6">
        <v>73.0</v>
      </c>
    </row>
    <row r="3399">
      <c r="A3399" s="4" t="s">
        <v>6756</v>
      </c>
      <c r="B3399" s="5" t="s">
        <v>6757</v>
      </c>
      <c r="C3399" s="6">
        <v>3000.0</v>
      </c>
      <c r="D3399" s="6">
        <v>2.333333333</v>
      </c>
      <c r="E3399" s="6">
        <v>6.0</v>
      </c>
    </row>
    <row r="3400">
      <c r="A3400" s="4" t="s">
        <v>6758</v>
      </c>
      <c r="B3400" s="5" t="s">
        <v>6759</v>
      </c>
      <c r="C3400" s="6">
        <v>3000.0</v>
      </c>
      <c r="D3400" s="6">
        <v>3.769230769</v>
      </c>
      <c r="E3400" s="6">
        <v>13.0</v>
      </c>
    </row>
    <row r="3401">
      <c r="A3401" s="4" t="s">
        <v>6760</v>
      </c>
      <c r="B3401" s="5" t="s">
        <v>6761</v>
      </c>
      <c r="C3401" s="6">
        <v>3000.0</v>
      </c>
      <c r="D3401" s="6">
        <v>5.0</v>
      </c>
      <c r="E3401" s="6">
        <v>5.0</v>
      </c>
    </row>
    <row r="3402">
      <c r="A3402" s="4" t="s">
        <v>6762</v>
      </c>
      <c r="B3402" s="5" t="s">
        <v>6763</v>
      </c>
      <c r="C3402" s="6">
        <v>3000.0</v>
      </c>
      <c r="D3402" s="6">
        <v>4.041666667</v>
      </c>
      <c r="E3402" s="6">
        <v>24.0</v>
      </c>
    </row>
    <row r="3403">
      <c r="A3403" s="4" t="s">
        <v>6764</v>
      </c>
      <c r="B3403" s="5" t="s">
        <v>6765</v>
      </c>
      <c r="C3403" s="6">
        <v>3000.0</v>
      </c>
      <c r="D3403" s="6">
        <v>5.0</v>
      </c>
      <c r="E3403" s="6">
        <v>1.0</v>
      </c>
    </row>
    <row r="3404">
      <c r="A3404" s="4" t="s">
        <v>6766</v>
      </c>
      <c r="B3404" s="5" t="s">
        <v>6767</v>
      </c>
      <c r="C3404" s="6">
        <v>3000.0</v>
      </c>
      <c r="D3404" s="6">
        <v>4.863636364</v>
      </c>
      <c r="E3404" s="6">
        <v>22.0</v>
      </c>
    </row>
    <row r="3405">
      <c r="A3405" s="4" t="s">
        <v>6768</v>
      </c>
      <c r="B3405" s="5" t="s">
        <v>6769</v>
      </c>
      <c r="C3405" s="6">
        <v>3000.0</v>
      </c>
      <c r="D3405" s="6">
        <v>3.666666667</v>
      </c>
      <c r="E3405" s="6">
        <v>6.0</v>
      </c>
    </row>
    <row r="3406">
      <c r="A3406" s="4" t="s">
        <v>6770</v>
      </c>
      <c r="B3406" s="5" t="s">
        <v>6771</v>
      </c>
      <c r="C3406" s="6">
        <v>3000.0</v>
      </c>
      <c r="D3406" s="6">
        <v>3.071428571</v>
      </c>
      <c r="E3406" s="6">
        <v>28.0</v>
      </c>
    </row>
    <row r="3407">
      <c r="A3407" s="4" t="s">
        <v>6772</v>
      </c>
      <c r="B3407" s="5" t="s">
        <v>6773</v>
      </c>
      <c r="C3407" s="6">
        <v>3000.0</v>
      </c>
      <c r="D3407" s="6">
        <v>4.346153846</v>
      </c>
      <c r="E3407" s="6">
        <v>26.0</v>
      </c>
    </row>
    <row r="3408">
      <c r="A3408" s="4" t="s">
        <v>6774</v>
      </c>
      <c r="B3408" s="5" t="s">
        <v>6775</v>
      </c>
      <c r="C3408" s="6">
        <v>3000.0</v>
      </c>
      <c r="D3408" s="6">
        <v>4.722222222</v>
      </c>
      <c r="E3408" s="6">
        <v>18.0</v>
      </c>
    </row>
    <row r="3409">
      <c r="A3409" s="4" t="s">
        <v>6776</v>
      </c>
      <c r="B3409" s="5" t="s">
        <v>6777</v>
      </c>
      <c r="C3409" s="6">
        <v>3000.0</v>
      </c>
      <c r="D3409" s="6">
        <v>4.625</v>
      </c>
      <c r="E3409" s="6">
        <v>8.0</v>
      </c>
    </row>
    <row r="3410">
      <c r="A3410" s="4" t="s">
        <v>6778</v>
      </c>
      <c r="B3410" s="5" t="s">
        <v>6779</v>
      </c>
      <c r="C3410" s="6">
        <v>3000.0</v>
      </c>
      <c r="D3410" s="6">
        <v>4.0</v>
      </c>
      <c r="E3410" s="6">
        <v>9.0</v>
      </c>
    </row>
    <row r="3411">
      <c r="A3411" s="4" t="s">
        <v>6780</v>
      </c>
      <c r="B3411" s="5" t="s">
        <v>6781</v>
      </c>
      <c r="C3411" s="6">
        <v>3000.0</v>
      </c>
      <c r="D3411" s="6">
        <v>4.647058824</v>
      </c>
      <c r="E3411" s="6">
        <v>17.0</v>
      </c>
    </row>
    <row r="3412">
      <c r="A3412" s="4" t="s">
        <v>6782</v>
      </c>
      <c r="B3412" s="5" t="s">
        <v>6783</v>
      </c>
      <c r="C3412" s="6">
        <v>3000.0</v>
      </c>
      <c r="D3412" s="6">
        <v>3.486486486</v>
      </c>
      <c r="E3412" s="6">
        <v>37.0</v>
      </c>
    </row>
    <row r="3413">
      <c r="A3413" s="4" t="s">
        <v>6784</v>
      </c>
      <c r="B3413" s="5" t="s">
        <v>6785</v>
      </c>
      <c r="C3413" s="6">
        <v>3000.0</v>
      </c>
      <c r="D3413" s="6">
        <v>2.25</v>
      </c>
      <c r="E3413" s="6">
        <v>4.0</v>
      </c>
    </row>
    <row r="3414">
      <c r="A3414" s="4" t="s">
        <v>6786</v>
      </c>
      <c r="B3414" s="5" t="s">
        <v>6787</v>
      </c>
      <c r="C3414" s="6">
        <v>3000.0</v>
      </c>
      <c r="D3414" s="6">
        <v>4.692982456</v>
      </c>
      <c r="E3414" s="6">
        <v>228.0</v>
      </c>
    </row>
    <row r="3415">
      <c r="A3415" s="4" t="s">
        <v>6788</v>
      </c>
      <c r="B3415" s="5" t="s">
        <v>6789</v>
      </c>
      <c r="C3415" s="6">
        <v>3000.0</v>
      </c>
      <c r="D3415" s="6">
        <v>3.666666667</v>
      </c>
      <c r="E3415" s="6">
        <v>3.0</v>
      </c>
    </row>
    <row r="3416">
      <c r="A3416" s="4" t="s">
        <v>6790</v>
      </c>
      <c r="B3416" s="5" t="s">
        <v>6791</v>
      </c>
      <c r="C3416" s="6">
        <v>3000.0</v>
      </c>
      <c r="D3416" s="6">
        <v>4.628571429</v>
      </c>
      <c r="E3416" s="6">
        <v>35.0</v>
      </c>
    </row>
    <row r="3417">
      <c r="A3417" s="4" t="s">
        <v>6792</v>
      </c>
      <c r="B3417" s="5" t="s">
        <v>6793</v>
      </c>
      <c r="C3417" s="6">
        <v>3000.0</v>
      </c>
      <c r="D3417" s="6">
        <v>4.421052632</v>
      </c>
      <c r="E3417" s="6">
        <v>19.0</v>
      </c>
    </row>
    <row r="3418">
      <c r="A3418" s="4" t="s">
        <v>6794</v>
      </c>
      <c r="B3418" s="5" t="s">
        <v>6795</v>
      </c>
      <c r="C3418" s="6">
        <v>3000.0</v>
      </c>
      <c r="D3418" s="6">
        <v>2.260869565</v>
      </c>
      <c r="E3418" s="6">
        <v>46.0</v>
      </c>
    </row>
    <row r="3419">
      <c r="A3419" s="4" t="s">
        <v>6796</v>
      </c>
      <c r="B3419" s="5" t="s">
        <v>6797</v>
      </c>
      <c r="C3419" s="6">
        <v>3000.0</v>
      </c>
      <c r="D3419" s="6">
        <v>5.0</v>
      </c>
      <c r="E3419" s="6">
        <v>9.0</v>
      </c>
    </row>
    <row r="3420">
      <c r="A3420" s="4" t="s">
        <v>6798</v>
      </c>
      <c r="B3420" s="5" t="s">
        <v>6799</v>
      </c>
      <c r="C3420" s="6">
        <v>3000.0</v>
      </c>
      <c r="D3420" s="6">
        <v>3.666666667</v>
      </c>
      <c r="E3420" s="6">
        <v>12.0</v>
      </c>
    </row>
    <row r="3421">
      <c r="A3421" s="4" t="s">
        <v>6800</v>
      </c>
      <c r="B3421" s="5" t="s">
        <v>6801</v>
      </c>
      <c r="C3421" s="6">
        <v>3000.0</v>
      </c>
      <c r="D3421" s="6">
        <v>4.181818182</v>
      </c>
      <c r="E3421" s="6">
        <v>11.0</v>
      </c>
    </row>
    <row r="3422">
      <c r="A3422" s="4" t="s">
        <v>6802</v>
      </c>
      <c r="B3422" s="5" t="s">
        <v>6803</v>
      </c>
      <c r="C3422" s="6">
        <v>3000.0</v>
      </c>
      <c r="D3422" s="6">
        <v>4.537383178</v>
      </c>
      <c r="E3422" s="6">
        <v>214.0</v>
      </c>
    </row>
    <row r="3423">
      <c r="A3423" s="4" t="s">
        <v>6804</v>
      </c>
      <c r="B3423" s="5" t="s">
        <v>6805</v>
      </c>
      <c r="C3423" s="6">
        <v>3000.0</v>
      </c>
      <c r="D3423" s="6">
        <v>4.8</v>
      </c>
      <c r="E3423" s="6">
        <v>5.0</v>
      </c>
    </row>
    <row r="3424">
      <c r="A3424" s="4" t="s">
        <v>6806</v>
      </c>
      <c r="B3424" s="5" t="s">
        <v>6807</v>
      </c>
      <c r="C3424" s="6">
        <v>3000.0</v>
      </c>
      <c r="D3424" s="6">
        <v>4.512820513</v>
      </c>
      <c r="E3424" s="6">
        <v>39.0</v>
      </c>
    </row>
    <row r="3425">
      <c r="A3425" s="4" t="s">
        <v>6808</v>
      </c>
      <c r="B3425" s="5" t="s">
        <v>6809</v>
      </c>
      <c r="C3425" s="6">
        <v>3000.0</v>
      </c>
      <c r="D3425" s="6">
        <v>4.066666667</v>
      </c>
      <c r="E3425" s="6">
        <v>15.0</v>
      </c>
    </row>
    <row r="3426">
      <c r="A3426" s="4" t="s">
        <v>6810</v>
      </c>
      <c r="B3426" s="5" t="s">
        <v>6811</v>
      </c>
      <c r="C3426" s="6">
        <v>3000.0</v>
      </c>
      <c r="D3426" s="6">
        <v>3.576923077</v>
      </c>
      <c r="E3426" s="6">
        <v>26.0</v>
      </c>
    </row>
    <row r="3427">
      <c r="A3427" s="4" t="s">
        <v>6812</v>
      </c>
      <c r="B3427" s="5" t="s">
        <v>6813</v>
      </c>
      <c r="C3427" s="6">
        <v>3000.0</v>
      </c>
      <c r="D3427" s="6">
        <v>3.7</v>
      </c>
      <c r="E3427" s="6">
        <v>10.0</v>
      </c>
    </row>
    <row r="3428">
      <c r="A3428" s="4" t="s">
        <v>6814</v>
      </c>
      <c r="B3428" s="5" t="s">
        <v>6815</v>
      </c>
      <c r="C3428" s="6">
        <v>3000.0</v>
      </c>
      <c r="D3428" s="6">
        <v>4.470588235</v>
      </c>
      <c r="E3428" s="6">
        <v>34.0</v>
      </c>
    </row>
    <row r="3429">
      <c r="A3429" s="4" t="s">
        <v>6816</v>
      </c>
      <c r="B3429" s="5" t="s">
        <v>6817</v>
      </c>
      <c r="C3429" s="6">
        <v>3000.0</v>
      </c>
      <c r="D3429" s="6">
        <v>4.163265306</v>
      </c>
      <c r="E3429" s="6">
        <v>49.0</v>
      </c>
    </row>
    <row r="3430">
      <c r="A3430" s="4" t="s">
        <v>6818</v>
      </c>
      <c r="B3430" s="5" t="s">
        <v>6819</v>
      </c>
      <c r="C3430" s="6">
        <v>3000.0</v>
      </c>
      <c r="D3430" s="6">
        <v>2.7</v>
      </c>
      <c r="E3430" s="6">
        <v>20.0</v>
      </c>
    </row>
    <row r="3431">
      <c r="A3431" s="4" t="s">
        <v>6820</v>
      </c>
      <c r="B3431" s="5" t="s">
        <v>6821</v>
      </c>
      <c r="C3431" s="6">
        <v>3000.0</v>
      </c>
      <c r="D3431" s="6">
        <v>3.716763006</v>
      </c>
      <c r="E3431" s="6">
        <v>173.0</v>
      </c>
    </row>
    <row r="3432">
      <c r="A3432" s="4" t="s">
        <v>6822</v>
      </c>
      <c r="B3432" s="5" t="s">
        <v>6823</v>
      </c>
      <c r="C3432" s="6">
        <v>3000.0</v>
      </c>
      <c r="D3432" s="6">
        <v>4.363636364</v>
      </c>
      <c r="E3432" s="6">
        <v>11.0</v>
      </c>
    </row>
    <row r="3433">
      <c r="A3433" s="4" t="s">
        <v>6824</v>
      </c>
      <c r="B3433" s="5" t="s">
        <v>6825</v>
      </c>
      <c r="C3433" s="6">
        <v>3000.0</v>
      </c>
      <c r="D3433" s="6">
        <v>3.75</v>
      </c>
      <c r="E3433" s="6">
        <v>8.0</v>
      </c>
    </row>
    <row r="3434">
      <c r="A3434" s="4" t="s">
        <v>6826</v>
      </c>
      <c r="B3434" s="5" t="s">
        <v>6827</v>
      </c>
      <c r="C3434" s="6">
        <v>3000.0</v>
      </c>
      <c r="D3434" s="6">
        <v>4.652173913</v>
      </c>
      <c r="E3434" s="6">
        <v>23.0</v>
      </c>
    </row>
    <row r="3435">
      <c r="A3435" s="4" t="s">
        <v>6828</v>
      </c>
      <c r="B3435" s="5" t="s">
        <v>6829</v>
      </c>
      <c r="C3435" s="6">
        <v>3000.0</v>
      </c>
      <c r="D3435" s="6">
        <v>3.217391304</v>
      </c>
      <c r="E3435" s="6">
        <v>23.0</v>
      </c>
    </row>
    <row r="3436">
      <c r="A3436" s="4" t="s">
        <v>6830</v>
      </c>
      <c r="B3436" s="5" t="s">
        <v>6831</v>
      </c>
      <c r="C3436" s="6">
        <v>3000.0</v>
      </c>
      <c r="D3436" s="6">
        <v>4.0</v>
      </c>
      <c r="E3436" s="6">
        <v>3.0</v>
      </c>
    </row>
    <row r="3437">
      <c r="A3437" s="4" t="s">
        <v>6832</v>
      </c>
      <c r="B3437" s="5" t="s">
        <v>6833</v>
      </c>
      <c r="C3437" s="6">
        <v>3000.0</v>
      </c>
      <c r="D3437" s="6">
        <v>4.714285714</v>
      </c>
      <c r="E3437" s="6">
        <v>14.0</v>
      </c>
    </row>
    <row r="3438">
      <c r="A3438" s="4" t="s">
        <v>6834</v>
      </c>
      <c r="B3438" s="5" t="s">
        <v>6835</v>
      </c>
      <c r="C3438" s="6">
        <v>3000.0</v>
      </c>
      <c r="D3438" s="6">
        <v>4.0</v>
      </c>
      <c r="E3438" s="6">
        <v>39.0</v>
      </c>
    </row>
    <row r="3439">
      <c r="A3439" s="4" t="s">
        <v>6836</v>
      </c>
      <c r="B3439" s="5" t="s">
        <v>6837</v>
      </c>
      <c r="C3439" s="6">
        <v>3000.0</v>
      </c>
      <c r="D3439" s="6">
        <v>4.424242424</v>
      </c>
      <c r="E3439" s="6">
        <v>33.0</v>
      </c>
    </row>
    <row r="3440">
      <c r="A3440" s="4" t="s">
        <v>6838</v>
      </c>
      <c r="B3440" s="5" t="s">
        <v>6839</v>
      </c>
      <c r="C3440" s="6">
        <v>3000.0</v>
      </c>
      <c r="D3440" s="6">
        <v>2.894736842</v>
      </c>
      <c r="E3440" s="6">
        <v>19.0</v>
      </c>
    </row>
    <row r="3441">
      <c r="A3441" s="4" t="s">
        <v>6840</v>
      </c>
      <c r="B3441" s="5" t="s">
        <v>6841</v>
      </c>
      <c r="C3441" s="6">
        <v>3000.0</v>
      </c>
      <c r="D3441" s="6">
        <v>3.125</v>
      </c>
      <c r="E3441" s="6">
        <v>16.0</v>
      </c>
    </row>
    <row r="3442">
      <c r="A3442" s="4" t="s">
        <v>6842</v>
      </c>
      <c r="B3442" s="5" t="s">
        <v>6843</v>
      </c>
      <c r="C3442" s="6">
        <v>3000.0</v>
      </c>
      <c r="D3442" s="6">
        <v>3.866666667</v>
      </c>
      <c r="E3442" s="6">
        <v>15.0</v>
      </c>
    </row>
    <row r="3443">
      <c r="A3443" s="4" t="s">
        <v>6844</v>
      </c>
      <c r="B3443" s="5" t="s">
        <v>6845</v>
      </c>
      <c r="C3443" s="6">
        <v>3000.0</v>
      </c>
      <c r="D3443" s="6">
        <v>4.6875</v>
      </c>
      <c r="E3443" s="6">
        <v>48.0</v>
      </c>
    </row>
    <row r="3444">
      <c r="A3444" s="4" t="s">
        <v>6846</v>
      </c>
      <c r="B3444" s="5" t="s">
        <v>6847</v>
      </c>
      <c r="C3444" s="6">
        <v>3000.0</v>
      </c>
      <c r="D3444" s="6">
        <v>2.714285714</v>
      </c>
      <c r="E3444" s="6">
        <v>14.0</v>
      </c>
    </row>
    <row r="3445">
      <c r="A3445" s="4" t="s">
        <v>6848</v>
      </c>
      <c r="B3445" s="5" t="s">
        <v>6849</v>
      </c>
      <c r="C3445" s="6">
        <v>3000.0</v>
      </c>
      <c r="D3445" s="6">
        <v>4.885714286</v>
      </c>
      <c r="E3445" s="6">
        <v>70.0</v>
      </c>
    </row>
    <row r="3446">
      <c r="A3446" s="4" t="s">
        <v>6850</v>
      </c>
      <c r="B3446" s="5" t="s">
        <v>6851</v>
      </c>
      <c r="C3446" s="6">
        <v>3000.0</v>
      </c>
      <c r="D3446" s="6">
        <v>4.428571429</v>
      </c>
      <c r="E3446" s="6">
        <v>7.0</v>
      </c>
    </row>
    <row r="3447">
      <c r="A3447" s="4" t="s">
        <v>6852</v>
      </c>
      <c r="B3447" s="5" t="s">
        <v>6853</v>
      </c>
      <c r="C3447" s="6">
        <v>3000.0</v>
      </c>
      <c r="D3447" s="9"/>
      <c r="E3447" s="9"/>
    </row>
    <row r="3448">
      <c r="A3448" s="4" t="s">
        <v>6854</v>
      </c>
      <c r="B3448" s="5" t="s">
        <v>6855</v>
      </c>
      <c r="C3448" s="6">
        <v>3000.0</v>
      </c>
      <c r="D3448" s="6">
        <v>3.714285714</v>
      </c>
      <c r="E3448" s="6">
        <v>63.0</v>
      </c>
    </row>
    <row r="3449">
      <c r="A3449" s="4" t="s">
        <v>6856</v>
      </c>
      <c r="B3449" s="5" t="s">
        <v>6857</v>
      </c>
      <c r="C3449" s="6">
        <v>3000.0</v>
      </c>
      <c r="D3449" s="6">
        <v>3.849315068</v>
      </c>
      <c r="E3449" s="6">
        <v>73.0</v>
      </c>
    </row>
    <row r="3450">
      <c r="A3450" s="4" t="s">
        <v>6858</v>
      </c>
      <c r="B3450" s="5" t="s">
        <v>6859</v>
      </c>
      <c r="C3450" s="6">
        <v>3000.0</v>
      </c>
      <c r="D3450" s="6">
        <v>4.323024055</v>
      </c>
      <c r="E3450" s="6">
        <v>291.0</v>
      </c>
    </row>
    <row r="3451">
      <c r="A3451" s="4" t="s">
        <v>6860</v>
      </c>
      <c r="B3451" s="5" t="s">
        <v>6861</v>
      </c>
      <c r="C3451" s="6">
        <v>3000.0</v>
      </c>
      <c r="D3451" s="6">
        <v>5.0</v>
      </c>
      <c r="E3451" s="6">
        <v>11.0</v>
      </c>
    </row>
    <row r="3452">
      <c r="A3452" s="4" t="s">
        <v>6862</v>
      </c>
      <c r="B3452" s="5" t="s">
        <v>6863</v>
      </c>
      <c r="C3452" s="6">
        <v>3000.0</v>
      </c>
      <c r="D3452" s="6">
        <v>4.352941176</v>
      </c>
      <c r="E3452" s="6">
        <v>17.0</v>
      </c>
    </row>
    <row r="3453">
      <c r="A3453" s="4" t="s">
        <v>6864</v>
      </c>
      <c r="B3453" s="5" t="s">
        <v>6865</v>
      </c>
      <c r="C3453" s="6">
        <v>3000.0</v>
      </c>
      <c r="D3453" s="6">
        <v>4.08045977</v>
      </c>
      <c r="E3453" s="6">
        <v>87.0</v>
      </c>
    </row>
    <row r="3454">
      <c r="A3454" s="4" t="s">
        <v>6866</v>
      </c>
      <c r="B3454" s="5" t="s">
        <v>6867</v>
      </c>
      <c r="C3454" s="6">
        <v>3000.0</v>
      </c>
      <c r="D3454" s="9"/>
      <c r="E3454" s="9"/>
    </row>
    <row r="3455">
      <c r="A3455" s="4" t="s">
        <v>6868</v>
      </c>
      <c r="B3455" s="5" t="s">
        <v>6869</v>
      </c>
      <c r="C3455" s="6">
        <v>3000.0</v>
      </c>
      <c r="D3455" s="6">
        <v>4.264705882</v>
      </c>
      <c r="E3455" s="6">
        <v>34.0</v>
      </c>
    </row>
    <row r="3456">
      <c r="A3456" s="4" t="s">
        <v>6870</v>
      </c>
      <c r="B3456" s="5" t="s">
        <v>6871</v>
      </c>
      <c r="C3456" s="6">
        <v>3000.0</v>
      </c>
      <c r="D3456" s="6">
        <v>2.666666667</v>
      </c>
      <c r="E3456" s="6">
        <v>45.0</v>
      </c>
    </row>
    <row r="3457">
      <c r="A3457" s="4" t="s">
        <v>6872</v>
      </c>
      <c r="B3457" s="5" t="s">
        <v>6873</v>
      </c>
      <c r="C3457" s="6">
        <v>3000.0</v>
      </c>
      <c r="D3457" s="6">
        <v>2.304347826</v>
      </c>
      <c r="E3457" s="6">
        <v>46.0</v>
      </c>
    </row>
    <row r="3458">
      <c r="A3458" s="4" t="s">
        <v>6874</v>
      </c>
      <c r="B3458" s="5" t="s">
        <v>6875</v>
      </c>
      <c r="C3458" s="6">
        <v>3000.0</v>
      </c>
      <c r="D3458" s="6">
        <v>3.833333333</v>
      </c>
      <c r="E3458" s="6">
        <v>96.0</v>
      </c>
    </row>
    <row r="3459">
      <c r="A3459" s="4" t="s">
        <v>6876</v>
      </c>
      <c r="B3459" s="5" t="s">
        <v>6877</v>
      </c>
      <c r="C3459" s="6">
        <v>3000.0</v>
      </c>
      <c r="D3459" s="6">
        <v>4.217391304</v>
      </c>
      <c r="E3459" s="6">
        <v>23.0</v>
      </c>
    </row>
    <row r="3460">
      <c r="A3460" s="4" t="s">
        <v>6878</v>
      </c>
      <c r="B3460" s="5" t="s">
        <v>6879</v>
      </c>
      <c r="C3460" s="6">
        <v>3000.0</v>
      </c>
      <c r="D3460" s="6">
        <v>4.636363636</v>
      </c>
      <c r="E3460" s="6">
        <v>143.0</v>
      </c>
    </row>
    <row r="3461">
      <c r="A3461" s="4" t="s">
        <v>6880</v>
      </c>
      <c r="B3461" s="5" t="s">
        <v>6881</v>
      </c>
      <c r="C3461" s="6">
        <v>3000.0</v>
      </c>
      <c r="D3461" s="6">
        <v>1.857142857</v>
      </c>
      <c r="E3461" s="6">
        <v>7.0</v>
      </c>
    </row>
    <row r="3462">
      <c r="A3462" s="4" t="s">
        <v>6882</v>
      </c>
      <c r="B3462" s="5" t="s">
        <v>6883</v>
      </c>
      <c r="C3462" s="6">
        <v>3000.0</v>
      </c>
      <c r="D3462" s="6">
        <v>4.3</v>
      </c>
      <c r="E3462" s="6">
        <v>60.0</v>
      </c>
    </row>
    <row r="3463">
      <c r="A3463" s="4" t="s">
        <v>6884</v>
      </c>
      <c r="B3463" s="5" t="s">
        <v>6885</v>
      </c>
      <c r="C3463" s="6">
        <v>3000.0</v>
      </c>
      <c r="D3463" s="6">
        <v>3.708333333</v>
      </c>
      <c r="E3463" s="6">
        <v>24.0</v>
      </c>
    </row>
    <row r="3464">
      <c r="A3464" s="4" t="s">
        <v>6886</v>
      </c>
      <c r="B3464" s="5" t="s">
        <v>6887</v>
      </c>
      <c r="C3464" s="6">
        <v>3000.0</v>
      </c>
      <c r="D3464" s="6">
        <v>4.622516556</v>
      </c>
      <c r="E3464" s="6">
        <v>151.0</v>
      </c>
    </row>
    <row r="3465">
      <c r="A3465" s="4" t="s">
        <v>6888</v>
      </c>
      <c r="B3465" s="5" t="s">
        <v>6889</v>
      </c>
      <c r="C3465" s="6">
        <v>3000.0</v>
      </c>
      <c r="D3465" s="6">
        <v>4.5</v>
      </c>
      <c r="E3465" s="6">
        <v>2.0</v>
      </c>
    </row>
    <row r="3466">
      <c r="A3466" s="4" t="s">
        <v>6890</v>
      </c>
      <c r="B3466" s="5" t="s">
        <v>6891</v>
      </c>
      <c r="C3466" s="6">
        <v>3000.0</v>
      </c>
      <c r="D3466" s="6">
        <v>5.0</v>
      </c>
      <c r="E3466" s="6">
        <v>11.0</v>
      </c>
    </row>
    <row r="3467">
      <c r="A3467" s="4" t="s">
        <v>6892</v>
      </c>
      <c r="B3467" s="5" t="s">
        <v>6893</v>
      </c>
      <c r="C3467" s="6">
        <v>3000.0</v>
      </c>
      <c r="D3467" s="6">
        <v>3.4</v>
      </c>
      <c r="E3467" s="6">
        <v>5.0</v>
      </c>
    </row>
    <row r="3468">
      <c r="A3468" s="4" t="s">
        <v>1183</v>
      </c>
      <c r="B3468" s="5" t="s">
        <v>6894</v>
      </c>
      <c r="C3468" s="6">
        <v>3000.0</v>
      </c>
      <c r="D3468" s="6">
        <v>5.0</v>
      </c>
      <c r="E3468" s="6">
        <v>11.0</v>
      </c>
    </row>
    <row r="3469">
      <c r="A3469" s="4" t="s">
        <v>6895</v>
      </c>
      <c r="B3469" s="5" t="s">
        <v>6896</v>
      </c>
      <c r="C3469" s="6">
        <v>3000.0</v>
      </c>
      <c r="D3469" s="6">
        <v>2.285714286</v>
      </c>
      <c r="E3469" s="6">
        <v>14.0</v>
      </c>
    </row>
    <row r="3470">
      <c r="A3470" s="4" t="s">
        <v>6897</v>
      </c>
      <c r="B3470" s="5" t="s">
        <v>6898</v>
      </c>
      <c r="C3470" s="6">
        <v>3000.0</v>
      </c>
      <c r="D3470" s="6">
        <v>4.552631579</v>
      </c>
      <c r="E3470" s="6">
        <v>38.0</v>
      </c>
    </row>
    <row r="3471">
      <c r="A3471" s="4" t="s">
        <v>6899</v>
      </c>
      <c r="B3471" s="5" t="s">
        <v>6900</v>
      </c>
      <c r="C3471" s="6">
        <v>3000.0</v>
      </c>
      <c r="D3471" s="6">
        <v>4.943820225</v>
      </c>
      <c r="E3471" s="6">
        <v>89.0</v>
      </c>
    </row>
    <row r="3472">
      <c r="A3472" s="4" t="s">
        <v>6901</v>
      </c>
      <c r="B3472" s="5" t="s">
        <v>6902</v>
      </c>
      <c r="C3472" s="6">
        <v>3000.0</v>
      </c>
      <c r="D3472" s="6">
        <v>4.529411765</v>
      </c>
      <c r="E3472" s="6">
        <v>17.0</v>
      </c>
    </row>
    <row r="3473">
      <c r="A3473" s="4" t="s">
        <v>6903</v>
      </c>
      <c r="B3473" s="5" t="s">
        <v>6904</v>
      </c>
      <c r="C3473" s="6">
        <v>3000.0</v>
      </c>
      <c r="D3473" s="6">
        <v>3.156626506</v>
      </c>
      <c r="E3473" s="6">
        <v>83.0</v>
      </c>
    </row>
    <row r="3474">
      <c r="A3474" s="4" t="s">
        <v>6905</v>
      </c>
      <c r="B3474" s="5" t="s">
        <v>6906</v>
      </c>
      <c r="C3474" s="6">
        <v>3000.0</v>
      </c>
      <c r="D3474" s="6">
        <v>3.0</v>
      </c>
      <c r="E3474" s="6">
        <v>8.0</v>
      </c>
    </row>
    <row r="3475">
      <c r="A3475" s="4" t="s">
        <v>6907</v>
      </c>
      <c r="B3475" s="5" t="s">
        <v>6908</v>
      </c>
      <c r="C3475" s="6">
        <v>3000.0</v>
      </c>
      <c r="D3475" s="6">
        <v>3.806451613</v>
      </c>
      <c r="E3475" s="6">
        <v>31.0</v>
      </c>
    </row>
    <row r="3476">
      <c r="A3476" s="4" t="s">
        <v>6909</v>
      </c>
      <c r="B3476" s="5" t="s">
        <v>6910</v>
      </c>
      <c r="C3476" s="6">
        <v>3000.0</v>
      </c>
      <c r="D3476" s="9"/>
      <c r="E3476" s="9"/>
    </row>
    <row r="3477">
      <c r="A3477" s="4" t="s">
        <v>6911</v>
      </c>
      <c r="B3477" s="5" t="s">
        <v>6912</v>
      </c>
      <c r="C3477" s="6">
        <v>3000.0</v>
      </c>
      <c r="D3477" s="6">
        <v>1.833333333</v>
      </c>
      <c r="E3477" s="6">
        <v>6.0</v>
      </c>
    </row>
    <row r="3478">
      <c r="A3478" s="4" t="s">
        <v>6913</v>
      </c>
      <c r="B3478" s="5" t="s">
        <v>6914</v>
      </c>
      <c r="C3478" s="6">
        <v>3000.0</v>
      </c>
      <c r="D3478" s="6">
        <v>5.0</v>
      </c>
      <c r="E3478" s="6">
        <v>8.0</v>
      </c>
    </row>
    <row r="3479">
      <c r="A3479" s="4" t="s">
        <v>6915</v>
      </c>
      <c r="B3479" s="5" t="s">
        <v>6916</v>
      </c>
      <c r="C3479" s="6">
        <v>3000.0</v>
      </c>
      <c r="D3479" s="6">
        <v>4.6</v>
      </c>
      <c r="E3479" s="6">
        <v>5.0</v>
      </c>
    </row>
    <row r="3480">
      <c r="A3480" s="4" t="s">
        <v>6917</v>
      </c>
      <c r="B3480" s="5" t="s">
        <v>6918</v>
      </c>
      <c r="C3480" s="6">
        <v>3000.0</v>
      </c>
      <c r="D3480" s="6">
        <v>4.553846154</v>
      </c>
      <c r="E3480" s="6">
        <v>65.0</v>
      </c>
    </row>
    <row r="3481">
      <c r="A3481" s="4" t="s">
        <v>6919</v>
      </c>
      <c r="B3481" s="5" t="s">
        <v>6920</v>
      </c>
      <c r="C3481" s="6">
        <v>3000.0</v>
      </c>
      <c r="D3481" s="6">
        <v>4.6</v>
      </c>
      <c r="E3481" s="6">
        <v>5.0</v>
      </c>
    </row>
    <row r="3482">
      <c r="A3482" s="4" t="s">
        <v>6921</v>
      </c>
      <c r="B3482" s="5" t="s">
        <v>6922</v>
      </c>
      <c r="C3482" s="6">
        <v>3000.0</v>
      </c>
      <c r="D3482" s="6">
        <v>4.333333333</v>
      </c>
      <c r="E3482" s="6">
        <v>45.0</v>
      </c>
    </row>
    <row r="3483">
      <c r="A3483" s="4" t="s">
        <v>6923</v>
      </c>
      <c r="B3483" s="5" t="s">
        <v>6924</v>
      </c>
      <c r="C3483" s="6">
        <v>3000.0</v>
      </c>
      <c r="D3483" s="6">
        <v>3.421052632</v>
      </c>
      <c r="E3483" s="6">
        <v>19.0</v>
      </c>
    </row>
    <row r="3484">
      <c r="A3484" s="4" t="s">
        <v>6925</v>
      </c>
      <c r="B3484" s="5" t="s">
        <v>6926</v>
      </c>
      <c r="C3484" s="6">
        <v>3000.0</v>
      </c>
      <c r="D3484" s="6">
        <v>4.545454545</v>
      </c>
      <c r="E3484" s="6">
        <v>22.0</v>
      </c>
    </row>
    <row r="3485">
      <c r="A3485" s="4" t="s">
        <v>6927</v>
      </c>
      <c r="B3485" s="5" t="s">
        <v>6928</v>
      </c>
      <c r="C3485" s="6">
        <v>3000.0</v>
      </c>
      <c r="D3485" s="6">
        <v>2.8</v>
      </c>
      <c r="E3485" s="6">
        <v>5.0</v>
      </c>
    </row>
    <row r="3486">
      <c r="A3486" s="4" t="s">
        <v>6929</v>
      </c>
      <c r="B3486" s="5" t="s">
        <v>6930</v>
      </c>
      <c r="C3486" s="6">
        <v>3000.0</v>
      </c>
      <c r="D3486" s="6">
        <v>2.733333333</v>
      </c>
      <c r="E3486" s="6">
        <v>30.0</v>
      </c>
    </row>
    <row r="3487">
      <c r="A3487" s="4" t="s">
        <v>6931</v>
      </c>
      <c r="B3487" s="5" t="s">
        <v>6932</v>
      </c>
      <c r="C3487" s="6">
        <v>3000.0</v>
      </c>
      <c r="D3487" s="6">
        <v>4.25</v>
      </c>
      <c r="E3487" s="6">
        <v>4.0</v>
      </c>
    </row>
    <row r="3488">
      <c r="A3488" s="4" t="s">
        <v>6933</v>
      </c>
      <c r="B3488" s="5" t="s">
        <v>6934</v>
      </c>
      <c r="C3488" s="6">
        <v>3000.0</v>
      </c>
      <c r="D3488" s="6">
        <v>4.888888889</v>
      </c>
      <c r="E3488" s="6">
        <v>9.0</v>
      </c>
    </row>
    <row r="3489">
      <c r="A3489" s="4" t="s">
        <v>6935</v>
      </c>
      <c r="B3489" s="5" t="s">
        <v>6936</v>
      </c>
      <c r="C3489" s="6">
        <v>3000.0</v>
      </c>
      <c r="D3489" s="6">
        <v>3.0</v>
      </c>
      <c r="E3489" s="6">
        <v>4.0</v>
      </c>
    </row>
    <row r="3490">
      <c r="A3490" s="4" t="s">
        <v>6937</v>
      </c>
      <c r="B3490" s="5" t="s">
        <v>6938</v>
      </c>
      <c r="C3490" s="6">
        <v>3000.0</v>
      </c>
      <c r="D3490" s="6">
        <v>2.555555556</v>
      </c>
      <c r="E3490" s="6">
        <v>9.0</v>
      </c>
    </row>
    <row r="3491">
      <c r="A3491" s="4" t="s">
        <v>6939</v>
      </c>
      <c r="B3491" s="5" t="s">
        <v>6940</v>
      </c>
      <c r="C3491" s="6">
        <v>3000.0</v>
      </c>
      <c r="D3491" s="6">
        <v>4.9</v>
      </c>
      <c r="E3491" s="6">
        <v>10.0</v>
      </c>
    </row>
    <row r="3492">
      <c r="A3492" s="4" t="s">
        <v>6941</v>
      </c>
      <c r="B3492" s="5" t="s">
        <v>6942</v>
      </c>
      <c r="C3492" s="6">
        <v>3000.0</v>
      </c>
      <c r="D3492" s="6">
        <v>3.87037037</v>
      </c>
      <c r="E3492" s="6">
        <v>54.0</v>
      </c>
    </row>
    <row r="3493">
      <c r="A3493" s="4" t="s">
        <v>6943</v>
      </c>
      <c r="B3493" s="5" t="s">
        <v>6944</v>
      </c>
      <c r="C3493" s="6">
        <v>3000.0</v>
      </c>
      <c r="D3493" s="6">
        <v>4.833333333</v>
      </c>
      <c r="E3493" s="6">
        <v>6.0</v>
      </c>
    </row>
    <row r="3494">
      <c r="A3494" s="4" t="s">
        <v>6945</v>
      </c>
      <c r="B3494" s="5" t="s">
        <v>6946</v>
      </c>
      <c r="C3494" s="6">
        <v>3000.0</v>
      </c>
      <c r="D3494" s="6">
        <v>4.852739726</v>
      </c>
      <c r="E3494" s="6">
        <v>292.0</v>
      </c>
    </row>
    <row r="3495">
      <c r="A3495" s="4" t="s">
        <v>6947</v>
      </c>
      <c r="B3495" s="5" t="s">
        <v>6948</v>
      </c>
      <c r="C3495" s="6">
        <v>3000.0</v>
      </c>
      <c r="D3495" s="6">
        <v>2.735294118</v>
      </c>
      <c r="E3495" s="6">
        <v>34.0</v>
      </c>
    </row>
    <row r="3496">
      <c r="A3496" s="4" t="s">
        <v>6949</v>
      </c>
      <c r="B3496" s="5" t="s">
        <v>6950</v>
      </c>
      <c r="C3496" s="6">
        <v>3000.0</v>
      </c>
      <c r="D3496" s="6">
        <v>4.857142857</v>
      </c>
      <c r="E3496" s="6">
        <v>21.0</v>
      </c>
    </row>
    <row r="3497">
      <c r="A3497" s="4" t="s">
        <v>6951</v>
      </c>
      <c r="B3497" s="5" t="s">
        <v>6952</v>
      </c>
      <c r="C3497" s="6">
        <v>3000.0</v>
      </c>
      <c r="D3497" s="6">
        <v>3.962025316</v>
      </c>
      <c r="E3497" s="6">
        <v>79.0</v>
      </c>
    </row>
    <row r="3498">
      <c r="A3498" s="4" t="s">
        <v>6953</v>
      </c>
      <c r="B3498" s="5" t="s">
        <v>6954</v>
      </c>
      <c r="C3498" s="6">
        <v>3000.0</v>
      </c>
      <c r="D3498" s="6">
        <v>5.0</v>
      </c>
      <c r="E3498" s="6">
        <v>7.0</v>
      </c>
    </row>
    <row r="3499">
      <c r="A3499" s="4" t="s">
        <v>6955</v>
      </c>
      <c r="B3499" s="5" t="s">
        <v>6956</v>
      </c>
      <c r="C3499" s="6">
        <v>3000.0</v>
      </c>
      <c r="D3499" s="6">
        <v>4.888888889</v>
      </c>
      <c r="E3499" s="6">
        <v>90.0</v>
      </c>
    </row>
    <row r="3500">
      <c r="A3500" s="4" t="s">
        <v>6957</v>
      </c>
      <c r="B3500" s="5" t="s">
        <v>6958</v>
      </c>
      <c r="C3500" s="6">
        <v>3000.0</v>
      </c>
      <c r="D3500" s="6">
        <v>4.666666667</v>
      </c>
      <c r="E3500" s="6">
        <v>6.0</v>
      </c>
    </row>
    <row r="3501">
      <c r="A3501" s="4" t="s">
        <v>6959</v>
      </c>
      <c r="B3501" s="5" t="s">
        <v>6960</v>
      </c>
      <c r="C3501" s="6">
        <v>3000.0</v>
      </c>
      <c r="D3501" s="6">
        <v>4.0</v>
      </c>
      <c r="E3501" s="6">
        <v>5.0</v>
      </c>
    </row>
    <row r="3502">
      <c r="A3502" s="4" t="s">
        <v>6961</v>
      </c>
      <c r="B3502" s="5" t="s">
        <v>6962</v>
      </c>
      <c r="C3502" s="6">
        <v>3000.0</v>
      </c>
      <c r="D3502" s="6">
        <v>3.636363636</v>
      </c>
      <c r="E3502" s="6">
        <v>11.0</v>
      </c>
    </row>
    <row r="3503">
      <c r="A3503" s="4" t="s">
        <v>6963</v>
      </c>
      <c r="B3503" s="5" t="s">
        <v>6964</v>
      </c>
      <c r="C3503" s="6">
        <v>3000.0</v>
      </c>
      <c r="D3503" s="6">
        <v>1.0</v>
      </c>
      <c r="E3503" s="6">
        <v>7.0</v>
      </c>
    </row>
    <row r="3504">
      <c r="A3504" s="4" t="s">
        <v>6965</v>
      </c>
      <c r="B3504" s="5" t="s">
        <v>6966</v>
      </c>
      <c r="C3504" s="6">
        <v>3000.0</v>
      </c>
      <c r="D3504" s="6">
        <v>4.523809524</v>
      </c>
      <c r="E3504" s="6">
        <v>84.0</v>
      </c>
    </row>
    <row r="3505">
      <c r="A3505" s="4" t="s">
        <v>6967</v>
      </c>
      <c r="B3505" s="5" t="s">
        <v>6968</v>
      </c>
      <c r="C3505" s="6">
        <v>3000.0</v>
      </c>
      <c r="D3505" s="6">
        <v>3.416666667</v>
      </c>
      <c r="E3505" s="6">
        <v>24.0</v>
      </c>
    </row>
    <row r="3506">
      <c r="A3506" s="4" t="s">
        <v>6969</v>
      </c>
      <c r="B3506" s="5" t="s">
        <v>6970</v>
      </c>
      <c r="C3506" s="6">
        <v>3000.0</v>
      </c>
      <c r="D3506" s="6">
        <v>3.789473684</v>
      </c>
      <c r="E3506" s="6">
        <v>19.0</v>
      </c>
    </row>
    <row r="3507">
      <c r="A3507" s="4" t="s">
        <v>6971</v>
      </c>
      <c r="B3507" s="5" t="s">
        <v>6972</v>
      </c>
      <c r="C3507" s="6">
        <v>3000.0</v>
      </c>
      <c r="D3507" s="6">
        <v>5.0</v>
      </c>
      <c r="E3507" s="6">
        <v>3.0</v>
      </c>
    </row>
    <row r="3508">
      <c r="A3508" s="4" t="s">
        <v>6973</v>
      </c>
      <c r="B3508" s="5" t="s">
        <v>6974</v>
      </c>
      <c r="C3508" s="6">
        <v>3000.0</v>
      </c>
      <c r="D3508" s="6">
        <v>4.310344828</v>
      </c>
      <c r="E3508" s="6">
        <v>29.0</v>
      </c>
    </row>
    <row r="3509">
      <c r="A3509" s="4" t="s">
        <v>6975</v>
      </c>
      <c r="B3509" s="5" t="s">
        <v>6976</v>
      </c>
      <c r="C3509" s="6">
        <v>3000.0</v>
      </c>
      <c r="D3509" s="6">
        <v>4.386363636</v>
      </c>
      <c r="E3509" s="6">
        <v>44.0</v>
      </c>
    </row>
    <row r="3510">
      <c r="A3510" s="4" t="s">
        <v>6977</v>
      </c>
      <c r="B3510" s="5" t="s">
        <v>6978</v>
      </c>
      <c r="C3510" s="6">
        <v>3000.0</v>
      </c>
      <c r="D3510" s="6">
        <v>5.0</v>
      </c>
      <c r="E3510" s="6">
        <v>7.0</v>
      </c>
    </row>
    <row r="3511">
      <c r="A3511" s="4" t="s">
        <v>6979</v>
      </c>
      <c r="B3511" s="5" t="s">
        <v>6980</v>
      </c>
      <c r="C3511" s="6">
        <v>3000.0</v>
      </c>
      <c r="D3511" s="6">
        <v>4.090909091</v>
      </c>
      <c r="E3511" s="6">
        <v>11.0</v>
      </c>
    </row>
    <row r="3512">
      <c r="A3512" s="4" t="s">
        <v>6981</v>
      </c>
      <c r="B3512" s="5" t="s">
        <v>6982</v>
      </c>
      <c r="C3512" s="6">
        <v>3000.0</v>
      </c>
      <c r="D3512" s="6">
        <v>4.444444444</v>
      </c>
      <c r="E3512" s="6">
        <v>9.0</v>
      </c>
    </row>
    <row r="3513">
      <c r="A3513" s="4" t="s">
        <v>6983</v>
      </c>
      <c r="B3513" s="5" t="s">
        <v>6984</v>
      </c>
      <c r="C3513" s="6">
        <v>3000.0</v>
      </c>
      <c r="D3513" s="6">
        <v>4.688679245</v>
      </c>
      <c r="E3513" s="6">
        <v>106.0</v>
      </c>
    </row>
    <row r="3514">
      <c r="A3514" s="4" t="s">
        <v>6985</v>
      </c>
      <c r="B3514" s="5" t="s">
        <v>6986</v>
      </c>
      <c r="C3514" s="6">
        <v>3000.0</v>
      </c>
      <c r="D3514" s="6">
        <v>2.975609756</v>
      </c>
      <c r="E3514" s="6">
        <v>41.0</v>
      </c>
    </row>
    <row r="3515">
      <c r="A3515" s="4" t="s">
        <v>6987</v>
      </c>
      <c r="B3515" s="5" t="s">
        <v>6988</v>
      </c>
      <c r="C3515" s="6">
        <v>3000.0</v>
      </c>
      <c r="D3515" s="6">
        <v>4.047619048</v>
      </c>
      <c r="E3515" s="6">
        <v>21.0</v>
      </c>
    </row>
    <row r="3516">
      <c r="A3516" s="4" t="s">
        <v>6989</v>
      </c>
      <c r="B3516" s="5" t="s">
        <v>6990</v>
      </c>
      <c r="C3516" s="6">
        <v>3000.0</v>
      </c>
      <c r="D3516" s="6">
        <v>3.090909091</v>
      </c>
      <c r="E3516" s="6">
        <v>11.0</v>
      </c>
    </row>
    <row r="3517">
      <c r="A3517" s="4" t="s">
        <v>6991</v>
      </c>
      <c r="B3517" s="5" t="s">
        <v>6992</v>
      </c>
      <c r="C3517" s="6">
        <v>3000.0</v>
      </c>
      <c r="D3517" s="6">
        <v>2.0</v>
      </c>
      <c r="E3517" s="6">
        <v>19.0</v>
      </c>
    </row>
    <row r="3518">
      <c r="A3518" s="4" t="s">
        <v>6993</v>
      </c>
      <c r="B3518" s="5" t="s">
        <v>6994</v>
      </c>
      <c r="C3518" s="6">
        <v>3000.0</v>
      </c>
      <c r="D3518" s="6">
        <v>4.740740741</v>
      </c>
      <c r="E3518" s="6">
        <v>27.0</v>
      </c>
    </row>
    <row r="3519">
      <c r="A3519" s="4" t="s">
        <v>6995</v>
      </c>
      <c r="B3519" s="5" t="s">
        <v>6996</v>
      </c>
      <c r="C3519" s="6">
        <v>3000.0</v>
      </c>
      <c r="D3519" s="6">
        <v>4.470588235</v>
      </c>
      <c r="E3519" s="6">
        <v>34.0</v>
      </c>
    </row>
    <row r="3520">
      <c r="A3520" s="4" t="s">
        <v>6997</v>
      </c>
      <c r="B3520" s="5" t="s">
        <v>6998</v>
      </c>
      <c r="C3520" s="6">
        <v>3000.0</v>
      </c>
      <c r="D3520" s="6">
        <v>5.0</v>
      </c>
      <c r="E3520" s="6">
        <v>3.0</v>
      </c>
    </row>
    <row r="3521">
      <c r="A3521" s="4" t="s">
        <v>6999</v>
      </c>
      <c r="B3521" s="5" t="s">
        <v>7000</v>
      </c>
      <c r="C3521" s="6">
        <v>3000.0</v>
      </c>
      <c r="D3521" s="6">
        <v>3.2</v>
      </c>
      <c r="E3521" s="6">
        <v>20.0</v>
      </c>
    </row>
    <row r="3522">
      <c r="A3522" s="4" t="s">
        <v>7001</v>
      </c>
      <c r="B3522" s="5" t="s">
        <v>7002</v>
      </c>
      <c r="C3522" s="6">
        <v>3000.0</v>
      </c>
      <c r="D3522" s="6">
        <v>4.413533835</v>
      </c>
      <c r="E3522" s="6">
        <v>133.0</v>
      </c>
    </row>
    <row r="3523">
      <c r="A3523" s="4" t="s">
        <v>7003</v>
      </c>
      <c r="B3523" s="5" t="s">
        <v>7004</v>
      </c>
      <c r="C3523" s="6">
        <v>3000.0</v>
      </c>
      <c r="D3523" s="6">
        <v>3.722222222</v>
      </c>
      <c r="E3523" s="6">
        <v>18.0</v>
      </c>
    </row>
    <row r="3524">
      <c r="A3524" s="4" t="s">
        <v>7005</v>
      </c>
      <c r="B3524" s="5" t="s">
        <v>7006</v>
      </c>
      <c r="C3524" s="6">
        <v>3000.0</v>
      </c>
      <c r="D3524" s="6">
        <v>2.642857143</v>
      </c>
      <c r="E3524" s="6">
        <v>14.0</v>
      </c>
    </row>
    <row r="3525">
      <c r="A3525" s="4" t="s">
        <v>7007</v>
      </c>
      <c r="B3525" s="5" t="s">
        <v>7008</v>
      </c>
      <c r="C3525" s="6">
        <v>3000.0</v>
      </c>
      <c r="D3525" s="6">
        <v>4.909090909</v>
      </c>
      <c r="E3525" s="6">
        <v>11.0</v>
      </c>
    </row>
    <row r="3526">
      <c r="A3526" s="4" t="s">
        <v>7009</v>
      </c>
      <c r="B3526" s="5" t="s">
        <v>7010</v>
      </c>
      <c r="C3526" s="6">
        <v>3000.0</v>
      </c>
      <c r="D3526" s="6">
        <v>3.96875</v>
      </c>
      <c r="E3526" s="6">
        <v>32.0</v>
      </c>
    </row>
    <row r="3527">
      <c r="A3527" s="4" t="s">
        <v>7011</v>
      </c>
      <c r="B3527" s="5" t="s">
        <v>7012</v>
      </c>
      <c r="C3527" s="6">
        <v>3000.0</v>
      </c>
      <c r="D3527" s="6">
        <v>3.0</v>
      </c>
      <c r="E3527" s="6">
        <v>25.0</v>
      </c>
    </row>
    <row r="3528">
      <c r="A3528" s="4" t="s">
        <v>7013</v>
      </c>
      <c r="B3528" s="5" t="s">
        <v>7014</v>
      </c>
      <c r="C3528" s="6">
        <v>3000.0</v>
      </c>
      <c r="D3528" s="6">
        <v>4.490909091</v>
      </c>
      <c r="E3528" s="6">
        <v>55.0</v>
      </c>
    </row>
    <row r="3529">
      <c r="A3529" s="4" t="s">
        <v>7015</v>
      </c>
      <c r="B3529" s="5" t="s">
        <v>7016</v>
      </c>
      <c r="C3529" s="6">
        <v>3000.0</v>
      </c>
      <c r="D3529" s="6">
        <v>2.981481481</v>
      </c>
      <c r="E3529" s="6">
        <v>54.0</v>
      </c>
    </row>
    <row r="3530">
      <c r="A3530" s="4" t="s">
        <v>7017</v>
      </c>
      <c r="B3530" s="5" t="s">
        <v>7018</v>
      </c>
      <c r="C3530" s="6">
        <v>3000.0</v>
      </c>
      <c r="D3530" s="6">
        <v>3.318181818</v>
      </c>
      <c r="E3530" s="6">
        <v>22.0</v>
      </c>
    </row>
    <row r="3531">
      <c r="A3531" s="4" t="s">
        <v>7019</v>
      </c>
      <c r="B3531" s="5" t="s">
        <v>7020</v>
      </c>
      <c r="C3531" s="6">
        <v>3000.0</v>
      </c>
      <c r="D3531" s="6">
        <v>3.524390244</v>
      </c>
      <c r="E3531" s="6">
        <v>82.0</v>
      </c>
    </row>
    <row r="3532">
      <c r="A3532" s="4" t="s">
        <v>7021</v>
      </c>
      <c r="B3532" s="5" t="s">
        <v>7022</v>
      </c>
      <c r="C3532" s="6">
        <v>3000.0</v>
      </c>
      <c r="D3532" s="6">
        <v>3.154929577</v>
      </c>
      <c r="E3532" s="6">
        <v>71.0</v>
      </c>
    </row>
    <row r="3533">
      <c r="A3533" s="4" t="s">
        <v>7023</v>
      </c>
      <c r="B3533" s="5" t="s">
        <v>7024</v>
      </c>
      <c r="C3533" s="6">
        <v>3000.0</v>
      </c>
      <c r="D3533" s="6">
        <v>4.117647059</v>
      </c>
      <c r="E3533" s="6">
        <v>17.0</v>
      </c>
    </row>
    <row r="3534">
      <c r="A3534" s="4" t="s">
        <v>7025</v>
      </c>
      <c r="B3534" s="5" t="s">
        <v>7026</v>
      </c>
      <c r="C3534" s="6">
        <v>3000.0</v>
      </c>
      <c r="D3534" s="6">
        <v>3.666666667</v>
      </c>
      <c r="E3534" s="6">
        <v>9.0</v>
      </c>
    </row>
    <row r="3535">
      <c r="A3535" s="4" t="s">
        <v>7027</v>
      </c>
      <c r="B3535" s="5" t="s">
        <v>7028</v>
      </c>
      <c r="C3535" s="6">
        <v>3000.0</v>
      </c>
      <c r="D3535" s="6">
        <v>4.416666667</v>
      </c>
      <c r="E3535" s="6">
        <v>60.0</v>
      </c>
    </row>
    <row r="3536">
      <c r="A3536" s="4" t="s">
        <v>7029</v>
      </c>
      <c r="B3536" s="5" t="s">
        <v>7030</v>
      </c>
      <c r="C3536" s="6">
        <v>3000.0</v>
      </c>
      <c r="D3536" s="6">
        <v>3.357142857</v>
      </c>
      <c r="E3536" s="6">
        <v>14.0</v>
      </c>
    </row>
    <row r="3537">
      <c r="A3537" s="4" t="s">
        <v>7031</v>
      </c>
      <c r="B3537" s="5" t="s">
        <v>7032</v>
      </c>
      <c r="C3537" s="6">
        <v>3000.0</v>
      </c>
      <c r="D3537" s="6">
        <v>2.5</v>
      </c>
      <c r="E3537" s="6">
        <v>2.0</v>
      </c>
    </row>
    <row r="3538">
      <c r="A3538" s="4" t="s">
        <v>7033</v>
      </c>
      <c r="B3538" s="5" t="s">
        <v>7034</v>
      </c>
      <c r="C3538" s="6">
        <v>3000.0</v>
      </c>
      <c r="D3538" s="6">
        <v>4.245901639</v>
      </c>
      <c r="E3538" s="6">
        <v>61.0</v>
      </c>
    </row>
    <row r="3539">
      <c r="A3539" s="4" t="s">
        <v>7035</v>
      </c>
      <c r="B3539" s="5" t="s">
        <v>7036</v>
      </c>
      <c r="C3539" s="6">
        <v>3000.0</v>
      </c>
      <c r="D3539" s="6">
        <v>5.0</v>
      </c>
      <c r="E3539" s="6">
        <v>1.0</v>
      </c>
    </row>
    <row r="3540">
      <c r="A3540" s="4" t="s">
        <v>7037</v>
      </c>
      <c r="B3540" s="5" t="s">
        <v>7038</v>
      </c>
      <c r="C3540" s="6">
        <v>3000.0</v>
      </c>
      <c r="D3540" s="6">
        <v>2.65</v>
      </c>
      <c r="E3540" s="6">
        <v>20.0</v>
      </c>
    </row>
    <row r="3541">
      <c r="A3541" s="4" t="s">
        <v>7039</v>
      </c>
      <c r="B3541" s="5" t="s">
        <v>7040</v>
      </c>
      <c r="C3541" s="6">
        <v>3000.0</v>
      </c>
      <c r="D3541" s="6">
        <v>3.833333333</v>
      </c>
      <c r="E3541" s="6">
        <v>6.0</v>
      </c>
    </row>
    <row r="3542">
      <c r="A3542" s="4" t="s">
        <v>7041</v>
      </c>
      <c r="B3542" s="5" t="s">
        <v>7042</v>
      </c>
      <c r="C3542" s="6">
        <v>3000.0</v>
      </c>
      <c r="D3542" s="6">
        <v>4.941176471</v>
      </c>
      <c r="E3542" s="6">
        <v>17.0</v>
      </c>
    </row>
    <row r="3543">
      <c r="A3543" s="4" t="s">
        <v>7043</v>
      </c>
      <c r="B3543" s="5" t="s">
        <v>7044</v>
      </c>
      <c r="C3543" s="6">
        <v>3000.0</v>
      </c>
      <c r="D3543" s="6">
        <v>3.352941176</v>
      </c>
      <c r="E3543" s="6">
        <v>17.0</v>
      </c>
    </row>
    <row r="3544">
      <c r="A3544" s="4" t="s">
        <v>7045</v>
      </c>
      <c r="B3544" s="5" t="s">
        <v>7046</v>
      </c>
      <c r="C3544" s="6">
        <v>3000.0</v>
      </c>
      <c r="D3544" s="6">
        <v>3.15625</v>
      </c>
      <c r="E3544" s="6">
        <v>32.0</v>
      </c>
    </row>
    <row r="3545">
      <c r="A3545" s="4" t="s">
        <v>7047</v>
      </c>
      <c r="B3545" s="5" t="s">
        <v>7048</v>
      </c>
      <c r="C3545" s="6">
        <v>3000.0</v>
      </c>
      <c r="D3545" s="6">
        <v>3.571428571</v>
      </c>
      <c r="E3545" s="6">
        <v>28.0</v>
      </c>
    </row>
    <row r="3546">
      <c r="A3546" s="4" t="s">
        <v>7049</v>
      </c>
      <c r="B3546" s="5" t="s">
        <v>7050</v>
      </c>
      <c r="C3546" s="6">
        <v>3000.0</v>
      </c>
      <c r="D3546" s="6">
        <v>4.666666667</v>
      </c>
      <c r="E3546" s="6">
        <v>12.0</v>
      </c>
    </row>
    <row r="3547">
      <c r="A3547" s="4" t="s">
        <v>7051</v>
      </c>
      <c r="B3547" s="5" t="s">
        <v>7052</v>
      </c>
      <c r="C3547" s="6">
        <v>3000.0</v>
      </c>
      <c r="D3547" s="6">
        <v>4.264705882</v>
      </c>
      <c r="E3547" s="6">
        <v>34.0</v>
      </c>
    </row>
    <row r="3548">
      <c r="A3548" s="4" t="s">
        <v>7053</v>
      </c>
      <c r="B3548" s="5" t="s">
        <v>7054</v>
      </c>
      <c r="C3548" s="6">
        <v>3000.0</v>
      </c>
      <c r="D3548" s="6">
        <v>4.108108108</v>
      </c>
      <c r="E3548" s="6">
        <v>74.0</v>
      </c>
    </row>
    <row r="3549">
      <c r="A3549" s="4" t="s">
        <v>7055</v>
      </c>
      <c r="B3549" s="5" t="s">
        <v>7056</v>
      </c>
      <c r="C3549" s="6">
        <v>3000.0</v>
      </c>
      <c r="D3549" s="6">
        <v>4.5</v>
      </c>
      <c r="E3549" s="6">
        <v>16.0</v>
      </c>
    </row>
    <row r="3550">
      <c r="A3550" s="4" t="s">
        <v>7057</v>
      </c>
      <c r="B3550" s="5" t="s">
        <v>7058</v>
      </c>
      <c r="C3550" s="6">
        <v>3000.0</v>
      </c>
      <c r="D3550" s="6">
        <v>4.4</v>
      </c>
      <c r="E3550" s="6">
        <v>15.0</v>
      </c>
    </row>
    <row r="3551">
      <c r="A3551" s="4" t="s">
        <v>7059</v>
      </c>
      <c r="B3551" s="5" t="s">
        <v>7060</v>
      </c>
      <c r="C3551" s="6">
        <v>3000.0</v>
      </c>
      <c r="D3551" s="6">
        <v>5.0</v>
      </c>
      <c r="E3551" s="6">
        <v>17.0</v>
      </c>
    </row>
    <row r="3552">
      <c r="A3552" s="4" t="s">
        <v>2033</v>
      </c>
      <c r="B3552" s="5" t="s">
        <v>7061</v>
      </c>
      <c r="C3552" s="6">
        <v>3000.0</v>
      </c>
      <c r="D3552" s="6">
        <v>4.714285714</v>
      </c>
      <c r="E3552" s="6">
        <v>154.0</v>
      </c>
    </row>
    <row r="3553">
      <c r="A3553" s="4" t="s">
        <v>7062</v>
      </c>
      <c r="B3553" s="5" t="s">
        <v>7063</v>
      </c>
      <c r="C3553" s="6">
        <v>3000.0</v>
      </c>
      <c r="D3553" s="6">
        <v>4.87704918</v>
      </c>
      <c r="E3553" s="6">
        <v>244.0</v>
      </c>
    </row>
    <row r="3554">
      <c r="A3554" s="4" t="s">
        <v>7064</v>
      </c>
      <c r="B3554" s="5" t="s">
        <v>7065</v>
      </c>
      <c r="C3554" s="6">
        <v>3000.0</v>
      </c>
      <c r="D3554" s="6">
        <v>4.444444444</v>
      </c>
      <c r="E3554" s="6">
        <v>9.0</v>
      </c>
    </row>
    <row r="3555">
      <c r="A3555" s="4" t="s">
        <v>4658</v>
      </c>
      <c r="B3555" s="5" t="s">
        <v>7066</v>
      </c>
      <c r="C3555" s="6">
        <v>3000.0</v>
      </c>
      <c r="D3555" s="6">
        <v>3.823529412</v>
      </c>
      <c r="E3555" s="6">
        <v>187.0</v>
      </c>
    </row>
    <row r="3556">
      <c r="A3556" s="4" t="s">
        <v>7067</v>
      </c>
      <c r="B3556" s="5" t="s">
        <v>7068</v>
      </c>
      <c r="C3556" s="6">
        <v>3000.0</v>
      </c>
      <c r="D3556" s="6">
        <v>3.444444444</v>
      </c>
      <c r="E3556" s="6">
        <v>18.0</v>
      </c>
    </row>
    <row r="3557">
      <c r="A3557" s="4" t="s">
        <v>7069</v>
      </c>
      <c r="B3557" s="5" t="s">
        <v>7070</v>
      </c>
      <c r="C3557" s="6">
        <v>3000.0</v>
      </c>
      <c r="D3557" s="6">
        <v>4.25</v>
      </c>
      <c r="E3557" s="6">
        <v>28.0</v>
      </c>
    </row>
    <row r="3558">
      <c r="A3558" s="4" t="s">
        <v>7071</v>
      </c>
      <c r="B3558" s="5" t="s">
        <v>7072</v>
      </c>
      <c r="C3558" s="6">
        <v>3000.0</v>
      </c>
      <c r="D3558" s="6">
        <v>4.0</v>
      </c>
      <c r="E3558" s="6">
        <v>8.0</v>
      </c>
    </row>
    <row r="3559">
      <c r="A3559" s="4" t="s">
        <v>7073</v>
      </c>
      <c r="B3559" s="5" t="s">
        <v>7074</v>
      </c>
      <c r="C3559" s="6">
        <v>3000.0</v>
      </c>
      <c r="D3559" s="6">
        <v>4.0</v>
      </c>
      <c r="E3559" s="6">
        <v>5.0</v>
      </c>
    </row>
    <row r="3560">
      <c r="A3560" s="4" t="s">
        <v>7075</v>
      </c>
      <c r="B3560" s="5" t="s">
        <v>7076</v>
      </c>
      <c r="C3560" s="6">
        <v>3000.0</v>
      </c>
      <c r="D3560" s="6">
        <v>4.121212121</v>
      </c>
      <c r="E3560" s="6">
        <v>33.0</v>
      </c>
    </row>
    <row r="3561">
      <c r="A3561" s="4" t="s">
        <v>7077</v>
      </c>
      <c r="B3561" s="5" t="s">
        <v>7078</v>
      </c>
      <c r="C3561" s="6">
        <v>3000.0</v>
      </c>
      <c r="D3561" s="6">
        <v>4.0</v>
      </c>
      <c r="E3561" s="6">
        <v>3.0</v>
      </c>
    </row>
    <row r="3562">
      <c r="A3562" s="4" t="s">
        <v>7079</v>
      </c>
      <c r="B3562" s="5" t="s">
        <v>7080</v>
      </c>
      <c r="C3562" s="6">
        <v>3000.0</v>
      </c>
      <c r="D3562" s="6">
        <v>2.666666667</v>
      </c>
      <c r="E3562" s="6">
        <v>3.0</v>
      </c>
    </row>
    <row r="3563">
      <c r="A3563" s="4" t="s">
        <v>7081</v>
      </c>
      <c r="B3563" s="5" t="s">
        <v>7082</v>
      </c>
      <c r="C3563" s="6">
        <v>3000.0</v>
      </c>
      <c r="D3563" s="6">
        <v>2.6</v>
      </c>
      <c r="E3563" s="6">
        <v>5.0</v>
      </c>
    </row>
    <row r="3564">
      <c r="A3564" s="4" t="s">
        <v>7083</v>
      </c>
      <c r="B3564" s="5" t="s">
        <v>7084</v>
      </c>
      <c r="C3564" s="6">
        <v>3000.0</v>
      </c>
      <c r="D3564" s="6">
        <v>4.234042553</v>
      </c>
      <c r="E3564" s="6">
        <v>47.0</v>
      </c>
    </row>
    <row r="3565">
      <c r="A3565" s="4" t="s">
        <v>7085</v>
      </c>
      <c r="B3565" s="5" t="s">
        <v>7086</v>
      </c>
      <c r="C3565" s="6">
        <v>3000.0</v>
      </c>
      <c r="D3565" s="6">
        <v>3.990566038</v>
      </c>
      <c r="E3565" s="6">
        <v>106.0</v>
      </c>
    </row>
    <row r="3566">
      <c r="A3566" s="4" t="s">
        <v>7087</v>
      </c>
      <c r="B3566" s="5" t="s">
        <v>7088</v>
      </c>
      <c r="C3566" s="6">
        <v>3000.0</v>
      </c>
      <c r="D3566" s="6">
        <v>3.775510204</v>
      </c>
      <c r="E3566" s="6">
        <v>49.0</v>
      </c>
    </row>
    <row r="3567">
      <c r="A3567" s="4" t="s">
        <v>7089</v>
      </c>
      <c r="B3567" s="5" t="s">
        <v>7090</v>
      </c>
      <c r="C3567" s="6">
        <v>3000.0</v>
      </c>
      <c r="D3567" s="6">
        <v>4.4</v>
      </c>
      <c r="E3567" s="6">
        <v>25.0</v>
      </c>
    </row>
    <row r="3568">
      <c r="A3568" s="4" t="s">
        <v>7091</v>
      </c>
      <c r="B3568" s="5" t="s">
        <v>7092</v>
      </c>
      <c r="C3568" s="6">
        <v>3000.0</v>
      </c>
      <c r="D3568" s="6">
        <v>3.4</v>
      </c>
      <c r="E3568" s="6">
        <v>5.0</v>
      </c>
    </row>
    <row r="3569">
      <c r="A3569" s="4" t="s">
        <v>7093</v>
      </c>
      <c r="B3569" s="5" t="s">
        <v>7094</v>
      </c>
      <c r="C3569" s="6">
        <v>3000.0</v>
      </c>
      <c r="D3569" s="6">
        <v>4.389830508</v>
      </c>
      <c r="E3569" s="6">
        <v>59.0</v>
      </c>
    </row>
    <row r="3570">
      <c r="A3570" s="4" t="s">
        <v>7095</v>
      </c>
      <c r="B3570" s="5" t="s">
        <v>7096</v>
      </c>
      <c r="C3570" s="6">
        <v>3000.0</v>
      </c>
      <c r="D3570" s="6">
        <v>1.642857143</v>
      </c>
      <c r="E3570" s="6">
        <v>14.0</v>
      </c>
    </row>
    <row r="3571">
      <c r="A3571" s="4" t="s">
        <v>7097</v>
      </c>
      <c r="B3571" s="5" t="s">
        <v>7098</v>
      </c>
      <c r="C3571" s="6">
        <v>3000.0</v>
      </c>
      <c r="D3571" s="6">
        <v>2.526315789</v>
      </c>
      <c r="E3571" s="6">
        <v>19.0</v>
      </c>
    </row>
    <row r="3572">
      <c r="A3572" s="4" t="s">
        <v>7099</v>
      </c>
      <c r="B3572" s="5" t="s">
        <v>7100</v>
      </c>
      <c r="C3572" s="6">
        <v>3000.0</v>
      </c>
      <c r="D3572" s="6">
        <v>5.0</v>
      </c>
      <c r="E3572" s="6">
        <v>2.0</v>
      </c>
    </row>
    <row r="3573">
      <c r="A3573" s="4" t="s">
        <v>7101</v>
      </c>
      <c r="B3573" s="5" t="s">
        <v>7102</v>
      </c>
      <c r="C3573" s="6">
        <v>3000.0</v>
      </c>
      <c r="D3573" s="6">
        <v>3.24</v>
      </c>
      <c r="E3573" s="6">
        <v>25.0</v>
      </c>
    </row>
    <row r="3574">
      <c r="A3574" s="4" t="s">
        <v>7103</v>
      </c>
      <c r="B3574" s="5" t="s">
        <v>7104</v>
      </c>
      <c r="C3574" s="6">
        <v>3000.0</v>
      </c>
      <c r="D3574" s="6">
        <v>4.726804124</v>
      </c>
      <c r="E3574" s="6">
        <v>194.0</v>
      </c>
    </row>
    <row r="3575">
      <c r="A3575" s="4" t="s">
        <v>7105</v>
      </c>
      <c r="B3575" s="5" t="s">
        <v>7106</v>
      </c>
      <c r="C3575" s="6">
        <v>3000.0</v>
      </c>
      <c r="D3575" s="6">
        <v>4.65</v>
      </c>
      <c r="E3575" s="6">
        <v>20.0</v>
      </c>
    </row>
    <row r="3576">
      <c r="A3576" s="4" t="s">
        <v>7107</v>
      </c>
      <c r="B3576" s="5" t="s">
        <v>7108</v>
      </c>
      <c r="C3576" s="6">
        <v>3000.0</v>
      </c>
      <c r="D3576" s="6">
        <v>3.694117647</v>
      </c>
      <c r="E3576" s="6">
        <v>85.0</v>
      </c>
    </row>
    <row r="3577">
      <c r="A3577" s="4" t="s">
        <v>7109</v>
      </c>
      <c r="B3577" s="5" t="s">
        <v>7110</v>
      </c>
      <c r="C3577" s="6">
        <v>3000.0</v>
      </c>
      <c r="D3577" s="6">
        <v>3.6</v>
      </c>
      <c r="E3577" s="6">
        <v>5.0</v>
      </c>
    </row>
    <row r="3578">
      <c r="A3578" s="4" t="s">
        <v>7111</v>
      </c>
      <c r="B3578" s="5" t="s">
        <v>7112</v>
      </c>
      <c r="C3578" s="6">
        <v>3000.0</v>
      </c>
      <c r="D3578" s="6">
        <v>4.585585586</v>
      </c>
      <c r="E3578" s="6">
        <v>111.0</v>
      </c>
    </row>
    <row r="3579">
      <c r="A3579" s="4" t="s">
        <v>7113</v>
      </c>
      <c r="B3579" s="5" t="s">
        <v>7114</v>
      </c>
      <c r="C3579" s="6">
        <v>3000.0</v>
      </c>
      <c r="D3579" s="6">
        <v>3.945945946</v>
      </c>
      <c r="E3579" s="6">
        <v>37.0</v>
      </c>
    </row>
    <row r="3580">
      <c r="A3580" s="4" t="s">
        <v>7115</v>
      </c>
      <c r="B3580" s="5" t="s">
        <v>7116</v>
      </c>
      <c r="C3580" s="6">
        <v>3000.0</v>
      </c>
      <c r="D3580" s="6">
        <v>3.722222222</v>
      </c>
      <c r="E3580" s="6">
        <v>18.0</v>
      </c>
    </row>
    <row r="3581">
      <c r="A3581" s="4" t="s">
        <v>7117</v>
      </c>
      <c r="B3581" s="5" t="s">
        <v>7118</v>
      </c>
      <c r="C3581" s="6">
        <v>3000.0</v>
      </c>
      <c r="D3581" s="6">
        <v>4.388888889</v>
      </c>
      <c r="E3581" s="6">
        <v>18.0</v>
      </c>
    </row>
    <row r="3582">
      <c r="A3582" s="4" t="s">
        <v>7119</v>
      </c>
      <c r="B3582" s="5" t="s">
        <v>7120</v>
      </c>
      <c r="C3582" s="6">
        <v>3000.0</v>
      </c>
      <c r="D3582" s="6">
        <v>4.647058824</v>
      </c>
      <c r="E3582" s="6">
        <v>17.0</v>
      </c>
    </row>
    <row r="3583">
      <c r="A3583" s="4" t="s">
        <v>7121</v>
      </c>
      <c r="B3583" s="5" t="s">
        <v>7122</v>
      </c>
      <c r="C3583" s="6">
        <v>3000.0</v>
      </c>
      <c r="D3583" s="6">
        <v>3.0</v>
      </c>
      <c r="E3583" s="6">
        <v>12.0</v>
      </c>
    </row>
    <row r="3584">
      <c r="A3584" s="4" t="s">
        <v>7123</v>
      </c>
      <c r="B3584" s="5" t="s">
        <v>7124</v>
      </c>
      <c r="C3584" s="6">
        <v>3000.0</v>
      </c>
      <c r="D3584" s="6">
        <v>2.333333333</v>
      </c>
      <c r="E3584" s="6">
        <v>57.0</v>
      </c>
    </row>
    <row r="3585">
      <c r="A3585" s="4" t="s">
        <v>7125</v>
      </c>
      <c r="B3585" s="5" t="s">
        <v>7126</v>
      </c>
      <c r="C3585" s="6">
        <v>3000.0</v>
      </c>
      <c r="D3585" s="6">
        <v>2.318181818</v>
      </c>
      <c r="E3585" s="6">
        <v>22.0</v>
      </c>
    </row>
    <row r="3586">
      <c r="A3586" s="4" t="s">
        <v>7127</v>
      </c>
      <c r="B3586" s="5" t="s">
        <v>7128</v>
      </c>
      <c r="C3586" s="6">
        <v>3000.0</v>
      </c>
      <c r="D3586" s="6">
        <v>4.119047619</v>
      </c>
      <c r="E3586" s="6">
        <v>84.0</v>
      </c>
    </row>
    <row r="3587">
      <c r="A3587" s="4" t="s">
        <v>7129</v>
      </c>
      <c r="B3587" s="5" t="s">
        <v>7130</v>
      </c>
      <c r="C3587" s="6">
        <v>3000.0</v>
      </c>
      <c r="D3587" s="6">
        <v>4.222222222</v>
      </c>
      <c r="E3587" s="6">
        <v>9.0</v>
      </c>
    </row>
    <row r="3588">
      <c r="A3588" s="4" t="s">
        <v>7131</v>
      </c>
      <c r="B3588" s="5" t="s">
        <v>7132</v>
      </c>
      <c r="C3588" s="6">
        <v>3000.0</v>
      </c>
      <c r="D3588" s="6">
        <v>4.5</v>
      </c>
      <c r="E3588" s="6">
        <v>10.0</v>
      </c>
    </row>
    <row r="3589">
      <c r="A3589" s="4" t="s">
        <v>7133</v>
      </c>
      <c r="B3589" s="5" t="s">
        <v>7134</v>
      </c>
      <c r="C3589" s="6">
        <v>3000.0</v>
      </c>
      <c r="D3589" s="6">
        <v>4.3125</v>
      </c>
      <c r="E3589" s="6">
        <v>16.0</v>
      </c>
    </row>
    <row r="3590">
      <c r="A3590" s="4" t="s">
        <v>7135</v>
      </c>
      <c r="B3590" s="5" t="s">
        <v>7136</v>
      </c>
      <c r="C3590" s="6">
        <v>3000.0</v>
      </c>
      <c r="D3590" s="6">
        <v>4.545454545</v>
      </c>
      <c r="E3590" s="6">
        <v>11.0</v>
      </c>
    </row>
    <row r="3591">
      <c r="A3591" s="4" t="s">
        <v>7137</v>
      </c>
      <c r="B3591" s="5" t="s">
        <v>7138</v>
      </c>
      <c r="C3591" s="6">
        <v>3000.0</v>
      </c>
      <c r="D3591" s="9"/>
      <c r="E3591" s="9"/>
    </row>
    <row r="3592">
      <c r="A3592" s="4" t="s">
        <v>7139</v>
      </c>
      <c r="B3592" s="5" t="s">
        <v>7140</v>
      </c>
      <c r="C3592" s="6">
        <v>3000.0</v>
      </c>
      <c r="D3592" s="6">
        <v>1.0</v>
      </c>
      <c r="E3592" s="6">
        <v>5.0</v>
      </c>
    </row>
    <row r="3593">
      <c r="A3593" s="4" t="s">
        <v>7141</v>
      </c>
      <c r="B3593" s="5" t="s">
        <v>7142</v>
      </c>
      <c r="C3593" s="6">
        <v>3000.0</v>
      </c>
      <c r="D3593" s="6">
        <v>4.066666667</v>
      </c>
      <c r="E3593" s="6">
        <v>15.0</v>
      </c>
    </row>
    <row r="3594">
      <c r="A3594" s="4" t="s">
        <v>7143</v>
      </c>
      <c r="B3594" s="5" t="s">
        <v>7144</v>
      </c>
      <c r="C3594" s="6">
        <v>3000.0</v>
      </c>
      <c r="D3594" s="6">
        <v>4.290322581</v>
      </c>
      <c r="E3594" s="6">
        <v>31.0</v>
      </c>
    </row>
    <row r="3595">
      <c r="A3595" s="4" t="s">
        <v>7145</v>
      </c>
      <c r="B3595" s="5" t="s">
        <v>7146</v>
      </c>
      <c r="C3595" s="6">
        <v>3000.0</v>
      </c>
      <c r="D3595" s="6">
        <v>2.617021277</v>
      </c>
      <c r="E3595" s="6">
        <v>47.0</v>
      </c>
    </row>
    <row r="3596">
      <c r="A3596" s="4" t="s">
        <v>7147</v>
      </c>
      <c r="B3596" s="5" t="s">
        <v>7148</v>
      </c>
      <c r="C3596" s="6">
        <v>3000.0</v>
      </c>
      <c r="D3596" s="6">
        <v>4.0</v>
      </c>
      <c r="E3596" s="6">
        <v>4.0</v>
      </c>
    </row>
    <row r="3597">
      <c r="A3597" s="4" t="s">
        <v>7149</v>
      </c>
      <c r="B3597" s="5" t="s">
        <v>7150</v>
      </c>
      <c r="C3597" s="6">
        <v>3000.0</v>
      </c>
      <c r="D3597" s="6">
        <v>4.166666667</v>
      </c>
      <c r="E3597" s="6">
        <v>12.0</v>
      </c>
    </row>
    <row r="3598">
      <c r="A3598" s="4" t="s">
        <v>7151</v>
      </c>
      <c r="B3598" s="5" t="s">
        <v>7152</v>
      </c>
      <c r="C3598" s="6">
        <v>3000.0</v>
      </c>
      <c r="D3598" s="6">
        <v>5.0</v>
      </c>
      <c r="E3598" s="6">
        <v>1.0</v>
      </c>
    </row>
    <row r="3599">
      <c r="A3599" s="4" t="s">
        <v>7153</v>
      </c>
      <c r="B3599" s="5" t="s">
        <v>7154</v>
      </c>
      <c r="C3599" s="6">
        <v>3000.0</v>
      </c>
      <c r="D3599" s="6">
        <v>4.571428571</v>
      </c>
      <c r="E3599" s="6">
        <v>70.0</v>
      </c>
    </row>
    <row r="3600">
      <c r="A3600" s="4" t="s">
        <v>7155</v>
      </c>
      <c r="B3600" s="5" t="s">
        <v>7156</v>
      </c>
      <c r="C3600" s="6">
        <v>3000.0</v>
      </c>
      <c r="D3600" s="6">
        <v>4.047619048</v>
      </c>
      <c r="E3600" s="6">
        <v>21.0</v>
      </c>
    </row>
    <row r="3601">
      <c r="A3601" s="4" t="s">
        <v>7157</v>
      </c>
      <c r="B3601" s="5" t="s">
        <v>7158</v>
      </c>
      <c r="C3601" s="6">
        <v>3000.0</v>
      </c>
      <c r="D3601" s="6">
        <v>4.0</v>
      </c>
      <c r="E3601" s="6">
        <v>1.0</v>
      </c>
    </row>
    <row r="3602">
      <c r="A3602" s="4" t="s">
        <v>7159</v>
      </c>
      <c r="B3602" s="5" t="s">
        <v>7160</v>
      </c>
      <c r="C3602" s="6">
        <v>3000.0</v>
      </c>
      <c r="D3602" s="6">
        <v>4.0</v>
      </c>
      <c r="E3602" s="6">
        <v>4.0</v>
      </c>
    </row>
    <row r="3603">
      <c r="A3603" s="4" t="s">
        <v>7161</v>
      </c>
      <c r="B3603" s="5" t="s">
        <v>7162</v>
      </c>
      <c r="C3603" s="6">
        <v>3000.0</v>
      </c>
      <c r="D3603" s="6">
        <v>4.177777778</v>
      </c>
      <c r="E3603" s="6">
        <v>45.0</v>
      </c>
    </row>
    <row r="3604">
      <c r="A3604" s="4" t="s">
        <v>7163</v>
      </c>
      <c r="B3604" s="5" t="s">
        <v>7164</v>
      </c>
      <c r="C3604" s="6">
        <v>3000.0</v>
      </c>
      <c r="D3604" s="6">
        <v>4.10546875</v>
      </c>
      <c r="E3604" s="6">
        <v>256.0</v>
      </c>
    </row>
    <row r="3605">
      <c r="A3605" s="4" t="s">
        <v>7165</v>
      </c>
      <c r="B3605" s="5" t="s">
        <v>7166</v>
      </c>
      <c r="C3605" s="6">
        <v>3000.0</v>
      </c>
      <c r="D3605" s="6">
        <v>4.294117647</v>
      </c>
      <c r="E3605" s="6">
        <v>17.0</v>
      </c>
    </row>
    <row r="3606">
      <c r="A3606" s="4" t="s">
        <v>7167</v>
      </c>
      <c r="B3606" s="5" t="s">
        <v>7168</v>
      </c>
      <c r="C3606" s="6">
        <v>3000.0</v>
      </c>
      <c r="D3606" s="6">
        <v>4.3</v>
      </c>
      <c r="E3606" s="6">
        <v>10.0</v>
      </c>
    </row>
    <row r="3607">
      <c r="A3607" s="4" t="s">
        <v>7169</v>
      </c>
      <c r="B3607" s="5" t="s">
        <v>7170</v>
      </c>
      <c r="C3607" s="6">
        <v>3000.0</v>
      </c>
      <c r="D3607" s="6">
        <v>4.785714286</v>
      </c>
      <c r="E3607" s="6">
        <v>14.0</v>
      </c>
    </row>
    <row r="3608">
      <c r="A3608" s="4" t="s">
        <v>7171</v>
      </c>
      <c r="B3608" s="5" t="s">
        <v>7172</v>
      </c>
      <c r="C3608" s="6">
        <v>3000.0</v>
      </c>
      <c r="D3608" s="6">
        <v>5.0</v>
      </c>
      <c r="E3608" s="6">
        <v>1.0</v>
      </c>
    </row>
    <row r="3609">
      <c r="A3609" s="4" t="s">
        <v>7173</v>
      </c>
      <c r="B3609" s="5" t="s">
        <v>7174</v>
      </c>
      <c r="C3609" s="6">
        <v>3000.0</v>
      </c>
      <c r="D3609" s="6">
        <v>3.9</v>
      </c>
      <c r="E3609" s="6">
        <v>20.0</v>
      </c>
    </row>
    <row r="3610">
      <c r="A3610" s="4" t="s">
        <v>7175</v>
      </c>
      <c r="B3610" s="5" t="s">
        <v>7176</v>
      </c>
      <c r="C3610" s="6">
        <v>3000.0</v>
      </c>
      <c r="D3610" s="6">
        <v>5.0</v>
      </c>
      <c r="E3610" s="6">
        <v>13.0</v>
      </c>
    </row>
    <row r="3611">
      <c r="A3611" s="4" t="s">
        <v>7177</v>
      </c>
      <c r="B3611" s="5" t="s">
        <v>7178</v>
      </c>
      <c r="C3611" s="6">
        <v>3000.0</v>
      </c>
      <c r="D3611" s="6">
        <v>5.0</v>
      </c>
      <c r="E3611" s="6">
        <v>1.0</v>
      </c>
    </row>
    <row r="3612">
      <c r="A3612" s="4" t="s">
        <v>7179</v>
      </c>
      <c r="B3612" s="5" t="s">
        <v>7180</v>
      </c>
      <c r="C3612" s="6">
        <v>3000.0</v>
      </c>
      <c r="D3612" s="6">
        <v>4.194444444</v>
      </c>
      <c r="E3612" s="6">
        <v>36.0</v>
      </c>
    </row>
    <row r="3613">
      <c r="A3613" s="4" t="s">
        <v>7181</v>
      </c>
      <c r="B3613" s="5" t="s">
        <v>7182</v>
      </c>
      <c r="C3613" s="6">
        <v>3000.0</v>
      </c>
      <c r="D3613" s="6">
        <v>4.0</v>
      </c>
      <c r="E3613" s="6">
        <v>2.0</v>
      </c>
    </row>
    <row r="3614">
      <c r="A3614" s="4" t="s">
        <v>7183</v>
      </c>
      <c r="B3614" s="5" t="s">
        <v>7184</v>
      </c>
      <c r="C3614" s="6">
        <v>3000.0</v>
      </c>
      <c r="D3614" s="6">
        <v>3.444444444</v>
      </c>
      <c r="E3614" s="6">
        <v>9.0</v>
      </c>
    </row>
    <row r="3615">
      <c r="A3615" s="4" t="s">
        <v>7185</v>
      </c>
      <c r="B3615" s="5" t="s">
        <v>7186</v>
      </c>
      <c r="C3615" s="6">
        <v>3000.0</v>
      </c>
      <c r="D3615" s="6">
        <v>4.52</v>
      </c>
      <c r="E3615" s="6">
        <v>25.0</v>
      </c>
    </row>
    <row r="3616">
      <c r="A3616" s="4" t="s">
        <v>7187</v>
      </c>
      <c r="B3616" s="5" t="s">
        <v>7188</v>
      </c>
      <c r="C3616" s="6">
        <v>3000.0</v>
      </c>
      <c r="D3616" s="6">
        <v>4.416666667</v>
      </c>
      <c r="E3616" s="6">
        <v>36.0</v>
      </c>
    </row>
    <row r="3617">
      <c r="A3617" s="4" t="s">
        <v>7189</v>
      </c>
      <c r="B3617" s="5" t="s">
        <v>7190</v>
      </c>
      <c r="C3617" s="6">
        <v>3000.0</v>
      </c>
      <c r="D3617" s="6">
        <v>4.533333333</v>
      </c>
      <c r="E3617" s="6">
        <v>15.0</v>
      </c>
    </row>
    <row r="3618">
      <c r="A3618" s="4" t="s">
        <v>7191</v>
      </c>
      <c r="B3618" s="5" t="s">
        <v>7192</v>
      </c>
      <c r="C3618" s="6">
        <v>3000.0</v>
      </c>
      <c r="D3618" s="6">
        <v>4.285714286</v>
      </c>
      <c r="E3618" s="6">
        <v>21.0</v>
      </c>
    </row>
    <row r="3619">
      <c r="A3619" s="4" t="s">
        <v>7193</v>
      </c>
      <c r="B3619" s="5" t="s">
        <v>7194</v>
      </c>
      <c r="C3619" s="6">
        <v>3000.0</v>
      </c>
      <c r="D3619" s="6">
        <v>4.0</v>
      </c>
      <c r="E3619" s="6">
        <v>11.0</v>
      </c>
    </row>
    <row r="3620">
      <c r="A3620" s="4" t="s">
        <v>7195</v>
      </c>
      <c r="B3620" s="5" t="s">
        <v>7196</v>
      </c>
      <c r="C3620" s="6">
        <v>3000.0</v>
      </c>
      <c r="D3620" s="6">
        <v>3.931034483</v>
      </c>
      <c r="E3620" s="6">
        <v>29.0</v>
      </c>
    </row>
    <row r="3621">
      <c r="A3621" s="4" t="s">
        <v>7197</v>
      </c>
      <c r="B3621" s="5" t="s">
        <v>7198</v>
      </c>
      <c r="C3621" s="6">
        <v>3000.0</v>
      </c>
      <c r="D3621" s="6">
        <v>4.871794872</v>
      </c>
      <c r="E3621" s="6">
        <v>39.0</v>
      </c>
    </row>
    <row r="3622">
      <c r="A3622" s="4" t="s">
        <v>7199</v>
      </c>
      <c r="B3622" s="5" t="s">
        <v>7200</v>
      </c>
      <c r="C3622" s="6">
        <v>3000.0</v>
      </c>
      <c r="D3622" s="6">
        <v>3.857142857</v>
      </c>
      <c r="E3622" s="6">
        <v>126.0</v>
      </c>
    </row>
    <row r="3623">
      <c r="A3623" s="4" t="s">
        <v>7201</v>
      </c>
      <c r="B3623" s="5" t="s">
        <v>7202</v>
      </c>
      <c r="C3623" s="6">
        <v>3000.0</v>
      </c>
      <c r="D3623" s="6">
        <v>4.456140351</v>
      </c>
      <c r="E3623" s="6">
        <v>57.0</v>
      </c>
    </row>
    <row r="3624">
      <c r="A3624" s="4" t="s">
        <v>7203</v>
      </c>
      <c r="B3624" s="5" t="s">
        <v>7204</v>
      </c>
      <c r="C3624" s="6">
        <v>3000.0</v>
      </c>
      <c r="D3624" s="6">
        <v>3.8</v>
      </c>
      <c r="E3624" s="6">
        <v>5.0</v>
      </c>
    </row>
    <row r="3625">
      <c r="A3625" s="4" t="s">
        <v>7205</v>
      </c>
      <c r="B3625" s="5" t="s">
        <v>7206</v>
      </c>
      <c r="C3625" s="6">
        <v>3000.0</v>
      </c>
      <c r="D3625" s="6">
        <v>2.333333333</v>
      </c>
      <c r="E3625" s="6">
        <v>21.0</v>
      </c>
    </row>
    <row r="3626">
      <c r="A3626" s="4" t="s">
        <v>7207</v>
      </c>
      <c r="B3626" s="5" t="s">
        <v>7208</v>
      </c>
      <c r="C3626" s="6">
        <v>3000.0</v>
      </c>
      <c r="D3626" s="6">
        <v>4.8</v>
      </c>
      <c r="E3626" s="6">
        <v>5.0</v>
      </c>
    </row>
    <row r="3627">
      <c r="A3627" s="4" t="s">
        <v>7209</v>
      </c>
      <c r="B3627" s="5" t="s">
        <v>7210</v>
      </c>
      <c r="C3627" s="6">
        <v>3000.0</v>
      </c>
      <c r="D3627" s="6">
        <v>4.0</v>
      </c>
      <c r="E3627" s="6">
        <v>49.0</v>
      </c>
    </row>
    <row r="3628">
      <c r="A3628" s="4" t="s">
        <v>7211</v>
      </c>
      <c r="B3628" s="5" t="s">
        <v>7212</v>
      </c>
      <c r="C3628" s="6">
        <v>3000.0</v>
      </c>
      <c r="D3628" s="6">
        <v>3.029411765</v>
      </c>
      <c r="E3628" s="6">
        <v>34.0</v>
      </c>
    </row>
    <row r="3629">
      <c r="A3629" s="4" t="s">
        <v>7213</v>
      </c>
      <c r="B3629" s="5" t="s">
        <v>7214</v>
      </c>
      <c r="C3629" s="6">
        <v>3000.0</v>
      </c>
      <c r="D3629" s="6">
        <v>4.147540984</v>
      </c>
      <c r="E3629" s="6">
        <v>61.0</v>
      </c>
    </row>
    <row r="3630">
      <c r="A3630" s="4" t="s">
        <v>7215</v>
      </c>
      <c r="B3630" s="5" t="s">
        <v>7216</v>
      </c>
      <c r="C3630" s="6">
        <v>3000.0</v>
      </c>
      <c r="D3630" s="6">
        <v>2.266666667</v>
      </c>
      <c r="E3630" s="6">
        <v>15.0</v>
      </c>
    </row>
    <row r="3631">
      <c r="A3631" s="4" t="s">
        <v>7217</v>
      </c>
      <c r="B3631" s="5" t="s">
        <v>7218</v>
      </c>
      <c r="C3631" s="6">
        <v>3000.0</v>
      </c>
      <c r="D3631" s="6">
        <v>4.8</v>
      </c>
      <c r="E3631" s="6">
        <v>5.0</v>
      </c>
    </row>
    <row r="3632">
      <c r="A3632" s="4" t="s">
        <v>7219</v>
      </c>
      <c r="B3632" s="5" t="s">
        <v>7220</v>
      </c>
      <c r="C3632" s="6">
        <v>3000.0</v>
      </c>
      <c r="D3632" s="6">
        <v>5.0</v>
      </c>
      <c r="E3632" s="6">
        <v>3.0</v>
      </c>
    </row>
    <row r="3633">
      <c r="A3633" s="4" t="s">
        <v>7221</v>
      </c>
      <c r="B3633" s="5" t="s">
        <v>7222</v>
      </c>
      <c r="C3633" s="6">
        <v>3000.0</v>
      </c>
      <c r="D3633" s="6">
        <v>5.0</v>
      </c>
      <c r="E3633" s="6">
        <v>1.0</v>
      </c>
    </row>
    <row r="3634">
      <c r="A3634" s="4" t="s">
        <v>7223</v>
      </c>
      <c r="B3634" s="5" t="s">
        <v>7224</v>
      </c>
      <c r="C3634" s="6">
        <v>3000.0</v>
      </c>
      <c r="D3634" s="6">
        <v>4.529411765</v>
      </c>
      <c r="E3634" s="6">
        <v>34.0</v>
      </c>
    </row>
    <row r="3635">
      <c r="A3635" s="4" t="s">
        <v>7225</v>
      </c>
      <c r="B3635" s="5" t="s">
        <v>7226</v>
      </c>
      <c r="C3635" s="6">
        <v>3000.0</v>
      </c>
      <c r="D3635" s="6">
        <v>3.5</v>
      </c>
      <c r="E3635" s="6">
        <v>2.0</v>
      </c>
    </row>
    <row r="3636">
      <c r="A3636" s="4" t="s">
        <v>7227</v>
      </c>
      <c r="B3636" s="5" t="s">
        <v>7228</v>
      </c>
      <c r="C3636" s="6">
        <v>3000.0</v>
      </c>
      <c r="D3636" s="6">
        <v>4.571428571</v>
      </c>
      <c r="E3636" s="6">
        <v>21.0</v>
      </c>
    </row>
    <row r="3637">
      <c r="A3637" s="4" t="s">
        <v>7229</v>
      </c>
      <c r="B3637" s="5" t="s">
        <v>7230</v>
      </c>
      <c r="C3637" s="6">
        <v>3000.0</v>
      </c>
      <c r="D3637" s="6">
        <v>4.8</v>
      </c>
      <c r="E3637" s="6">
        <v>5.0</v>
      </c>
    </row>
    <row r="3638">
      <c r="A3638" s="4" t="s">
        <v>7231</v>
      </c>
      <c r="B3638" s="5" t="s">
        <v>7232</v>
      </c>
      <c r="C3638" s="6">
        <v>3000.0</v>
      </c>
      <c r="D3638" s="6">
        <v>4.552631579</v>
      </c>
      <c r="E3638" s="6">
        <v>38.0</v>
      </c>
    </row>
    <row r="3639">
      <c r="A3639" s="4" t="s">
        <v>7233</v>
      </c>
      <c r="B3639" s="5" t="s">
        <v>7234</v>
      </c>
      <c r="C3639" s="6">
        <v>3000.0</v>
      </c>
      <c r="D3639" s="6">
        <v>3.558139535</v>
      </c>
      <c r="E3639" s="6">
        <v>43.0</v>
      </c>
    </row>
    <row r="3640">
      <c r="A3640" s="4" t="s">
        <v>573</v>
      </c>
      <c r="B3640" s="5" t="s">
        <v>7235</v>
      </c>
      <c r="C3640" s="6">
        <v>3000.0</v>
      </c>
      <c r="D3640" s="6">
        <v>1.0</v>
      </c>
      <c r="E3640" s="6">
        <v>2.0</v>
      </c>
    </row>
    <row r="3641">
      <c r="A3641" s="4" t="s">
        <v>7236</v>
      </c>
      <c r="B3641" s="5" t="s">
        <v>7237</v>
      </c>
      <c r="C3641" s="6">
        <v>3000.0</v>
      </c>
      <c r="D3641" s="6">
        <v>4.333333333</v>
      </c>
      <c r="E3641" s="6">
        <v>6.0</v>
      </c>
    </row>
    <row r="3642">
      <c r="A3642" s="4" t="s">
        <v>7238</v>
      </c>
      <c r="B3642" s="5" t="s">
        <v>7239</v>
      </c>
      <c r="C3642" s="6">
        <v>3000.0</v>
      </c>
      <c r="D3642" s="6">
        <v>4.0</v>
      </c>
      <c r="E3642" s="6">
        <v>4.0</v>
      </c>
    </row>
    <row r="3643">
      <c r="A3643" s="4" t="s">
        <v>7240</v>
      </c>
      <c r="B3643" s="5" t="s">
        <v>7241</v>
      </c>
      <c r="C3643" s="6">
        <v>3000.0</v>
      </c>
      <c r="D3643" s="6">
        <v>4.586206897</v>
      </c>
      <c r="E3643" s="6">
        <v>29.0</v>
      </c>
    </row>
    <row r="3644">
      <c r="A3644" s="4" t="s">
        <v>7242</v>
      </c>
      <c r="B3644" s="5" t="s">
        <v>7243</v>
      </c>
      <c r="C3644" s="6">
        <v>3000.0</v>
      </c>
      <c r="D3644" s="6">
        <v>4.734693878</v>
      </c>
      <c r="E3644" s="6">
        <v>49.0</v>
      </c>
    </row>
    <row r="3645">
      <c r="A3645" s="4" t="s">
        <v>7244</v>
      </c>
      <c r="B3645" s="5" t="s">
        <v>7245</v>
      </c>
      <c r="C3645" s="6">
        <v>3000.0</v>
      </c>
      <c r="D3645" s="6">
        <v>3.777777778</v>
      </c>
      <c r="E3645" s="6">
        <v>9.0</v>
      </c>
    </row>
    <row r="3646">
      <c r="A3646" s="4" t="s">
        <v>7246</v>
      </c>
      <c r="B3646" s="5" t="s">
        <v>7247</v>
      </c>
      <c r="C3646" s="6">
        <v>3000.0</v>
      </c>
      <c r="D3646" s="6">
        <v>3.857142857</v>
      </c>
      <c r="E3646" s="6">
        <v>7.0</v>
      </c>
    </row>
    <row r="3647">
      <c r="A3647" s="4" t="s">
        <v>7248</v>
      </c>
      <c r="B3647" s="5" t="s">
        <v>7249</v>
      </c>
      <c r="C3647" s="6">
        <v>3000.0</v>
      </c>
      <c r="D3647" s="6">
        <v>4.266666667</v>
      </c>
      <c r="E3647" s="6">
        <v>15.0</v>
      </c>
    </row>
    <row r="3648">
      <c r="A3648" s="4" t="s">
        <v>7250</v>
      </c>
      <c r="B3648" s="5" t="s">
        <v>7251</v>
      </c>
      <c r="C3648" s="6">
        <v>3000.0</v>
      </c>
      <c r="D3648" s="6">
        <v>5.0</v>
      </c>
      <c r="E3648" s="6">
        <v>1.0</v>
      </c>
    </row>
    <row r="3649">
      <c r="A3649" s="4" t="s">
        <v>7252</v>
      </c>
      <c r="B3649" s="5" t="s">
        <v>7253</v>
      </c>
      <c r="C3649" s="6">
        <v>3000.0</v>
      </c>
      <c r="D3649" s="6">
        <v>4.206896552</v>
      </c>
      <c r="E3649" s="6">
        <v>58.0</v>
      </c>
    </row>
    <row r="3650">
      <c r="A3650" s="4" t="s">
        <v>7254</v>
      </c>
      <c r="B3650" s="5" t="s">
        <v>7255</v>
      </c>
      <c r="C3650" s="6">
        <v>3000.0</v>
      </c>
      <c r="D3650" s="6">
        <v>3.4</v>
      </c>
      <c r="E3650" s="6">
        <v>10.0</v>
      </c>
    </row>
    <row r="3651">
      <c r="A3651" s="4" t="s">
        <v>7256</v>
      </c>
      <c r="B3651" s="5" t="s">
        <v>7257</v>
      </c>
      <c r="C3651" s="6">
        <v>3000.0</v>
      </c>
      <c r="D3651" s="6">
        <v>4.127906977</v>
      </c>
      <c r="E3651" s="6">
        <v>86.0</v>
      </c>
    </row>
    <row r="3652">
      <c r="A3652" s="4" t="s">
        <v>7258</v>
      </c>
      <c r="B3652" s="5" t="s">
        <v>7259</v>
      </c>
      <c r="C3652" s="6">
        <v>3000.0</v>
      </c>
      <c r="D3652" s="6">
        <v>4.558823529</v>
      </c>
      <c r="E3652" s="6">
        <v>102.0</v>
      </c>
    </row>
    <row r="3653">
      <c r="A3653" s="4" t="s">
        <v>7260</v>
      </c>
      <c r="B3653" s="5" t="s">
        <v>7261</v>
      </c>
      <c r="C3653" s="6">
        <v>3000.0</v>
      </c>
      <c r="D3653" s="6">
        <v>5.0</v>
      </c>
      <c r="E3653" s="6">
        <v>8.0</v>
      </c>
    </row>
    <row r="3654">
      <c r="A3654" s="4" t="s">
        <v>7262</v>
      </c>
      <c r="B3654" s="5" t="s">
        <v>7263</v>
      </c>
      <c r="C3654" s="6">
        <v>3000.0</v>
      </c>
      <c r="D3654" s="6">
        <v>4.034482759</v>
      </c>
      <c r="E3654" s="6">
        <v>29.0</v>
      </c>
    </row>
    <row r="3655">
      <c r="A3655" s="4" t="s">
        <v>7264</v>
      </c>
      <c r="B3655" s="5" t="s">
        <v>7265</v>
      </c>
      <c r="C3655" s="6">
        <v>3000.0</v>
      </c>
      <c r="D3655" s="6">
        <v>4.5</v>
      </c>
      <c r="E3655" s="6">
        <v>8.0</v>
      </c>
    </row>
    <row r="3656">
      <c r="A3656" s="4" t="s">
        <v>7266</v>
      </c>
      <c r="B3656" s="5" t="s">
        <v>7267</v>
      </c>
      <c r="C3656" s="6">
        <v>3000.0</v>
      </c>
      <c r="D3656" s="6">
        <v>4.75</v>
      </c>
      <c r="E3656" s="6">
        <v>4.0</v>
      </c>
    </row>
    <row r="3657">
      <c r="A3657" s="4" t="s">
        <v>7268</v>
      </c>
      <c r="B3657" s="5" t="s">
        <v>7269</v>
      </c>
      <c r="C3657" s="6">
        <v>3000.0</v>
      </c>
      <c r="D3657" s="6">
        <v>4.5</v>
      </c>
      <c r="E3657" s="6">
        <v>14.0</v>
      </c>
    </row>
    <row r="3658">
      <c r="A3658" s="4" t="s">
        <v>7270</v>
      </c>
      <c r="B3658" s="5" t="s">
        <v>7271</v>
      </c>
      <c r="C3658" s="6">
        <v>3000.0</v>
      </c>
      <c r="D3658" s="6">
        <v>5.0</v>
      </c>
      <c r="E3658" s="6">
        <v>3.0</v>
      </c>
    </row>
    <row r="3659">
      <c r="A3659" s="4" t="s">
        <v>7272</v>
      </c>
      <c r="B3659" s="5" t="s">
        <v>7273</v>
      </c>
      <c r="C3659" s="6">
        <v>3000.0</v>
      </c>
      <c r="D3659" s="6">
        <v>5.0</v>
      </c>
      <c r="E3659" s="6">
        <v>2.0</v>
      </c>
    </row>
    <row r="3660">
      <c r="A3660" s="4" t="s">
        <v>7274</v>
      </c>
      <c r="B3660" s="5" t="s">
        <v>7275</v>
      </c>
      <c r="C3660" s="6">
        <v>3000.0</v>
      </c>
      <c r="D3660" s="6">
        <v>4.666666667</v>
      </c>
      <c r="E3660" s="6">
        <v>6.0</v>
      </c>
    </row>
    <row r="3661">
      <c r="A3661" s="4" t="s">
        <v>7276</v>
      </c>
      <c r="B3661" s="5" t="s">
        <v>7277</v>
      </c>
      <c r="C3661" s="6">
        <v>3000.0</v>
      </c>
      <c r="D3661" s="9"/>
      <c r="E3661" s="9"/>
    </row>
    <row r="3662">
      <c r="A3662" s="4" t="s">
        <v>7278</v>
      </c>
      <c r="B3662" s="5" t="s">
        <v>7279</v>
      </c>
      <c r="C3662" s="6">
        <v>3000.0</v>
      </c>
      <c r="D3662" s="6">
        <v>4.357142857</v>
      </c>
      <c r="E3662" s="6">
        <v>28.0</v>
      </c>
    </row>
    <row r="3663">
      <c r="A3663" s="4" t="s">
        <v>7280</v>
      </c>
      <c r="B3663" s="5" t="s">
        <v>7281</v>
      </c>
      <c r="C3663" s="6">
        <v>3000.0</v>
      </c>
      <c r="D3663" s="6">
        <v>4.75</v>
      </c>
      <c r="E3663" s="6">
        <v>4.0</v>
      </c>
    </row>
    <row r="3664">
      <c r="A3664" s="4" t="s">
        <v>7282</v>
      </c>
      <c r="B3664" s="5" t="s">
        <v>7283</v>
      </c>
      <c r="C3664" s="6">
        <v>3000.0</v>
      </c>
      <c r="D3664" s="6">
        <v>3.145833333</v>
      </c>
      <c r="E3664" s="6">
        <v>48.0</v>
      </c>
    </row>
    <row r="3665">
      <c r="A3665" s="4" t="s">
        <v>7284</v>
      </c>
      <c r="B3665" s="5" t="s">
        <v>7285</v>
      </c>
      <c r="C3665" s="6">
        <v>3000.0</v>
      </c>
      <c r="D3665" s="6">
        <v>4.076923077</v>
      </c>
      <c r="E3665" s="6">
        <v>39.0</v>
      </c>
    </row>
    <row r="3666">
      <c r="A3666" s="4" t="s">
        <v>7286</v>
      </c>
      <c r="B3666" s="5" t="s">
        <v>7287</v>
      </c>
      <c r="C3666" s="6">
        <v>3000.0</v>
      </c>
      <c r="D3666" s="6">
        <v>5.0</v>
      </c>
      <c r="E3666" s="6">
        <v>4.0</v>
      </c>
    </row>
    <row r="3667">
      <c r="A3667" s="4" t="s">
        <v>7288</v>
      </c>
      <c r="B3667" s="5" t="s">
        <v>7289</v>
      </c>
      <c r="C3667" s="6">
        <v>3000.0</v>
      </c>
      <c r="D3667" s="6">
        <v>4.211538462</v>
      </c>
      <c r="E3667" s="6">
        <v>52.0</v>
      </c>
    </row>
    <row r="3668">
      <c r="A3668" s="4" t="s">
        <v>7290</v>
      </c>
      <c r="B3668" s="5" t="s">
        <v>7291</v>
      </c>
      <c r="C3668" s="6">
        <v>3000.0</v>
      </c>
      <c r="D3668" s="6">
        <v>4.32</v>
      </c>
      <c r="E3668" s="6">
        <v>25.0</v>
      </c>
    </row>
    <row r="3669">
      <c r="A3669" s="4" t="s">
        <v>7292</v>
      </c>
      <c r="B3669" s="5" t="s">
        <v>7293</v>
      </c>
      <c r="C3669" s="6">
        <v>3000.0</v>
      </c>
      <c r="D3669" s="6">
        <v>4.75</v>
      </c>
      <c r="E3669" s="6">
        <v>16.0</v>
      </c>
    </row>
    <row r="3670">
      <c r="A3670" s="4" t="s">
        <v>7294</v>
      </c>
      <c r="B3670" s="5" t="s">
        <v>7295</v>
      </c>
      <c r="C3670" s="6">
        <v>3000.0</v>
      </c>
      <c r="D3670" s="6">
        <v>3.414893617</v>
      </c>
      <c r="E3670" s="6">
        <v>188.0</v>
      </c>
    </row>
    <row r="3671">
      <c r="A3671" s="4" t="s">
        <v>7296</v>
      </c>
      <c r="B3671" s="5" t="s">
        <v>7297</v>
      </c>
      <c r="C3671" s="6">
        <v>3000.0</v>
      </c>
      <c r="D3671" s="6">
        <v>3.090909091</v>
      </c>
      <c r="E3671" s="6">
        <v>11.0</v>
      </c>
    </row>
    <row r="3672">
      <c r="A3672" s="4" t="s">
        <v>7298</v>
      </c>
      <c r="B3672" s="5" t="s">
        <v>7299</v>
      </c>
      <c r="C3672" s="6">
        <v>3000.0</v>
      </c>
      <c r="D3672" s="6">
        <v>4.933333333</v>
      </c>
      <c r="E3672" s="6">
        <v>150.0</v>
      </c>
    </row>
    <row r="3673">
      <c r="A3673" s="4" t="s">
        <v>7300</v>
      </c>
      <c r="B3673" s="5" t="s">
        <v>7301</v>
      </c>
      <c r="C3673" s="6">
        <v>3000.0</v>
      </c>
      <c r="D3673" s="6">
        <v>3.545454545</v>
      </c>
      <c r="E3673" s="6">
        <v>11.0</v>
      </c>
    </row>
    <row r="3674">
      <c r="A3674" s="4" t="s">
        <v>7302</v>
      </c>
      <c r="B3674" s="5" t="s">
        <v>7303</v>
      </c>
      <c r="C3674" s="6">
        <v>3000.0</v>
      </c>
      <c r="D3674" s="6">
        <v>4.449367089</v>
      </c>
      <c r="E3674" s="6">
        <v>158.0</v>
      </c>
    </row>
    <row r="3675">
      <c r="A3675" s="4" t="s">
        <v>7304</v>
      </c>
      <c r="B3675" s="5" t="s">
        <v>7305</v>
      </c>
      <c r="C3675" s="6">
        <v>3000.0</v>
      </c>
      <c r="D3675" s="6">
        <v>4.901960784</v>
      </c>
      <c r="E3675" s="6">
        <v>51.0</v>
      </c>
    </row>
    <row r="3676">
      <c r="A3676" s="4" t="s">
        <v>7306</v>
      </c>
      <c r="B3676" s="5" t="s">
        <v>7307</v>
      </c>
      <c r="C3676" s="6">
        <v>3000.0</v>
      </c>
      <c r="D3676" s="6">
        <v>4.769230769</v>
      </c>
      <c r="E3676" s="6">
        <v>13.0</v>
      </c>
    </row>
    <row r="3677">
      <c r="A3677" s="4" t="s">
        <v>7308</v>
      </c>
      <c r="B3677" s="5" t="s">
        <v>7309</v>
      </c>
      <c r="C3677" s="6">
        <v>3000.0</v>
      </c>
      <c r="D3677" s="6">
        <v>3.19047619</v>
      </c>
      <c r="E3677" s="6">
        <v>42.0</v>
      </c>
    </row>
    <row r="3678">
      <c r="A3678" s="4" t="s">
        <v>7310</v>
      </c>
      <c r="B3678" s="5" t="s">
        <v>7311</v>
      </c>
      <c r="C3678" s="6">
        <v>3000.0</v>
      </c>
      <c r="D3678" s="6">
        <v>4.181818182</v>
      </c>
      <c r="E3678" s="6">
        <v>22.0</v>
      </c>
    </row>
    <row r="3679">
      <c r="A3679" s="4" t="s">
        <v>7312</v>
      </c>
      <c r="B3679" s="5" t="s">
        <v>7313</v>
      </c>
      <c r="C3679" s="6">
        <v>3000.0</v>
      </c>
      <c r="D3679" s="6">
        <v>2.571428571</v>
      </c>
      <c r="E3679" s="6">
        <v>21.0</v>
      </c>
    </row>
    <row r="3680">
      <c r="A3680" s="4" t="s">
        <v>7314</v>
      </c>
      <c r="B3680" s="5" t="s">
        <v>7315</v>
      </c>
      <c r="C3680" s="6">
        <v>3000.0</v>
      </c>
      <c r="D3680" s="6">
        <v>2.578947368</v>
      </c>
      <c r="E3680" s="6">
        <v>38.0</v>
      </c>
    </row>
    <row r="3681">
      <c r="A3681" s="4" t="s">
        <v>7316</v>
      </c>
      <c r="B3681" s="5" t="s">
        <v>7317</v>
      </c>
      <c r="C3681" s="6">
        <v>3000.0</v>
      </c>
      <c r="D3681" s="6">
        <v>3.714285714</v>
      </c>
      <c r="E3681" s="6">
        <v>7.0</v>
      </c>
    </row>
    <row r="3682">
      <c r="A3682" s="4" t="s">
        <v>7318</v>
      </c>
      <c r="B3682" s="5" t="s">
        <v>7319</v>
      </c>
      <c r="C3682" s="6">
        <v>3000.0</v>
      </c>
      <c r="D3682" s="6">
        <v>3.3</v>
      </c>
      <c r="E3682" s="6">
        <v>10.0</v>
      </c>
    </row>
    <row r="3683">
      <c r="A3683" s="4" t="s">
        <v>249</v>
      </c>
      <c r="B3683" s="5" t="s">
        <v>7320</v>
      </c>
      <c r="C3683" s="6">
        <v>3000.0</v>
      </c>
      <c r="D3683" s="6">
        <v>3.333333333</v>
      </c>
      <c r="E3683" s="6">
        <v>15.0</v>
      </c>
    </row>
    <row r="3684">
      <c r="A3684" s="4" t="s">
        <v>7321</v>
      </c>
      <c r="B3684" s="5" t="s">
        <v>7322</v>
      </c>
      <c r="C3684" s="6">
        <v>3000.0</v>
      </c>
      <c r="D3684" s="6">
        <v>4.454545455</v>
      </c>
      <c r="E3684" s="6">
        <v>11.0</v>
      </c>
    </row>
    <row r="3685">
      <c r="A3685" s="4" t="s">
        <v>7323</v>
      </c>
      <c r="B3685" s="5" t="s">
        <v>7324</v>
      </c>
      <c r="C3685" s="6">
        <v>3000.0</v>
      </c>
      <c r="D3685" s="6">
        <v>4.926829268</v>
      </c>
      <c r="E3685" s="6">
        <v>41.0</v>
      </c>
    </row>
    <row r="3686">
      <c r="A3686" s="4" t="s">
        <v>7325</v>
      </c>
      <c r="B3686" s="5" t="s">
        <v>7326</v>
      </c>
      <c r="C3686" s="6">
        <v>3000.0</v>
      </c>
      <c r="D3686" s="6">
        <v>3.306122449</v>
      </c>
      <c r="E3686" s="6">
        <v>343.0</v>
      </c>
    </row>
    <row r="3687">
      <c r="A3687" s="4" t="s">
        <v>7327</v>
      </c>
      <c r="B3687" s="5" t="s">
        <v>7328</v>
      </c>
      <c r="C3687" s="6">
        <v>3000.0</v>
      </c>
      <c r="D3687" s="6">
        <v>2.029411765</v>
      </c>
      <c r="E3687" s="6">
        <v>68.0</v>
      </c>
    </row>
    <row r="3688">
      <c r="A3688" s="4" t="s">
        <v>7329</v>
      </c>
      <c r="B3688" s="5" t="s">
        <v>7330</v>
      </c>
      <c r="C3688" s="6">
        <v>3000.0</v>
      </c>
      <c r="D3688" s="6">
        <v>2.333333333</v>
      </c>
      <c r="E3688" s="6">
        <v>3.0</v>
      </c>
    </row>
    <row r="3689">
      <c r="A3689" s="4" t="s">
        <v>7331</v>
      </c>
      <c r="B3689" s="5" t="s">
        <v>7332</v>
      </c>
      <c r="C3689" s="6">
        <v>3000.0</v>
      </c>
      <c r="D3689" s="6">
        <v>3.866666667</v>
      </c>
      <c r="E3689" s="6">
        <v>15.0</v>
      </c>
    </row>
    <row r="3690">
      <c r="A3690" s="4" t="s">
        <v>7333</v>
      </c>
      <c r="B3690" s="5" t="s">
        <v>7334</v>
      </c>
      <c r="C3690" s="6">
        <v>3000.0</v>
      </c>
      <c r="D3690" s="6">
        <v>4.571428571</v>
      </c>
      <c r="E3690" s="6">
        <v>14.0</v>
      </c>
    </row>
    <row r="3691">
      <c r="A3691" s="4" t="s">
        <v>7335</v>
      </c>
      <c r="B3691" s="5" t="s">
        <v>7336</v>
      </c>
      <c r="C3691" s="6">
        <v>3000.0</v>
      </c>
      <c r="D3691" s="6">
        <v>4.559241706</v>
      </c>
      <c r="E3691" s="6">
        <v>211.0</v>
      </c>
    </row>
    <row r="3692">
      <c r="A3692" s="4" t="s">
        <v>7337</v>
      </c>
      <c r="B3692" s="12" t="s">
        <v>7338</v>
      </c>
      <c r="C3692" s="7">
        <v>3000.0</v>
      </c>
      <c r="D3692" s="6">
        <v>4.0</v>
      </c>
      <c r="E3692" s="6">
        <v>21.0</v>
      </c>
    </row>
    <row r="3693">
      <c r="A3693" s="4" t="s">
        <v>7339</v>
      </c>
      <c r="B3693" s="5" t="s">
        <v>7340</v>
      </c>
      <c r="C3693" s="6">
        <v>3000.0</v>
      </c>
      <c r="D3693" s="6">
        <v>3.884615385</v>
      </c>
      <c r="E3693" s="6">
        <v>26.0</v>
      </c>
    </row>
    <row r="3694">
      <c r="A3694" s="4" t="s">
        <v>7341</v>
      </c>
      <c r="B3694" s="5" t="s">
        <v>7342</v>
      </c>
      <c r="C3694" s="6">
        <v>3000.0</v>
      </c>
      <c r="D3694" s="6">
        <v>3.951724138</v>
      </c>
      <c r="E3694" s="6">
        <v>145.0</v>
      </c>
    </row>
    <row r="3695">
      <c r="A3695" s="4" t="s">
        <v>7343</v>
      </c>
      <c r="B3695" s="5" t="s">
        <v>7344</v>
      </c>
      <c r="C3695" s="6">
        <v>3000.0</v>
      </c>
      <c r="D3695" s="6">
        <v>3.911764706</v>
      </c>
      <c r="E3695" s="6">
        <v>34.0</v>
      </c>
    </row>
    <row r="3696">
      <c r="A3696" s="4" t="s">
        <v>7345</v>
      </c>
      <c r="B3696" s="5" t="s">
        <v>7346</v>
      </c>
      <c r="C3696" s="6">
        <v>3000.0</v>
      </c>
      <c r="D3696" s="6">
        <v>3.869565217</v>
      </c>
      <c r="E3696" s="6">
        <v>23.0</v>
      </c>
    </row>
    <row r="3697">
      <c r="A3697" s="4" t="s">
        <v>7347</v>
      </c>
      <c r="B3697" s="5" t="s">
        <v>7348</v>
      </c>
      <c r="C3697" s="6">
        <v>3000.0</v>
      </c>
      <c r="D3697" s="9"/>
      <c r="E3697" s="9"/>
    </row>
    <row r="3698">
      <c r="A3698" s="4" t="s">
        <v>7349</v>
      </c>
      <c r="B3698" s="5" t="s">
        <v>7350</v>
      </c>
      <c r="C3698" s="6">
        <v>3000.0</v>
      </c>
      <c r="D3698" s="6">
        <v>3.578947368</v>
      </c>
      <c r="E3698" s="6">
        <v>19.0</v>
      </c>
    </row>
    <row r="3699">
      <c r="A3699" s="4" t="s">
        <v>7351</v>
      </c>
      <c r="B3699" s="5" t="s">
        <v>7352</v>
      </c>
      <c r="C3699" s="6">
        <v>3000.0</v>
      </c>
      <c r="D3699" s="6">
        <v>4.523809524</v>
      </c>
      <c r="E3699" s="6">
        <v>21.0</v>
      </c>
    </row>
    <row r="3700">
      <c r="A3700" s="4" t="s">
        <v>7353</v>
      </c>
      <c r="B3700" s="5" t="s">
        <v>7354</v>
      </c>
      <c r="C3700" s="6">
        <v>3000.0</v>
      </c>
      <c r="D3700" s="6">
        <v>3.5</v>
      </c>
      <c r="E3700" s="6">
        <v>16.0</v>
      </c>
    </row>
    <row r="3701">
      <c r="A3701" s="4" t="s">
        <v>7355</v>
      </c>
      <c r="B3701" s="5" t="s">
        <v>7356</v>
      </c>
      <c r="C3701" s="6">
        <v>3000.0</v>
      </c>
      <c r="D3701" s="6">
        <v>5.0</v>
      </c>
      <c r="E3701" s="6">
        <v>3.0</v>
      </c>
    </row>
    <row r="3702">
      <c r="A3702" s="4" t="s">
        <v>7357</v>
      </c>
      <c r="B3702" s="5" t="s">
        <v>7358</v>
      </c>
      <c r="C3702" s="6">
        <v>3000.0</v>
      </c>
      <c r="D3702" s="6">
        <v>3.140056022</v>
      </c>
      <c r="E3702" s="6">
        <v>357.0</v>
      </c>
    </row>
    <row r="3703">
      <c r="A3703" s="4" t="s">
        <v>7359</v>
      </c>
      <c r="B3703" s="5" t="s">
        <v>7360</v>
      </c>
      <c r="C3703" s="6">
        <v>3000.0</v>
      </c>
      <c r="D3703" s="6">
        <v>4.171875</v>
      </c>
      <c r="E3703" s="6">
        <v>64.0</v>
      </c>
    </row>
    <row r="3704">
      <c r="A3704" s="4" t="s">
        <v>7361</v>
      </c>
      <c r="B3704" s="5" t="s">
        <v>7362</v>
      </c>
      <c r="C3704" s="6">
        <v>3000.0</v>
      </c>
      <c r="D3704" s="6">
        <v>4.578947368</v>
      </c>
      <c r="E3704" s="6">
        <v>38.0</v>
      </c>
    </row>
    <row r="3705">
      <c r="A3705" s="4" t="s">
        <v>7363</v>
      </c>
      <c r="B3705" s="5" t="s">
        <v>7364</v>
      </c>
      <c r="C3705" s="6">
        <v>3000.0</v>
      </c>
      <c r="D3705" s="6">
        <v>5.0</v>
      </c>
      <c r="E3705" s="6">
        <v>1.0</v>
      </c>
    </row>
    <row r="3706">
      <c r="A3706" s="4" t="s">
        <v>7365</v>
      </c>
      <c r="B3706" s="5" t="s">
        <v>7366</v>
      </c>
      <c r="C3706" s="6">
        <v>3000.0</v>
      </c>
      <c r="D3706" s="6">
        <v>4.6</v>
      </c>
      <c r="E3706" s="6">
        <v>20.0</v>
      </c>
    </row>
    <row r="3707">
      <c r="A3707" s="4" t="s">
        <v>7367</v>
      </c>
      <c r="B3707" s="5" t="s">
        <v>7368</v>
      </c>
      <c r="C3707" s="6">
        <v>3000.0</v>
      </c>
      <c r="D3707" s="6">
        <v>4.138888889</v>
      </c>
      <c r="E3707" s="6">
        <v>36.0</v>
      </c>
    </row>
    <row r="3708">
      <c r="A3708" s="4" t="s">
        <v>7369</v>
      </c>
      <c r="B3708" s="5" t="s">
        <v>7370</v>
      </c>
      <c r="C3708" s="6">
        <v>3000.0</v>
      </c>
      <c r="D3708" s="6">
        <v>4.754098361</v>
      </c>
      <c r="E3708" s="6">
        <v>61.0</v>
      </c>
    </row>
    <row r="3709">
      <c r="A3709" s="4" t="s">
        <v>7371</v>
      </c>
      <c r="B3709" s="5" t="s">
        <v>7372</v>
      </c>
      <c r="C3709" s="6">
        <v>3000.0</v>
      </c>
      <c r="D3709" s="6">
        <v>3.583333333</v>
      </c>
      <c r="E3709" s="6">
        <v>12.0</v>
      </c>
    </row>
    <row r="3710">
      <c r="A3710" s="4" t="s">
        <v>7373</v>
      </c>
      <c r="B3710" s="5" t="s">
        <v>7374</v>
      </c>
      <c r="C3710" s="6">
        <v>3000.0</v>
      </c>
      <c r="D3710" s="6">
        <v>1.9</v>
      </c>
      <c r="E3710" s="6">
        <v>10.0</v>
      </c>
    </row>
    <row r="3711">
      <c r="A3711" s="4" t="s">
        <v>7375</v>
      </c>
      <c r="B3711" s="5" t="s">
        <v>7376</v>
      </c>
      <c r="C3711" s="6">
        <v>3000.0</v>
      </c>
      <c r="D3711" s="6">
        <v>4.105263158</v>
      </c>
      <c r="E3711" s="6">
        <v>19.0</v>
      </c>
    </row>
    <row r="3712">
      <c r="A3712" s="4" t="s">
        <v>7377</v>
      </c>
      <c r="B3712" s="5" t="s">
        <v>7378</v>
      </c>
      <c r="C3712" s="6">
        <v>3000.0</v>
      </c>
      <c r="D3712" s="6">
        <v>4.708333333</v>
      </c>
      <c r="E3712" s="6">
        <v>48.0</v>
      </c>
    </row>
    <row r="3713">
      <c r="A3713" s="4" t="s">
        <v>7379</v>
      </c>
      <c r="B3713" s="5" t="s">
        <v>7380</v>
      </c>
      <c r="C3713" s="6">
        <v>3000.0</v>
      </c>
      <c r="D3713" s="6">
        <v>4.372</v>
      </c>
      <c r="E3713" s="6">
        <v>250.0</v>
      </c>
    </row>
    <row r="3714">
      <c r="A3714" s="4" t="s">
        <v>7381</v>
      </c>
      <c r="B3714" s="5" t="s">
        <v>7382</v>
      </c>
      <c r="C3714" s="6">
        <v>3000.0</v>
      </c>
      <c r="D3714" s="6">
        <v>3.933333333</v>
      </c>
      <c r="E3714" s="6">
        <v>15.0</v>
      </c>
    </row>
    <row r="3715">
      <c r="A3715" s="4" t="s">
        <v>7383</v>
      </c>
      <c r="B3715" s="5" t="s">
        <v>7384</v>
      </c>
      <c r="C3715" s="6">
        <v>3000.0</v>
      </c>
      <c r="D3715" s="6">
        <v>4.38028169</v>
      </c>
      <c r="E3715" s="6">
        <v>71.0</v>
      </c>
    </row>
    <row r="3716">
      <c r="A3716" s="4" t="s">
        <v>7385</v>
      </c>
      <c r="B3716" s="5" t="s">
        <v>7386</v>
      </c>
      <c r="C3716" s="6">
        <v>3000.0</v>
      </c>
      <c r="D3716" s="6">
        <v>3.468085106</v>
      </c>
      <c r="E3716" s="6">
        <v>47.0</v>
      </c>
    </row>
    <row r="3717">
      <c r="A3717" s="4" t="s">
        <v>7387</v>
      </c>
      <c r="B3717" s="5" t="s">
        <v>7388</v>
      </c>
      <c r="C3717" s="6">
        <v>3000.0</v>
      </c>
      <c r="D3717" s="6">
        <v>4.342857143</v>
      </c>
      <c r="E3717" s="6">
        <v>35.0</v>
      </c>
    </row>
    <row r="3718">
      <c r="A3718" s="4" t="s">
        <v>7389</v>
      </c>
      <c r="B3718" s="5" t="s">
        <v>7390</v>
      </c>
      <c r="C3718" s="6">
        <v>3000.0</v>
      </c>
      <c r="D3718" s="6">
        <v>4.870775348</v>
      </c>
      <c r="E3718" s="6">
        <v>503.0</v>
      </c>
    </row>
    <row r="3719">
      <c r="A3719" s="4" t="s">
        <v>7391</v>
      </c>
      <c r="B3719" s="5" t="s">
        <v>7392</v>
      </c>
      <c r="C3719" s="6">
        <v>3000.0</v>
      </c>
      <c r="D3719" s="6">
        <v>4.301587302</v>
      </c>
      <c r="E3719" s="6">
        <v>63.0</v>
      </c>
    </row>
    <row r="3720">
      <c r="A3720" s="4" t="s">
        <v>7393</v>
      </c>
      <c r="B3720" s="5" t="s">
        <v>7394</v>
      </c>
      <c r="C3720" s="6">
        <v>3000.0</v>
      </c>
      <c r="D3720" s="6">
        <v>4.169811321</v>
      </c>
      <c r="E3720" s="6">
        <v>53.0</v>
      </c>
    </row>
    <row r="3721">
      <c r="A3721" s="4" t="s">
        <v>7395</v>
      </c>
      <c r="B3721" s="5" t="s">
        <v>7396</v>
      </c>
      <c r="C3721" s="6">
        <v>3000.0</v>
      </c>
      <c r="D3721" s="6">
        <v>3.594594595</v>
      </c>
      <c r="E3721" s="6">
        <v>37.0</v>
      </c>
    </row>
    <row r="3722">
      <c r="A3722" s="4" t="s">
        <v>7397</v>
      </c>
      <c r="B3722" s="5" t="s">
        <v>7398</v>
      </c>
      <c r="C3722" s="6">
        <v>3000.0</v>
      </c>
      <c r="D3722" s="6">
        <v>2.5</v>
      </c>
      <c r="E3722" s="6">
        <v>18.0</v>
      </c>
    </row>
    <row r="3723">
      <c r="A3723" s="4" t="s">
        <v>7399</v>
      </c>
      <c r="B3723" s="5" t="s">
        <v>7400</v>
      </c>
      <c r="C3723" s="6">
        <v>3000.0</v>
      </c>
      <c r="D3723" s="6">
        <v>4.16</v>
      </c>
      <c r="E3723" s="6">
        <v>25.0</v>
      </c>
    </row>
    <row r="3724">
      <c r="A3724" s="4" t="s">
        <v>7401</v>
      </c>
      <c r="B3724" s="5" t="s">
        <v>7402</v>
      </c>
      <c r="C3724" s="6">
        <v>3000.0</v>
      </c>
      <c r="D3724" s="6">
        <v>4.125</v>
      </c>
      <c r="E3724" s="6">
        <v>16.0</v>
      </c>
    </row>
    <row r="3725">
      <c r="A3725" s="4" t="s">
        <v>7403</v>
      </c>
      <c r="B3725" s="5" t="s">
        <v>7404</v>
      </c>
      <c r="C3725" s="6">
        <v>3000.0</v>
      </c>
      <c r="D3725" s="6">
        <v>4.434782609</v>
      </c>
      <c r="E3725" s="6">
        <v>23.0</v>
      </c>
    </row>
    <row r="3726">
      <c r="A3726" s="4" t="s">
        <v>7405</v>
      </c>
      <c r="B3726" s="5" t="s">
        <v>7406</v>
      </c>
      <c r="C3726" s="6">
        <v>3000.0</v>
      </c>
      <c r="D3726" s="6">
        <v>3.772727273</v>
      </c>
      <c r="E3726" s="6">
        <v>44.0</v>
      </c>
    </row>
    <row r="3727">
      <c r="A3727" s="4" t="s">
        <v>7407</v>
      </c>
      <c r="B3727" s="5" t="s">
        <v>7408</v>
      </c>
      <c r="C3727" s="6">
        <v>3000.0</v>
      </c>
      <c r="D3727" s="6">
        <v>4.62745098</v>
      </c>
      <c r="E3727" s="6">
        <v>51.0</v>
      </c>
    </row>
    <row r="3728">
      <c r="A3728" s="4" t="s">
        <v>7409</v>
      </c>
      <c r="B3728" s="5" t="s">
        <v>7410</v>
      </c>
      <c r="C3728" s="6">
        <v>3000.0</v>
      </c>
      <c r="D3728" s="6">
        <v>4.52173913</v>
      </c>
      <c r="E3728" s="6">
        <v>23.0</v>
      </c>
    </row>
    <row r="3729">
      <c r="A3729" s="4" t="s">
        <v>7411</v>
      </c>
      <c r="B3729" s="5" t="s">
        <v>7412</v>
      </c>
      <c r="C3729" s="6">
        <v>3000.0</v>
      </c>
      <c r="D3729" s="6">
        <v>4.8</v>
      </c>
      <c r="E3729" s="6">
        <v>5.0</v>
      </c>
    </row>
    <row r="3730">
      <c r="A3730" s="4" t="s">
        <v>7413</v>
      </c>
      <c r="B3730" s="5" t="s">
        <v>7414</v>
      </c>
      <c r="C3730" s="6">
        <v>3000.0</v>
      </c>
      <c r="D3730" s="6">
        <v>4.617647059</v>
      </c>
      <c r="E3730" s="6">
        <v>34.0</v>
      </c>
    </row>
    <row r="3731">
      <c r="A3731" s="4" t="s">
        <v>7415</v>
      </c>
      <c r="B3731" s="5" t="s">
        <v>7416</v>
      </c>
      <c r="C3731" s="6">
        <v>3000.0</v>
      </c>
      <c r="D3731" s="6">
        <v>4.0</v>
      </c>
      <c r="E3731" s="6">
        <v>1.0</v>
      </c>
    </row>
    <row r="3732">
      <c r="A3732" s="4" t="s">
        <v>7417</v>
      </c>
      <c r="B3732" s="5" t="s">
        <v>7418</v>
      </c>
      <c r="C3732" s="6">
        <v>3000.0</v>
      </c>
      <c r="D3732" s="6">
        <v>4.833333333</v>
      </c>
      <c r="E3732" s="6">
        <v>30.0</v>
      </c>
    </row>
    <row r="3733">
      <c r="A3733" s="4" t="s">
        <v>7419</v>
      </c>
      <c r="B3733" s="5" t="s">
        <v>7420</v>
      </c>
      <c r="C3733" s="6">
        <v>3000.0</v>
      </c>
      <c r="D3733" s="6">
        <v>5.0</v>
      </c>
      <c r="E3733" s="6">
        <v>5.0</v>
      </c>
    </row>
    <row r="3734">
      <c r="A3734" s="4" t="s">
        <v>7421</v>
      </c>
      <c r="B3734" s="5" t="s">
        <v>7422</v>
      </c>
      <c r="C3734" s="6">
        <v>3000.0</v>
      </c>
      <c r="D3734" s="6">
        <v>4.538461538</v>
      </c>
      <c r="E3734" s="6">
        <v>13.0</v>
      </c>
    </row>
    <row r="3735">
      <c r="A3735" s="4" t="s">
        <v>7423</v>
      </c>
      <c r="B3735" s="5" t="s">
        <v>7424</v>
      </c>
      <c r="C3735" s="6">
        <v>3000.0</v>
      </c>
      <c r="D3735" s="6">
        <v>4.220125786</v>
      </c>
      <c r="E3735" s="6">
        <v>159.0</v>
      </c>
    </row>
    <row r="3736">
      <c r="A3736" s="4" t="s">
        <v>7425</v>
      </c>
      <c r="B3736" s="5" t="s">
        <v>7426</v>
      </c>
      <c r="C3736" s="6">
        <v>3000.0</v>
      </c>
      <c r="D3736" s="6">
        <v>5.0</v>
      </c>
      <c r="E3736" s="6">
        <v>1.0</v>
      </c>
    </row>
    <row r="3737">
      <c r="A3737" s="4" t="s">
        <v>7427</v>
      </c>
      <c r="B3737" s="5" t="s">
        <v>7428</v>
      </c>
      <c r="C3737" s="6">
        <v>3000.0</v>
      </c>
      <c r="D3737" s="6">
        <v>3.733333333</v>
      </c>
      <c r="E3737" s="6">
        <v>15.0</v>
      </c>
    </row>
    <row r="3738">
      <c r="A3738" s="4" t="s">
        <v>7429</v>
      </c>
      <c r="B3738" s="5" t="s">
        <v>7430</v>
      </c>
      <c r="C3738" s="6">
        <v>3000.0</v>
      </c>
      <c r="D3738" s="6">
        <v>3.714285714</v>
      </c>
      <c r="E3738" s="6">
        <v>14.0</v>
      </c>
    </row>
    <row r="3739">
      <c r="A3739" s="4" t="s">
        <v>7431</v>
      </c>
      <c r="B3739" s="5" t="s">
        <v>7432</v>
      </c>
      <c r="C3739" s="6">
        <v>3000.0</v>
      </c>
      <c r="D3739" s="6">
        <v>4.385964912</v>
      </c>
      <c r="E3739" s="6">
        <v>57.0</v>
      </c>
    </row>
    <row r="3740">
      <c r="A3740" s="4" t="s">
        <v>7433</v>
      </c>
      <c r="B3740" s="5" t="s">
        <v>7434</v>
      </c>
      <c r="C3740" s="6">
        <v>3000.0</v>
      </c>
      <c r="D3740" s="6">
        <v>1.0</v>
      </c>
      <c r="E3740" s="6">
        <v>3.0</v>
      </c>
    </row>
    <row r="3741">
      <c r="A3741" s="4" t="s">
        <v>7435</v>
      </c>
      <c r="B3741" s="5" t="s">
        <v>7436</v>
      </c>
      <c r="C3741" s="6">
        <v>3000.0</v>
      </c>
      <c r="D3741" s="6">
        <v>1.288888889</v>
      </c>
      <c r="E3741" s="6">
        <v>45.0</v>
      </c>
    </row>
    <row r="3742">
      <c r="A3742" s="4" t="s">
        <v>7437</v>
      </c>
      <c r="B3742" s="5" t="s">
        <v>7438</v>
      </c>
      <c r="C3742" s="6">
        <v>3000.0</v>
      </c>
      <c r="D3742" s="6">
        <v>4.277777778</v>
      </c>
      <c r="E3742" s="6">
        <v>18.0</v>
      </c>
    </row>
    <row r="3743">
      <c r="A3743" s="4" t="s">
        <v>7439</v>
      </c>
      <c r="B3743" s="5" t="s">
        <v>7440</v>
      </c>
      <c r="C3743" s="6">
        <v>3000.0</v>
      </c>
      <c r="D3743" s="6">
        <v>2.6</v>
      </c>
      <c r="E3743" s="6">
        <v>5.0</v>
      </c>
    </row>
    <row r="3744">
      <c r="A3744" s="4" t="s">
        <v>7441</v>
      </c>
      <c r="B3744" s="5" t="s">
        <v>7442</v>
      </c>
      <c r="C3744" s="6">
        <v>3000.0</v>
      </c>
      <c r="D3744" s="6">
        <v>4.846153846</v>
      </c>
      <c r="E3744" s="6">
        <v>13.0</v>
      </c>
    </row>
    <row r="3745">
      <c r="A3745" s="4" t="s">
        <v>7443</v>
      </c>
      <c r="B3745" s="5" t="s">
        <v>7444</v>
      </c>
      <c r="C3745" s="6">
        <v>3000.0</v>
      </c>
      <c r="D3745" s="6">
        <v>5.0</v>
      </c>
      <c r="E3745" s="6">
        <v>5.0</v>
      </c>
    </row>
    <row r="3746">
      <c r="A3746" s="4" t="s">
        <v>7445</v>
      </c>
      <c r="B3746" s="5" t="s">
        <v>7446</v>
      </c>
      <c r="C3746" s="6">
        <v>3000.0</v>
      </c>
      <c r="D3746" s="6">
        <v>4.47826087</v>
      </c>
      <c r="E3746" s="6">
        <v>23.0</v>
      </c>
    </row>
    <row r="3747">
      <c r="A3747" s="4" t="s">
        <v>7447</v>
      </c>
      <c r="B3747" s="5" t="s">
        <v>7448</v>
      </c>
      <c r="C3747" s="6">
        <v>3000.0</v>
      </c>
      <c r="D3747" s="6">
        <v>5.0</v>
      </c>
      <c r="E3747" s="6">
        <v>4.0</v>
      </c>
    </row>
    <row r="3748">
      <c r="A3748" s="4" t="s">
        <v>7449</v>
      </c>
      <c r="B3748" s="5" t="s">
        <v>7450</v>
      </c>
      <c r="C3748" s="6">
        <v>3000.0</v>
      </c>
      <c r="D3748" s="6">
        <v>4.676470588</v>
      </c>
      <c r="E3748" s="6">
        <v>34.0</v>
      </c>
    </row>
    <row r="3749">
      <c r="A3749" s="4" t="s">
        <v>7451</v>
      </c>
      <c r="B3749" s="5" t="s">
        <v>7452</v>
      </c>
      <c r="C3749" s="6">
        <v>3000.0</v>
      </c>
      <c r="D3749" s="6">
        <v>4.6</v>
      </c>
      <c r="E3749" s="6">
        <v>10.0</v>
      </c>
    </row>
    <row r="3750">
      <c r="A3750" s="4" t="s">
        <v>7453</v>
      </c>
      <c r="B3750" s="5" t="s">
        <v>7454</v>
      </c>
      <c r="C3750" s="6">
        <v>3000.0</v>
      </c>
      <c r="D3750" s="6">
        <v>4.675</v>
      </c>
      <c r="E3750" s="6">
        <v>80.0</v>
      </c>
    </row>
    <row r="3751">
      <c r="A3751" s="4" t="s">
        <v>7455</v>
      </c>
      <c r="B3751" s="5" t="s">
        <v>7456</v>
      </c>
      <c r="C3751" s="6">
        <v>3000.0</v>
      </c>
      <c r="D3751" s="6">
        <v>2.6</v>
      </c>
      <c r="E3751" s="6">
        <v>35.0</v>
      </c>
    </row>
    <row r="3752">
      <c r="A3752" s="4" t="s">
        <v>7457</v>
      </c>
      <c r="B3752" s="5" t="s">
        <v>7458</v>
      </c>
      <c r="C3752" s="6">
        <v>3000.0</v>
      </c>
      <c r="D3752" s="6">
        <v>3.611111111</v>
      </c>
      <c r="E3752" s="6">
        <v>36.0</v>
      </c>
    </row>
    <row r="3753">
      <c r="A3753" s="4" t="s">
        <v>7459</v>
      </c>
      <c r="B3753" s="5" t="s">
        <v>7460</v>
      </c>
      <c r="C3753" s="6">
        <v>3000.0</v>
      </c>
      <c r="D3753" s="6">
        <v>2.5625</v>
      </c>
      <c r="E3753" s="6">
        <v>16.0</v>
      </c>
    </row>
    <row r="3754">
      <c r="A3754" s="4" t="s">
        <v>7461</v>
      </c>
      <c r="B3754" s="5" t="s">
        <v>7462</v>
      </c>
      <c r="C3754" s="6">
        <v>3000.0</v>
      </c>
      <c r="D3754" s="6">
        <v>4.395348837</v>
      </c>
      <c r="E3754" s="6">
        <v>43.0</v>
      </c>
    </row>
    <row r="3755">
      <c r="A3755" s="4" t="s">
        <v>7463</v>
      </c>
      <c r="B3755" s="5" t="s">
        <v>7464</v>
      </c>
      <c r="C3755" s="6">
        <v>3000.0</v>
      </c>
      <c r="D3755" s="6">
        <v>4.714285714</v>
      </c>
      <c r="E3755" s="6">
        <v>7.0</v>
      </c>
    </row>
    <row r="3756">
      <c r="A3756" s="4" t="s">
        <v>7465</v>
      </c>
      <c r="B3756" s="5" t="s">
        <v>7466</v>
      </c>
      <c r="C3756" s="6">
        <v>3000.0</v>
      </c>
      <c r="D3756" s="6">
        <v>3.142857143</v>
      </c>
      <c r="E3756" s="6">
        <v>14.0</v>
      </c>
    </row>
    <row r="3757">
      <c r="A3757" s="4" t="s">
        <v>7467</v>
      </c>
      <c r="B3757" s="5" t="s">
        <v>7468</v>
      </c>
      <c r="C3757" s="6">
        <v>3000.0</v>
      </c>
      <c r="D3757" s="6">
        <v>3.0</v>
      </c>
      <c r="E3757" s="6">
        <v>2.0</v>
      </c>
    </row>
    <row r="3758">
      <c r="A3758" s="4" t="s">
        <v>7469</v>
      </c>
      <c r="B3758" s="5" t="s">
        <v>7470</v>
      </c>
      <c r="C3758" s="6">
        <v>3000.0</v>
      </c>
      <c r="D3758" s="6">
        <v>3.466666667</v>
      </c>
      <c r="E3758" s="6">
        <v>15.0</v>
      </c>
    </row>
    <row r="3759">
      <c r="A3759" s="4" t="s">
        <v>7471</v>
      </c>
      <c r="B3759" s="5" t="s">
        <v>7472</v>
      </c>
      <c r="C3759" s="6">
        <v>3000.0</v>
      </c>
      <c r="D3759" s="9"/>
      <c r="E3759" s="9"/>
    </row>
    <row r="3760">
      <c r="A3760" s="4" t="s">
        <v>7473</v>
      </c>
      <c r="B3760" s="5" t="s">
        <v>7474</v>
      </c>
      <c r="C3760" s="6">
        <v>3000.0</v>
      </c>
      <c r="D3760" s="6">
        <v>4.714285714</v>
      </c>
      <c r="E3760" s="6">
        <v>7.0</v>
      </c>
    </row>
    <row r="3761">
      <c r="A3761" s="4" t="s">
        <v>7475</v>
      </c>
      <c r="B3761" s="5" t="s">
        <v>7476</v>
      </c>
      <c r="C3761" s="6">
        <v>3000.0</v>
      </c>
      <c r="D3761" s="6">
        <v>4.260869565</v>
      </c>
      <c r="E3761" s="6">
        <v>23.0</v>
      </c>
    </row>
    <row r="3762">
      <c r="A3762" s="4" t="s">
        <v>7477</v>
      </c>
      <c r="B3762" s="5" t="s">
        <v>7478</v>
      </c>
      <c r="C3762" s="6">
        <v>3000.0</v>
      </c>
      <c r="D3762" s="6">
        <v>5.0</v>
      </c>
      <c r="E3762" s="6">
        <v>5.0</v>
      </c>
    </row>
    <row r="3763">
      <c r="A3763" s="4" t="s">
        <v>7479</v>
      </c>
      <c r="B3763" s="5" t="s">
        <v>7480</v>
      </c>
      <c r="C3763" s="6">
        <v>3000.0</v>
      </c>
      <c r="D3763" s="6">
        <v>4.4</v>
      </c>
      <c r="E3763" s="6">
        <v>10.0</v>
      </c>
    </row>
    <row r="3764">
      <c r="A3764" s="4" t="s">
        <v>7481</v>
      </c>
      <c r="B3764" s="5" t="s">
        <v>7482</v>
      </c>
      <c r="C3764" s="6">
        <v>3000.0</v>
      </c>
      <c r="D3764" s="6">
        <v>4.625</v>
      </c>
      <c r="E3764" s="6">
        <v>8.0</v>
      </c>
    </row>
    <row r="3765">
      <c r="A3765" s="4" t="s">
        <v>7483</v>
      </c>
      <c r="B3765" s="5" t="s">
        <v>7484</v>
      </c>
      <c r="C3765" s="6">
        <v>3000.0</v>
      </c>
      <c r="D3765" s="6">
        <v>4.7</v>
      </c>
      <c r="E3765" s="6">
        <v>10.0</v>
      </c>
    </row>
    <row r="3766">
      <c r="A3766" s="4" t="s">
        <v>7485</v>
      </c>
      <c r="B3766" s="5" t="s">
        <v>7486</v>
      </c>
      <c r="C3766" s="6">
        <v>3000.0</v>
      </c>
      <c r="D3766" s="6">
        <v>4.3125</v>
      </c>
      <c r="E3766" s="6">
        <v>16.0</v>
      </c>
    </row>
    <row r="3767">
      <c r="A3767" s="4" t="s">
        <v>7487</v>
      </c>
      <c r="B3767" s="5" t="s">
        <v>7488</v>
      </c>
      <c r="C3767" s="6">
        <v>3000.0</v>
      </c>
      <c r="D3767" s="6">
        <v>3.928571429</v>
      </c>
      <c r="E3767" s="6">
        <v>14.0</v>
      </c>
    </row>
    <row r="3768">
      <c r="A3768" s="4" t="s">
        <v>7489</v>
      </c>
      <c r="B3768" s="5" t="s">
        <v>7490</v>
      </c>
      <c r="C3768" s="6">
        <v>3000.0</v>
      </c>
      <c r="D3768" s="9"/>
      <c r="E3768" s="9"/>
    </row>
    <row r="3769">
      <c r="A3769" s="4" t="s">
        <v>7491</v>
      </c>
      <c r="B3769" s="5" t="s">
        <v>7492</v>
      </c>
      <c r="C3769" s="6">
        <v>3000.0</v>
      </c>
      <c r="D3769" s="6">
        <v>3.727272727</v>
      </c>
      <c r="E3769" s="6">
        <v>22.0</v>
      </c>
    </row>
    <row r="3770">
      <c r="A3770" s="4" t="s">
        <v>7493</v>
      </c>
      <c r="B3770" s="5" t="s">
        <v>7494</v>
      </c>
      <c r="C3770" s="6">
        <v>3000.0</v>
      </c>
      <c r="D3770" s="6">
        <v>4.0</v>
      </c>
      <c r="E3770" s="6">
        <v>20.0</v>
      </c>
    </row>
    <row r="3771">
      <c r="A3771" s="10" t="s">
        <v>7495</v>
      </c>
      <c r="B3771" s="5" t="s">
        <v>7496</v>
      </c>
      <c r="C3771" s="6">
        <v>3000.0</v>
      </c>
      <c r="D3771" s="6">
        <v>4.673913043</v>
      </c>
      <c r="E3771" s="6">
        <v>46.0</v>
      </c>
    </row>
    <row r="3772">
      <c r="A3772" s="4" t="s">
        <v>7497</v>
      </c>
      <c r="B3772" s="5" t="s">
        <v>7498</v>
      </c>
      <c r="C3772" s="6">
        <v>3000.0</v>
      </c>
      <c r="D3772" s="6">
        <v>4.714285714</v>
      </c>
      <c r="E3772" s="6">
        <v>14.0</v>
      </c>
    </row>
    <row r="3773">
      <c r="A3773" s="4" t="s">
        <v>7499</v>
      </c>
      <c r="B3773" s="5" t="s">
        <v>7500</v>
      </c>
      <c r="C3773" s="6">
        <v>3000.0</v>
      </c>
      <c r="D3773" s="6">
        <v>3.0</v>
      </c>
      <c r="E3773" s="6">
        <v>3.0</v>
      </c>
    </row>
    <row r="3774">
      <c r="A3774" s="4" t="s">
        <v>7501</v>
      </c>
      <c r="B3774" s="5" t="s">
        <v>7502</v>
      </c>
      <c r="C3774" s="6">
        <v>3000.0</v>
      </c>
      <c r="D3774" s="6">
        <v>4.676470588</v>
      </c>
      <c r="E3774" s="6">
        <v>68.0</v>
      </c>
    </row>
    <row r="3775">
      <c r="A3775" s="4" t="s">
        <v>7503</v>
      </c>
      <c r="B3775" s="5" t="s">
        <v>7504</v>
      </c>
      <c r="C3775" s="6">
        <v>3000.0</v>
      </c>
      <c r="D3775" s="6">
        <v>4.534722222</v>
      </c>
      <c r="E3775" s="6">
        <v>144.0</v>
      </c>
    </row>
    <row r="3776">
      <c r="A3776" s="4" t="s">
        <v>7505</v>
      </c>
      <c r="B3776" s="5" t="s">
        <v>7506</v>
      </c>
      <c r="C3776" s="6">
        <v>3000.0</v>
      </c>
      <c r="D3776" s="6">
        <v>3.142857143</v>
      </c>
      <c r="E3776" s="6">
        <v>28.0</v>
      </c>
    </row>
    <row r="3777">
      <c r="A3777" s="4" t="s">
        <v>7507</v>
      </c>
      <c r="B3777" s="5" t="s">
        <v>7508</v>
      </c>
      <c r="C3777" s="6">
        <v>3000.0</v>
      </c>
      <c r="D3777" s="6">
        <v>3.823529412</v>
      </c>
      <c r="E3777" s="6">
        <v>51.0</v>
      </c>
    </row>
    <row r="3778">
      <c r="A3778" s="4" t="s">
        <v>7509</v>
      </c>
      <c r="B3778" s="5" t="s">
        <v>7510</v>
      </c>
      <c r="C3778" s="6">
        <v>3000.0</v>
      </c>
      <c r="D3778" s="6">
        <v>3.0</v>
      </c>
      <c r="E3778" s="6">
        <v>3.0</v>
      </c>
    </row>
    <row r="3779">
      <c r="A3779" s="4" t="s">
        <v>7511</v>
      </c>
      <c r="B3779" s="5" t="s">
        <v>7512</v>
      </c>
      <c r="C3779" s="6">
        <v>3000.0</v>
      </c>
      <c r="D3779" s="6">
        <v>3.0</v>
      </c>
      <c r="E3779" s="6">
        <v>3.0</v>
      </c>
    </row>
    <row r="3780">
      <c r="A3780" s="4" t="s">
        <v>7513</v>
      </c>
      <c r="B3780" s="5" t="s">
        <v>7514</v>
      </c>
      <c r="C3780" s="6">
        <v>3000.0</v>
      </c>
      <c r="D3780" s="6">
        <v>4.701754386</v>
      </c>
      <c r="E3780" s="6">
        <v>57.0</v>
      </c>
    </row>
    <row r="3781">
      <c r="A3781" s="4" t="s">
        <v>7515</v>
      </c>
      <c r="B3781" s="5" t="s">
        <v>7516</v>
      </c>
      <c r="C3781" s="6">
        <v>3000.0</v>
      </c>
      <c r="D3781" s="6">
        <v>4.557692308</v>
      </c>
      <c r="E3781" s="6">
        <v>52.0</v>
      </c>
    </row>
    <row r="3782">
      <c r="A3782" s="4" t="s">
        <v>7517</v>
      </c>
      <c r="B3782" s="5" t="s">
        <v>7518</v>
      </c>
      <c r="C3782" s="6">
        <v>3000.0</v>
      </c>
      <c r="D3782" s="6">
        <v>3.909090909</v>
      </c>
      <c r="E3782" s="6">
        <v>22.0</v>
      </c>
    </row>
    <row r="3783">
      <c r="A3783" s="4" t="s">
        <v>7519</v>
      </c>
      <c r="B3783" s="5" t="s">
        <v>7520</v>
      </c>
      <c r="C3783" s="6">
        <v>3000.0</v>
      </c>
      <c r="D3783" s="6">
        <v>4.25</v>
      </c>
      <c r="E3783" s="6">
        <v>4.0</v>
      </c>
    </row>
    <row r="3784">
      <c r="A3784" s="4" t="s">
        <v>7521</v>
      </c>
      <c r="B3784" s="5" t="s">
        <v>7522</v>
      </c>
      <c r="C3784" s="6">
        <v>3000.0</v>
      </c>
      <c r="D3784" s="6">
        <v>4.143198091</v>
      </c>
      <c r="E3784" s="6">
        <v>419.0</v>
      </c>
    </row>
    <row r="3785">
      <c r="A3785" s="4" t="s">
        <v>7523</v>
      </c>
      <c r="B3785" s="5" t="s">
        <v>7524</v>
      </c>
      <c r="C3785" s="6">
        <v>3000.0</v>
      </c>
      <c r="D3785" s="6">
        <v>4.921568627</v>
      </c>
      <c r="E3785" s="6">
        <v>51.0</v>
      </c>
    </row>
    <row r="3786">
      <c r="A3786" s="4" t="s">
        <v>7525</v>
      </c>
      <c r="B3786" s="5" t="s">
        <v>7526</v>
      </c>
      <c r="C3786" s="6">
        <v>3000.0</v>
      </c>
      <c r="D3786" s="6">
        <v>2.0</v>
      </c>
      <c r="E3786" s="6">
        <v>4.0</v>
      </c>
    </row>
    <row r="3787">
      <c r="A3787" s="4" t="s">
        <v>7527</v>
      </c>
      <c r="B3787" s="5" t="s">
        <v>7528</v>
      </c>
      <c r="C3787" s="6">
        <v>3000.0</v>
      </c>
      <c r="D3787" s="6">
        <v>4.052356021</v>
      </c>
      <c r="E3787" s="6">
        <v>191.0</v>
      </c>
    </row>
    <row r="3788">
      <c r="A3788" s="4" t="s">
        <v>7529</v>
      </c>
      <c r="B3788" s="5" t="s">
        <v>7530</v>
      </c>
      <c r="C3788" s="6">
        <v>3000.0</v>
      </c>
      <c r="D3788" s="6">
        <v>4.535714286</v>
      </c>
      <c r="E3788" s="6">
        <v>56.0</v>
      </c>
    </row>
    <row r="3789">
      <c r="A3789" s="4" t="s">
        <v>7531</v>
      </c>
      <c r="B3789" s="5" t="s">
        <v>7532</v>
      </c>
      <c r="C3789" s="6">
        <v>3000.0</v>
      </c>
      <c r="D3789" s="6">
        <v>4.4</v>
      </c>
      <c r="E3789" s="6">
        <v>5.0</v>
      </c>
    </row>
    <row r="3790">
      <c r="A3790" s="4" t="s">
        <v>7533</v>
      </c>
      <c r="B3790" s="5" t="s">
        <v>7534</v>
      </c>
      <c r="C3790" s="6">
        <v>3000.0</v>
      </c>
      <c r="D3790" s="6">
        <v>3.951219512</v>
      </c>
      <c r="E3790" s="6">
        <v>41.0</v>
      </c>
    </row>
    <row r="3791">
      <c r="A3791" s="4" t="s">
        <v>7535</v>
      </c>
      <c r="B3791" s="5" t="s">
        <v>7536</v>
      </c>
      <c r="C3791" s="6">
        <v>3000.0</v>
      </c>
      <c r="D3791" s="6">
        <v>4.75862069</v>
      </c>
      <c r="E3791" s="6">
        <v>29.0</v>
      </c>
    </row>
    <row r="3792">
      <c r="A3792" s="4" t="s">
        <v>7537</v>
      </c>
      <c r="B3792" s="5" t="s">
        <v>7538</v>
      </c>
      <c r="C3792" s="6">
        <v>3000.0</v>
      </c>
      <c r="D3792" s="6">
        <v>5.0</v>
      </c>
      <c r="E3792" s="6">
        <v>5.0</v>
      </c>
    </row>
    <row r="3793">
      <c r="A3793" s="4" t="s">
        <v>7539</v>
      </c>
      <c r="B3793" s="5" t="s">
        <v>7540</v>
      </c>
      <c r="C3793" s="6">
        <v>3000.0</v>
      </c>
      <c r="D3793" s="6">
        <v>3.909090909</v>
      </c>
      <c r="E3793" s="6">
        <v>11.0</v>
      </c>
    </row>
    <row r="3794">
      <c r="A3794" s="4" t="s">
        <v>7541</v>
      </c>
      <c r="B3794" s="5" t="s">
        <v>7542</v>
      </c>
      <c r="C3794" s="6">
        <v>3000.0</v>
      </c>
      <c r="D3794" s="6">
        <v>4.833333333</v>
      </c>
      <c r="E3794" s="6">
        <v>18.0</v>
      </c>
    </row>
    <row r="3795">
      <c r="A3795" s="4" t="s">
        <v>7543</v>
      </c>
      <c r="B3795" s="5" t="s">
        <v>7544</v>
      </c>
      <c r="C3795" s="6">
        <v>3000.0</v>
      </c>
      <c r="D3795" s="6">
        <v>4.80952381</v>
      </c>
      <c r="E3795" s="6">
        <v>21.0</v>
      </c>
    </row>
    <row r="3796">
      <c r="A3796" s="4" t="s">
        <v>7545</v>
      </c>
      <c r="B3796" s="5" t="s">
        <v>7546</v>
      </c>
      <c r="C3796" s="6">
        <v>3000.0</v>
      </c>
      <c r="D3796" s="6">
        <v>3.571428571</v>
      </c>
      <c r="E3796" s="6">
        <v>7.0</v>
      </c>
    </row>
    <row r="3797">
      <c r="A3797" s="4" t="s">
        <v>7547</v>
      </c>
      <c r="B3797" s="5" t="s">
        <v>7548</v>
      </c>
      <c r="C3797" s="6">
        <v>3000.0</v>
      </c>
      <c r="D3797" s="6">
        <v>4.285714286</v>
      </c>
      <c r="E3797" s="6">
        <v>7.0</v>
      </c>
    </row>
    <row r="3798">
      <c r="A3798" s="4" t="s">
        <v>7549</v>
      </c>
      <c r="B3798" s="5" t="s">
        <v>7550</v>
      </c>
      <c r="C3798" s="6">
        <v>3000.0</v>
      </c>
      <c r="D3798" s="9"/>
      <c r="E3798" s="9"/>
    </row>
    <row r="3799">
      <c r="A3799" s="4" t="s">
        <v>7551</v>
      </c>
      <c r="B3799" s="5" t="s">
        <v>7552</v>
      </c>
      <c r="C3799" s="6">
        <v>3000.0</v>
      </c>
      <c r="D3799" s="6">
        <v>4.0</v>
      </c>
      <c r="E3799" s="6">
        <v>4.0</v>
      </c>
    </row>
    <row r="3800">
      <c r="A3800" s="4" t="s">
        <v>7553</v>
      </c>
      <c r="B3800" s="5" t="s">
        <v>7554</v>
      </c>
      <c r="C3800" s="6">
        <v>3000.0</v>
      </c>
      <c r="D3800" s="6">
        <v>2.285714286</v>
      </c>
      <c r="E3800" s="6">
        <v>7.0</v>
      </c>
    </row>
    <row r="3801">
      <c r="A3801" s="4" t="s">
        <v>7555</v>
      </c>
      <c r="B3801" s="5" t="s">
        <v>7556</v>
      </c>
      <c r="C3801" s="6">
        <v>3000.0</v>
      </c>
      <c r="D3801" s="6">
        <v>4.769230769</v>
      </c>
      <c r="E3801" s="6">
        <v>13.0</v>
      </c>
    </row>
    <row r="3802">
      <c r="A3802" s="4" t="s">
        <v>7557</v>
      </c>
      <c r="B3802" s="5" t="s">
        <v>7558</v>
      </c>
      <c r="C3802" s="6">
        <v>3000.0</v>
      </c>
      <c r="D3802" s="6">
        <v>3.952380952</v>
      </c>
      <c r="E3802" s="6">
        <v>21.0</v>
      </c>
    </row>
    <row r="3803">
      <c r="A3803" s="4" t="s">
        <v>7559</v>
      </c>
      <c r="B3803" s="5" t="s">
        <v>7560</v>
      </c>
      <c r="C3803" s="6">
        <v>3000.0</v>
      </c>
      <c r="D3803" s="6">
        <v>4.115789474</v>
      </c>
      <c r="E3803" s="6">
        <v>95.0</v>
      </c>
    </row>
    <row r="3804">
      <c r="A3804" s="4" t="s">
        <v>7561</v>
      </c>
      <c r="B3804" s="5" t="s">
        <v>7562</v>
      </c>
      <c r="C3804" s="6">
        <v>3000.0</v>
      </c>
      <c r="D3804" s="6">
        <v>4.253968254</v>
      </c>
      <c r="E3804" s="6">
        <v>63.0</v>
      </c>
    </row>
    <row r="3805">
      <c r="A3805" s="4" t="s">
        <v>7563</v>
      </c>
      <c r="B3805" s="5" t="s">
        <v>7564</v>
      </c>
      <c r="C3805" s="6">
        <v>3000.0</v>
      </c>
      <c r="D3805" s="6">
        <v>3.0</v>
      </c>
      <c r="E3805" s="6">
        <v>2.0</v>
      </c>
    </row>
    <row r="3806">
      <c r="A3806" s="4" t="s">
        <v>7565</v>
      </c>
      <c r="B3806" s="5" t="s">
        <v>7566</v>
      </c>
      <c r="C3806" s="6">
        <v>3000.0</v>
      </c>
      <c r="D3806" s="6">
        <v>4.7</v>
      </c>
      <c r="E3806" s="6">
        <v>10.0</v>
      </c>
    </row>
    <row r="3807">
      <c r="A3807" s="4" t="s">
        <v>7567</v>
      </c>
      <c r="B3807" s="5" t="s">
        <v>7568</v>
      </c>
      <c r="C3807" s="6">
        <v>3000.0</v>
      </c>
      <c r="D3807" s="6">
        <v>3.409090909</v>
      </c>
      <c r="E3807" s="6">
        <v>22.0</v>
      </c>
    </row>
    <row r="3808">
      <c r="A3808" s="4" t="s">
        <v>7569</v>
      </c>
      <c r="B3808" s="5" t="s">
        <v>7570</v>
      </c>
      <c r="C3808" s="6">
        <v>3000.0</v>
      </c>
      <c r="D3808" s="6">
        <v>2.839285714</v>
      </c>
      <c r="E3808" s="6">
        <v>56.0</v>
      </c>
    </row>
    <row r="3809">
      <c r="A3809" s="4" t="s">
        <v>7571</v>
      </c>
      <c r="B3809" s="5" t="s">
        <v>7572</v>
      </c>
      <c r="C3809" s="6">
        <v>3000.0</v>
      </c>
      <c r="D3809" s="6">
        <v>4.6875</v>
      </c>
      <c r="E3809" s="6">
        <v>16.0</v>
      </c>
    </row>
    <row r="3810">
      <c r="A3810" s="4" t="s">
        <v>7573</v>
      </c>
      <c r="B3810" s="5" t="s">
        <v>7574</v>
      </c>
      <c r="C3810" s="6">
        <v>3000.0</v>
      </c>
      <c r="D3810" s="6">
        <v>5.0</v>
      </c>
      <c r="E3810" s="6">
        <v>2.0</v>
      </c>
    </row>
    <row r="3811">
      <c r="A3811" s="4" t="s">
        <v>7575</v>
      </c>
      <c r="B3811" s="5" t="s">
        <v>7576</v>
      </c>
      <c r="C3811" s="6">
        <v>3000.0</v>
      </c>
      <c r="D3811" s="6">
        <v>4.888888889</v>
      </c>
      <c r="E3811" s="6">
        <v>36.0</v>
      </c>
    </row>
    <row r="3812">
      <c r="A3812" s="4" t="s">
        <v>7577</v>
      </c>
      <c r="B3812" s="5" t="s">
        <v>7578</v>
      </c>
      <c r="C3812" s="6">
        <v>3000.0</v>
      </c>
      <c r="D3812" s="6">
        <v>5.0</v>
      </c>
      <c r="E3812" s="6">
        <v>3.0</v>
      </c>
    </row>
    <row r="3813">
      <c r="A3813" s="4" t="s">
        <v>7579</v>
      </c>
      <c r="B3813" s="5" t="s">
        <v>7580</v>
      </c>
      <c r="C3813" s="6">
        <v>3000.0</v>
      </c>
      <c r="D3813" s="6">
        <v>4.480769231</v>
      </c>
      <c r="E3813" s="6">
        <v>52.0</v>
      </c>
    </row>
    <row r="3814">
      <c r="A3814" s="4" t="s">
        <v>7581</v>
      </c>
      <c r="B3814" s="5" t="s">
        <v>7582</v>
      </c>
      <c r="C3814" s="6">
        <v>3000.0</v>
      </c>
      <c r="D3814" s="6">
        <v>2.266666667</v>
      </c>
      <c r="E3814" s="6">
        <v>15.0</v>
      </c>
    </row>
    <row r="3815">
      <c r="A3815" s="4" t="s">
        <v>7583</v>
      </c>
      <c r="B3815" s="5" t="s">
        <v>7584</v>
      </c>
      <c r="C3815" s="6">
        <v>3000.0</v>
      </c>
      <c r="D3815" s="6">
        <v>3.357142857</v>
      </c>
      <c r="E3815" s="6">
        <v>28.0</v>
      </c>
    </row>
    <row r="3816">
      <c r="A3816" s="4" t="s">
        <v>7585</v>
      </c>
      <c r="B3816" s="5" t="s">
        <v>7586</v>
      </c>
      <c r="C3816" s="6">
        <v>3000.0</v>
      </c>
      <c r="D3816" s="6">
        <v>3.666666667</v>
      </c>
      <c r="E3816" s="6">
        <v>12.0</v>
      </c>
    </row>
    <row r="3817">
      <c r="A3817" s="4" t="s">
        <v>7587</v>
      </c>
      <c r="B3817" s="5" t="s">
        <v>7588</v>
      </c>
      <c r="C3817" s="6">
        <v>3000.0</v>
      </c>
      <c r="D3817" s="6">
        <v>4.285714286</v>
      </c>
      <c r="E3817" s="6">
        <v>14.0</v>
      </c>
    </row>
    <row r="3818">
      <c r="A3818" s="4" t="s">
        <v>7589</v>
      </c>
      <c r="B3818" s="5" t="s">
        <v>7590</v>
      </c>
      <c r="C3818" s="6">
        <v>3000.0</v>
      </c>
      <c r="D3818" s="6">
        <v>4.028169014</v>
      </c>
      <c r="E3818" s="6">
        <v>142.0</v>
      </c>
    </row>
    <row r="3819">
      <c r="A3819" s="4" t="s">
        <v>7591</v>
      </c>
      <c r="B3819" s="5" t="s">
        <v>7592</v>
      </c>
      <c r="C3819" s="6">
        <v>3000.0</v>
      </c>
      <c r="D3819" s="6">
        <v>3.526315789</v>
      </c>
      <c r="E3819" s="6">
        <v>19.0</v>
      </c>
    </row>
    <row r="3820">
      <c r="A3820" s="4" t="s">
        <v>7593</v>
      </c>
      <c r="B3820" s="5" t="s">
        <v>7594</v>
      </c>
      <c r="C3820" s="6">
        <v>3000.0</v>
      </c>
      <c r="D3820" s="6">
        <v>4.826086957</v>
      </c>
      <c r="E3820" s="6">
        <v>23.0</v>
      </c>
    </row>
    <row r="3821">
      <c r="A3821" s="4" t="s">
        <v>7595</v>
      </c>
      <c r="B3821" s="5" t="s">
        <v>7596</v>
      </c>
      <c r="C3821" s="6">
        <v>3000.0</v>
      </c>
      <c r="D3821" s="6">
        <v>4.5</v>
      </c>
      <c r="E3821" s="6">
        <v>10.0</v>
      </c>
    </row>
    <row r="3822">
      <c r="A3822" s="4" t="s">
        <v>7597</v>
      </c>
      <c r="B3822" s="5" t="s">
        <v>7598</v>
      </c>
      <c r="C3822" s="6">
        <v>3000.0</v>
      </c>
      <c r="D3822" s="6">
        <v>3.285714286</v>
      </c>
      <c r="E3822" s="6">
        <v>35.0</v>
      </c>
    </row>
    <row r="3823">
      <c r="A3823" s="4" t="s">
        <v>7599</v>
      </c>
      <c r="B3823" s="5" t="s">
        <v>7600</v>
      </c>
      <c r="C3823" s="6">
        <v>3000.0</v>
      </c>
      <c r="D3823" s="6">
        <v>2.9375</v>
      </c>
      <c r="E3823" s="6">
        <v>16.0</v>
      </c>
    </row>
    <row r="3824">
      <c r="A3824" s="4" t="s">
        <v>7601</v>
      </c>
      <c r="B3824" s="5" t="s">
        <v>7602</v>
      </c>
      <c r="C3824" s="6">
        <v>3000.0</v>
      </c>
      <c r="D3824" s="6">
        <v>2.842105263</v>
      </c>
      <c r="E3824" s="6">
        <v>19.0</v>
      </c>
    </row>
    <row r="3825">
      <c r="A3825" s="4" t="s">
        <v>7603</v>
      </c>
      <c r="B3825" s="5" t="s">
        <v>7604</v>
      </c>
      <c r="C3825" s="6">
        <v>3000.0</v>
      </c>
      <c r="D3825" s="6">
        <v>3.642857143</v>
      </c>
      <c r="E3825" s="6">
        <v>14.0</v>
      </c>
    </row>
    <row r="3826">
      <c r="A3826" s="4" t="s">
        <v>7605</v>
      </c>
      <c r="B3826" s="5" t="s">
        <v>7606</v>
      </c>
      <c r="C3826" s="6">
        <v>3000.0</v>
      </c>
      <c r="D3826" s="6">
        <v>4.941176471</v>
      </c>
      <c r="E3826" s="6">
        <v>17.0</v>
      </c>
    </row>
    <row r="3827">
      <c r="A3827" s="4" t="s">
        <v>7607</v>
      </c>
      <c r="B3827" s="5" t="s">
        <v>7608</v>
      </c>
      <c r="C3827" s="6">
        <v>3000.0</v>
      </c>
      <c r="D3827" s="6">
        <v>5.0</v>
      </c>
      <c r="E3827" s="6">
        <v>1.0</v>
      </c>
    </row>
    <row r="3828">
      <c r="A3828" s="4" t="s">
        <v>7609</v>
      </c>
      <c r="B3828" s="5" t="s">
        <v>7610</v>
      </c>
      <c r="C3828" s="6">
        <v>3000.0</v>
      </c>
      <c r="D3828" s="6">
        <v>3.931034483</v>
      </c>
      <c r="E3828" s="6">
        <v>29.0</v>
      </c>
    </row>
    <row r="3829">
      <c r="A3829" s="4" t="s">
        <v>7611</v>
      </c>
      <c r="B3829" s="5" t="s">
        <v>7612</v>
      </c>
      <c r="C3829" s="6">
        <v>3000.0</v>
      </c>
      <c r="D3829" s="6">
        <v>3.0</v>
      </c>
      <c r="E3829" s="6">
        <v>34.0</v>
      </c>
    </row>
    <row r="3830">
      <c r="A3830" s="4" t="s">
        <v>7613</v>
      </c>
      <c r="B3830" s="5" t="s">
        <v>7614</v>
      </c>
      <c r="C3830" s="6">
        <v>3000.0</v>
      </c>
      <c r="D3830" s="6">
        <v>3.850094877</v>
      </c>
      <c r="E3830" s="6">
        <v>527.0</v>
      </c>
    </row>
    <row r="3831">
      <c r="A3831" s="4" t="s">
        <v>7615</v>
      </c>
      <c r="B3831" s="5" t="s">
        <v>7616</v>
      </c>
      <c r="C3831" s="6">
        <v>3000.0</v>
      </c>
      <c r="D3831" s="6">
        <v>4.083333333</v>
      </c>
      <c r="E3831" s="6">
        <v>12.0</v>
      </c>
    </row>
    <row r="3832">
      <c r="A3832" s="4" t="s">
        <v>7617</v>
      </c>
      <c r="B3832" s="5" t="s">
        <v>7618</v>
      </c>
      <c r="C3832" s="6">
        <v>3000.0</v>
      </c>
      <c r="D3832" s="6">
        <v>3.671875</v>
      </c>
      <c r="E3832" s="6">
        <v>64.0</v>
      </c>
    </row>
    <row r="3833">
      <c r="A3833" s="4" t="s">
        <v>7619</v>
      </c>
      <c r="B3833" s="5" t="s">
        <v>7620</v>
      </c>
      <c r="C3833" s="6">
        <v>3000.0</v>
      </c>
      <c r="D3833" s="6">
        <v>4.5</v>
      </c>
      <c r="E3833" s="6">
        <v>6.0</v>
      </c>
    </row>
    <row r="3834">
      <c r="A3834" s="4" t="s">
        <v>7621</v>
      </c>
      <c r="B3834" s="5" t="s">
        <v>7622</v>
      </c>
      <c r="C3834" s="6">
        <v>3000.0</v>
      </c>
      <c r="D3834" s="6">
        <v>1.5</v>
      </c>
      <c r="E3834" s="6">
        <v>2.0</v>
      </c>
    </row>
    <row r="3835">
      <c r="A3835" s="4" t="s">
        <v>7623</v>
      </c>
      <c r="B3835" s="5" t="s">
        <v>7624</v>
      </c>
      <c r="C3835" s="6">
        <v>3000.0</v>
      </c>
      <c r="D3835" s="6">
        <v>3.054054054</v>
      </c>
      <c r="E3835" s="6">
        <v>37.0</v>
      </c>
    </row>
    <row r="3836">
      <c r="A3836" s="4" t="s">
        <v>7625</v>
      </c>
      <c r="B3836" s="5" t="s">
        <v>7626</v>
      </c>
      <c r="C3836" s="6">
        <v>3000.0</v>
      </c>
      <c r="D3836" s="6">
        <v>4.791666667</v>
      </c>
      <c r="E3836" s="6">
        <v>24.0</v>
      </c>
    </row>
    <row r="3837">
      <c r="A3837" s="4" t="s">
        <v>7627</v>
      </c>
      <c r="B3837" s="5" t="s">
        <v>7628</v>
      </c>
      <c r="C3837" s="6">
        <v>3000.0</v>
      </c>
      <c r="D3837" s="6">
        <v>5.0</v>
      </c>
      <c r="E3837" s="6">
        <v>8.0</v>
      </c>
    </row>
    <row r="3838">
      <c r="A3838" s="4" t="s">
        <v>7629</v>
      </c>
      <c r="B3838" s="5" t="s">
        <v>7630</v>
      </c>
      <c r="C3838" s="6">
        <v>3000.0</v>
      </c>
      <c r="D3838" s="6">
        <v>3.05</v>
      </c>
      <c r="E3838" s="6">
        <v>20.0</v>
      </c>
    </row>
    <row r="3839">
      <c r="A3839" s="4" t="s">
        <v>7631</v>
      </c>
      <c r="B3839" s="5" t="s">
        <v>7632</v>
      </c>
      <c r="C3839" s="6">
        <v>3000.0</v>
      </c>
      <c r="D3839" s="6">
        <v>2.346153846</v>
      </c>
      <c r="E3839" s="6">
        <v>26.0</v>
      </c>
    </row>
    <row r="3840">
      <c r="A3840" s="4" t="s">
        <v>7633</v>
      </c>
      <c r="B3840" s="5" t="s">
        <v>7634</v>
      </c>
      <c r="C3840" s="6">
        <v>3000.0</v>
      </c>
      <c r="D3840" s="6">
        <v>3.6</v>
      </c>
      <c r="E3840" s="6">
        <v>5.0</v>
      </c>
    </row>
    <row r="3841">
      <c r="A3841" s="4" t="s">
        <v>7635</v>
      </c>
      <c r="B3841" s="5" t="s">
        <v>7636</v>
      </c>
      <c r="C3841" s="6">
        <v>3000.0</v>
      </c>
      <c r="D3841" s="6">
        <v>4.454545455</v>
      </c>
      <c r="E3841" s="6">
        <v>22.0</v>
      </c>
    </row>
    <row r="3842">
      <c r="A3842" s="4" t="s">
        <v>7637</v>
      </c>
      <c r="B3842" s="5" t="s">
        <v>7638</v>
      </c>
      <c r="C3842" s="6">
        <v>3000.0</v>
      </c>
      <c r="D3842" s="6">
        <v>4.986666667</v>
      </c>
      <c r="E3842" s="6">
        <v>75.0</v>
      </c>
    </row>
    <row r="3843">
      <c r="A3843" s="4" t="s">
        <v>7639</v>
      </c>
      <c r="B3843" s="5" t="s">
        <v>7640</v>
      </c>
      <c r="C3843" s="6">
        <v>3000.0</v>
      </c>
      <c r="D3843" s="6">
        <v>5.0</v>
      </c>
      <c r="E3843" s="6">
        <v>3.0</v>
      </c>
    </row>
    <row r="3844">
      <c r="A3844" s="4" t="s">
        <v>7641</v>
      </c>
      <c r="B3844" s="5" t="s">
        <v>7642</v>
      </c>
      <c r="C3844" s="6">
        <v>3000.0</v>
      </c>
      <c r="D3844" s="6">
        <v>4.571428571</v>
      </c>
      <c r="E3844" s="6">
        <v>14.0</v>
      </c>
    </row>
    <row r="3845">
      <c r="A3845" s="4" t="s">
        <v>7643</v>
      </c>
      <c r="B3845" s="5" t="s">
        <v>7644</v>
      </c>
      <c r="C3845" s="6">
        <v>3000.0</v>
      </c>
      <c r="D3845" s="6">
        <v>4.837837838</v>
      </c>
      <c r="E3845" s="6">
        <v>37.0</v>
      </c>
    </row>
    <row r="3846">
      <c r="A3846" s="4" t="s">
        <v>7645</v>
      </c>
      <c r="B3846" s="5" t="s">
        <v>7646</v>
      </c>
      <c r="C3846" s="6">
        <v>3000.0</v>
      </c>
      <c r="D3846" s="6">
        <v>3.385964912</v>
      </c>
      <c r="E3846" s="6">
        <v>57.0</v>
      </c>
    </row>
    <row r="3847">
      <c r="A3847" s="4" t="s">
        <v>7647</v>
      </c>
      <c r="B3847" s="5" t="s">
        <v>7648</v>
      </c>
      <c r="C3847" s="6">
        <v>3000.0</v>
      </c>
      <c r="D3847" s="6">
        <v>2.875</v>
      </c>
      <c r="E3847" s="6">
        <v>16.0</v>
      </c>
    </row>
    <row r="3848">
      <c r="A3848" s="4" t="s">
        <v>7649</v>
      </c>
      <c r="B3848" s="5" t="s">
        <v>7650</v>
      </c>
      <c r="C3848" s="6">
        <v>3000.0</v>
      </c>
      <c r="D3848" s="6">
        <v>5.0</v>
      </c>
      <c r="E3848" s="6">
        <v>8.0</v>
      </c>
    </row>
    <row r="3849">
      <c r="A3849" s="4" t="s">
        <v>7651</v>
      </c>
      <c r="B3849" s="5" t="s">
        <v>7652</v>
      </c>
      <c r="C3849" s="6">
        <v>3000.0</v>
      </c>
      <c r="D3849" s="6">
        <v>4.409090909</v>
      </c>
      <c r="E3849" s="6">
        <v>22.0</v>
      </c>
    </row>
    <row r="3850">
      <c r="A3850" s="4" t="s">
        <v>7653</v>
      </c>
      <c r="B3850" s="5" t="s">
        <v>7654</v>
      </c>
      <c r="C3850" s="6">
        <v>3000.0</v>
      </c>
      <c r="D3850" s="6">
        <v>5.0</v>
      </c>
      <c r="E3850" s="6">
        <v>1.0</v>
      </c>
    </row>
    <row r="3851">
      <c r="A3851" s="4" t="s">
        <v>7655</v>
      </c>
      <c r="B3851" s="5" t="s">
        <v>7656</v>
      </c>
      <c r="C3851" s="6">
        <v>3000.0</v>
      </c>
      <c r="D3851" s="6">
        <v>4.654761905</v>
      </c>
      <c r="E3851" s="6">
        <v>84.0</v>
      </c>
    </row>
    <row r="3852">
      <c r="A3852" s="4" t="s">
        <v>7657</v>
      </c>
      <c r="B3852" s="5" t="s">
        <v>7658</v>
      </c>
      <c r="C3852" s="7">
        <v>2000.0</v>
      </c>
      <c r="D3852" s="6">
        <v>4.5</v>
      </c>
      <c r="E3852" s="6">
        <v>23.0</v>
      </c>
    </row>
    <row r="3853">
      <c r="A3853" s="4" t="s">
        <v>7659</v>
      </c>
      <c r="B3853" s="5" t="s">
        <v>7660</v>
      </c>
      <c r="C3853" s="7">
        <v>2000.0</v>
      </c>
      <c r="D3853" s="6">
        <v>4.9</v>
      </c>
      <c r="E3853" s="6">
        <v>287.0</v>
      </c>
    </row>
    <row r="3854">
      <c r="A3854" s="4" t="s">
        <v>7661</v>
      </c>
      <c r="B3854" s="5" t="s">
        <v>7662</v>
      </c>
      <c r="C3854" s="7">
        <v>2000.0</v>
      </c>
      <c r="D3854" s="6">
        <v>3.5</v>
      </c>
      <c r="E3854" s="6">
        <v>8.0</v>
      </c>
    </row>
    <row r="3855">
      <c r="A3855" s="4" t="s">
        <v>7663</v>
      </c>
      <c r="B3855" s="8" t="s">
        <v>7664</v>
      </c>
      <c r="C3855" s="6">
        <v>2000.0</v>
      </c>
      <c r="D3855" s="6">
        <v>3.75</v>
      </c>
      <c r="E3855" s="6">
        <v>8.0</v>
      </c>
    </row>
    <row r="3856">
      <c r="A3856" s="4" t="s">
        <v>7665</v>
      </c>
      <c r="B3856" s="5" t="s">
        <v>7666</v>
      </c>
      <c r="C3856" s="6">
        <v>2000.0</v>
      </c>
      <c r="D3856" s="6">
        <v>3.622222222</v>
      </c>
      <c r="E3856" s="6">
        <v>45.0</v>
      </c>
    </row>
    <row r="3857">
      <c r="A3857" s="4" t="s">
        <v>7667</v>
      </c>
      <c r="B3857" s="5" t="s">
        <v>7668</v>
      </c>
      <c r="C3857" s="6">
        <v>2000.0</v>
      </c>
      <c r="D3857" s="6">
        <v>4.185185185</v>
      </c>
      <c r="E3857" s="6">
        <v>27.0</v>
      </c>
    </row>
    <row r="3858">
      <c r="A3858" s="4" t="s">
        <v>7669</v>
      </c>
      <c r="B3858" s="5" t="s">
        <v>7670</v>
      </c>
      <c r="C3858" s="6">
        <v>2000.0</v>
      </c>
      <c r="D3858" s="6">
        <v>4.195121951</v>
      </c>
      <c r="E3858" s="6">
        <v>41.0</v>
      </c>
    </row>
    <row r="3859">
      <c r="A3859" s="4" t="s">
        <v>7671</v>
      </c>
      <c r="B3859" s="5" t="s">
        <v>7672</v>
      </c>
      <c r="C3859" s="6">
        <v>2000.0</v>
      </c>
      <c r="D3859" s="6">
        <v>3.857142857</v>
      </c>
      <c r="E3859" s="6">
        <v>7.0</v>
      </c>
    </row>
    <row r="3860">
      <c r="A3860" s="4" t="s">
        <v>7673</v>
      </c>
      <c r="B3860" s="5" t="s">
        <v>7674</v>
      </c>
      <c r="C3860" s="6">
        <v>2000.0</v>
      </c>
      <c r="D3860" s="6">
        <v>3.181818182</v>
      </c>
      <c r="E3860" s="6">
        <v>11.0</v>
      </c>
    </row>
    <row r="3861">
      <c r="A3861" s="4" t="s">
        <v>7675</v>
      </c>
      <c r="B3861" s="5" t="s">
        <v>7676</v>
      </c>
      <c r="C3861" s="6">
        <v>2000.0</v>
      </c>
      <c r="D3861" s="9"/>
      <c r="E3861" s="9"/>
    </row>
    <row r="3862">
      <c r="A3862" s="4" t="s">
        <v>7677</v>
      </c>
      <c r="B3862" s="5" t="s">
        <v>7678</v>
      </c>
      <c r="C3862" s="6">
        <v>2000.0</v>
      </c>
      <c r="D3862" s="6">
        <v>4.703703704</v>
      </c>
      <c r="E3862" s="6">
        <v>27.0</v>
      </c>
    </row>
    <row r="3863">
      <c r="A3863" s="4" t="s">
        <v>7679</v>
      </c>
      <c r="B3863" s="5" t="s">
        <v>7680</v>
      </c>
      <c r="C3863" s="6">
        <v>2000.0</v>
      </c>
      <c r="D3863" s="6">
        <v>3.631578947</v>
      </c>
      <c r="E3863" s="6">
        <v>19.0</v>
      </c>
    </row>
    <row r="3864">
      <c r="A3864" s="4" t="s">
        <v>7681</v>
      </c>
      <c r="B3864" s="5" t="s">
        <v>7682</v>
      </c>
      <c r="C3864" s="6">
        <v>2000.0</v>
      </c>
      <c r="D3864" s="9"/>
      <c r="E3864" s="9"/>
    </row>
    <row r="3865">
      <c r="A3865" s="4" t="s">
        <v>7683</v>
      </c>
      <c r="B3865" s="5" t="s">
        <v>7684</v>
      </c>
      <c r="C3865" s="6">
        <v>2000.0</v>
      </c>
      <c r="D3865" s="6">
        <v>5.0</v>
      </c>
      <c r="E3865" s="6">
        <v>1.0</v>
      </c>
    </row>
    <row r="3866">
      <c r="A3866" s="4" t="s">
        <v>7685</v>
      </c>
      <c r="B3866" s="5" t="s">
        <v>7686</v>
      </c>
      <c r="C3866" s="6">
        <v>2000.0</v>
      </c>
      <c r="D3866" s="6">
        <v>4.185185185</v>
      </c>
      <c r="E3866" s="6">
        <v>27.0</v>
      </c>
    </row>
    <row r="3867">
      <c r="A3867" s="4" t="s">
        <v>7687</v>
      </c>
      <c r="B3867" s="5" t="s">
        <v>7688</v>
      </c>
      <c r="C3867" s="6">
        <v>2000.0</v>
      </c>
      <c r="D3867" s="6">
        <v>4.9</v>
      </c>
      <c r="E3867" s="6">
        <v>20.0</v>
      </c>
    </row>
    <row r="3868">
      <c r="A3868" s="4" t="s">
        <v>7689</v>
      </c>
      <c r="B3868" s="5" t="s">
        <v>7690</v>
      </c>
      <c r="C3868" s="6">
        <v>2000.0</v>
      </c>
      <c r="D3868" s="6">
        <v>4.625</v>
      </c>
      <c r="E3868" s="6">
        <v>8.0</v>
      </c>
    </row>
    <row r="3869">
      <c r="A3869" s="4" t="s">
        <v>7691</v>
      </c>
      <c r="B3869" s="5" t="s">
        <v>7692</v>
      </c>
      <c r="C3869" s="6">
        <v>2000.0</v>
      </c>
      <c r="D3869" s="6">
        <v>4.290322581</v>
      </c>
      <c r="E3869" s="6">
        <v>31.0</v>
      </c>
    </row>
    <row r="3870">
      <c r="A3870" s="4" t="s">
        <v>7693</v>
      </c>
      <c r="B3870" s="5" t="s">
        <v>7694</v>
      </c>
      <c r="C3870" s="6">
        <v>2000.0</v>
      </c>
      <c r="D3870" s="6">
        <v>3.928571429</v>
      </c>
      <c r="E3870" s="6">
        <v>14.0</v>
      </c>
    </row>
    <row r="3871">
      <c r="A3871" s="4" t="s">
        <v>7695</v>
      </c>
      <c r="B3871" s="14" t="s">
        <v>7696</v>
      </c>
      <c r="C3871" s="15">
        <v>2000.0</v>
      </c>
      <c r="D3871" s="6">
        <v>4.2</v>
      </c>
      <c r="E3871" s="6">
        <v>26.0</v>
      </c>
    </row>
    <row r="3872">
      <c r="A3872" s="4" t="s">
        <v>7697</v>
      </c>
      <c r="B3872" s="5" t="s">
        <v>7698</v>
      </c>
      <c r="C3872" s="6">
        <v>2000.0</v>
      </c>
      <c r="D3872" s="6">
        <v>5.0</v>
      </c>
      <c r="E3872" s="6">
        <v>1.0</v>
      </c>
    </row>
    <row r="3873">
      <c r="A3873" s="4" t="s">
        <v>7699</v>
      </c>
      <c r="B3873" s="5" t="s">
        <v>7700</v>
      </c>
      <c r="C3873" s="6">
        <v>2000.0</v>
      </c>
      <c r="D3873" s="6">
        <v>4.75</v>
      </c>
      <c r="E3873" s="6">
        <v>8.0</v>
      </c>
    </row>
    <row r="3874">
      <c r="A3874" s="4" t="s">
        <v>7701</v>
      </c>
      <c r="B3874" s="5" t="s">
        <v>7702</v>
      </c>
      <c r="C3874" s="6">
        <v>2000.0</v>
      </c>
      <c r="D3874" s="6">
        <v>4.607843137</v>
      </c>
      <c r="E3874" s="6">
        <v>51.0</v>
      </c>
    </row>
    <row r="3875">
      <c r="A3875" s="4" t="s">
        <v>7703</v>
      </c>
      <c r="B3875" s="5" t="s">
        <v>7704</v>
      </c>
      <c r="C3875" s="6">
        <v>2000.0</v>
      </c>
      <c r="D3875" s="6">
        <v>4.290322581</v>
      </c>
      <c r="E3875" s="6">
        <v>31.0</v>
      </c>
    </row>
    <row r="3876">
      <c r="A3876" s="4" t="s">
        <v>7705</v>
      </c>
      <c r="B3876" s="5" t="s">
        <v>7706</v>
      </c>
      <c r="C3876" s="6">
        <v>2000.0</v>
      </c>
      <c r="D3876" s="6">
        <v>5.0</v>
      </c>
      <c r="E3876" s="6">
        <v>4.0</v>
      </c>
    </row>
    <row r="3877">
      <c r="A3877" s="4" t="s">
        <v>7707</v>
      </c>
      <c r="B3877" s="5" t="s">
        <v>7708</v>
      </c>
      <c r="C3877" s="6">
        <v>2000.0</v>
      </c>
      <c r="D3877" s="6">
        <v>4.0</v>
      </c>
      <c r="E3877" s="6">
        <v>3.0</v>
      </c>
    </row>
    <row r="3878">
      <c r="A3878" s="4" t="s">
        <v>7709</v>
      </c>
      <c r="B3878" s="5" t="s">
        <v>7710</v>
      </c>
      <c r="C3878" s="6">
        <v>2000.0</v>
      </c>
      <c r="D3878" s="6">
        <v>4.444444444</v>
      </c>
      <c r="E3878" s="6">
        <v>9.0</v>
      </c>
    </row>
    <row r="3879">
      <c r="A3879" s="4" t="s">
        <v>7711</v>
      </c>
      <c r="B3879" s="5" t="s">
        <v>7712</v>
      </c>
      <c r="C3879" s="6">
        <v>2000.0</v>
      </c>
      <c r="D3879" s="6">
        <v>4.4</v>
      </c>
      <c r="E3879" s="6">
        <v>30.0</v>
      </c>
    </row>
    <row r="3880">
      <c r="A3880" s="4" t="s">
        <v>7713</v>
      </c>
      <c r="B3880" s="5" t="s">
        <v>7714</v>
      </c>
      <c r="C3880" s="6">
        <v>2000.0</v>
      </c>
      <c r="D3880" s="6">
        <v>3.4</v>
      </c>
      <c r="E3880" s="6">
        <v>5.0</v>
      </c>
    </row>
    <row r="3881">
      <c r="A3881" s="4" t="s">
        <v>7715</v>
      </c>
      <c r="B3881" s="5" t="s">
        <v>7716</v>
      </c>
      <c r="C3881" s="6">
        <v>2000.0</v>
      </c>
      <c r="D3881" s="6">
        <v>4.196428571</v>
      </c>
      <c r="E3881" s="6">
        <v>56.0</v>
      </c>
    </row>
    <row r="3882">
      <c r="A3882" s="4" t="s">
        <v>7717</v>
      </c>
      <c r="B3882" s="5" t="s">
        <v>7718</v>
      </c>
      <c r="C3882" s="6">
        <v>2000.0</v>
      </c>
      <c r="D3882" s="6">
        <v>2.862385321</v>
      </c>
      <c r="E3882" s="6">
        <v>109.0</v>
      </c>
    </row>
    <row r="3883">
      <c r="A3883" s="4" t="s">
        <v>7719</v>
      </c>
      <c r="B3883" s="5" t="s">
        <v>7720</v>
      </c>
      <c r="C3883" s="6">
        <v>2000.0</v>
      </c>
      <c r="D3883" s="6">
        <v>5.0</v>
      </c>
      <c r="E3883" s="6">
        <v>5.0</v>
      </c>
    </row>
    <row r="3884">
      <c r="A3884" s="4" t="s">
        <v>7721</v>
      </c>
      <c r="B3884" s="5" t="s">
        <v>7722</v>
      </c>
      <c r="C3884" s="6">
        <v>2000.0</v>
      </c>
      <c r="D3884" s="6">
        <v>3.8</v>
      </c>
      <c r="E3884" s="6">
        <v>10.0</v>
      </c>
    </row>
    <row r="3885">
      <c r="A3885" s="4" t="s">
        <v>7723</v>
      </c>
      <c r="B3885" s="5" t="s">
        <v>7724</v>
      </c>
      <c r="C3885" s="6">
        <v>2000.0</v>
      </c>
      <c r="D3885" s="6">
        <v>4.358208955</v>
      </c>
      <c r="E3885" s="6">
        <v>67.0</v>
      </c>
    </row>
    <row r="3886">
      <c r="A3886" s="4" t="s">
        <v>7725</v>
      </c>
      <c r="B3886" s="5" t="s">
        <v>7726</v>
      </c>
      <c r="C3886" s="6">
        <v>2000.0</v>
      </c>
      <c r="D3886" s="6">
        <v>3.863636364</v>
      </c>
      <c r="E3886" s="6">
        <v>22.0</v>
      </c>
    </row>
    <row r="3887">
      <c r="A3887" s="4" t="s">
        <v>7727</v>
      </c>
      <c r="B3887" s="12" t="s">
        <v>7728</v>
      </c>
      <c r="C3887" s="6">
        <v>2000.0</v>
      </c>
      <c r="D3887" s="6">
        <v>3.8</v>
      </c>
      <c r="E3887" s="6">
        <v>12.0</v>
      </c>
    </row>
    <row r="3888">
      <c r="A3888" s="4" t="s">
        <v>7729</v>
      </c>
      <c r="B3888" s="5" t="s">
        <v>7730</v>
      </c>
      <c r="C3888" s="6">
        <v>2000.0</v>
      </c>
      <c r="D3888" s="6">
        <v>4.8</v>
      </c>
      <c r="E3888" s="6">
        <v>5.0</v>
      </c>
    </row>
    <row r="3889">
      <c r="A3889" s="4" t="s">
        <v>7731</v>
      </c>
      <c r="B3889" s="5" t="s">
        <v>7732</v>
      </c>
      <c r="C3889" s="6">
        <v>2000.0</v>
      </c>
      <c r="D3889" s="6">
        <v>3.620689655</v>
      </c>
      <c r="E3889" s="6">
        <v>29.0</v>
      </c>
    </row>
    <row r="3890">
      <c r="A3890" s="4" t="s">
        <v>7733</v>
      </c>
      <c r="B3890" s="5" t="s">
        <v>7734</v>
      </c>
      <c r="C3890" s="6">
        <v>2000.0</v>
      </c>
      <c r="D3890" s="6">
        <v>2.333333333</v>
      </c>
      <c r="E3890" s="6">
        <v>3.0</v>
      </c>
    </row>
    <row r="3891">
      <c r="A3891" s="4" t="s">
        <v>7735</v>
      </c>
      <c r="B3891" s="5" t="s">
        <v>7736</v>
      </c>
      <c r="C3891" s="6">
        <v>2000.0</v>
      </c>
      <c r="D3891" s="6">
        <v>4.56</v>
      </c>
      <c r="E3891" s="6">
        <v>25.0</v>
      </c>
    </row>
    <row r="3892">
      <c r="A3892" s="4" t="s">
        <v>7737</v>
      </c>
      <c r="B3892" s="5" t="s">
        <v>7738</v>
      </c>
      <c r="C3892" s="6">
        <v>2000.0</v>
      </c>
      <c r="D3892" s="6">
        <v>4.193548387</v>
      </c>
      <c r="E3892" s="6">
        <v>31.0</v>
      </c>
    </row>
    <row r="3893">
      <c r="A3893" s="4" t="s">
        <v>7739</v>
      </c>
      <c r="B3893" s="5" t="s">
        <v>7740</v>
      </c>
      <c r="C3893" s="6">
        <v>2000.0</v>
      </c>
      <c r="D3893" s="6">
        <v>5.0</v>
      </c>
      <c r="E3893" s="6">
        <v>5.0</v>
      </c>
    </row>
    <row r="3894">
      <c r="A3894" s="4" t="s">
        <v>7741</v>
      </c>
      <c r="B3894" s="5" t="s">
        <v>7742</v>
      </c>
      <c r="C3894" s="6">
        <v>2000.0</v>
      </c>
      <c r="D3894" s="6">
        <v>4.744186047</v>
      </c>
      <c r="E3894" s="6">
        <v>43.0</v>
      </c>
    </row>
    <row r="3895">
      <c r="A3895" s="4" t="s">
        <v>7743</v>
      </c>
      <c r="B3895" s="5" t="s">
        <v>7744</v>
      </c>
      <c r="C3895" s="6">
        <v>2000.0</v>
      </c>
      <c r="D3895" s="6">
        <v>4.692307692</v>
      </c>
      <c r="E3895" s="6">
        <v>13.0</v>
      </c>
    </row>
    <row r="3896">
      <c r="A3896" s="4" t="s">
        <v>7745</v>
      </c>
      <c r="B3896" s="5" t="s">
        <v>7746</v>
      </c>
      <c r="C3896" s="6">
        <v>2000.0</v>
      </c>
      <c r="D3896" s="9"/>
      <c r="E3896" s="9"/>
    </row>
    <row r="3897">
      <c r="A3897" s="4" t="s">
        <v>7747</v>
      </c>
      <c r="B3897" s="5" t="s">
        <v>7748</v>
      </c>
      <c r="C3897" s="6">
        <v>2000.0</v>
      </c>
      <c r="D3897" s="6">
        <v>3.909090909</v>
      </c>
      <c r="E3897" s="6">
        <v>33.0</v>
      </c>
    </row>
    <row r="3898">
      <c r="A3898" s="4" t="s">
        <v>7749</v>
      </c>
      <c r="B3898" s="5" t="s">
        <v>7750</v>
      </c>
      <c r="C3898" s="6">
        <v>2000.0</v>
      </c>
      <c r="D3898" s="6">
        <v>3.416666667</v>
      </c>
      <c r="E3898" s="6">
        <v>12.0</v>
      </c>
    </row>
    <row r="3899">
      <c r="A3899" s="4" t="s">
        <v>7751</v>
      </c>
      <c r="B3899" s="5" t="s">
        <v>7752</v>
      </c>
      <c r="C3899" s="6">
        <v>2000.0</v>
      </c>
      <c r="D3899" s="6">
        <v>3.75</v>
      </c>
      <c r="E3899" s="6">
        <v>4.0</v>
      </c>
    </row>
    <row r="3900">
      <c r="A3900" s="4" t="s">
        <v>7753</v>
      </c>
      <c r="B3900" s="5" t="s">
        <v>7754</v>
      </c>
      <c r="C3900" s="6">
        <v>2000.0</v>
      </c>
      <c r="D3900" s="6">
        <v>3.5</v>
      </c>
      <c r="E3900" s="6">
        <v>16.0</v>
      </c>
    </row>
    <row r="3901">
      <c r="A3901" s="4" t="s">
        <v>7755</v>
      </c>
      <c r="B3901" s="5" t="s">
        <v>7756</v>
      </c>
      <c r="C3901" s="6">
        <v>2000.0</v>
      </c>
      <c r="D3901" s="6">
        <v>5.0</v>
      </c>
      <c r="E3901" s="6">
        <v>2.0</v>
      </c>
    </row>
    <row r="3902">
      <c r="A3902" s="4" t="s">
        <v>7757</v>
      </c>
      <c r="B3902" s="5" t="s">
        <v>7758</v>
      </c>
      <c r="C3902" s="6">
        <v>2000.0</v>
      </c>
      <c r="D3902" s="6">
        <v>4.611111111</v>
      </c>
      <c r="E3902" s="6">
        <v>18.0</v>
      </c>
    </row>
    <row r="3903">
      <c r="A3903" s="4" t="s">
        <v>7759</v>
      </c>
      <c r="B3903" s="5" t="s">
        <v>7760</v>
      </c>
      <c r="C3903" s="6">
        <v>2000.0</v>
      </c>
      <c r="D3903" s="6">
        <v>3.326530612</v>
      </c>
      <c r="E3903" s="6">
        <v>49.0</v>
      </c>
    </row>
    <row r="3904">
      <c r="A3904" s="4" t="s">
        <v>7761</v>
      </c>
      <c r="B3904" s="5" t="s">
        <v>7762</v>
      </c>
      <c r="C3904" s="6">
        <v>2000.0</v>
      </c>
      <c r="D3904" s="6">
        <v>4.048780488</v>
      </c>
      <c r="E3904" s="6">
        <v>82.0</v>
      </c>
    </row>
    <row r="3905">
      <c r="A3905" s="4" t="s">
        <v>7763</v>
      </c>
      <c r="B3905" s="5" t="s">
        <v>7764</v>
      </c>
      <c r="C3905" s="6">
        <v>2000.0</v>
      </c>
      <c r="D3905" s="6">
        <v>3.814814815</v>
      </c>
      <c r="E3905" s="6">
        <v>27.0</v>
      </c>
    </row>
    <row r="3906">
      <c r="A3906" s="4" t="s">
        <v>7765</v>
      </c>
      <c r="B3906" s="5" t="s">
        <v>7766</v>
      </c>
      <c r="C3906" s="6">
        <v>2000.0</v>
      </c>
      <c r="D3906" s="6">
        <v>4.086956522</v>
      </c>
      <c r="E3906" s="6">
        <v>23.0</v>
      </c>
    </row>
    <row r="3907">
      <c r="A3907" s="4" t="s">
        <v>7767</v>
      </c>
      <c r="B3907" s="5" t="s">
        <v>7768</v>
      </c>
      <c r="C3907" s="6">
        <v>2000.0</v>
      </c>
      <c r="D3907" s="6">
        <v>4.5</v>
      </c>
      <c r="E3907" s="6">
        <v>2.0</v>
      </c>
    </row>
    <row r="3908">
      <c r="A3908" s="4" t="s">
        <v>7769</v>
      </c>
      <c r="B3908" s="5" t="s">
        <v>7770</v>
      </c>
      <c r="C3908" s="6">
        <v>2000.0</v>
      </c>
      <c r="D3908" s="6">
        <v>4.166666667</v>
      </c>
      <c r="E3908" s="6">
        <v>6.0</v>
      </c>
    </row>
    <row r="3909">
      <c r="A3909" s="4" t="s">
        <v>7771</v>
      </c>
      <c r="B3909" s="5" t="s">
        <v>7772</v>
      </c>
      <c r="C3909" s="6">
        <v>2000.0</v>
      </c>
      <c r="D3909" s="6">
        <v>3.653846154</v>
      </c>
      <c r="E3909" s="6">
        <v>26.0</v>
      </c>
    </row>
    <row r="3910">
      <c r="A3910" s="4" t="s">
        <v>7773</v>
      </c>
      <c r="B3910" s="5" t="s">
        <v>7774</v>
      </c>
      <c r="C3910" s="6">
        <v>2000.0</v>
      </c>
      <c r="D3910" s="6">
        <v>3.75</v>
      </c>
      <c r="E3910" s="6">
        <v>24.0</v>
      </c>
    </row>
    <row r="3911">
      <c r="A3911" s="4" t="s">
        <v>3892</v>
      </c>
      <c r="B3911" s="5" t="s">
        <v>7775</v>
      </c>
      <c r="C3911" s="6">
        <v>2000.0</v>
      </c>
      <c r="D3911" s="6">
        <v>3.857142857</v>
      </c>
      <c r="E3911" s="6">
        <v>7.0</v>
      </c>
    </row>
    <row r="3912">
      <c r="A3912" s="4" t="s">
        <v>7776</v>
      </c>
      <c r="B3912" s="5" t="s">
        <v>7777</v>
      </c>
      <c r="C3912" s="6">
        <v>2000.0</v>
      </c>
      <c r="D3912" s="9"/>
      <c r="E3912" s="9"/>
    </row>
    <row r="3913">
      <c r="A3913" s="4" t="s">
        <v>227</v>
      </c>
      <c r="B3913" s="5" t="s">
        <v>7778</v>
      </c>
      <c r="C3913" s="6">
        <v>2000.0</v>
      </c>
      <c r="D3913" s="6">
        <v>4.0</v>
      </c>
      <c r="E3913" s="6">
        <v>17.0</v>
      </c>
    </row>
    <row r="3914">
      <c r="A3914" s="4" t="s">
        <v>7779</v>
      </c>
      <c r="B3914" s="5" t="s">
        <v>7780</v>
      </c>
      <c r="C3914" s="6">
        <v>2000.0</v>
      </c>
      <c r="D3914" s="6">
        <v>4.653846154</v>
      </c>
      <c r="E3914" s="6">
        <v>26.0</v>
      </c>
    </row>
    <row r="3915">
      <c r="A3915" s="4" t="s">
        <v>7781</v>
      </c>
      <c r="B3915" s="5" t="s">
        <v>7782</v>
      </c>
      <c r="C3915" s="6">
        <v>2000.0</v>
      </c>
      <c r="D3915" s="6">
        <v>3.25</v>
      </c>
      <c r="E3915" s="6">
        <v>8.0</v>
      </c>
    </row>
    <row r="3916">
      <c r="A3916" s="4" t="s">
        <v>7783</v>
      </c>
      <c r="B3916" s="5" t="s">
        <v>7784</v>
      </c>
      <c r="C3916" s="6">
        <v>2000.0</v>
      </c>
      <c r="D3916" s="6">
        <v>4.0</v>
      </c>
      <c r="E3916" s="6">
        <v>7.0</v>
      </c>
    </row>
    <row r="3917">
      <c r="A3917" s="4" t="s">
        <v>7785</v>
      </c>
      <c r="B3917" s="5" t="s">
        <v>7786</v>
      </c>
      <c r="C3917" s="6">
        <v>2000.0</v>
      </c>
      <c r="D3917" s="6">
        <v>5.0</v>
      </c>
      <c r="E3917" s="6">
        <v>3.0</v>
      </c>
    </row>
    <row r="3918">
      <c r="A3918" s="4" t="s">
        <v>7787</v>
      </c>
      <c r="B3918" s="5" t="s">
        <v>7788</v>
      </c>
      <c r="C3918" s="6">
        <v>2000.0</v>
      </c>
      <c r="D3918" s="6">
        <v>4.25</v>
      </c>
      <c r="E3918" s="6">
        <v>4.0</v>
      </c>
    </row>
    <row r="3919">
      <c r="A3919" s="4" t="s">
        <v>7789</v>
      </c>
      <c r="B3919" s="5" t="s">
        <v>7790</v>
      </c>
      <c r="C3919" s="6">
        <v>2000.0</v>
      </c>
      <c r="D3919" s="6">
        <v>4.75</v>
      </c>
      <c r="E3919" s="6">
        <v>8.0</v>
      </c>
    </row>
    <row r="3920">
      <c r="A3920" s="4" t="s">
        <v>7791</v>
      </c>
      <c r="B3920" s="5" t="s">
        <v>7792</v>
      </c>
      <c r="C3920" s="6">
        <v>2000.0</v>
      </c>
      <c r="D3920" s="6">
        <v>4.308270677</v>
      </c>
      <c r="E3920" s="6">
        <v>133.0</v>
      </c>
    </row>
    <row r="3921">
      <c r="A3921" s="4" t="s">
        <v>7793</v>
      </c>
      <c r="B3921" s="5" t="s">
        <v>7794</v>
      </c>
      <c r="C3921" s="6">
        <v>2000.0</v>
      </c>
      <c r="D3921" s="6">
        <v>3.272727273</v>
      </c>
      <c r="E3921" s="6">
        <v>22.0</v>
      </c>
    </row>
    <row r="3922">
      <c r="A3922" s="4" t="s">
        <v>7795</v>
      </c>
      <c r="B3922" s="5" t="s">
        <v>7796</v>
      </c>
      <c r="C3922" s="6">
        <v>2000.0</v>
      </c>
      <c r="D3922" s="6">
        <v>4.657142857</v>
      </c>
      <c r="E3922" s="6">
        <v>35.0</v>
      </c>
    </row>
    <row r="3923">
      <c r="A3923" s="4" t="s">
        <v>7797</v>
      </c>
      <c r="B3923" s="5" t="s">
        <v>7798</v>
      </c>
      <c r="C3923" s="6">
        <v>2000.0</v>
      </c>
      <c r="D3923" s="6">
        <v>3.8</v>
      </c>
      <c r="E3923" s="6">
        <v>15.0</v>
      </c>
    </row>
    <row r="3924">
      <c r="A3924" s="4" t="s">
        <v>7799</v>
      </c>
      <c r="B3924" s="5" t="s">
        <v>7800</v>
      </c>
      <c r="C3924" s="6">
        <v>2000.0</v>
      </c>
      <c r="D3924" s="6">
        <v>1.0</v>
      </c>
      <c r="E3924" s="6">
        <v>7.0</v>
      </c>
    </row>
    <row r="3925">
      <c r="A3925" s="4" t="s">
        <v>7801</v>
      </c>
      <c r="B3925" s="5" t="s">
        <v>7802</v>
      </c>
      <c r="C3925" s="6">
        <v>2000.0</v>
      </c>
      <c r="D3925" s="6">
        <v>4.714285714</v>
      </c>
      <c r="E3925" s="6">
        <v>7.0</v>
      </c>
    </row>
    <row r="3926">
      <c r="A3926" s="4" t="s">
        <v>7803</v>
      </c>
      <c r="B3926" s="5" t="s">
        <v>7804</v>
      </c>
      <c r="C3926" s="6">
        <v>2000.0</v>
      </c>
      <c r="D3926" s="6">
        <v>4.090909091</v>
      </c>
      <c r="E3926" s="6">
        <v>11.0</v>
      </c>
    </row>
    <row r="3927">
      <c r="A3927" s="4" t="s">
        <v>7805</v>
      </c>
      <c r="B3927" s="5" t="s">
        <v>7806</v>
      </c>
      <c r="C3927" s="6">
        <v>2000.0</v>
      </c>
      <c r="D3927" s="6">
        <v>3.375</v>
      </c>
      <c r="E3927" s="6">
        <v>32.0</v>
      </c>
    </row>
    <row r="3928">
      <c r="A3928" s="4" t="s">
        <v>7807</v>
      </c>
      <c r="B3928" s="5" t="s">
        <v>7808</v>
      </c>
      <c r="C3928" s="6">
        <v>2000.0</v>
      </c>
      <c r="D3928" s="6">
        <v>4.446428571</v>
      </c>
      <c r="E3928" s="6">
        <v>56.0</v>
      </c>
    </row>
    <row r="3929">
      <c r="A3929" s="4" t="s">
        <v>7809</v>
      </c>
      <c r="B3929" s="5" t="s">
        <v>7810</v>
      </c>
      <c r="C3929" s="6">
        <v>2000.0</v>
      </c>
      <c r="D3929" s="6">
        <v>4.333333333</v>
      </c>
      <c r="E3929" s="6">
        <v>3.0</v>
      </c>
    </row>
    <row r="3930">
      <c r="A3930" s="4" t="s">
        <v>7811</v>
      </c>
      <c r="B3930" s="5" t="s">
        <v>7812</v>
      </c>
      <c r="C3930" s="6">
        <v>2000.0</v>
      </c>
      <c r="D3930" s="6">
        <v>5.0</v>
      </c>
      <c r="E3930" s="6">
        <v>8.0</v>
      </c>
    </row>
    <row r="3931">
      <c r="A3931" s="4" t="s">
        <v>7813</v>
      </c>
      <c r="B3931" s="5" t="s">
        <v>7814</v>
      </c>
      <c r="C3931" s="6">
        <v>2000.0</v>
      </c>
      <c r="D3931" s="6">
        <v>5.0</v>
      </c>
      <c r="E3931" s="6">
        <v>6.0</v>
      </c>
    </row>
    <row r="3932">
      <c r="A3932" s="4" t="s">
        <v>7815</v>
      </c>
      <c r="B3932" s="5" t="s">
        <v>7816</v>
      </c>
      <c r="C3932" s="6">
        <v>2000.0</v>
      </c>
      <c r="D3932" s="6">
        <v>3.166666667</v>
      </c>
      <c r="E3932" s="6">
        <v>6.0</v>
      </c>
    </row>
    <row r="3933">
      <c r="A3933" s="4" t="s">
        <v>7817</v>
      </c>
      <c r="B3933" s="5" t="s">
        <v>7818</v>
      </c>
      <c r="C3933" s="6">
        <v>2000.0</v>
      </c>
      <c r="D3933" s="6">
        <v>3.666666667</v>
      </c>
      <c r="E3933" s="6">
        <v>6.0</v>
      </c>
    </row>
    <row r="3934">
      <c r="A3934" s="4" t="s">
        <v>7819</v>
      </c>
      <c r="B3934" s="5" t="s">
        <v>7820</v>
      </c>
      <c r="C3934" s="6">
        <v>2000.0</v>
      </c>
      <c r="D3934" s="6">
        <v>4.25</v>
      </c>
      <c r="E3934" s="6">
        <v>28.0</v>
      </c>
    </row>
    <row r="3935">
      <c r="A3935" s="4" t="s">
        <v>7821</v>
      </c>
      <c r="B3935" s="5" t="s">
        <v>7822</v>
      </c>
      <c r="C3935" s="6">
        <v>2000.0</v>
      </c>
      <c r="D3935" s="6">
        <v>2.419354839</v>
      </c>
      <c r="E3935" s="6">
        <v>62.0</v>
      </c>
    </row>
    <row r="3936">
      <c r="A3936" s="4" t="s">
        <v>7823</v>
      </c>
      <c r="B3936" s="5" t="s">
        <v>7824</v>
      </c>
      <c r="C3936" s="6">
        <v>2000.0</v>
      </c>
      <c r="D3936" s="6">
        <v>3.5</v>
      </c>
      <c r="E3936" s="6">
        <v>50.0</v>
      </c>
    </row>
    <row r="3937">
      <c r="A3937" s="4" t="s">
        <v>7825</v>
      </c>
      <c r="B3937" s="5" t="s">
        <v>7826</v>
      </c>
      <c r="C3937" s="6">
        <v>2000.0</v>
      </c>
      <c r="D3937" s="6">
        <v>4.5</v>
      </c>
      <c r="E3937" s="6">
        <v>2.0</v>
      </c>
    </row>
    <row r="3938">
      <c r="A3938" s="4" t="s">
        <v>7827</v>
      </c>
      <c r="B3938" s="5" t="s">
        <v>7828</v>
      </c>
      <c r="C3938" s="6">
        <v>2000.0</v>
      </c>
      <c r="D3938" s="6">
        <v>5.0</v>
      </c>
      <c r="E3938" s="6">
        <v>3.0</v>
      </c>
    </row>
    <row r="3939">
      <c r="A3939" s="4" t="s">
        <v>7829</v>
      </c>
      <c r="B3939" s="5" t="s">
        <v>7830</v>
      </c>
      <c r="C3939" s="6">
        <v>2000.0</v>
      </c>
      <c r="D3939" s="6">
        <v>4.625</v>
      </c>
      <c r="E3939" s="6">
        <v>8.0</v>
      </c>
    </row>
    <row r="3940">
      <c r="A3940" s="4" t="s">
        <v>7831</v>
      </c>
      <c r="B3940" s="5" t="s">
        <v>7832</v>
      </c>
      <c r="C3940" s="6">
        <v>2000.0</v>
      </c>
      <c r="D3940" s="6">
        <v>4.1</v>
      </c>
      <c r="E3940" s="6">
        <v>10.0</v>
      </c>
    </row>
    <row r="3941">
      <c r="A3941" s="4" t="s">
        <v>7833</v>
      </c>
      <c r="B3941" s="5" t="s">
        <v>7834</v>
      </c>
      <c r="C3941" s="6">
        <v>2000.0</v>
      </c>
      <c r="D3941" s="6">
        <v>1.142857143</v>
      </c>
      <c r="E3941" s="6">
        <v>7.0</v>
      </c>
    </row>
    <row r="3942">
      <c r="A3942" s="4" t="s">
        <v>7835</v>
      </c>
      <c r="B3942" s="5" t="s">
        <v>7836</v>
      </c>
      <c r="C3942" s="6">
        <v>2000.0</v>
      </c>
      <c r="D3942" s="6">
        <v>3.0</v>
      </c>
      <c r="E3942" s="6">
        <v>2.0</v>
      </c>
    </row>
    <row r="3943">
      <c r="A3943" s="4" t="s">
        <v>7837</v>
      </c>
      <c r="B3943" s="5" t="s">
        <v>7838</v>
      </c>
      <c r="C3943" s="6">
        <v>2000.0</v>
      </c>
      <c r="D3943" s="6">
        <v>4.671641791</v>
      </c>
      <c r="E3943" s="6">
        <v>67.0</v>
      </c>
    </row>
    <row r="3944">
      <c r="A3944" s="4" t="s">
        <v>7839</v>
      </c>
      <c r="B3944" s="5" t="s">
        <v>7840</v>
      </c>
      <c r="C3944" s="6">
        <v>2000.0</v>
      </c>
      <c r="D3944" s="6">
        <v>4.5</v>
      </c>
      <c r="E3944" s="6">
        <v>4.0</v>
      </c>
    </row>
    <row r="3945">
      <c r="A3945" s="4" t="s">
        <v>7841</v>
      </c>
      <c r="B3945" s="5" t="s">
        <v>7842</v>
      </c>
      <c r="C3945" s="6">
        <v>2000.0</v>
      </c>
      <c r="D3945" s="6">
        <v>4.052631579</v>
      </c>
      <c r="E3945" s="6">
        <v>38.0</v>
      </c>
    </row>
    <row r="3946">
      <c r="A3946" s="4" t="s">
        <v>7843</v>
      </c>
      <c r="B3946" s="5" t="s">
        <v>7844</v>
      </c>
      <c r="C3946" s="6">
        <v>2000.0</v>
      </c>
      <c r="D3946" s="6">
        <v>3.714285714</v>
      </c>
      <c r="E3946" s="6">
        <v>7.0</v>
      </c>
    </row>
    <row r="3947">
      <c r="A3947" s="4" t="s">
        <v>7845</v>
      </c>
      <c r="B3947" s="5" t="s">
        <v>7846</v>
      </c>
      <c r="C3947" s="6">
        <v>2000.0</v>
      </c>
      <c r="D3947" s="6">
        <v>4.388888889</v>
      </c>
      <c r="E3947" s="6">
        <v>36.0</v>
      </c>
    </row>
    <row r="3948">
      <c r="A3948" s="4" t="s">
        <v>7847</v>
      </c>
      <c r="B3948" s="5" t="s">
        <v>7848</v>
      </c>
      <c r="C3948" s="6">
        <v>2000.0</v>
      </c>
      <c r="D3948" s="6">
        <v>4.263157895</v>
      </c>
      <c r="E3948" s="6">
        <v>19.0</v>
      </c>
    </row>
    <row r="3949">
      <c r="A3949" s="4" t="s">
        <v>7849</v>
      </c>
      <c r="B3949" s="5" t="s">
        <v>7850</v>
      </c>
      <c r="C3949" s="6">
        <v>2000.0</v>
      </c>
      <c r="D3949" s="6">
        <v>4.421052632</v>
      </c>
      <c r="E3949" s="6">
        <v>19.0</v>
      </c>
    </row>
    <row r="3950">
      <c r="A3950" s="4" t="s">
        <v>7851</v>
      </c>
      <c r="B3950" s="5" t="s">
        <v>7852</v>
      </c>
      <c r="C3950" s="6">
        <v>2000.0</v>
      </c>
      <c r="D3950" s="6">
        <v>5.0</v>
      </c>
      <c r="E3950" s="6">
        <v>1.0</v>
      </c>
    </row>
    <row r="3951">
      <c r="A3951" s="4" t="s">
        <v>7853</v>
      </c>
      <c r="B3951" s="5" t="s">
        <v>7854</v>
      </c>
      <c r="C3951" s="6">
        <v>2000.0</v>
      </c>
      <c r="D3951" s="6">
        <v>3.903225806</v>
      </c>
      <c r="E3951" s="6">
        <v>31.0</v>
      </c>
    </row>
    <row r="3952">
      <c r="A3952" s="4" t="s">
        <v>7855</v>
      </c>
      <c r="B3952" s="5" t="s">
        <v>7856</v>
      </c>
      <c r="C3952" s="6">
        <v>2000.0</v>
      </c>
      <c r="D3952" s="6">
        <v>2.973684211</v>
      </c>
      <c r="E3952" s="6">
        <v>38.0</v>
      </c>
    </row>
    <row r="3953">
      <c r="A3953" s="4" t="s">
        <v>7857</v>
      </c>
      <c r="B3953" s="5" t="s">
        <v>7858</v>
      </c>
      <c r="C3953" s="6">
        <v>2000.0</v>
      </c>
      <c r="D3953" s="6">
        <v>2.846153846</v>
      </c>
      <c r="E3953" s="6">
        <v>13.0</v>
      </c>
    </row>
    <row r="3954">
      <c r="A3954" s="4" t="s">
        <v>7859</v>
      </c>
      <c r="B3954" s="5" t="s">
        <v>7860</v>
      </c>
      <c r="C3954" s="6">
        <v>2000.0</v>
      </c>
      <c r="D3954" s="6">
        <v>4.888888889</v>
      </c>
      <c r="E3954" s="6">
        <v>9.0</v>
      </c>
    </row>
    <row r="3955">
      <c r="A3955" s="4" t="s">
        <v>7861</v>
      </c>
      <c r="B3955" s="5" t="s">
        <v>7862</v>
      </c>
      <c r="C3955" s="6">
        <v>2000.0</v>
      </c>
      <c r="D3955" s="6">
        <v>3.5</v>
      </c>
      <c r="E3955" s="6">
        <v>24.0</v>
      </c>
    </row>
    <row r="3956">
      <c r="A3956" s="4" t="s">
        <v>7863</v>
      </c>
      <c r="B3956" s="5" t="s">
        <v>7864</v>
      </c>
      <c r="C3956" s="6">
        <v>2000.0</v>
      </c>
      <c r="D3956" s="6">
        <v>5.0</v>
      </c>
      <c r="E3956" s="6">
        <v>16.0</v>
      </c>
    </row>
    <row r="3957">
      <c r="A3957" s="4" t="s">
        <v>7865</v>
      </c>
      <c r="B3957" s="5" t="s">
        <v>7866</v>
      </c>
      <c r="C3957" s="6">
        <v>2000.0</v>
      </c>
      <c r="D3957" s="6">
        <v>3.333333333</v>
      </c>
      <c r="E3957" s="6">
        <v>42.0</v>
      </c>
    </row>
    <row r="3958">
      <c r="A3958" s="4" t="s">
        <v>7867</v>
      </c>
      <c r="B3958" s="5" t="s">
        <v>7868</v>
      </c>
      <c r="C3958" s="6">
        <v>2000.0</v>
      </c>
      <c r="D3958" s="6">
        <v>4.583333333</v>
      </c>
      <c r="E3958" s="6">
        <v>36.0</v>
      </c>
    </row>
    <row r="3959">
      <c r="A3959" s="4" t="s">
        <v>7869</v>
      </c>
      <c r="B3959" s="5" t="s">
        <v>7870</v>
      </c>
      <c r="C3959" s="6">
        <v>2000.0</v>
      </c>
      <c r="D3959" s="6">
        <v>5.0</v>
      </c>
      <c r="E3959" s="6">
        <v>1.0</v>
      </c>
    </row>
    <row r="3960">
      <c r="A3960" s="4" t="s">
        <v>7871</v>
      </c>
      <c r="B3960" s="5" t="s">
        <v>7872</v>
      </c>
      <c r="C3960" s="6">
        <v>2000.0</v>
      </c>
      <c r="D3960" s="6">
        <v>2.090909091</v>
      </c>
      <c r="E3960" s="6">
        <v>11.0</v>
      </c>
    </row>
    <row r="3961">
      <c r="A3961" s="4" t="s">
        <v>7873</v>
      </c>
      <c r="B3961" s="5" t="s">
        <v>7874</v>
      </c>
      <c r="C3961" s="6">
        <v>2000.0</v>
      </c>
      <c r="D3961" s="6">
        <v>4.176470588</v>
      </c>
      <c r="E3961" s="6">
        <v>17.0</v>
      </c>
    </row>
    <row r="3962">
      <c r="A3962" s="4" t="s">
        <v>7875</v>
      </c>
      <c r="B3962" s="5" t="s">
        <v>7876</v>
      </c>
      <c r="C3962" s="6">
        <v>2000.0</v>
      </c>
      <c r="D3962" s="6">
        <v>4.538461538</v>
      </c>
      <c r="E3962" s="6">
        <v>26.0</v>
      </c>
    </row>
    <row r="3963">
      <c r="A3963" s="4" t="s">
        <v>7877</v>
      </c>
      <c r="B3963" s="5" t="s">
        <v>7878</v>
      </c>
      <c r="C3963" s="6">
        <v>2000.0</v>
      </c>
      <c r="D3963" s="6">
        <v>5.0</v>
      </c>
      <c r="E3963" s="6">
        <v>13.0</v>
      </c>
    </row>
    <row r="3964">
      <c r="A3964" s="4" t="s">
        <v>7879</v>
      </c>
      <c r="B3964" s="5" t="s">
        <v>7880</v>
      </c>
      <c r="C3964" s="6">
        <v>2000.0</v>
      </c>
      <c r="D3964" s="6">
        <v>4.725490196</v>
      </c>
      <c r="E3964" s="6">
        <v>51.0</v>
      </c>
    </row>
    <row r="3965">
      <c r="A3965" s="4" t="s">
        <v>7881</v>
      </c>
      <c r="B3965" s="5" t="s">
        <v>7882</v>
      </c>
      <c r="C3965" s="6">
        <v>2000.0</v>
      </c>
      <c r="D3965" s="6">
        <v>4.0</v>
      </c>
      <c r="E3965" s="6">
        <v>19.0</v>
      </c>
    </row>
    <row r="3966">
      <c r="A3966" s="4" t="s">
        <v>7883</v>
      </c>
      <c r="B3966" s="5" t="s">
        <v>7884</v>
      </c>
      <c r="C3966" s="6">
        <v>2000.0</v>
      </c>
      <c r="D3966" s="6">
        <v>2.111111111</v>
      </c>
      <c r="E3966" s="6">
        <v>18.0</v>
      </c>
    </row>
    <row r="3967">
      <c r="A3967" s="4" t="s">
        <v>7885</v>
      </c>
      <c r="B3967" s="5" t="s">
        <v>7886</v>
      </c>
      <c r="C3967" s="6">
        <v>2000.0</v>
      </c>
      <c r="D3967" s="6">
        <v>4.333333333</v>
      </c>
      <c r="E3967" s="6">
        <v>6.0</v>
      </c>
    </row>
    <row r="3968">
      <c r="A3968" s="4" t="s">
        <v>7887</v>
      </c>
      <c r="B3968" s="5" t="s">
        <v>7888</v>
      </c>
      <c r="C3968" s="6">
        <v>2000.0</v>
      </c>
      <c r="D3968" s="6">
        <v>3.9</v>
      </c>
      <c r="E3968" s="6">
        <v>50.0</v>
      </c>
    </row>
    <row r="3969">
      <c r="A3969" s="4" t="s">
        <v>7889</v>
      </c>
      <c r="B3969" s="5" t="s">
        <v>7890</v>
      </c>
      <c r="C3969" s="6">
        <v>2000.0</v>
      </c>
      <c r="D3969" s="6">
        <v>5.0</v>
      </c>
      <c r="E3969" s="6">
        <v>3.0</v>
      </c>
    </row>
    <row r="3970">
      <c r="A3970" s="4" t="s">
        <v>7891</v>
      </c>
      <c r="B3970" s="5" t="s">
        <v>7892</v>
      </c>
      <c r="C3970" s="6">
        <v>2000.0</v>
      </c>
      <c r="D3970" s="6">
        <v>4.857142857</v>
      </c>
      <c r="E3970" s="6">
        <v>182.0</v>
      </c>
    </row>
    <row r="3971">
      <c r="A3971" s="4" t="s">
        <v>7893</v>
      </c>
      <c r="B3971" s="5" t="s">
        <v>7894</v>
      </c>
      <c r="C3971" s="6">
        <v>2000.0</v>
      </c>
      <c r="D3971" s="6">
        <v>3.25</v>
      </c>
      <c r="E3971" s="6">
        <v>12.0</v>
      </c>
    </row>
    <row r="3972">
      <c r="A3972" s="4" t="s">
        <v>7895</v>
      </c>
      <c r="B3972" s="5" t="s">
        <v>7896</v>
      </c>
      <c r="C3972" s="6">
        <v>2000.0</v>
      </c>
      <c r="D3972" s="6">
        <v>4.875</v>
      </c>
      <c r="E3972" s="6">
        <v>8.0</v>
      </c>
    </row>
    <row r="3973">
      <c r="A3973" s="4" t="s">
        <v>7897</v>
      </c>
      <c r="B3973" s="5" t="s">
        <v>7898</v>
      </c>
      <c r="C3973" s="6">
        <v>2000.0</v>
      </c>
      <c r="D3973" s="6">
        <v>4.175675676</v>
      </c>
      <c r="E3973" s="6">
        <v>74.0</v>
      </c>
    </row>
    <row r="3974">
      <c r="A3974" s="4" t="s">
        <v>7899</v>
      </c>
      <c r="B3974" s="5" t="s">
        <v>7900</v>
      </c>
      <c r="C3974" s="6">
        <v>2000.0</v>
      </c>
      <c r="D3974" s="9"/>
      <c r="E3974" s="9"/>
    </row>
    <row r="3975">
      <c r="A3975" s="4" t="s">
        <v>7901</v>
      </c>
      <c r="B3975" s="5" t="s">
        <v>7902</v>
      </c>
      <c r="C3975" s="6">
        <v>2000.0</v>
      </c>
      <c r="D3975" s="6">
        <v>4.857142857</v>
      </c>
      <c r="E3975" s="6">
        <v>7.0</v>
      </c>
    </row>
    <row r="3976">
      <c r="A3976" s="4" t="s">
        <v>7903</v>
      </c>
      <c r="B3976" s="5" t="s">
        <v>7904</v>
      </c>
      <c r="C3976" s="6">
        <v>2000.0</v>
      </c>
      <c r="D3976" s="6">
        <v>4.25</v>
      </c>
      <c r="E3976" s="6">
        <v>52.0</v>
      </c>
    </row>
    <row r="3977">
      <c r="A3977" s="4" t="s">
        <v>7905</v>
      </c>
      <c r="B3977" s="5" t="s">
        <v>7906</v>
      </c>
      <c r="C3977" s="6">
        <v>2000.0</v>
      </c>
      <c r="D3977" s="6">
        <v>2.2</v>
      </c>
      <c r="E3977" s="6">
        <v>10.0</v>
      </c>
    </row>
    <row r="3978">
      <c r="A3978" s="4" t="s">
        <v>7907</v>
      </c>
      <c r="B3978" s="5" t="s">
        <v>7908</v>
      </c>
      <c r="C3978" s="6">
        <v>2000.0</v>
      </c>
      <c r="D3978" s="6">
        <v>1.666666667</v>
      </c>
      <c r="E3978" s="6">
        <v>15.0</v>
      </c>
    </row>
    <row r="3979">
      <c r="A3979" s="4" t="s">
        <v>7909</v>
      </c>
      <c r="B3979" s="5" t="s">
        <v>7910</v>
      </c>
      <c r="C3979" s="6">
        <v>2000.0</v>
      </c>
      <c r="D3979" s="6">
        <v>3.788461538</v>
      </c>
      <c r="E3979" s="6">
        <v>104.0</v>
      </c>
    </row>
    <row r="3980">
      <c r="A3980" s="4" t="s">
        <v>7911</v>
      </c>
      <c r="B3980" s="5" t="s">
        <v>7912</v>
      </c>
      <c r="C3980" s="6">
        <v>2000.0</v>
      </c>
      <c r="D3980" s="6">
        <v>3.244444444</v>
      </c>
      <c r="E3980" s="6">
        <v>45.0</v>
      </c>
    </row>
    <row r="3981">
      <c r="A3981" s="4" t="s">
        <v>7913</v>
      </c>
      <c r="B3981" s="5" t="s">
        <v>7914</v>
      </c>
      <c r="C3981" s="6">
        <v>2000.0</v>
      </c>
      <c r="D3981" s="6">
        <v>4.166666667</v>
      </c>
      <c r="E3981" s="6">
        <v>24.0</v>
      </c>
    </row>
    <row r="3982">
      <c r="A3982" s="4" t="s">
        <v>7915</v>
      </c>
      <c r="B3982" s="5" t="s">
        <v>7916</v>
      </c>
      <c r="C3982" s="6">
        <v>2000.0</v>
      </c>
      <c r="D3982" s="9"/>
      <c r="E3982" s="9"/>
    </row>
    <row r="3983">
      <c r="A3983" s="4" t="s">
        <v>3574</v>
      </c>
      <c r="B3983" s="5" t="s">
        <v>7917</v>
      </c>
      <c r="C3983" s="6">
        <v>2000.0</v>
      </c>
      <c r="D3983" s="6">
        <v>2.6</v>
      </c>
      <c r="E3983" s="6">
        <v>5.0</v>
      </c>
    </row>
    <row r="3984">
      <c r="A3984" s="4" t="s">
        <v>7918</v>
      </c>
      <c r="B3984" s="5" t="s">
        <v>7919</v>
      </c>
      <c r="C3984" s="6">
        <v>2000.0</v>
      </c>
      <c r="D3984" s="6">
        <v>5.0</v>
      </c>
      <c r="E3984" s="6">
        <v>2.0</v>
      </c>
    </row>
    <row r="3985">
      <c r="A3985" s="4" t="s">
        <v>7920</v>
      </c>
      <c r="B3985" s="5" t="s">
        <v>7921</v>
      </c>
      <c r="C3985" s="6">
        <v>2000.0</v>
      </c>
      <c r="D3985" s="6">
        <v>3.952380952</v>
      </c>
      <c r="E3985" s="6">
        <v>21.0</v>
      </c>
    </row>
    <row r="3986">
      <c r="A3986" s="4" t="s">
        <v>7922</v>
      </c>
      <c r="B3986" s="5" t="s">
        <v>7923</v>
      </c>
      <c r="C3986" s="6">
        <v>2000.0</v>
      </c>
      <c r="D3986" s="6">
        <v>4.571428571</v>
      </c>
      <c r="E3986" s="6">
        <v>28.0</v>
      </c>
    </row>
    <row r="3987">
      <c r="A3987" s="4" t="s">
        <v>7924</v>
      </c>
      <c r="B3987" s="5" t="s">
        <v>7925</v>
      </c>
      <c r="C3987" s="6">
        <v>2000.0</v>
      </c>
      <c r="D3987" s="6">
        <v>4.090909091</v>
      </c>
      <c r="E3987" s="6">
        <v>33.0</v>
      </c>
    </row>
    <row r="3988">
      <c r="A3988" s="4" t="s">
        <v>7926</v>
      </c>
      <c r="B3988" s="5" t="s">
        <v>7927</v>
      </c>
      <c r="C3988" s="6">
        <v>2000.0</v>
      </c>
      <c r="D3988" s="6">
        <v>4.038461538</v>
      </c>
      <c r="E3988" s="6">
        <v>52.0</v>
      </c>
    </row>
    <row r="3989">
      <c r="A3989" s="4" t="s">
        <v>7928</v>
      </c>
      <c r="B3989" s="5" t="s">
        <v>7929</v>
      </c>
      <c r="C3989" s="6">
        <v>2000.0</v>
      </c>
      <c r="D3989" s="6">
        <v>4.5</v>
      </c>
      <c r="E3989" s="6">
        <v>58.0</v>
      </c>
    </row>
    <row r="3990">
      <c r="A3990" s="4" t="s">
        <v>7930</v>
      </c>
      <c r="B3990" s="5" t="s">
        <v>7931</v>
      </c>
      <c r="C3990" s="6">
        <v>2000.0</v>
      </c>
      <c r="D3990" s="6">
        <v>4.9</v>
      </c>
      <c r="E3990" s="6">
        <v>10.0</v>
      </c>
    </row>
    <row r="3991">
      <c r="A3991" s="4" t="s">
        <v>7932</v>
      </c>
      <c r="B3991" s="5" t="s">
        <v>7933</v>
      </c>
      <c r="C3991" s="6">
        <v>2000.0</v>
      </c>
      <c r="D3991" s="6">
        <v>2.909090909</v>
      </c>
      <c r="E3991" s="6">
        <v>11.0</v>
      </c>
    </row>
    <row r="3992">
      <c r="A3992" s="4" t="s">
        <v>7934</v>
      </c>
      <c r="B3992" s="5" t="s">
        <v>7935</v>
      </c>
      <c r="C3992" s="6">
        <v>2000.0</v>
      </c>
      <c r="D3992" s="6">
        <v>3.326530612</v>
      </c>
      <c r="E3992" s="6">
        <v>49.0</v>
      </c>
    </row>
    <row r="3993">
      <c r="A3993" s="4" t="s">
        <v>7936</v>
      </c>
      <c r="B3993" s="5" t="s">
        <v>7937</v>
      </c>
      <c r="C3993" s="6">
        <v>2000.0</v>
      </c>
      <c r="D3993" s="6">
        <v>4.146853147</v>
      </c>
      <c r="E3993" s="6">
        <v>143.0</v>
      </c>
    </row>
    <row r="3994">
      <c r="A3994" s="4" t="s">
        <v>7938</v>
      </c>
      <c r="B3994" s="5" t="s">
        <v>7939</v>
      </c>
      <c r="C3994" s="6">
        <v>2000.0</v>
      </c>
      <c r="D3994" s="6">
        <v>3.2</v>
      </c>
      <c r="E3994" s="6">
        <v>5.0</v>
      </c>
    </row>
    <row r="3995">
      <c r="A3995" s="4" t="s">
        <v>7940</v>
      </c>
      <c r="B3995" s="5" t="s">
        <v>7941</v>
      </c>
      <c r="C3995" s="6">
        <v>2000.0</v>
      </c>
      <c r="D3995" s="6">
        <v>4.4</v>
      </c>
      <c r="E3995" s="6">
        <v>30.0</v>
      </c>
    </row>
    <row r="3996">
      <c r="A3996" s="4" t="s">
        <v>7942</v>
      </c>
      <c r="B3996" s="5" t="s">
        <v>7943</v>
      </c>
      <c r="C3996" s="6">
        <v>2000.0</v>
      </c>
      <c r="D3996" s="6">
        <v>5.0</v>
      </c>
      <c r="E3996" s="6">
        <v>3.0</v>
      </c>
    </row>
    <row r="3997">
      <c r="A3997" s="4" t="s">
        <v>7944</v>
      </c>
      <c r="B3997" s="5" t="s">
        <v>7945</v>
      </c>
      <c r="C3997" s="6">
        <v>2000.0</v>
      </c>
      <c r="D3997" s="6">
        <v>3.4</v>
      </c>
      <c r="E3997" s="6">
        <v>5.0</v>
      </c>
    </row>
    <row r="3998">
      <c r="A3998" s="4" t="s">
        <v>7946</v>
      </c>
      <c r="B3998" s="5" t="s">
        <v>7947</v>
      </c>
      <c r="C3998" s="6">
        <v>2000.0</v>
      </c>
      <c r="D3998" s="6">
        <v>2.6</v>
      </c>
      <c r="E3998" s="6">
        <v>5.0</v>
      </c>
    </row>
    <row r="3999">
      <c r="A3999" s="4" t="s">
        <v>7948</v>
      </c>
      <c r="B3999" s="5" t="s">
        <v>7949</v>
      </c>
      <c r="C3999" s="6">
        <v>2000.0</v>
      </c>
      <c r="D3999" s="6">
        <v>4.0</v>
      </c>
      <c r="E3999" s="6">
        <v>15.0</v>
      </c>
    </row>
    <row r="4000">
      <c r="A4000" s="4" t="s">
        <v>7950</v>
      </c>
      <c r="B4000" s="5" t="s">
        <v>7951</v>
      </c>
      <c r="C4000" s="6">
        <v>2000.0</v>
      </c>
      <c r="D4000" s="6">
        <v>3.571428571</v>
      </c>
      <c r="E4000" s="6">
        <v>7.0</v>
      </c>
    </row>
    <row r="4001">
      <c r="A4001" s="4" t="s">
        <v>7952</v>
      </c>
      <c r="B4001" s="5" t="s">
        <v>7953</v>
      </c>
      <c r="C4001" s="6">
        <v>2000.0</v>
      </c>
      <c r="D4001" s="6">
        <v>4.0</v>
      </c>
      <c r="E4001" s="6">
        <v>24.0</v>
      </c>
    </row>
    <row r="4002">
      <c r="A4002" s="4" t="s">
        <v>7954</v>
      </c>
      <c r="B4002" s="5" t="s">
        <v>7955</v>
      </c>
      <c r="C4002" s="6">
        <v>2000.0</v>
      </c>
      <c r="D4002" s="6">
        <v>3.566666667</v>
      </c>
      <c r="E4002" s="6">
        <v>30.0</v>
      </c>
    </row>
    <row r="4003">
      <c r="A4003" s="4" t="s">
        <v>7956</v>
      </c>
      <c r="B4003" s="5" t="s">
        <v>7957</v>
      </c>
      <c r="C4003" s="6">
        <v>2000.0</v>
      </c>
      <c r="D4003" s="6">
        <v>4.333333333</v>
      </c>
      <c r="E4003" s="6">
        <v>66.0</v>
      </c>
    </row>
    <row r="4004">
      <c r="A4004" s="4" t="s">
        <v>7958</v>
      </c>
      <c r="B4004" s="5" t="s">
        <v>7959</v>
      </c>
      <c r="C4004" s="6">
        <v>2000.0</v>
      </c>
      <c r="D4004" s="6">
        <v>4.610169492</v>
      </c>
      <c r="E4004" s="6">
        <v>59.0</v>
      </c>
    </row>
    <row r="4005">
      <c r="A4005" s="4" t="s">
        <v>7960</v>
      </c>
      <c r="B4005" s="5" t="s">
        <v>7961</v>
      </c>
      <c r="C4005" s="6">
        <v>2000.0</v>
      </c>
      <c r="D4005" s="6">
        <v>3.925</v>
      </c>
      <c r="E4005" s="6">
        <v>40.0</v>
      </c>
    </row>
    <row r="4006">
      <c r="A4006" s="4" t="s">
        <v>7962</v>
      </c>
      <c r="B4006" s="5" t="s">
        <v>7963</v>
      </c>
      <c r="C4006" s="6">
        <v>2000.0</v>
      </c>
      <c r="D4006" s="6">
        <v>2.333333333</v>
      </c>
      <c r="E4006" s="6">
        <v>3.0</v>
      </c>
    </row>
    <row r="4007">
      <c r="A4007" s="4" t="s">
        <v>7964</v>
      </c>
      <c r="B4007" s="5" t="s">
        <v>7965</v>
      </c>
      <c r="C4007" s="6">
        <v>2000.0</v>
      </c>
      <c r="D4007" s="6">
        <v>4.24137931</v>
      </c>
      <c r="E4007" s="6">
        <v>29.0</v>
      </c>
    </row>
    <row r="4008">
      <c r="A4008" s="4" t="s">
        <v>7966</v>
      </c>
      <c r="B4008" s="5" t="s">
        <v>7967</v>
      </c>
      <c r="C4008" s="6">
        <v>2000.0</v>
      </c>
      <c r="D4008" s="6">
        <v>3.6</v>
      </c>
      <c r="E4008" s="6">
        <v>5.0</v>
      </c>
    </row>
    <row r="4009">
      <c r="A4009" s="4" t="s">
        <v>7968</v>
      </c>
      <c r="B4009" s="5" t="s">
        <v>7969</v>
      </c>
      <c r="C4009" s="6">
        <v>2000.0</v>
      </c>
      <c r="D4009" s="6">
        <v>4.666666667</v>
      </c>
      <c r="E4009" s="6">
        <v>27.0</v>
      </c>
    </row>
    <row r="4010">
      <c r="A4010" s="4" t="s">
        <v>7970</v>
      </c>
      <c r="B4010" s="5" t="s">
        <v>7971</v>
      </c>
      <c r="C4010" s="6">
        <v>2000.0</v>
      </c>
      <c r="D4010" s="6">
        <v>5.0</v>
      </c>
      <c r="E4010" s="6">
        <v>1.0</v>
      </c>
    </row>
    <row r="4011">
      <c r="A4011" s="4" t="s">
        <v>7972</v>
      </c>
      <c r="B4011" s="5" t="s">
        <v>7973</v>
      </c>
      <c r="C4011" s="6">
        <v>2000.0</v>
      </c>
      <c r="D4011" s="6">
        <v>4.923076923</v>
      </c>
      <c r="E4011" s="6">
        <v>13.0</v>
      </c>
    </row>
    <row r="4012">
      <c r="A4012" s="4" t="s">
        <v>7974</v>
      </c>
      <c r="B4012" s="5" t="s">
        <v>7975</v>
      </c>
      <c r="C4012" s="6">
        <v>2000.0</v>
      </c>
      <c r="D4012" s="6">
        <v>4.066666667</v>
      </c>
      <c r="E4012" s="6">
        <v>15.0</v>
      </c>
    </row>
    <row r="4013">
      <c r="A4013" s="4" t="s">
        <v>7976</v>
      </c>
      <c r="B4013" s="5" t="s">
        <v>7977</v>
      </c>
      <c r="C4013" s="6">
        <v>2000.0</v>
      </c>
      <c r="D4013" s="6">
        <v>4.900990099</v>
      </c>
      <c r="E4013" s="6">
        <v>101.0</v>
      </c>
    </row>
    <row r="4014">
      <c r="A4014" s="4" t="s">
        <v>7978</v>
      </c>
      <c r="B4014" s="5" t="s">
        <v>7979</v>
      </c>
      <c r="C4014" s="6">
        <v>2000.0</v>
      </c>
      <c r="D4014" s="6">
        <v>3.888888889</v>
      </c>
      <c r="E4014" s="6">
        <v>45.0</v>
      </c>
    </row>
    <row r="4015">
      <c r="A4015" s="4" t="s">
        <v>7980</v>
      </c>
      <c r="B4015" s="5" t="s">
        <v>7981</v>
      </c>
      <c r="C4015" s="6">
        <v>2000.0</v>
      </c>
      <c r="D4015" s="6">
        <v>4.2</v>
      </c>
      <c r="E4015" s="6">
        <v>5.0</v>
      </c>
    </row>
    <row r="4016">
      <c r="A4016" s="4" t="s">
        <v>7982</v>
      </c>
      <c r="B4016" s="5" t="s">
        <v>7983</v>
      </c>
      <c r="C4016" s="6">
        <v>2000.0</v>
      </c>
      <c r="D4016" s="6">
        <v>4.582417582</v>
      </c>
      <c r="E4016" s="6">
        <v>91.0</v>
      </c>
    </row>
    <row r="4017">
      <c r="A4017" s="4" t="s">
        <v>7984</v>
      </c>
      <c r="B4017" s="5" t="s">
        <v>7985</v>
      </c>
      <c r="C4017" s="6">
        <v>2000.0</v>
      </c>
      <c r="D4017" s="6">
        <v>4.387096774</v>
      </c>
      <c r="E4017" s="6">
        <v>31.0</v>
      </c>
    </row>
    <row r="4018">
      <c r="A4018" s="4" t="s">
        <v>7986</v>
      </c>
      <c r="B4018" s="5" t="s">
        <v>7987</v>
      </c>
      <c r="C4018" s="6">
        <v>2000.0</v>
      </c>
      <c r="D4018" s="6">
        <v>4.333333333</v>
      </c>
      <c r="E4018" s="6">
        <v>3.0</v>
      </c>
    </row>
    <row r="4019">
      <c r="A4019" s="4" t="s">
        <v>7988</v>
      </c>
      <c r="B4019" s="5" t="s">
        <v>7989</v>
      </c>
      <c r="C4019" s="6">
        <v>2000.0</v>
      </c>
      <c r="D4019" s="6">
        <v>4.454545455</v>
      </c>
      <c r="E4019" s="6">
        <v>22.0</v>
      </c>
    </row>
    <row r="4020">
      <c r="A4020" s="4" t="s">
        <v>7990</v>
      </c>
      <c r="B4020" s="5" t="s">
        <v>7991</v>
      </c>
      <c r="C4020" s="6">
        <v>2000.0</v>
      </c>
      <c r="D4020" s="6">
        <v>4.0</v>
      </c>
      <c r="E4020" s="6">
        <v>4.0</v>
      </c>
    </row>
    <row r="4021">
      <c r="A4021" s="4" t="s">
        <v>7992</v>
      </c>
      <c r="B4021" s="5" t="s">
        <v>7993</v>
      </c>
      <c r="C4021" s="6">
        <v>2000.0</v>
      </c>
      <c r="D4021" s="6">
        <v>3.815789474</v>
      </c>
      <c r="E4021" s="6">
        <v>38.0</v>
      </c>
    </row>
    <row r="4022">
      <c r="A4022" s="4" t="s">
        <v>7994</v>
      </c>
      <c r="B4022" s="5" t="s">
        <v>7995</v>
      </c>
      <c r="C4022" s="6">
        <v>2000.0</v>
      </c>
      <c r="D4022" s="6">
        <v>4.8</v>
      </c>
      <c r="E4022" s="6">
        <v>10.0</v>
      </c>
    </row>
    <row r="4023">
      <c r="A4023" s="4" t="s">
        <v>7996</v>
      </c>
      <c r="B4023" s="5" t="s">
        <v>7997</v>
      </c>
      <c r="C4023" s="6">
        <v>2000.0</v>
      </c>
      <c r="D4023" s="6">
        <v>4.0</v>
      </c>
      <c r="E4023" s="6">
        <v>2.0</v>
      </c>
    </row>
    <row r="4024">
      <c r="A4024" s="4" t="s">
        <v>7998</v>
      </c>
      <c r="B4024" s="5" t="s">
        <v>7999</v>
      </c>
      <c r="C4024" s="6">
        <v>2000.0</v>
      </c>
      <c r="D4024" s="6">
        <v>2.476190476</v>
      </c>
      <c r="E4024" s="6">
        <v>21.0</v>
      </c>
    </row>
    <row r="4025">
      <c r="A4025" s="4" t="s">
        <v>8000</v>
      </c>
      <c r="B4025" s="5" t="s">
        <v>8001</v>
      </c>
      <c r="C4025" s="6">
        <v>2000.0</v>
      </c>
      <c r="D4025" s="6">
        <v>3.5</v>
      </c>
      <c r="E4025" s="6">
        <v>2.0</v>
      </c>
    </row>
    <row r="4026">
      <c r="A4026" s="4" t="s">
        <v>8002</v>
      </c>
      <c r="B4026" s="5" t="s">
        <v>8003</v>
      </c>
      <c r="C4026" s="6">
        <v>2000.0</v>
      </c>
      <c r="D4026" s="6">
        <v>4.3125</v>
      </c>
      <c r="E4026" s="6">
        <v>16.0</v>
      </c>
    </row>
    <row r="4027">
      <c r="A4027" s="4" t="s">
        <v>8004</v>
      </c>
      <c r="B4027" s="5" t="s">
        <v>8005</v>
      </c>
      <c r="C4027" s="6">
        <v>2000.0</v>
      </c>
      <c r="D4027" s="6">
        <v>3.6875</v>
      </c>
      <c r="E4027" s="6">
        <v>16.0</v>
      </c>
    </row>
    <row r="4028">
      <c r="A4028" s="4" t="s">
        <v>8006</v>
      </c>
      <c r="B4028" s="5" t="s">
        <v>8007</v>
      </c>
      <c r="C4028" s="6">
        <v>2000.0</v>
      </c>
      <c r="D4028" s="6">
        <v>4.75</v>
      </c>
      <c r="E4028" s="6">
        <v>16.0</v>
      </c>
    </row>
    <row r="4029">
      <c r="A4029" s="4" t="s">
        <v>8008</v>
      </c>
      <c r="B4029" s="5" t="s">
        <v>8009</v>
      </c>
      <c r="C4029" s="6">
        <v>2000.0</v>
      </c>
      <c r="D4029" s="6">
        <v>5.0</v>
      </c>
      <c r="E4029" s="6">
        <v>2.0</v>
      </c>
    </row>
    <row r="4030">
      <c r="A4030" s="4" t="s">
        <v>8010</v>
      </c>
      <c r="B4030" s="5" t="s">
        <v>8011</v>
      </c>
      <c r="C4030" s="6">
        <v>2000.0</v>
      </c>
      <c r="D4030" s="6">
        <v>4.090909091</v>
      </c>
      <c r="E4030" s="6">
        <v>11.0</v>
      </c>
    </row>
    <row r="4031">
      <c r="A4031" s="4" t="s">
        <v>8012</v>
      </c>
      <c r="B4031" s="5" t="s">
        <v>8013</v>
      </c>
      <c r="C4031" s="6">
        <v>2000.0</v>
      </c>
      <c r="D4031" s="6">
        <v>4.213333333</v>
      </c>
      <c r="E4031" s="6">
        <v>75.0</v>
      </c>
    </row>
    <row r="4032">
      <c r="A4032" s="4" t="s">
        <v>8014</v>
      </c>
      <c r="B4032" s="5" t="s">
        <v>8015</v>
      </c>
      <c r="C4032" s="6">
        <v>2000.0</v>
      </c>
      <c r="D4032" s="6">
        <v>4.4</v>
      </c>
      <c r="E4032" s="6">
        <v>5.0</v>
      </c>
    </row>
    <row r="4033">
      <c r="A4033" s="4" t="s">
        <v>8016</v>
      </c>
      <c r="B4033" s="5" t="s">
        <v>8017</v>
      </c>
      <c r="C4033" s="6">
        <v>2000.0</v>
      </c>
      <c r="D4033" s="6">
        <v>3.94</v>
      </c>
      <c r="E4033" s="6">
        <v>50.0</v>
      </c>
    </row>
    <row r="4034">
      <c r="A4034" s="4" t="s">
        <v>8018</v>
      </c>
      <c r="B4034" s="5" t="s">
        <v>8019</v>
      </c>
      <c r="C4034" s="6">
        <v>2000.0</v>
      </c>
      <c r="D4034" s="6">
        <v>3.114285714</v>
      </c>
      <c r="E4034" s="6">
        <v>35.0</v>
      </c>
    </row>
    <row r="4035">
      <c r="A4035" s="4" t="s">
        <v>8020</v>
      </c>
      <c r="B4035" s="5" t="s">
        <v>8021</v>
      </c>
      <c r="C4035" s="6">
        <v>2000.0</v>
      </c>
      <c r="D4035" s="6">
        <v>2.971428571</v>
      </c>
      <c r="E4035" s="6">
        <v>35.0</v>
      </c>
    </row>
    <row r="4036">
      <c r="A4036" s="4" t="s">
        <v>8022</v>
      </c>
      <c r="B4036" s="5" t="s">
        <v>8023</v>
      </c>
      <c r="C4036" s="6">
        <v>2000.0</v>
      </c>
      <c r="D4036" s="6">
        <v>5.0</v>
      </c>
      <c r="E4036" s="6">
        <v>5.0</v>
      </c>
    </row>
    <row r="4037">
      <c r="A4037" s="4" t="s">
        <v>8024</v>
      </c>
      <c r="B4037" s="5" t="s">
        <v>8025</v>
      </c>
      <c r="C4037" s="6">
        <v>2000.0</v>
      </c>
      <c r="D4037" s="6">
        <v>4.6</v>
      </c>
      <c r="E4037" s="6">
        <v>15.0</v>
      </c>
    </row>
    <row r="4038">
      <c r="A4038" s="4" t="s">
        <v>8026</v>
      </c>
      <c r="B4038" s="5" t="s">
        <v>8027</v>
      </c>
      <c r="C4038" s="6">
        <v>2000.0</v>
      </c>
      <c r="D4038" s="6">
        <v>4.818181818</v>
      </c>
      <c r="E4038" s="6">
        <v>11.0</v>
      </c>
    </row>
    <row r="4039">
      <c r="A4039" s="4" t="s">
        <v>8028</v>
      </c>
      <c r="B4039" s="5" t="s">
        <v>8029</v>
      </c>
      <c r="C4039" s="6">
        <v>2000.0</v>
      </c>
      <c r="D4039" s="6">
        <v>3.75</v>
      </c>
      <c r="E4039" s="6">
        <v>4.0</v>
      </c>
    </row>
    <row r="4040">
      <c r="A4040" s="4" t="s">
        <v>8030</v>
      </c>
      <c r="B4040" s="5" t="s">
        <v>8031</v>
      </c>
      <c r="C4040" s="6">
        <v>2000.0</v>
      </c>
      <c r="D4040" s="6">
        <v>3.4</v>
      </c>
      <c r="E4040" s="6">
        <v>65.0</v>
      </c>
    </row>
    <row r="4041">
      <c r="A4041" s="4" t="s">
        <v>8032</v>
      </c>
      <c r="B4041" s="5" t="s">
        <v>8033</v>
      </c>
      <c r="C4041" s="6">
        <v>2000.0</v>
      </c>
      <c r="D4041" s="6">
        <v>1.0</v>
      </c>
      <c r="E4041" s="6">
        <v>4.0</v>
      </c>
    </row>
    <row r="4042">
      <c r="A4042" s="4" t="s">
        <v>8034</v>
      </c>
      <c r="B4042" s="5" t="s">
        <v>8035</v>
      </c>
      <c r="C4042" s="6">
        <v>2000.0</v>
      </c>
      <c r="D4042" s="6">
        <v>4.620689655</v>
      </c>
      <c r="E4042" s="6">
        <v>29.0</v>
      </c>
    </row>
    <row r="4043">
      <c r="A4043" s="4" t="s">
        <v>8036</v>
      </c>
      <c r="B4043" s="5" t="s">
        <v>8037</v>
      </c>
      <c r="C4043" s="6">
        <v>2000.0</v>
      </c>
      <c r="D4043" s="6">
        <v>4.111111111</v>
      </c>
      <c r="E4043" s="6">
        <v>9.0</v>
      </c>
    </row>
    <row r="4044">
      <c r="A4044" s="4" t="s">
        <v>8038</v>
      </c>
      <c r="B4044" s="5" t="s">
        <v>8039</v>
      </c>
      <c r="C4044" s="6">
        <v>2000.0</v>
      </c>
      <c r="D4044" s="6">
        <v>5.0</v>
      </c>
      <c r="E4044" s="6">
        <v>4.0</v>
      </c>
    </row>
    <row r="4045">
      <c r="A4045" s="4" t="s">
        <v>8040</v>
      </c>
      <c r="B4045" s="5" t="s">
        <v>8041</v>
      </c>
      <c r="C4045" s="6">
        <v>2000.0</v>
      </c>
      <c r="D4045" s="6">
        <v>2.894736842</v>
      </c>
      <c r="E4045" s="6">
        <v>19.0</v>
      </c>
    </row>
    <row r="4046">
      <c r="A4046" s="4" t="s">
        <v>8042</v>
      </c>
      <c r="B4046" s="5" t="s">
        <v>8043</v>
      </c>
      <c r="C4046" s="6">
        <v>2000.0</v>
      </c>
      <c r="D4046" s="6">
        <v>4.108108108</v>
      </c>
      <c r="E4046" s="6">
        <v>37.0</v>
      </c>
    </row>
    <row r="4047">
      <c r="A4047" s="4" t="s">
        <v>8044</v>
      </c>
      <c r="B4047" s="5" t="s">
        <v>8045</v>
      </c>
      <c r="C4047" s="6">
        <v>2000.0</v>
      </c>
      <c r="D4047" s="6">
        <v>3.409090909</v>
      </c>
      <c r="E4047" s="6">
        <v>22.0</v>
      </c>
    </row>
    <row r="4048">
      <c r="A4048" s="4" t="s">
        <v>8046</v>
      </c>
      <c r="B4048" s="5" t="s">
        <v>8047</v>
      </c>
      <c r="C4048" s="6">
        <v>2000.0</v>
      </c>
      <c r="D4048" s="6">
        <v>5.0</v>
      </c>
      <c r="E4048" s="6">
        <v>2.0</v>
      </c>
    </row>
    <row r="4049">
      <c r="A4049" s="4" t="s">
        <v>8048</v>
      </c>
      <c r="B4049" s="5" t="s">
        <v>8049</v>
      </c>
      <c r="C4049" s="6">
        <v>2000.0</v>
      </c>
      <c r="D4049" s="6">
        <v>3.6</v>
      </c>
      <c r="E4049" s="6">
        <v>15.0</v>
      </c>
    </row>
    <row r="4050">
      <c r="A4050" s="4" t="s">
        <v>8050</v>
      </c>
      <c r="B4050" s="5" t="s">
        <v>8051</v>
      </c>
      <c r="C4050" s="6">
        <v>2000.0</v>
      </c>
      <c r="D4050" s="6">
        <v>4.981132075</v>
      </c>
      <c r="E4050" s="6">
        <v>53.0</v>
      </c>
    </row>
    <row r="4051">
      <c r="A4051" s="4" t="s">
        <v>8052</v>
      </c>
      <c r="B4051" s="5" t="s">
        <v>8053</v>
      </c>
      <c r="C4051" s="6">
        <v>2000.0</v>
      </c>
      <c r="D4051" s="6">
        <v>4.564102564</v>
      </c>
      <c r="E4051" s="6">
        <v>39.0</v>
      </c>
    </row>
    <row r="4052">
      <c r="A4052" s="4" t="s">
        <v>8054</v>
      </c>
      <c r="B4052" s="5" t="s">
        <v>8055</v>
      </c>
      <c r="C4052" s="6">
        <v>2000.0</v>
      </c>
      <c r="D4052" s="6">
        <v>5.0</v>
      </c>
      <c r="E4052" s="6">
        <v>2.0</v>
      </c>
    </row>
    <row r="4053">
      <c r="A4053" s="4" t="s">
        <v>8056</v>
      </c>
      <c r="B4053" s="5" t="s">
        <v>8057</v>
      </c>
      <c r="C4053" s="6">
        <v>2000.0</v>
      </c>
      <c r="D4053" s="6">
        <v>4.428571429</v>
      </c>
      <c r="E4053" s="6">
        <v>42.0</v>
      </c>
    </row>
    <row r="4054">
      <c r="A4054" s="4" t="s">
        <v>8058</v>
      </c>
      <c r="B4054" s="5" t="s">
        <v>8059</v>
      </c>
      <c r="C4054" s="6">
        <v>2000.0</v>
      </c>
      <c r="D4054" s="6">
        <v>4.772727273</v>
      </c>
      <c r="E4054" s="6">
        <v>22.0</v>
      </c>
    </row>
    <row r="4055">
      <c r="A4055" s="4" t="s">
        <v>8060</v>
      </c>
      <c r="B4055" s="5" t="s">
        <v>8061</v>
      </c>
      <c r="C4055" s="6">
        <v>2000.0</v>
      </c>
      <c r="D4055" s="6">
        <v>4.411764706</v>
      </c>
      <c r="E4055" s="6">
        <v>17.0</v>
      </c>
    </row>
    <row r="4056">
      <c r="A4056" s="4" t="s">
        <v>8062</v>
      </c>
      <c r="B4056" s="5" t="s">
        <v>8063</v>
      </c>
      <c r="C4056" s="6">
        <v>2000.0</v>
      </c>
      <c r="D4056" s="6">
        <v>3.380952381</v>
      </c>
      <c r="E4056" s="6">
        <v>21.0</v>
      </c>
    </row>
    <row r="4057">
      <c r="A4057" s="4" t="s">
        <v>8064</v>
      </c>
      <c r="B4057" s="5" t="s">
        <v>8065</v>
      </c>
      <c r="C4057" s="6">
        <v>2000.0</v>
      </c>
      <c r="D4057" s="6">
        <v>4.333333333</v>
      </c>
      <c r="E4057" s="6">
        <v>36.0</v>
      </c>
    </row>
    <row r="4058">
      <c r="A4058" s="4" t="s">
        <v>8066</v>
      </c>
      <c r="B4058" s="5" t="s">
        <v>8067</v>
      </c>
      <c r="C4058" s="6">
        <v>2000.0</v>
      </c>
      <c r="D4058" s="6">
        <v>4.339622642</v>
      </c>
      <c r="E4058" s="6">
        <v>53.0</v>
      </c>
    </row>
    <row r="4059">
      <c r="A4059" s="4" t="s">
        <v>8068</v>
      </c>
      <c r="B4059" s="5" t="s">
        <v>8069</v>
      </c>
      <c r="C4059" s="6">
        <v>2000.0</v>
      </c>
      <c r="D4059" s="6">
        <v>3.666666667</v>
      </c>
      <c r="E4059" s="6">
        <v>6.0</v>
      </c>
    </row>
    <row r="4060">
      <c r="A4060" s="4" t="s">
        <v>8070</v>
      </c>
      <c r="B4060" s="5" t="s">
        <v>8071</v>
      </c>
      <c r="C4060" s="6">
        <v>2000.0</v>
      </c>
      <c r="D4060" s="6">
        <v>4.891304348</v>
      </c>
      <c r="E4060" s="6">
        <v>46.0</v>
      </c>
    </row>
    <row r="4061">
      <c r="A4061" s="4" t="s">
        <v>8072</v>
      </c>
      <c r="B4061" s="5" t="s">
        <v>8073</v>
      </c>
      <c r="C4061" s="6">
        <v>2000.0</v>
      </c>
      <c r="D4061" s="6">
        <v>4.066666667</v>
      </c>
      <c r="E4061" s="6">
        <v>15.0</v>
      </c>
    </row>
    <row r="4062">
      <c r="A4062" s="4" t="s">
        <v>8074</v>
      </c>
      <c r="B4062" s="5" t="s">
        <v>8075</v>
      </c>
      <c r="C4062" s="6">
        <v>2000.0</v>
      </c>
      <c r="D4062" s="6">
        <v>4.888888889</v>
      </c>
      <c r="E4062" s="6">
        <v>36.0</v>
      </c>
    </row>
    <row r="4063">
      <c r="A4063" s="4" t="s">
        <v>8076</v>
      </c>
      <c r="B4063" s="5" t="s">
        <v>8077</v>
      </c>
      <c r="C4063" s="6">
        <v>2000.0</v>
      </c>
      <c r="D4063" s="6">
        <v>5.0</v>
      </c>
      <c r="E4063" s="6">
        <v>4.0</v>
      </c>
    </row>
    <row r="4064">
      <c r="A4064" s="4" t="s">
        <v>8078</v>
      </c>
      <c r="B4064" s="5" t="s">
        <v>8079</v>
      </c>
      <c r="C4064" s="6">
        <v>2000.0</v>
      </c>
      <c r="D4064" s="6">
        <v>4.866666667</v>
      </c>
      <c r="E4064" s="6">
        <v>30.0</v>
      </c>
    </row>
    <row r="4065">
      <c r="A4065" s="4" t="s">
        <v>8080</v>
      </c>
      <c r="B4065" s="5" t="s">
        <v>8081</v>
      </c>
      <c r="C4065" s="6">
        <v>2000.0</v>
      </c>
      <c r="D4065" s="6">
        <v>5.0</v>
      </c>
      <c r="E4065" s="6">
        <v>2.0</v>
      </c>
    </row>
    <row r="4066">
      <c r="A4066" s="4" t="s">
        <v>8082</v>
      </c>
      <c r="B4066" s="5" t="s">
        <v>8083</v>
      </c>
      <c r="C4066" s="6">
        <v>2000.0</v>
      </c>
      <c r="D4066" s="6">
        <v>2.823529412</v>
      </c>
      <c r="E4066" s="6">
        <v>17.0</v>
      </c>
    </row>
    <row r="4067">
      <c r="A4067" s="4" t="s">
        <v>8084</v>
      </c>
      <c r="B4067" s="5" t="s">
        <v>8085</v>
      </c>
      <c r="C4067" s="6">
        <v>2000.0</v>
      </c>
      <c r="D4067" s="6">
        <v>4.538461538</v>
      </c>
      <c r="E4067" s="6">
        <v>13.0</v>
      </c>
    </row>
    <row r="4068">
      <c r="A4068" s="4" t="s">
        <v>227</v>
      </c>
      <c r="B4068" s="5" t="s">
        <v>8086</v>
      </c>
      <c r="C4068" s="6">
        <v>2000.0</v>
      </c>
      <c r="D4068" s="6">
        <v>3.5</v>
      </c>
      <c r="E4068" s="6">
        <v>4.0</v>
      </c>
    </row>
    <row r="4069">
      <c r="A4069" s="4" t="s">
        <v>8087</v>
      </c>
      <c r="B4069" s="5" t="s">
        <v>8088</v>
      </c>
      <c r="C4069" s="6">
        <v>2000.0</v>
      </c>
      <c r="D4069" s="6">
        <v>2.5</v>
      </c>
      <c r="E4069" s="6">
        <v>6.0</v>
      </c>
    </row>
    <row r="4070">
      <c r="A4070" s="4" t="s">
        <v>8089</v>
      </c>
      <c r="B4070" s="5" t="s">
        <v>8090</v>
      </c>
      <c r="C4070" s="6">
        <v>2000.0</v>
      </c>
      <c r="D4070" s="6">
        <v>4.210526316</v>
      </c>
      <c r="E4070" s="6">
        <v>19.0</v>
      </c>
    </row>
    <row r="4071">
      <c r="A4071" s="4" t="s">
        <v>8091</v>
      </c>
      <c r="B4071" s="5" t="s">
        <v>8092</v>
      </c>
      <c r="C4071" s="6">
        <v>2000.0</v>
      </c>
      <c r="D4071" s="6">
        <v>4.0</v>
      </c>
      <c r="E4071" s="6">
        <v>4.0</v>
      </c>
    </row>
    <row r="4072">
      <c r="A4072" s="4" t="s">
        <v>8093</v>
      </c>
      <c r="B4072" s="5" t="s">
        <v>8094</v>
      </c>
      <c r="C4072" s="6">
        <v>2000.0</v>
      </c>
      <c r="D4072" s="6">
        <v>3.277777778</v>
      </c>
      <c r="E4072" s="6">
        <v>36.0</v>
      </c>
    </row>
    <row r="4073">
      <c r="A4073" s="4" t="s">
        <v>8095</v>
      </c>
      <c r="B4073" s="5" t="s">
        <v>8096</v>
      </c>
      <c r="C4073" s="6">
        <v>2000.0</v>
      </c>
      <c r="D4073" s="6">
        <v>4.529411765</v>
      </c>
      <c r="E4073" s="6">
        <v>17.0</v>
      </c>
    </row>
    <row r="4074">
      <c r="A4074" s="4" t="s">
        <v>8097</v>
      </c>
      <c r="B4074" s="5" t="s">
        <v>8098</v>
      </c>
      <c r="C4074" s="6">
        <v>2000.0</v>
      </c>
      <c r="D4074" s="6">
        <v>3.233333333</v>
      </c>
      <c r="E4074" s="6">
        <v>30.0</v>
      </c>
    </row>
    <row r="4075">
      <c r="A4075" s="4" t="s">
        <v>8099</v>
      </c>
      <c r="B4075" s="5" t="s">
        <v>8100</v>
      </c>
      <c r="C4075" s="6">
        <v>2000.0</v>
      </c>
      <c r="D4075" s="6">
        <v>2.0</v>
      </c>
      <c r="E4075" s="6">
        <v>1.0</v>
      </c>
    </row>
    <row r="4076">
      <c r="A4076" s="4" t="s">
        <v>8101</v>
      </c>
      <c r="B4076" s="5" t="s">
        <v>8102</v>
      </c>
      <c r="C4076" s="6">
        <v>2000.0</v>
      </c>
      <c r="D4076" s="6">
        <v>3.0</v>
      </c>
      <c r="E4076" s="6">
        <v>14.0</v>
      </c>
    </row>
    <row r="4077">
      <c r="A4077" s="4" t="s">
        <v>8103</v>
      </c>
      <c r="B4077" s="5" t="s">
        <v>8104</v>
      </c>
      <c r="C4077" s="6">
        <v>2000.0</v>
      </c>
      <c r="D4077" s="6">
        <v>3.96</v>
      </c>
      <c r="E4077" s="6">
        <v>50.0</v>
      </c>
    </row>
    <row r="4078">
      <c r="A4078" s="5" t="s">
        <v>8105</v>
      </c>
      <c r="B4078" s="5" t="s">
        <v>8106</v>
      </c>
      <c r="C4078" s="6">
        <v>2000.0</v>
      </c>
      <c r="D4078" s="6">
        <v>4.523809524</v>
      </c>
      <c r="E4078" s="6">
        <v>63.0</v>
      </c>
    </row>
    <row r="4079">
      <c r="A4079" s="4" t="s">
        <v>8107</v>
      </c>
      <c r="B4079" s="5" t="s">
        <v>8108</v>
      </c>
      <c r="C4079" s="6">
        <v>2000.0</v>
      </c>
      <c r="D4079" s="6">
        <v>3.7</v>
      </c>
      <c r="E4079" s="6">
        <v>10.0</v>
      </c>
    </row>
    <row r="4080">
      <c r="A4080" s="4" t="s">
        <v>8109</v>
      </c>
      <c r="B4080" s="5" t="s">
        <v>8110</v>
      </c>
      <c r="C4080" s="6">
        <v>2000.0</v>
      </c>
      <c r="D4080" s="6">
        <v>4.7</v>
      </c>
      <c r="E4080" s="6">
        <v>30.0</v>
      </c>
    </row>
    <row r="4081">
      <c r="A4081" s="4" t="s">
        <v>8111</v>
      </c>
      <c r="B4081" s="5" t="s">
        <v>8112</v>
      </c>
      <c r="C4081" s="6">
        <v>2000.0</v>
      </c>
      <c r="D4081" s="6">
        <v>3.5</v>
      </c>
      <c r="E4081" s="6">
        <v>8.0</v>
      </c>
    </row>
    <row r="4082">
      <c r="A4082" s="4" t="s">
        <v>8113</v>
      </c>
      <c r="B4082" s="5" t="s">
        <v>8114</v>
      </c>
      <c r="C4082" s="6">
        <v>2000.0</v>
      </c>
      <c r="D4082" s="6">
        <v>4.117647059</v>
      </c>
      <c r="E4082" s="6">
        <v>17.0</v>
      </c>
    </row>
    <row r="4083">
      <c r="A4083" s="4" t="s">
        <v>8115</v>
      </c>
      <c r="B4083" s="5" t="s">
        <v>8116</v>
      </c>
      <c r="C4083" s="6">
        <v>2000.0</v>
      </c>
      <c r="D4083" s="6">
        <v>4.178571429</v>
      </c>
      <c r="E4083" s="6">
        <v>56.0</v>
      </c>
    </row>
    <row r="4084">
      <c r="A4084" s="4" t="s">
        <v>8117</v>
      </c>
      <c r="B4084" s="5" t="s">
        <v>8118</v>
      </c>
      <c r="C4084" s="6">
        <v>2000.0</v>
      </c>
      <c r="D4084" s="6">
        <v>3.5</v>
      </c>
      <c r="E4084" s="6">
        <v>6.0</v>
      </c>
    </row>
    <row r="4085">
      <c r="A4085" s="4" t="s">
        <v>8119</v>
      </c>
      <c r="B4085" s="5" t="s">
        <v>8120</v>
      </c>
      <c r="C4085" s="6">
        <v>2000.0</v>
      </c>
      <c r="D4085" s="9"/>
      <c r="E4085" s="9"/>
    </row>
    <row r="4086">
      <c r="A4086" s="4" t="s">
        <v>8121</v>
      </c>
      <c r="B4086" s="5" t="s">
        <v>8122</v>
      </c>
      <c r="C4086" s="6">
        <v>2000.0</v>
      </c>
      <c r="D4086" s="6">
        <v>4.666666667</v>
      </c>
      <c r="E4086" s="6">
        <v>45.0</v>
      </c>
    </row>
    <row r="4087">
      <c r="A4087" s="4" t="s">
        <v>8123</v>
      </c>
      <c r="B4087" s="5" t="s">
        <v>8124</v>
      </c>
      <c r="C4087" s="6">
        <v>2000.0</v>
      </c>
      <c r="D4087" s="6">
        <v>4.266666667</v>
      </c>
      <c r="E4087" s="6">
        <v>15.0</v>
      </c>
    </row>
    <row r="4088">
      <c r="A4088" s="4" t="s">
        <v>8125</v>
      </c>
      <c r="B4088" s="5" t="s">
        <v>8126</v>
      </c>
      <c r="C4088" s="6">
        <v>2000.0</v>
      </c>
      <c r="D4088" s="6">
        <v>5.0</v>
      </c>
      <c r="E4088" s="6">
        <v>5.0</v>
      </c>
    </row>
    <row r="4089">
      <c r="A4089" s="4" t="s">
        <v>8127</v>
      </c>
      <c r="B4089" s="5" t="s">
        <v>8128</v>
      </c>
      <c r="C4089" s="6">
        <v>2000.0</v>
      </c>
      <c r="D4089" s="6">
        <v>4.947368421</v>
      </c>
      <c r="E4089" s="6">
        <v>19.0</v>
      </c>
    </row>
    <row r="4090">
      <c r="A4090" s="4" t="s">
        <v>8129</v>
      </c>
      <c r="B4090" s="5" t="s">
        <v>8130</v>
      </c>
      <c r="C4090" s="6">
        <v>2000.0</v>
      </c>
      <c r="D4090" s="6">
        <v>4.666666667</v>
      </c>
      <c r="E4090" s="6">
        <v>3.0</v>
      </c>
    </row>
    <row r="4091">
      <c r="A4091" s="4" t="s">
        <v>8131</v>
      </c>
      <c r="B4091" s="5" t="s">
        <v>8132</v>
      </c>
      <c r="C4091" s="6">
        <v>2000.0</v>
      </c>
      <c r="D4091" s="6">
        <v>3.909090909</v>
      </c>
      <c r="E4091" s="6">
        <v>11.0</v>
      </c>
    </row>
    <row r="4092">
      <c r="A4092" s="4" t="s">
        <v>8133</v>
      </c>
      <c r="B4092" s="5" t="s">
        <v>8134</v>
      </c>
      <c r="C4092" s="6">
        <v>2000.0</v>
      </c>
      <c r="D4092" s="6">
        <v>5.0</v>
      </c>
      <c r="E4092" s="6">
        <v>2.0</v>
      </c>
    </row>
    <row r="4093">
      <c r="A4093" s="4" t="s">
        <v>8135</v>
      </c>
      <c r="B4093" s="5" t="s">
        <v>8136</v>
      </c>
      <c r="C4093" s="6">
        <v>2000.0</v>
      </c>
      <c r="D4093" s="6">
        <v>5.0</v>
      </c>
      <c r="E4093" s="6">
        <v>9.0</v>
      </c>
    </row>
    <row r="4094">
      <c r="A4094" s="4" t="s">
        <v>8137</v>
      </c>
      <c r="B4094" s="5" t="s">
        <v>8138</v>
      </c>
      <c r="C4094" s="6">
        <v>2000.0</v>
      </c>
      <c r="D4094" s="6">
        <v>4.0</v>
      </c>
      <c r="E4094" s="6">
        <v>4.0</v>
      </c>
    </row>
    <row r="4095">
      <c r="A4095" s="4" t="s">
        <v>8139</v>
      </c>
      <c r="B4095" s="5" t="s">
        <v>8140</v>
      </c>
      <c r="C4095" s="6">
        <v>2000.0</v>
      </c>
      <c r="D4095" s="6">
        <v>4.2</v>
      </c>
      <c r="E4095" s="6">
        <v>5.0</v>
      </c>
    </row>
    <row r="4096">
      <c r="A4096" s="4" t="s">
        <v>8141</v>
      </c>
      <c r="B4096" s="5" t="s">
        <v>8142</v>
      </c>
      <c r="C4096" s="6">
        <v>2000.0</v>
      </c>
      <c r="D4096" s="6">
        <v>4.666666667</v>
      </c>
      <c r="E4096" s="6">
        <v>18.0</v>
      </c>
    </row>
    <row r="4097">
      <c r="A4097" s="4" t="s">
        <v>8143</v>
      </c>
      <c r="B4097" s="5" t="s">
        <v>8144</v>
      </c>
      <c r="C4097" s="6">
        <v>2000.0</v>
      </c>
      <c r="D4097" s="6">
        <v>4.909090909</v>
      </c>
      <c r="E4097" s="6">
        <v>11.0</v>
      </c>
    </row>
    <row r="4098">
      <c r="A4098" s="4" t="s">
        <v>8145</v>
      </c>
      <c r="B4098" s="5" t="s">
        <v>8146</v>
      </c>
      <c r="C4098" s="6">
        <v>2000.0</v>
      </c>
      <c r="D4098" s="6">
        <v>5.0</v>
      </c>
      <c r="E4098" s="6">
        <v>22.0</v>
      </c>
    </row>
    <row r="4099">
      <c r="A4099" s="4" t="s">
        <v>8147</v>
      </c>
      <c r="B4099" s="5" t="s">
        <v>8148</v>
      </c>
      <c r="C4099" s="6">
        <v>2000.0</v>
      </c>
      <c r="D4099" s="6">
        <v>4.833333333</v>
      </c>
      <c r="E4099" s="6">
        <v>6.0</v>
      </c>
    </row>
    <row r="4100">
      <c r="A4100" s="4" t="s">
        <v>8149</v>
      </c>
      <c r="B4100" s="5" t="s">
        <v>8150</v>
      </c>
      <c r="C4100" s="6">
        <v>2000.0</v>
      </c>
      <c r="D4100" s="6">
        <v>3.962264151</v>
      </c>
      <c r="E4100" s="6">
        <v>53.0</v>
      </c>
    </row>
    <row r="4101">
      <c r="A4101" s="4" t="s">
        <v>8151</v>
      </c>
      <c r="B4101" s="5" t="s">
        <v>8152</v>
      </c>
      <c r="C4101" s="6">
        <v>2000.0</v>
      </c>
      <c r="D4101" s="6">
        <v>3.5</v>
      </c>
      <c r="E4101" s="6">
        <v>60.0</v>
      </c>
    </row>
    <row r="4102">
      <c r="A4102" s="4" t="s">
        <v>8153</v>
      </c>
      <c r="B4102" s="5" t="s">
        <v>8154</v>
      </c>
      <c r="C4102" s="6">
        <v>2000.0</v>
      </c>
      <c r="D4102" s="6">
        <v>5.0</v>
      </c>
      <c r="E4102" s="6">
        <v>14.0</v>
      </c>
    </row>
    <row r="4103">
      <c r="A4103" s="4" t="s">
        <v>8155</v>
      </c>
      <c r="B4103" s="5" t="s">
        <v>8156</v>
      </c>
      <c r="C4103" s="6">
        <v>2000.0</v>
      </c>
      <c r="D4103" s="6">
        <v>4.304347826</v>
      </c>
      <c r="E4103" s="6">
        <v>23.0</v>
      </c>
    </row>
    <row r="4104">
      <c r="A4104" s="4" t="s">
        <v>8157</v>
      </c>
      <c r="B4104" s="5" t="s">
        <v>8158</v>
      </c>
      <c r="C4104" s="6">
        <v>2000.0</v>
      </c>
      <c r="D4104" s="6">
        <v>4.695652174</v>
      </c>
      <c r="E4104" s="6">
        <v>46.0</v>
      </c>
    </row>
    <row r="4105">
      <c r="A4105" s="4" t="s">
        <v>8159</v>
      </c>
      <c r="B4105" s="5" t="s">
        <v>8160</v>
      </c>
      <c r="C4105" s="6">
        <v>2000.0</v>
      </c>
      <c r="D4105" s="6">
        <v>4.333333333</v>
      </c>
      <c r="E4105" s="6">
        <v>6.0</v>
      </c>
    </row>
    <row r="4106">
      <c r="A4106" s="4" t="s">
        <v>8161</v>
      </c>
      <c r="B4106" s="5" t="s">
        <v>8162</v>
      </c>
      <c r="C4106" s="6">
        <v>2000.0</v>
      </c>
      <c r="D4106" s="6">
        <v>3.476190476</v>
      </c>
      <c r="E4106" s="6">
        <v>21.0</v>
      </c>
    </row>
    <row r="4107">
      <c r="A4107" s="4" t="s">
        <v>8163</v>
      </c>
      <c r="B4107" s="5" t="s">
        <v>8164</v>
      </c>
      <c r="C4107" s="6">
        <v>2000.0</v>
      </c>
      <c r="D4107" s="6">
        <v>3.166666667</v>
      </c>
      <c r="E4107" s="6">
        <v>6.0</v>
      </c>
    </row>
    <row r="4108">
      <c r="A4108" s="4" t="s">
        <v>8165</v>
      </c>
      <c r="B4108" s="5" t="s">
        <v>8166</v>
      </c>
      <c r="C4108" s="6">
        <v>2000.0</v>
      </c>
      <c r="D4108" s="6">
        <v>3.0</v>
      </c>
      <c r="E4108" s="6">
        <v>4.0</v>
      </c>
    </row>
    <row r="4109">
      <c r="A4109" s="4" t="s">
        <v>8167</v>
      </c>
      <c r="B4109" s="5" t="s">
        <v>8168</v>
      </c>
      <c r="C4109" s="6">
        <v>2000.0</v>
      </c>
      <c r="D4109" s="6">
        <v>3.0</v>
      </c>
      <c r="E4109" s="6">
        <v>1.0</v>
      </c>
    </row>
    <row r="4110">
      <c r="A4110" s="4" t="s">
        <v>8169</v>
      </c>
      <c r="B4110" s="5" t="s">
        <v>8170</v>
      </c>
      <c r="C4110" s="6">
        <v>2000.0</v>
      </c>
      <c r="D4110" s="6">
        <v>3.714285714</v>
      </c>
      <c r="E4110" s="6">
        <v>21.0</v>
      </c>
    </row>
    <row r="4111">
      <c r="A4111" s="4" t="s">
        <v>8171</v>
      </c>
      <c r="B4111" s="5" t="s">
        <v>8172</v>
      </c>
      <c r="C4111" s="6">
        <v>2000.0</v>
      </c>
      <c r="D4111" s="6">
        <v>4.464285714</v>
      </c>
      <c r="E4111" s="6">
        <v>28.0</v>
      </c>
    </row>
    <row r="4112">
      <c r="A4112" s="4" t="s">
        <v>8173</v>
      </c>
      <c r="B4112" s="5" t="s">
        <v>8174</v>
      </c>
      <c r="C4112" s="6">
        <v>2000.0</v>
      </c>
      <c r="D4112" s="6">
        <v>3.857142857</v>
      </c>
      <c r="E4112" s="6">
        <v>14.0</v>
      </c>
    </row>
    <row r="4113">
      <c r="A4113" s="4" t="s">
        <v>8175</v>
      </c>
      <c r="B4113" s="5" t="s">
        <v>8176</v>
      </c>
      <c r="C4113" s="6">
        <v>2000.0</v>
      </c>
      <c r="D4113" s="6">
        <v>4.833333333</v>
      </c>
      <c r="E4113" s="6">
        <v>30.0</v>
      </c>
    </row>
    <row r="4114">
      <c r="A4114" s="4" t="s">
        <v>8177</v>
      </c>
      <c r="B4114" s="5" t="s">
        <v>8178</v>
      </c>
      <c r="C4114" s="6">
        <v>2000.0</v>
      </c>
      <c r="D4114" s="6">
        <v>4.0</v>
      </c>
      <c r="E4114" s="6">
        <v>6.0</v>
      </c>
    </row>
    <row r="4115">
      <c r="A4115" s="4" t="s">
        <v>8179</v>
      </c>
      <c r="B4115" s="5" t="s">
        <v>8180</v>
      </c>
      <c r="C4115" s="6">
        <v>2000.0</v>
      </c>
      <c r="D4115" s="6">
        <v>3.49122807</v>
      </c>
      <c r="E4115" s="6">
        <v>57.0</v>
      </c>
    </row>
    <row r="4116">
      <c r="A4116" s="4" t="s">
        <v>8181</v>
      </c>
      <c r="B4116" s="5" t="s">
        <v>8182</v>
      </c>
      <c r="C4116" s="6">
        <v>2000.0</v>
      </c>
      <c r="D4116" s="6">
        <v>4.808510638</v>
      </c>
      <c r="E4116" s="6">
        <v>47.0</v>
      </c>
    </row>
    <row r="4117">
      <c r="A4117" s="4" t="s">
        <v>8183</v>
      </c>
      <c r="B4117" s="5" t="s">
        <v>8184</v>
      </c>
      <c r="C4117" s="6">
        <v>2000.0</v>
      </c>
      <c r="D4117" s="6">
        <v>3.714285714</v>
      </c>
      <c r="E4117" s="6">
        <v>7.0</v>
      </c>
    </row>
    <row r="4118">
      <c r="A4118" s="4" t="s">
        <v>8185</v>
      </c>
      <c r="B4118" s="5" t="s">
        <v>8186</v>
      </c>
      <c r="C4118" s="6">
        <v>2000.0</v>
      </c>
      <c r="D4118" s="6">
        <v>5.0</v>
      </c>
      <c r="E4118" s="6">
        <v>3.0</v>
      </c>
    </row>
    <row r="4119">
      <c r="A4119" s="4" t="s">
        <v>8187</v>
      </c>
      <c r="B4119" s="5" t="s">
        <v>8188</v>
      </c>
      <c r="C4119" s="6">
        <v>2000.0</v>
      </c>
      <c r="D4119" s="6">
        <v>2.5</v>
      </c>
      <c r="E4119" s="6">
        <v>2.0</v>
      </c>
    </row>
    <row r="4120">
      <c r="A4120" s="4" t="s">
        <v>8189</v>
      </c>
      <c r="B4120" s="5" t="s">
        <v>8190</v>
      </c>
      <c r="C4120" s="6">
        <v>2000.0</v>
      </c>
      <c r="D4120" s="6">
        <v>3.928571429</v>
      </c>
      <c r="E4120" s="6">
        <v>14.0</v>
      </c>
    </row>
    <row r="4121">
      <c r="A4121" s="4" t="s">
        <v>8191</v>
      </c>
      <c r="B4121" s="5" t="s">
        <v>8192</v>
      </c>
      <c r="C4121" s="6">
        <v>2000.0</v>
      </c>
      <c r="D4121" s="6">
        <v>4.1</v>
      </c>
      <c r="E4121" s="6">
        <v>20.0</v>
      </c>
    </row>
    <row r="4122">
      <c r="A4122" s="4" t="s">
        <v>8193</v>
      </c>
      <c r="B4122" s="5" t="s">
        <v>8194</v>
      </c>
      <c r="C4122" s="6">
        <v>2000.0</v>
      </c>
      <c r="D4122" s="6">
        <v>5.0</v>
      </c>
      <c r="E4122" s="6">
        <v>1.0</v>
      </c>
    </row>
    <row r="4123">
      <c r="A4123" s="4" t="s">
        <v>8195</v>
      </c>
      <c r="B4123" s="5" t="s">
        <v>8196</v>
      </c>
      <c r="C4123" s="6">
        <v>2000.0</v>
      </c>
      <c r="D4123" s="6">
        <v>4.41025641</v>
      </c>
      <c r="E4123" s="6">
        <v>39.0</v>
      </c>
    </row>
    <row r="4124">
      <c r="A4124" s="4" t="s">
        <v>8197</v>
      </c>
      <c r="B4124" s="5" t="s">
        <v>8198</v>
      </c>
      <c r="C4124" s="6">
        <v>2000.0</v>
      </c>
      <c r="D4124" s="6">
        <v>5.0</v>
      </c>
      <c r="E4124" s="6">
        <v>4.0</v>
      </c>
    </row>
    <row r="4125">
      <c r="A4125" s="4" t="s">
        <v>8199</v>
      </c>
      <c r="B4125" s="5" t="s">
        <v>8200</v>
      </c>
      <c r="C4125" s="6">
        <v>2000.0</v>
      </c>
      <c r="D4125" s="6">
        <v>4.25</v>
      </c>
      <c r="E4125" s="6">
        <v>4.0</v>
      </c>
    </row>
    <row r="4126">
      <c r="A4126" s="4" t="s">
        <v>8201</v>
      </c>
      <c r="B4126" s="5" t="s">
        <v>8202</v>
      </c>
      <c r="C4126" s="6">
        <v>2000.0</v>
      </c>
      <c r="D4126" s="6">
        <v>3.933333333</v>
      </c>
      <c r="E4126" s="6">
        <v>15.0</v>
      </c>
    </row>
    <row r="4127">
      <c r="A4127" s="4" t="s">
        <v>8203</v>
      </c>
      <c r="B4127" s="5" t="s">
        <v>8204</v>
      </c>
      <c r="C4127" s="6">
        <v>2000.0</v>
      </c>
      <c r="D4127" s="6">
        <v>4.555555556</v>
      </c>
      <c r="E4127" s="6">
        <v>27.0</v>
      </c>
    </row>
    <row r="4128">
      <c r="A4128" s="4" t="s">
        <v>8205</v>
      </c>
      <c r="B4128" s="5" t="s">
        <v>8206</v>
      </c>
      <c r="C4128" s="6">
        <v>2000.0</v>
      </c>
      <c r="D4128" s="6">
        <v>4.111111111</v>
      </c>
      <c r="E4128" s="6">
        <v>9.0</v>
      </c>
    </row>
    <row r="4129">
      <c r="A4129" s="4" t="s">
        <v>8207</v>
      </c>
      <c r="B4129" s="5" t="s">
        <v>8208</v>
      </c>
      <c r="C4129" s="6">
        <v>2000.0</v>
      </c>
      <c r="D4129" s="6">
        <v>2.666666667</v>
      </c>
      <c r="E4129" s="6">
        <v>3.0</v>
      </c>
    </row>
    <row r="4130">
      <c r="A4130" s="4" t="s">
        <v>8209</v>
      </c>
      <c r="B4130" s="5" t="s">
        <v>8210</v>
      </c>
      <c r="C4130" s="6">
        <v>2000.0</v>
      </c>
      <c r="D4130" s="6">
        <v>4.208333333</v>
      </c>
      <c r="E4130" s="6">
        <v>24.0</v>
      </c>
    </row>
    <row r="4131">
      <c r="A4131" s="4" t="s">
        <v>8211</v>
      </c>
      <c r="B4131" s="5" t="s">
        <v>8212</v>
      </c>
      <c r="C4131" s="6">
        <v>2000.0</v>
      </c>
      <c r="D4131" s="6">
        <v>4.9375</v>
      </c>
      <c r="E4131" s="6">
        <v>16.0</v>
      </c>
    </row>
    <row r="4132">
      <c r="A4132" s="4" t="s">
        <v>8213</v>
      </c>
      <c r="B4132" s="5" t="s">
        <v>8214</v>
      </c>
      <c r="C4132" s="6">
        <v>2000.0</v>
      </c>
      <c r="D4132" s="6">
        <v>4.333333333</v>
      </c>
      <c r="E4132" s="6">
        <v>3.0</v>
      </c>
    </row>
    <row r="4133">
      <c r="A4133" s="4" t="s">
        <v>8215</v>
      </c>
      <c r="B4133" s="5" t="s">
        <v>8216</v>
      </c>
      <c r="C4133" s="6">
        <v>2000.0</v>
      </c>
      <c r="D4133" s="6">
        <v>4.583333333</v>
      </c>
      <c r="E4133" s="6">
        <v>12.0</v>
      </c>
    </row>
    <row r="4134">
      <c r="A4134" s="4" t="s">
        <v>8217</v>
      </c>
      <c r="B4134" s="5" t="s">
        <v>8218</v>
      </c>
      <c r="C4134" s="6">
        <v>2000.0</v>
      </c>
      <c r="D4134" s="6">
        <v>3.6875</v>
      </c>
      <c r="E4134" s="6">
        <v>16.0</v>
      </c>
    </row>
    <row r="4135">
      <c r="A4135" s="4" t="s">
        <v>8219</v>
      </c>
      <c r="B4135" s="5" t="s">
        <v>8220</v>
      </c>
      <c r="C4135" s="6">
        <v>2000.0</v>
      </c>
      <c r="D4135" s="6">
        <v>5.0</v>
      </c>
      <c r="E4135" s="6">
        <v>4.0</v>
      </c>
    </row>
    <row r="4136">
      <c r="A4136" s="4" t="s">
        <v>8221</v>
      </c>
      <c r="B4136" s="5" t="s">
        <v>8222</v>
      </c>
      <c r="C4136" s="6">
        <v>2000.0</v>
      </c>
      <c r="D4136" s="6">
        <v>3.222222222</v>
      </c>
      <c r="E4136" s="6">
        <v>45.0</v>
      </c>
    </row>
    <row r="4137">
      <c r="A4137" s="4" t="s">
        <v>8223</v>
      </c>
      <c r="B4137" s="5" t="s">
        <v>8224</v>
      </c>
      <c r="C4137" s="6">
        <v>2000.0</v>
      </c>
      <c r="D4137" s="6">
        <v>4.166666667</v>
      </c>
      <c r="E4137" s="6">
        <v>12.0</v>
      </c>
    </row>
    <row r="4138">
      <c r="A4138" s="4" t="s">
        <v>8225</v>
      </c>
      <c r="B4138" s="5" t="s">
        <v>8226</v>
      </c>
      <c r="C4138" s="6">
        <v>2000.0</v>
      </c>
      <c r="D4138" s="6">
        <v>4.642857143</v>
      </c>
      <c r="E4138" s="6">
        <v>14.0</v>
      </c>
    </row>
    <row r="4139">
      <c r="A4139" s="4" t="s">
        <v>8227</v>
      </c>
      <c r="B4139" s="5" t="s">
        <v>8228</v>
      </c>
      <c r="C4139" s="6">
        <v>2000.0</v>
      </c>
      <c r="D4139" s="6">
        <v>5.0</v>
      </c>
      <c r="E4139" s="6">
        <v>5.0</v>
      </c>
    </row>
    <row r="4140">
      <c r="A4140" s="4" t="s">
        <v>8229</v>
      </c>
      <c r="B4140" s="5" t="s">
        <v>8230</v>
      </c>
      <c r="C4140" s="6">
        <v>2000.0</v>
      </c>
      <c r="D4140" s="6">
        <v>4.803571429</v>
      </c>
      <c r="E4140" s="6">
        <v>56.0</v>
      </c>
    </row>
    <row r="4141">
      <c r="A4141" s="4" t="s">
        <v>8231</v>
      </c>
      <c r="B4141" s="5" t="s">
        <v>8232</v>
      </c>
      <c r="C4141" s="6">
        <v>2000.0</v>
      </c>
      <c r="D4141" s="6">
        <v>4.769230769</v>
      </c>
      <c r="E4141" s="6">
        <v>13.0</v>
      </c>
    </row>
    <row r="4142">
      <c r="A4142" s="4" t="s">
        <v>8233</v>
      </c>
      <c r="B4142" s="5" t="s">
        <v>8234</v>
      </c>
      <c r="C4142" s="6">
        <v>2000.0</v>
      </c>
      <c r="D4142" s="6">
        <v>3.0</v>
      </c>
      <c r="E4142" s="6">
        <v>2.0</v>
      </c>
    </row>
    <row r="4143">
      <c r="A4143" s="4" t="s">
        <v>8235</v>
      </c>
      <c r="B4143" s="5" t="s">
        <v>8236</v>
      </c>
      <c r="C4143" s="6">
        <v>2000.0</v>
      </c>
      <c r="D4143" s="6">
        <v>4.066666667</v>
      </c>
      <c r="E4143" s="6">
        <v>15.0</v>
      </c>
    </row>
    <row r="4144">
      <c r="A4144" s="4" t="s">
        <v>8237</v>
      </c>
      <c r="B4144" s="5" t="s">
        <v>8238</v>
      </c>
      <c r="C4144" s="6">
        <v>2000.0</v>
      </c>
      <c r="D4144" s="6">
        <v>2.333333333</v>
      </c>
      <c r="E4144" s="6">
        <v>3.0</v>
      </c>
    </row>
    <row r="4145">
      <c r="A4145" s="4" t="s">
        <v>8239</v>
      </c>
      <c r="B4145" s="5" t="s">
        <v>8240</v>
      </c>
      <c r="C4145" s="6">
        <v>2000.0</v>
      </c>
      <c r="D4145" s="6">
        <v>4.4</v>
      </c>
      <c r="E4145" s="6">
        <v>45.0</v>
      </c>
    </row>
    <row r="4146">
      <c r="A4146" s="4" t="s">
        <v>1026</v>
      </c>
      <c r="B4146" s="5" t="s">
        <v>8241</v>
      </c>
      <c r="C4146" s="6">
        <v>2000.0</v>
      </c>
      <c r="D4146" s="6">
        <v>3.6</v>
      </c>
      <c r="E4146" s="6">
        <v>5.0</v>
      </c>
    </row>
    <row r="4147">
      <c r="A4147" s="4" t="s">
        <v>8242</v>
      </c>
      <c r="B4147" s="5" t="s">
        <v>8243</v>
      </c>
      <c r="C4147" s="6">
        <v>2000.0</v>
      </c>
      <c r="D4147" s="6">
        <v>4.375</v>
      </c>
      <c r="E4147" s="6">
        <v>8.0</v>
      </c>
    </row>
    <row r="4148">
      <c r="A4148" s="4" t="s">
        <v>8244</v>
      </c>
      <c r="B4148" s="5" t="s">
        <v>8245</v>
      </c>
      <c r="C4148" s="6">
        <v>2000.0</v>
      </c>
      <c r="D4148" s="6">
        <v>5.0</v>
      </c>
      <c r="E4148" s="6">
        <v>4.0</v>
      </c>
    </row>
    <row r="4149">
      <c r="A4149" s="4" t="s">
        <v>8246</v>
      </c>
      <c r="B4149" s="5" t="s">
        <v>8247</v>
      </c>
      <c r="C4149" s="6">
        <v>2000.0</v>
      </c>
      <c r="D4149" s="6">
        <v>4.114285714</v>
      </c>
      <c r="E4149" s="6">
        <v>105.0</v>
      </c>
    </row>
    <row r="4150">
      <c r="A4150" s="4" t="s">
        <v>8248</v>
      </c>
      <c r="B4150" s="5" t="s">
        <v>8249</v>
      </c>
      <c r="C4150" s="6">
        <v>2000.0</v>
      </c>
      <c r="D4150" s="6">
        <v>4.076923077</v>
      </c>
      <c r="E4150" s="6">
        <v>13.0</v>
      </c>
    </row>
    <row r="4151">
      <c r="A4151" s="4" t="s">
        <v>8250</v>
      </c>
      <c r="B4151" s="5" t="s">
        <v>8251</v>
      </c>
      <c r="C4151" s="6">
        <v>2000.0</v>
      </c>
      <c r="D4151" s="6">
        <v>4.435185185</v>
      </c>
      <c r="E4151" s="6">
        <v>216.0</v>
      </c>
    </row>
    <row r="4152">
      <c r="A4152" s="4" t="s">
        <v>8252</v>
      </c>
      <c r="B4152" s="5" t="s">
        <v>8253</v>
      </c>
      <c r="C4152" s="6">
        <v>2000.0</v>
      </c>
      <c r="D4152" s="6">
        <v>4.785714286</v>
      </c>
      <c r="E4152" s="6">
        <v>28.0</v>
      </c>
    </row>
    <row r="4153">
      <c r="A4153" s="4" t="s">
        <v>8254</v>
      </c>
      <c r="B4153" s="5" t="s">
        <v>8255</v>
      </c>
      <c r="C4153" s="6">
        <v>2000.0</v>
      </c>
      <c r="D4153" s="6">
        <v>3.272727273</v>
      </c>
      <c r="E4153" s="6">
        <v>11.0</v>
      </c>
    </row>
    <row r="4154">
      <c r="A4154" s="4" t="s">
        <v>8256</v>
      </c>
      <c r="B4154" s="5" t="s">
        <v>8257</v>
      </c>
      <c r="C4154" s="6">
        <v>2000.0</v>
      </c>
      <c r="D4154" s="6">
        <v>5.0</v>
      </c>
      <c r="E4154" s="6">
        <v>1.0</v>
      </c>
    </row>
    <row r="4155">
      <c r="A4155" s="4" t="s">
        <v>8258</v>
      </c>
      <c r="B4155" s="5" t="s">
        <v>8259</v>
      </c>
      <c r="C4155" s="6">
        <v>2000.0</v>
      </c>
      <c r="D4155" s="6">
        <v>3.615384615</v>
      </c>
      <c r="E4155" s="6">
        <v>13.0</v>
      </c>
    </row>
    <row r="4156">
      <c r="A4156" s="4" t="s">
        <v>8260</v>
      </c>
      <c r="B4156" s="5" t="s">
        <v>8261</v>
      </c>
      <c r="C4156" s="6">
        <v>2000.0</v>
      </c>
      <c r="D4156" s="6">
        <v>1.714285714</v>
      </c>
      <c r="E4156" s="6">
        <v>7.0</v>
      </c>
    </row>
    <row r="4157">
      <c r="A4157" s="4" t="s">
        <v>8262</v>
      </c>
      <c r="B4157" s="5" t="s">
        <v>8263</v>
      </c>
      <c r="C4157" s="6">
        <v>2000.0</v>
      </c>
      <c r="D4157" s="6">
        <v>1.666666667</v>
      </c>
      <c r="E4157" s="6">
        <v>6.0</v>
      </c>
    </row>
    <row r="4158">
      <c r="A4158" s="4" t="s">
        <v>8264</v>
      </c>
      <c r="B4158" s="5" t="s">
        <v>8265</v>
      </c>
      <c r="C4158" s="6">
        <v>2000.0</v>
      </c>
      <c r="D4158" s="6">
        <v>4.5</v>
      </c>
      <c r="E4158" s="6">
        <v>14.0</v>
      </c>
    </row>
    <row r="4159">
      <c r="A4159" s="4" t="s">
        <v>2155</v>
      </c>
      <c r="B4159" s="5" t="s">
        <v>8266</v>
      </c>
      <c r="C4159" s="6">
        <v>2000.0</v>
      </c>
      <c r="D4159" s="6">
        <v>3.25</v>
      </c>
      <c r="E4159" s="6">
        <v>16.0</v>
      </c>
    </row>
    <row r="4160">
      <c r="A4160" s="4" t="s">
        <v>8267</v>
      </c>
      <c r="B4160" s="5" t="s">
        <v>8268</v>
      </c>
      <c r="C4160" s="6">
        <v>2000.0</v>
      </c>
      <c r="D4160" s="6">
        <v>4.0</v>
      </c>
      <c r="E4160" s="6">
        <v>20.0</v>
      </c>
    </row>
    <row r="4161">
      <c r="A4161" s="4" t="s">
        <v>8269</v>
      </c>
      <c r="B4161" s="5" t="s">
        <v>8270</v>
      </c>
      <c r="C4161" s="6">
        <v>2000.0</v>
      </c>
      <c r="D4161" s="6">
        <v>2.482758621</v>
      </c>
      <c r="E4161" s="6">
        <v>29.0</v>
      </c>
    </row>
    <row r="4162">
      <c r="A4162" s="4" t="s">
        <v>8271</v>
      </c>
      <c r="B4162" s="5" t="s">
        <v>8272</v>
      </c>
      <c r="C4162" s="6">
        <v>2000.0</v>
      </c>
      <c r="D4162" s="6">
        <v>4.0</v>
      </c>
      <c r="E4162" s="6">
        <v>8.0</v>
      </c>
    </row>
    <row r="4163">
      <c r="A4163" s="4" t="s">
        <v>8273</v>
      </c>
      <c r="B4163" s="5" t="s">
        <v>8274</v>
      </c>
      <c r="C4163" s="6">
        <v>2000.0</v>
      </c>
      <c r="D4163" s="9"/>
      <c r="E4163" s="9"/>
    </row>
    <row r="4164">
      <c r="A4164" s="4" t="s">
        <v>8275</v>
      </c>
      <c r="B4164" s="5" t="s">
        <v>8276</v>
      </c>
      <c r="C4164" s="6">
        <v>2000.0</v>
      </c>
      <c r="D4164" s="6">
        <v>4.741573034</v>
      </c>
      <c r="E4164" s="6">
        <v>267.0</v>
      </c>
    </row>
    <row r="4165">
      <c r="A4165" s="4" t="s">
        <v>8277</v>
      </c>
      <c r="B4165" s="5" t="s">
        <v>8278</v>
      </c>
      <c r="C4165" s="6">
        <v>2000.0</v>
      </c>
      <c r="D4165" s="6">
        <v>2.777777778</v>
      </c>
      <c r="E4165" s="6">
        <v>18.0</v>
      </c>
    </row>
    <row r="4166">
      <c r="A4166" s="4" t="s">
        <v>8279</v>
      </c>
      <c r="B4166" s="5" t="s">
        <v>8280</v>
      </c>
      <c r="C4166" s="6">
        <v>2000.0</v>
      </c>
      <c r="D4166" s="6">
        <v>4.914893617</v>
      </c>
      <c r="E4166" s="6">
        <v>47.0</v>
      </c>
    </row>
    <row r="4167">
      <c r="A4167" s="4" t="s">
        <v>8281</v>
      </c>
      <c r="B4167" s="5" t="s">
        <v>8282</v>
      </c>
      <c r="C4167" s="6">
        <v>2000.0</v>
      </c>
      <c r="D4167" s="6">
        <v>4.125</v>
      </c>
      <c r="E4167" s="6">
        <v>8.0</v>
      </c>
    </row>
    <row r="4168">
      <c r="A4168" s="4" t="s">
        <v>8283</v>
      </c>
      <c r="B4168" s="5" t="s">
        <v>8284</v>
      </c>
      <c r="C4168" s="6">
        <v>2000.0</v>
      </c>
      <c r="D4168" s="6">
        <v>4.0</v>
      </c>
      <c r="E4168" s="6">
        <v>6.0</v>
      </c>
    </row>
    <row r="4169">
      <c r="A4169" s="4" t="s">
        <v>8285</v>
      </c>
      <c r="B4169" s="5" t="s">
        <v>8286</v>
      </c>
      <c r="C4169" s="6">
        <v>2000.0</v>
      </c>
      <c r="D4169" s="6">
        <v>2.45</v>
      </c>
      <c r="E4169" s="6">
        <v>20.0</v>
      </c>
    </row>
    <row r="4170">
      <c r="A4170" s="4" t="s">
        <v>8287</v>
      </c>
      <c r="B4170" s="5" t="s">
        <v>8288</v>
      </c>
      <c r="C4170" s="6">
        <v>2000.0</v>
      </c>
      <c r="D4170" s="6">
        <v>3.75</v>
      </c>
      <c r="E4170" s="6">
        <v>28.0</v>
      </c>
    </row>
    <row r="4171">
      <c r="A4171" s="4" t="s">
        <v>8289</v>
      </c>
      <c r="B4171" s="5" t="s">
        <v>8290</v>
      </c>
      <c r="C4171" s="6">
        <v>2000.0</v>
      </c>
      <c r="D4171" s="6">
        <v>3.18</v>
      </c>
      <c r="E4171" s="6">
        <v>50.0</v>
      </c>
    </row>
    <row r="4172">
      <c r="A4172" s="4" t="s">
        <v>8291</v>
      </c>
      <c r="B4172" s="5" t="s">
        <v>8292</v>
      </c>
      <c r="C4172" s="6">
        <v>2000.0</v>
      </c>
      <c r="D4172" s="6">
        <v>4.1</v>
      </c>
      <c r="E4172" s="6">
        <v>10.0</v>
      </c>
    </row>
    <row r="4173">
      <c r="A4173" s="4" t="s">
        <v>8293</v>
      </c>
      <c r="B4173" s="5" t="s">
        <v>8294</v>
      </c>
      <c r="C4173" s="6">
        <v>2000.0</v>
      </c>
      <c r="D4173" s="6">
        <v>1.904761905</v>
      </c>
      <c r="E4173" s="6">
        <v>21.0</v>
      </c>
    </row>
    <row r="4174">
      <c r="A4174" s="4" t="s">
        <v>8295</v>
      </c>
      <c r="B4174" s="5" t="s">
        <v>8296</v>
      </c>
      <c r="C4174" s="6">
        <v>2000.0</v>
      </c>
      <c r="D4174" s="6">
        <v>4.125</v>
      </c>
      <c r="E4174" s="6">
        <v>8.0</v>
      </c>
    </row>
    <row r="4175">
      <c r="A4175" s="4" t="s">
        <v>8297</v>
      </c>
      <c r="B4175" s="5" t="s">
        <v>8298</v>
      </c>
      <c r="C4175" s="6">
        <v>2000.0</v>
      </c>
      <c r="D4175" s="6">
        <v>4.25</v>
      </c>
      <c r="E4175" s="6">
        <v>12.0</v>
      </c>
    </row>
    <row r="4176">
      <c r="A4176" s="4" t="s">
        <v>8299</v>
      </c>
      <c r="B4176" s="5" t="s">
        <v>8300</v>
      </c>
      <c r="C4176" s="6">
        <v>2000.0</v>
      </c>
      <c r="D4176" s="6">
        <v>4.456521739</v>
      </c>
      <c r="E4176" s="6">
        <v>46.0</v>
      </c>
    </row>
    <row r="4177">
      <c r="A4177" s="4" t="s">
        <v>8301</v>
      </c>
      <c r="B4177" s="5" t="s">
        <v>8302</v>
      </c>
      <c r="C4177" s="6">
        <v>2000.0</v>
      </c>
      <c r="D4177" s="6">
        <v>4.5</v>
      </c>
      <c r="E4177" s="6">
        <v>4.0</v>
      </c>
    </row>
    <row r="4178">
      <c r="A4178" s="4" t="s">
        <v>8303</v>
      </c>
      <c r="B4178" s="5" t="s">
        <v>8304</v>
      </c>
      <c r="C4178" s="6">
        <v>2000.0</v>
      </c>
      <c r="D4178" s="6">
        <v>4.571428571</v>
      </c>
      <c r="E4178" s="6">
        <v>7.0</v>
      </c>
    </row>
    <row r="4179">
      <c r="A4179" s="4" t="s">
        <v>8305</v>
      </c>
      <c r="B4179" s="5" t="s">
        <v>8306</v>
      </c>
      <c r="C4179" s="6">
        <v>2000.0</v>
      </c>
      <c r="D4179" s="6">
        <v>3.272727273</v>
      </c>
      <c r="E4179" s="6">
        <v>22.0</v>
      </c>
    </row>
    <row r="4180">
      <c r="A4180" s="4" t="s">
        <v>8307</v>
      </c>
      <c r="B4180" s="5" t="s">
        <v>8308</v>
      </c>
      <c r="C4180" s="6">
        <v>2000.0</v>
      </c>
      <c r="D4180" s="6">
        <v>4.3</v>
      </c>
      <c r="E4180" s="6">
        <v>10.0</v>
      </c>
    </row>
    <row r="4181">
      <c r="A4181" s="4" t="s">
        <v>8309</v>
      </c>
      <c r="B4181" s="5" t="s">
        <v>8310</v>
      </c>
      <c r="C4181" s="6">
        <v>2000.0</v>
      </c>
      <c r="D4181" s="6">
        <v>2.76</v>
      </c>
      <c r="E4181" s="6">
        <v>25.0</v>
      </c>
    </row>
    <row r="4182">
      <c r="A4182" s="4" t="s">
        <v>8311</v>
      </c>
      <c r="B4182" s="5" t="s">
        <v>8312</v>
      </c>
      <c r="C4182" s="6">
        <v>2000.0</v>
      </c>
      <c r="D4182" s="6">
        <v>2.909090909</v>
      </c>
      <c r="E4182" s="6">
        <v>11.0</v>
      </c>
    </row>
    <row r="4183">
      <c r="A4183" s="4" t="s">
        <v>8313</v>
      </c>
      <c r="B4183" s="5" t="s">
        <v>8314</v>
      </c>
      <c r="C4183" s="6">
        <v>2000.0</v>
      </c>
      <c r="D4183" s="6">
        <v>5.0</v>
      </c>
      <c r="E4183" s="6">
        <v>9.0</v>
      </c>
    </row>
    <row r="4184">
      <c r="A4184" s="4" t="s">
        <v>8315</v>
      </c>
      <c r="B4184" s="5" t="s">
        <v>8316</v>
      </c>
      <c r="C4184" s="6">
        <v>2000.0</v>
      </c>
      <c r="D4184" s="6">
        <v>4.821428571</v>
      </c>
      <c r="E4184" s="6">
        <v>28.0</v>
      </c>
    </row>
    <row r="4185">
      <c r="A4185" s="4" t="s">
        <v>8317</v>
      </c>
      <c r="B4185" s="5" t="s">
        <v>8318</v>
      </c>
      <c r="C4185" s="6">
        <v>2000.0</v>
      </c>
      <c r="D4185" s="6">
        <v>4.617647059</v>
      </c>
      <c r="E4185" s="6">
        <v>34.0</v>
      </c>
    </row>
    <row r="4186">
      <c r="A4186" s="4" t="s">
        <v>8319</v>
      </c>
      <c r="B4186" s="5" t="s">
        <v>8320</v>
      </c>
      <c r="C4186" s="6">
        <v>2000.0</v>
      </c>
      <c r="D4186" s="6">
        <v>4.307692308</v>
      </c>
      <c r="E4186" s="6">
        <v>26.0</v>
      </c>
    </row>
    <row r="4187">
      <c r="A4187" s="4" t="s">
        <v>8321</v>
      </c>
      <c r="B4187" s="5" t="s">
        <v>8322</v>
      </c>
      <c r="C4187" s="6">
        <v>2000.0</v>
      </c>
      <c r="D4187" s="6">
        <v>4.272727273</v>
      </c>
      <c r="E4187" s="6">
        <v>11.0</v>
      </c>
    </row>
    <row r="4188">
      <c r="A4188" s="4" t="s">
        <v>8323</v>
      </c>
      <c r="B4188" s="5" t="s">
        <v>8324</v>
      </c>
      <c r="C4188" s="6">
        <v>2000.0</v>
      </c>
      <c r="D4188" s="6">
        <v>2.5</v>
      </c>
      <c r="E4188" s="6">
        <v>6.0</v>
      </c>
    </row>
    <row r="4189">
      <c r="A4189" s="4" t="s">
        <v>8325</v>
      </c>
      <c r="B4189" s="5" t="s">
        <v>8326</v>
      </c>
      <c r="C4189" s="6">
        <v>2000.0</v>
      </c>
      <c r="D4189" s="6">
        <v>4.763157895</v>
      </c>
      <c r="E4189" s="6">
        <v>38.0</v>
      </c>
    </row>
    <row r="4190">
      <c r="A4190" s="4" t="s">
        <v>8327</v>
      </c>
      <c r="B4190" s="5" t="s">
        <v>8328</v>
      </c>
      <c r="C4190" s="6">
        <v>2000.0</v>
      </c>
      <c r="D4190" s="6">
        <v>4.36</v>
      </c>
      <c r="E4190" s="6">
        <v>25.0</v>
      </c>
    </row>
    <row r="4191">
      <c r="A4191" s="4" t="s">
        <v>8329</v>
      </c>
      <c r="B4191" s="5" t="s">
        <v>8330</v>
      </c>
      <c r="C4191" s="6">
        <v>2000.0</v>
      </c>
      <c r="D4191" s="6">
        <v>4.85</v>
      </c>
      <c r="E4191" s="6">
        <v>100.0</v>
      </c>
    </row>
    <row r="4192">
      <c r="A4192" s="4" t="s">
        <v>8331</v>
      </c>
      <c r="B4192" s="5" t="s">
        <v>8332</v>
      </c>
      <c r="C4192" s="6">
        <v>2000.0</v>
      </c>
      <c r="D4192" s="6">
        <v>3.04</v>
      </c>
      <c r="E4192" s="6">
        <v>25.0</v>
      </c>
    </row>
    <row r="4193">
      <c r="A4193" s="4" t="s">
        <v>8333</v>
      </c>
      <c r="B4193" s="5" t="s">
        <v>8334</v>
      </c>
      <c r="C4193" s="6">
        <v>2000.0</v>
      </c>
      <c r="D4193" s="6">
        <v>4.0</v>
      </c>
      <c r="E4193" s="6">
        <v>8.0</v>
      </c>
    </row>
    <row r="4194">
      <c r="A4194" s="4" t="s">
        <v>8335</v>
      </c>
      <c r="B4194" s="5" t="s">
        <v>8336</v>
      </c>
      <c r="C4194" s="6">
        <v>2000.0</v>
      </c>
      <c r="D4194" s="6">
        <v>5.0</v>
      </c>
      <c r="E4194" s="6">
        <v>2.0</v>
      </c>
    </row>
    <row r="4195">
      <c r="A4195" s="4" t="s">
        <v>8337</v>
      </c>
      <c r="B4195" s="5" t="s">
        <v>8338</v>
      </c>
      <c r="C4195" s="6">
        <v>2000.0</v>
      </c>
      <c r="D4195" s="6">
        <v>4.555555556</v>
      </c>
      <c r="E4195" s="6">
        <v>9.0</v>
      </c>
    </row>
    <row r="4196">
      <c r="A4196" s="4" t="s">
        <v>8339</v>
      </c>
      <c r="B4196" s="5" t="s">
        <v>8340</v>
      </c>
      <c r="C4196" s="6">
        <v>2000.0</v>
      </c>
      <c r="D4196" s="6">
        <v>4.2</v>
      </c>
      <c r="E4196" s="6">
        <v>5.0</v>
      </c>
    </row>
    <row r="4197">
      <c r="A4197" s="4" t="s">
        <v>8341</v>
      </c>
      <c r="B4197" s="5" t="s">
        <v>8342</v>
      </c>
      <c r="C4197" s="6">
        <v>2000.0</v>
      </c>
      <c r="D4197" s="6">
        <v>4.688135593</v>
      </c>
      <c r="E4197" s="6">
        <v>295.0</v>
      </c>
    </row>
    <row r="4198">
      <c r="A4198" s="4" t="s">
        <v>8343</v>
      </c>
      <c r="B4198" s="5" t="s">
        <v>8344</v>
      </c>
      <c r="C4198" s="6">
        <v>2000.0</v>
      </c>
      <c r="D4198" s="6">
        <v>3.75</v>
      </c>
      <c r="E4198" s="6">
        <v>12.0</v>
      </c>
    </row>
    <row r="4199">
      <c r="A4199" s="4" t="s">
        <v>8345</v>
      </c>
      <c r="B4199" s="5" t="s">
        <v>8346</v>
      </c>
      <c r="C4199" s="6">
        <v>2000.0</v>
      </c>
      <c r="D4199" s="6">
        <v>5.0</v>
      </c>
      <c r="E4199" s="6">
        <v>1.0</v>
      </c>
    </row>
    <row r="4200">
      <c r="A4200" s="4" t="s">
        <v>8347</v>
      </c>
      <c r="B4200" s="5" t="s">
        <v>8348</v>
      </c>
      <c r="C4200" s="6">
        <v>2000.0</v>
      </c>
      <c r="D4200" s="6">
        <v>5.0</v>
      </c>
      <c r="E4200" s="6">
        <v>1.0</v>
      </c>
    </row>
    <row r="4201">
      <c r="A4201" s="4" t="s">
        <v>8349</v>
      </c>
      <c r="B4201" s="5" t="s">
        <v>8350</v>
      </c>
      <c r="C4201" s="6">
        <v>2000.0</v>
      </c>
      <c r="D4201" s="6">
        <v>2.25</v>
      </c>
      <c r="E4201" s="6">
        <v>4.0</v>
      </c>
    </row>
    <row r="4202">
      <c r="A4202" s="4" t="s">
        <v>8351</v>
      </c>
      <c r="B4202" s="5" t="s">
        <v>8352</v>
      </c>
      <c r="C4202" s="6">
        <v>2000.0</v>
      </c>
      <c r="D4202" s="6">
        <v>3.765957447</v>
      </c>
      <c r="E4202" s="6">
        <v>47.0</v>
      </c>
    </row>
    <row r="4203">
      <c r="A4203" s="4" t="s">
        <v>8353</v>
      </c>
      <c r="B4203" s="5" t="s">
        <v>8354</v>
      </c>
      <c r="C4203" s="6">
        <v>2000.0</v>
      </c>
      <c r="D4203" s="6">
        <v>4.333333333</v>
      </c>
      <c r="E4203" s="6">
        <v>6.0</v>
      </c>
    </row>
    <row r="4204">
      <c r="A4204" s="4" t="s">
        <v>8355</v>
      </c>
      <c r="B4204" s="5" t="s">
        <v>8356</v>
      </c>
      <c r="C4204" s="6">
        <v>2000.0</v>
      </c>
      <c r="D4204" s="6">
        <v>4.321428571</v>
      </c>
      <c r="E4204" s="6">
        <v>28.0</v>
      </c>
    </row>
    <row r="4205">
      <c r="A4205" s="4" t="s">
        <v>8357</v>
      </c>
      <c r="B4205" s="5" t="s">
        <v>8358</v>
      </c>
      <c r="C4205" s="6">
        <v>2000.0</v>
      </c>
      <c r="D4205" s="6">
        <v>5.0</v>
      </c>
      <c r="E4205" s="6">
        <v>5.0</v>
      </c>
    </row>
    <row r="4206">
      <c r="A4206" s="4" t="s">
        <v>8359</v>
      </c>
      <c r="B4206" s="5" t="s">
        <v>8360</v>
      </c>
      <c r="C4206" s="6">
        <v>2000.0</v>
      </c>
      <c r="D4206" s="6">
        <v>4.653846154</v>
      </c>
      <c r="E4206" s="6">
        <v>26.0</v>
      </c>
    </row>
    <row r="4207">
      <c r="A4207" s="4" t="s">
        <v>8361</v>
      </c>
      <c r="B4207" s="5" t="s">
        <v>8362</v>
      </c>
      <c r="C4207" s="6">
        <v>2000.0</v>
      </c>
      <c r="D4207" s="6">
        <v>4.621212121</v>
      </c>
      <c r="E4207" s="6">
        <v>66.0</v>
      </c>
    </row>
    <row r="4208">
      <c r="A4208" s="4" t="s">
        <v>8363</v>
      </c>
      <c r="B4208" s="5" t="s">
        <v>8364</v>
      </c>
      <c r="C4208" s="6">
        <v>2000.0</v>
      </c>
      <c r="D4208" s="6">
        <v>4.553191489</v>
      </c>
      <c r="E4208" s="6">
        <v>141.0</v>
      </c>
    </row>
    <row r="4209">
      <c r="A4209" s="4" t="s">
        <v>8365</v>
      </c>
      <c r="B4209" s="5" t="s">
        <v>8366</v>
      </c>
      <c r="C4209" s="6">
        <v>2000.0</v>
      </c>
      <c r="D4209" s="6">
        <v>4.192982456</v>
      </c>
      <c r="E4209" s="6">
        <v>57.0</v>
      </c>
    </row>
    <row r="4210">
      <c r="A4210" s="4" t="s">
        <v>8367</v>
      </c>
      <c r="B4210" s="5" t="s">
        <v>8368</v>
      </c>
      <c r="C4210" s="6">
        <v>2000.0</v>
      </c>
      <c r="D4210" s="6">
        <v>3.461538462</v>
      </c>
      <c r="E4210" s="6">
        <v>13.0</v>
      </c>
    </row>
    <row r="4211">
      <c r="A4211" s="4" t="s">
        <v>8369</v>
      </c>
      <c r="B4211" s="5" t="s">
        <v>8370</v>
      </c>
      <c r="C4211" s="6">
        <v>2000.0</v>
      </c>
      <c r="D4211" s="6">
        <v>5.0</v>
      </c>
      <c r="E4211" s="6">
        <v>3.0</v>
      </c>
    </row>
    <row r="4212">
      <c r="A4212" s="4" t="s">
        <v>8371</v>
      </c>
      <c r="B4212" s="5" t="s">
        <v>8372</v>
      </c>
      <c r="C4212" s="6">
        <v>2000.0</v>
      </c>
      <c r="D4212" s="6">
        <v>3.636363636</v>
      </c>
      <c r="E4212" s="6">
        <v>11.0</v>
      </c>
    </row>
    <row r="4213">
      <c r="A4213" s="4" t="s">
        <v>8373</v>
      </c>
      <c r="B4213" s="5" t="s">
        <v>8374</v>
      </c>
      <c r="C4213" s="6">
        <v>2000.0</v>
      </c>
      <c r="D4213" s="6">
        <v>4.526315789</v>
      </c>
      <c r="E4213" s="6">
        <v>19.0</v>
      </c>
    </row>
    <row r="4214">
      <c r="A4214" s="4" t="s">
        <v>8375</v>
      </c>
      <c r="B4214" s="5" t="s">
        <v>8376</v>
      </c>
      <c r="C4214" s="6">
        <v>2000.0</v>
      </c>
      <c r="D4214" s="6">
        <v>4.866666667</v>
      </c>
      <c r="E4214" s="6">
        <v>15.0</v>
      </c>
    </row>
    <row r="4215">
      <c r="A4215" s="4" t="s">
        <v>8377</v>
      </c>
      <c r="B4215" s="5" t="s">
        <v>8378</v>
      </c>
      <c r="C4215" s="6">
        <v>2000.0</v>
      </c>
      <c r="D4215" s="9"/>
      <c r="E4215" s="9"/>
    </row>
    <row r="4216">
      <c r="A4216" s="4" t="s">
        <v>8379</v>
      </c>
      <c r="B4216" s="5" t="s">
        <v>8380</v>
      </c>
      <c r="C4216" s="6">
        <v>2000.0</v>
      </c>
      <c r="D4216" s="6">
        <v>4.230769231</v>
      </c>
      <c r="E4216" s="6">
        <v>26.0</v>
      </c>
    </row>
    <row r="4217">
      <c r="A4217" s="4" t="s">
        <v>8381</v>
      </c>
      <c r="B4217" s="5" t="s">
        <v>8382</v>
      </c>
      <c r="C4217" s="6">
        <v>2000.0</v>
      </c>
      <c r="D4217" s="6">
        <v>4.0</v>
      </c>
      <c r="E4217" s="6">
        <v>4.0</v>
      </c>
    </row>
    <row r="4218">
      <c r="A4218" s="4" t="s">
        <v>8383</v>
      </c>
      <c r="B4218" s="5" t="s">
        <v>8384</v>
      </c>
      <c r="C4218" s="6">
        <v>2000.0</v>
      </c>
      <c r="D4218" s="6">
        <v>3.076923077</v>
      </c>
      <c r="E4218" s="6">
        <v>13.0</v>
      </c>
    </row>
    <row r="4219">
      <c r="A4219" s="4" t="s">
        <v>8385</v>
      </c>
      <c r="B4219" s="5" t="s">
        <v>8386</v>
      </c>
      <c r="C4219" s="6">
        <v>2000.0</v>
      </c>
      <c r="D4219" s="6">
        <v>3.916666667</v>
      </c>
      <c r="E4219" s="6">
        <v>12.0</v>
      </c>
    </row>
    <row r="4220">
      <c r="A4220" s="4" t="s">
        <v>8387</v>
      </c>
      <c r="B4220" s="5" t="s">
        <v>8388</v>
      </c>
      <c r="C4220" s="6">
        <v>2000.0</v>
      </c>
      <c r="D4220" s="6">
        <v>3.333333333</v>
      </c>
      <c r="E4220" s="6">
        <v>12.0</v>
      </c>
    </row>
    <row r="4221">
      <c r="A4221" s="4" t="s">
        <v>8389</v>
      </c>
      <c r="B4221" s="5" t="s">
        <v>8390</v>
      </c>
      <c r="C4221" s="6">
        <v>2000.0</v>
      </c>
      <c r="D4221" s="6">
        <v>2.923076923</v>
      </c>
      <c r="E4221" s="6">
        <v>26.0</v>
      </c>
    </row>
    <row r="4222">
      <c r="A4222" s="4" t="s">
        <v>8391</v>
      </c>
      <c r="B4222" s="5" t="s">
        <v>8392</v>
      </c>
      <c r="C4222" s="6">
        <v>2000.0</v>
      </c>
      <c r="D4222" s="6">
        <v>3.0</v>
      </c>
      <c r="E4222" s="6">
        <v>7.0</v>
      </c>
    </row>
    <row r="4223">
      <c r="A4223" s="4" t="s">
        <v>8393</v>
      </c>
      <c r="B4223" s="5" t="s">
        <v>8394</v>
      </c>
      <c r="C4223" s="6">
        <v>2000.0</v>
      </c>
      <c r="D4223" s="6">
        <v>4.428571429</v>
      </c>
      <c r="E4223" s="6">
        <v>28.0</v>
      </c>
    </row>
    <row r="4224">
      <c r="A4224" s="4" t="s">
        <v>8395</v>
      </c>
      <c r="B4224" s="5" t="s">
        <v>8396</v>
      </c>
      <c r="C4224" s="6">
        <v>2000.0</v>
      </c>
      <c r="D4224" s="6">
        <v>4.432432432</v>
      </c>
      <c r="E4224" s="6">
        <v>37.0</v>
      </c>
    </row>
    <row r="4225">
      <c r="A4225" s="4" t="s">
        <v>8397</v>
      </c>
      <c r="B4225" s="5" t="s">
        <v>8398</v>
      </c>
      <c r="C4225" s="6">
        <v>2000.0</v>
      </c>
      <c r="D4225" s="6">
        <v>2.333333333</v>
      </c>
      <c r="E4225" s="6">
        <v>6.0</v>
      </c>
    </row>
    <row r="4226">
      <c r="A4226" s="4" t="s">
        <v>8399</v>
      </c>
      <c r="B4226" s="5" t="s">
        <v>8400</v>
      </c>
      <c r="C4226" s="6">
        <v>2000.0</v>
      </c>
      <c r="D4226" s="6">
        <v>4.315789474</v>
      </c>
      <c r="E4226" s="6">
        <v>57.0</v>
      </c>
    </row>
    <row r="4227">
      <c r="A4227" s="4" t="s">
        <v>8401</v>
      </c>
      <c r="B4227" s="5" t="s">
        <v>8402</v>
      </c>
      <c r="C4227" s="6">
        <v>2000.0</v>
      </c>
      <c r="D4227" s="6">
        <v>4.40625</v>
      </c>
      <c r="E4227" s="6">
        <v>32.0</v>
      </c>
    </row>
    <row r="4228">
      <c r="A4228" s="4" t="s">
        <v>8403</v>
      </c>
      <c r="B4228" s="5" t="s">
        <v>8404</v>
      </c>
      <c r="C4228" s="6">
        <v>2000.0</v>
      </c>
      <c r="D4228" s="6">
        <v>4.712121212</v>
      </c>
      <c r="E4228" s="6">
        <v>66.0</v>
      </c>
    </row>
    <row r="4229">
      <c r="A4229" s="4" t="s">
        <v>8405</v>
      </c>
      <c r="B4229" s="5" t="s">
        <v>8406</v>
      </c>
      <c r="C4229" s="6">
        <v>2000.0</v>
      </c>
      <c r="D4229" s="6">
        <v>3.813953488</v>
      </c>
      <c r="E4229" s="6">
        <v>43.0</v>
      </c>
    </row>
    <row r="4230">
      <c r="A4230" s="4" t="s">
        <v>8407</v>
      </c>
      <c r="B4230" s="5" t="s">
        <v>8408</v>
      </c>
      <c r="C4230" s="6">
        <v>2000.0</v>
      </c>
      <c r="D4230" s="6">
        <v>3.6</v>
      </c>
      <c r="E4230" s="6">
        <v>10.0</v>
      </c>
    </row>
    <row r="4231">
      <c r="A4231" s="4" t="s">
        <v>8409</v>
      </c>
      <c r="B4231" s="5" t="s">
        <v>8410</v>
      </c>
      <c r="C4231" s="6">
        <v>2000.0</v>
      </c>
      <c r="D4231" s="6">
        <v>3.745454545</v>
      </c>
      <c r="E4231" s="6">
        <v>55.0</v>
      </c>
    </row>
    <row r="4232">
      <c r="A4232" s="4" t="s">
        <v>8411</v>
      </c>
      <c r="B4232" s="5" t="s">
        <v>8412</v>
      </c>
      <c r="C4232" s="6">
        <v>2000.0</v>
      </c>
      <c r="D4232" s="6">
        <v>4.666666667</v>
      </c>
      <c r="E4232" s="6">
        <v>6.0</v>
      </c>
    </row>
    <row r="4233">
      <c r="A4233" s="4" t="s">
        <v>8413</v>
      </c>
      <c r="B4233" s="5" t="s">
        <v>8414</v>
      </c>
      <c r="C4233" s="6">
        <v>2000.0</v>
      </c>
      <c r="D4233" s="6">
        <v>4.428571429</v>
      </c>
      <c r="E4233" s="6">
        <v>147.0</v>
      </c>
    </row>
    <row r="4234">
      <c r="A4234" s="4" t="s">
        <v>8415</v>
      </c>
      <c r="B4234" s="5" t="s">
        <v>8416</v>
      </c>
      <c r="C4234" s="6">
        <v>2000.0</v>
      </c>
      <c r="D4234" s="6">
        <v>4.588235294</v>
      </c>
      <c r="E4234" s="6">
        <v>17.0</v>
      </c>
    </row>
    <row r="4235">
      <c r="A4235" s="4" t="s">
        <v>8417</v>
      </c>
      <c r="B4235" s="5" t="s">
        <v>8418</v>
      </c>
      <c r="C4235" s="6">
        <v>2000.0</v>
      </c>
      <c r="D4235" s="6">
        <v>4.12195122</v>
      </c>
      <c r="E4235" s="6">
        <v>41.0</v>
      </c>
    </row>
    <row r="4236">
      <c r="A4236" s="4" t="s">
        <v>8419</v>
      </c>
      <c r="B4236" s="5" t="s">
        <v>8420</v>
      </c>
      <c r="C4236" s="6">
        <v>2000.0</v>
      </c>
      <c r="D4236" s="6">
        <v>4.925</v>
      </c>
      <c r="E4236" s="6">
        <v>40.0</v>
      </c>
    </row>
    <row r="4237">
      <c r="A4237" s="4" t="s">
        <v>8421</v>
      </c>
      <c r="B4237" s="5" t="s">
        <v>8422</v>
      </c>
      <c r="C4237" s="6">
        <v>2000.0</v>
      </c>
      <c r="D4237" s="6">
        <v>3.543478261</v>
      </c>
      <c r="E4237" s="6">
        <v>46.0</v>
      </c>
    </row>
    <row r="4238">
      <c r="A4238" s="4" t="s">
        <v>8423</v>
      </c>
      <c r="B4238" s="5" t="s">
        <v>8424</v>
      </c>
      <c r="C4238" s="6">
        <v>2000.0</v>
      </c>
      <c r="D4238" s="6">
        <v>4.534883721</v>
      </c>
      <c r="E4238" s="6">
        <v>43.0</v>
      </c>
    </row>
    <row r="4239">
      <c r="A4239" s="4" t="s">
        <v>8425</v>
      </c>
      <c r="B4239" s="5" t="s">
        <v>8426</v>
      </c>
      <c r="C4239" s="6">
        <v>2000.0</v>
      </c>
      <c r="D4239" s="6">
        <v>3.824175824</v>
      </c>
      <c r="E4239" s="6">
        <v>91.0</v>
      </c>
    </row>
    <row r="4240">
      <c r="A4240" s="4" t="s">
        <v>8427</v>
      </c>
      <c r="B4240" s="5" t="s">
        <v>8428</v>
      </c>
      <c r="C4240" s="6">
        <v>2000.0</v>
      </c>
      <c r="D4240" s="6">
        <v>5.0</v>
      </c>
      <c r="E4240" s="6">
        <v>1.0</v>
      </c>
    </row>
    <row r="4241">
      <c r="A4241" s="4" t="s">
        <v>8429</v>
      </c>
      <c r="B4241" s="5" t="s">
        <v>8430</v>
      </c>
      <c r="C4241" s="6">
        <v>2000.0</v>
      </c>
      <c r="D4241" s="6">
        <v>4.651162791</v>
      </c>
      <c r="E4241" s="6">
        <v>86.0</v>
      </c>
    </row>
    <row r="4242">
      <c r="A4242" s="4" t="s">
        <v>8431</v>
      </c>
      <c r="B4242" s="5" t="s">
        <v>8432</v>
      </c>
      <c r="C4242" s="6">
        <v>2000.0</v>
      </c>
      <c r="D4242" s="6">
        <v>4.730496454</v>
      </c>
      <c r="E4242" s="6">
        <v>141.0</v>
      </c>
    </row>
    <row r="4243">
      <c r="A4243" s="4" t="s">
        <v>8433</v>
      </c>
      <c r="B4243" s="5" t="s">
        <v>8434</v>
      </c>
      <c r="C4243" s="6">
        <v>2000.0</v>
      </c>
      <c r="D4243" s="6">
        <v>5.0</v>
      </c>
      <c r="E4243" s="6">
        <v>1.0</v>
      </c>
    </row>
    <row r="4244">
      <c r="A4244" s="4" t="s">
        <v>8435</v>
      </c>
      <c r="B4244" s="5" t="s">
        <v>8436</v>
      </c>
      <c r="C4244" s="6">
        <v>2000.0</v>
      </c>
      <c r="D4244" s="6">
        <v>4.166666667</v>
      </c>
      <c r="E4244" s="6">
        <v>66.0</v>
      </c>
    </row>
    <row r="4245">
      <c r="A4245" s="4" t="s">
        <v>8437</v>
      </c>
      <c r="B4245" s="5" t="s">
        <v>8438</v>
      </c>
      <c r="C4245" s="6">
        <v>2000.0</v>
      </c>
      <c r="D4245" s="6">
        <v>4.375</v>
      </c>
      <c r="E4245" s="6">
        <v>24.0</v>
      </c>
    </row>
    <row r="4246">
      <c r="A4246" s="4" t="s">
        <v>8439</v>
      </c>
      <c r="B4246" s="5" t="s">
        <v>8440</v>
      </c>
      <c r="C4246" s="6">
        <v>2000.0</v>
      </c>
      <c r="D4246" s="6">
        <v>3.666666667</v>
      </c>
      <c r="E4246" s="6">
        <v>12.0</v>
      </c>
    </row>
    <row r="4247">
      <c r="A4247" s="4" t="s">
        <v>8441</v>
      </c>
      <c r="B4247" s="5" t="s">
        <v>8442</v>
      </c>
      <c r="C4247" s="6">
        <v>2000.0</v>
      </c>
      <c r="D4247" s="6">
        <v>4.25</v>
      </c>
      <c r="E4247" s="6">
        <v>4.0</v>
      </c>
    </row>
    <row r="4248">
      <c r="A4248" s="4" t="s">
        <v>8443</v>
      </c>
      <c r="B4248" s="5" t="s">
        <v>8444</v>
      </c>
      <c r="C4248" s="6">
        <v>2000.0</v>
      </c>
      <c r="D4248" s="6">
        <v>3.0</v>
      </c>
      <c r="E4248" s="6">
        <v>2.0</v>
      </c>
    </row>
    <row r="4249">
      <c r="A4249" s="4" t="s">
        <v>8445</v>
      </c>
      <c r="B4249" s="5" t="s">
        <v>8446</v>
      </c>
      <c r="C4249" s="6">
        <v>2000.0</v>
      </c>
      <c r="D4249" s="6">
        <v>4.485714286</v>
      </c>
      <c r="E4249" s="6">
        <v>35.0</v>
      </c>
    </row>
    <row r="4250">
      <c r="A4250" s="4" t="s">
        <v>8447</v>
      </c>
      <c r="B4250" s="5" t="s">
        <v>8448</v>
      </c>
      <c r="C4250" s="6">
        <v>2000.0</v>
      </c>
      <c r="D4250" s="6">
        <v>3.222222222</v>
      </c>
      <c r="E4250" s="6">
        <v>9.0</v>
      </c>
    </row>
    <row r="4251">
      <c r="A4251" s="4" t="s">
        <v>8449</v>
      </c>
      <c r="B4251" s="5" t="s">
        <v>8450</v>
      </c>
      <c r="C4251" s="6">
        <v>2000.0</v>
      </c>
      <c r="D4251" s="6">
        <v>4.0</v>
      </c>
      <c r="E4251" s="6">
        <v>17.0</v>
      </c>
    </row>
    <row r="4252">
      <c r="A4252" s="4" t="s">
        <v>8451</v>
      </c>
      <c r="B4252" s="5" t="s">
        <v>8452</v>
      </c>
      <c r="C4252" s="6">
        <v>2000.0</v>
      </c>
      <c r="D4252" s="6">
        <v>4.5</v>
      </c>
      <c r="E4252" s="6">
        <v>10.0</v>
      </c>
    </row>
    <row r="4253">
      <c r="A4253" s="4" t="s">
        <v>8453</v>
      </c>
      <c r="B4253" s="5" t="s">
        <v>8454</v>
      </c>
      <c r="C4253" s="6">
        <v>2000.0</v>
      </c>
      <c r="D4253" s="6">
        <v>4.833333333</v>
      </c>
      <c r="E4253" s="6">
        <v>12.0</v>
      </c>
    </row>
    <row r="4254">
      <c r="A4254" s="4" t="s">
        <v>8455</v>
      </c>
      <c r="B4254" s="5" t="s">
        <v>8456</v>
      </c>
      <c r="C4254" s="6">
        <v>2000.0</v>
      </c>
      <c r="D4254" s="6">
        <v>4.21875</v>
      </c>
      <c r="E4254" s="6">
        <v>32.0</v>
      </c>
    </row>
    <row r="4255">
      <c r="A4255" s="4" t="s">
        <v>8457</v>
      </c>
      <c r="B4255" s="5" t="s">
        <v>8458</v>
      </c>
      <c r="C4255" s="6">
        <v>2000.0</v>
      </c>
      <c r="D4255" s="6">
        <v>5.0</v>
      </c>
      <c r="E4255" s="6">
        <v>17.0</v>
      </c>
    </row>
    <row r="4256">
      <c r="A4256" s="4" t="s">
        <v>8459</v>
      </c>
      <c r="B4256" s="5" t="s">
        <v>8460</v>
      </c>
      <c r="C4256" s="6">
        <v>2000.0</v>
      </c>
      <c r="D4256" s="6">
        <v>3.894736842</v>
      </c>
      <c r="E4256" s="6">
        <v>57.0</v>
      </c>
    </row>
    <row r="4257">
      <c r="A4257" s="4" t="s">
        <v>8461</v>
      </c>
      <c r="B4257" s="5" t="s">
        <v>8462</v>
      </c>
      <c r="C4257" s="6">
        <v>2000.0</v>
      </c>
      <c r="D4257" s="6">
        <v>4.805555556</v>
      </c>
      <c r="E4257" s="6">
        <v>72.0</v>
      </c>
    </row>
    <row r="4258">
      <c r="A4258" s="4" t="s">
        <v>8463</v>
      </c>
      <c r="B4258" s="5" t="s">
        <v>8464</v>
      </c>
      <c r="C4258" s="6">
        <v>2000.0</v>
      </c>
      <c r="D4258" s="6">
        <v>3.142857143</v>
      </c>
      <c r="E4258" s="6">
        <v>28.0</v>
      </c>
    </row>
    <row r="4259">
      <c r="A4259" s="4" t="s">
        <v>8465</v>
      </c>
      <c r="B4259" s="5" t="s">
        <v>8466</v>
      </c>
      <c r="C4259" s="6">
        <v>2000.0</v>
      </c>
      <c r="D4259" s="6">
        <v>3.333333333</v>
      </c>
      <c r="E4259" s="6">
        <v>6.0</v>
      </c>
    </row>
    <row r="4260">
      <c r="A4260" s="4" t="s">
        <v>8467</v>
      </c>
      <c r="B4260" s="5" t="s">
        <v>8468</v>
      </c>
      <c r="C4260" s="6">
        <v>2000.0</v>
      </c>
      <c r="D4260" s="6">
        <v>3.1</v>
      </c>
      <c r="E4260" s="6">
        <v>30.0</v>
      </c>
    </row>
    <row r="4261">
      <c r="A4261" s="4" t="s">
        <v>8469</v>
      </c>
      <c r="B4261" s="5" t="s">
        <v>8470</v>
      </c>
      <c r="C4261" s="6">
        <v>2000.0</v>
      </c>
      <c r="D4261" s="6">
        <v>3.0</v>
      </c>
      <c r="E4261" s="6">
        <v>2.0</v>
      </c>
    </row>
    <row r="4262">
      <c r="A4262" s="4" t="s">
        <v>8471</v>
      </c>
      <c r="B4262" s="5" t="s">
        <v>8472</v>
      </c>
      <c r="C4262" s="6">
        <v>2000.0</v>
      </c>
      <c r="D4262" s="6">
        <v>2.8</v>
      </c>
      <c r="E4262" s="6">
        <v>5.0</v>
      </c>
    </row>
    <row r="4263">
      <c r="A4263" s="4" t="s">
        <v>8473</v>
      </c>
      <c r="B4263" s="5" t="s">
        <v>8474</v>
      </c>
      <c r="C4263" s="6">
        <v>2000.0</v>
      </c>
      <c r="D4263" s="6">
        <v>4.272727273</v>
      </c>
      <c r="E4263" s="6">
        <v>11.0</v>
      </c>
    </row>
    <row r="4264">
      <c r="A4264" s="4" t="s">
        <v>8475</v>
      </c>
      <c r="B4264" s="5" t="s">
        <v>8476</v>
      </c>
      <c r="C4264" s="6">
        <v>2000.0</v>
      </c>
      <c r="D4264" s="6">
        <v>4.517241379</v>
      </c>
      <c r="E4264" s="6">
        <v>29.0</v>
      </c>
    </row>
    <row r="4265">
      <c r="A4265" s="4" t="s">
        <v>8477</v>
      </c>
      <c r="B4265" s="5" t="s">
        <v>8478</v>
      </c>
      <c r="C4265" s="6">
        <v>2000.0</v>
      </c>
      <c r="D4265" s="6">
        <v>5.0</v>
      </c>
      <c r="E4265" s="6">
        <v>22.0</v>
      </c>
    </row>
    <row r="4266">
      <c r="A4266" s="4" t="s">
        <v>8479</v>
      </c>
      <c r="B4266" s="5" t="s">
        <v>8480</v>
      </c>
      <c r="C4266" s="6">
        <v>2000.0</v>
      </c>
      <c r="D4266" s="6">
        <v>3.148648649</v>
      </c>
      <c r="E4266" s="6">
        <v>74.0</v>
      </c>
    </row>
    <row r="4267">
      <c r="A4267" s="4" t="s">
        <v>8481</v>
      </c>
      <c r="B4267" s="5" t="s">
        <v>8482</v>
      </c>
      <c r="C4267" s="6">
        <v>2000.0</v>
      </c>
      <c r="D4267" s="6">
        <v>4.541666667</v>
      </c>
      <c r="E4267" s="6">
        <v>24.0</v>
      </c>
    </row>
    <row r="4268">
      <c r="A4268" s="4" t="s">
        <v>8483</v>
      </c>
      <c r="B4268" s="5" t="s">
        <v>8484</v>
      </c>
      <c r="C4268" s="6">
        <v>2000.0</v>
      </c>
      <c r="D4268" s="6">
        <v>1.615384615</v>
      </c>
      <c r="E4268" s="6">
        <v>13.0</v>
      </c>
    </row>
    <row r="4269">
      <c r="A4269" s="4" t="s">
        <v>8485</v>
      </c>
      <c r="B4269" s="5" t="s">
        <v>8486</v>
      </c>
      <c r="C4269" s="6">
        <v>2000.0</v>
      </c>
      <c r="D4269" s="6">
        <v>1.875</v>
      </c>
      <c r="E4269" s="6">
        <v>8.0</v>
      </c>
    </row>
    <row r="4270">
      <c r="A4270" s="4" t="s">
        <v>8487</v>
      </c>
      <c r="B4270" s="5" t="s">
        <v>8488</v>
      </c>
      <c r="C4270" s="6">
        <v>2000.0</v>
      </c>
      <c r="D4270" s="6">
        <v>4.415384615</v>
      </c>
      <c r="E4270" s="6">
        <v>65.0</v>
      </c>
    </row>
    <row r="4271">
      <c r="A4271" s="4" t="s">
        <v>8489</v>
      </c>
      <c r="B4271" s="5" t="s">
        <v>8490</v>
      </c>
      <c r="C4271" s="6">
        <v>2000.0</v>
      </c>
      <c r="D4271" s="6">
        <v>3.272727273</v>
      </c>
      <c r="E4271" s="6">
        <v>55.0</v>
      </c>
    </row>
    <row r="4272">
      <c r="A4272" s="4" t="s">
        <v>8491</v>
      </c>
      <c r="B4272" s="5" t="s">
        <v>8492</v>
      </c>
      <c r="C4272" s="6">
        <v>2000.0</v>
      </c>
      <c r="D4272" s="6">
        <v>4.510204082</v>
      </c>
      <c r="E4272" s="6">
        <v>49.0</v>
      </c>
    </row>
    <row r="4273">
      <c r="A4273" s="4" t="s">
        <v>8493</v>
      </c>
      <c r="B4273" s="5" t="s">
        <v>8494</v>
      </c>
      <c r="C4273" s="6">
        <v>2000.0</v>
      </c>
      <c r="D4273" s="6">
        <v>3.442307692</v>
      </c>
      <c r="E4273" s="6">
        <v>52.0</v>
      </c>
    </row>
    <row r="4274">
      <c r="A4274" s="4" t="s">
        <v>8495</v>
      </c>
      <c r="B4274" s="5" t="s">
        <v>8496</v>
      </c>
      <c r="C4274" s="6">
        <v>2000.0</v>
      </c>
      <c r="D4274" s="6">
        <v>1.769230769</v>
      </c>
      <c r="E4274" s="6">
        <v>13.0</v>
      </c>
    </row>
    <row r="4275">
      <c r="A4275" s="4" t="s">
        <v>8497</v>
      </c>
      <c r="B4275" s="5" t="s">
        <v>8498</v>
      </c>
      <c r="C4275" s="6">
        <v>2000.0</v>
      </c>
      <c r="D4275" s="6">
        <v>4.267857143</v>
      </c>
      <c r="E4275" s="6">
        <v>56.0</v>
      </c>
    </row>
    <row r="4276">
      <c r="A4276" s="4" t="s">
        <v>8499</v>
      </c>
      <c r="B4276" s="5" t="s">
        <v>8500</v>
      </c>
      <c r="C4276" s="6">
        <v>2000.0</v>
      </c>
      <c r="D4276" s="6">
        <v>2.25</v>
      </c>
      <c r="E4276" s="6">
        <v>4.0</v>
      </c>
    </row>
    <row r="4277">
      <c r="A4277" s="4" t="s">
        <v>8501</v>
      </c>
      <c r="B4277" s="5" t="s">
        <v>8502</v>
      </c>
      <c r="C4277" s="6">
        <v>2000.0</v>
      </c>
      <c r="D4277" s="6">
        <v>3.692307692</v>
      </c>
      <c r="E4277" s="6">
        <v>13.0</v>
      </c>
    </row>
    <row r="4278">
      <c r="A4278" s="4" t="s">
        <v>8503</v>
      </c>
      <c r="B4278" s="5" t="s">
        <v>8504</v>
      </c>
      <c r="C4278" s="6">
        <v>2000.0</v>
      </c>
      <c r="D4278" s="6">
        <v>3.734375</v>
      </c>
      <c r="E4278" s="6">
        <v>64.0</v>
      </c>
    </row>
    <row r="4279">
      <c r="A4279" s="4" t="s">
        <v>8505</v>
      </c>
      <c r="B4279" s="5" t="s">
        <v>8506</v>
      </c>
      <c r="C4279" s="6">
        <v>2000.0</v>
      </c>
      <c r="D4279" s="6">
        <v>2.125</v>
      </c>
      <c r="E4279" s="6">
        <v>8.0</v>
      </c>
    </row>
    <row r="4280">
      <c r="A4280" s="5" t="s">
        <v>8507</v>
      </c>
      <c r="B4280" s="5" t="s">
        <v>8508</v>
      </c>
      <c r="C4280" s="6">
        <v>2000.0</v>
      </c>
      <c r="D4280" s="6">
        <v>4.0</v>
      </c>
      <c r="E4280" s="6">
        <v>4.0</v>
      </c>
    </row>
    <row r="4281">
      <c r="A4281" s="4" t="s">
        <v>8509</v>
      </c>
      <c r="B4281" s="5" t="s">
        <v>8510</v>
      </c>
      <c r="C4281" s="6">
        <v>2000.0</v>
      </c>
      <c r="D4281" s="6">
        <v>3.85</v>
      </c>
      <c r="E4281" s="6">
        <v>20.0</v>
      </c>
    </row>
    <row r="4282">
      <c r="A4282" s="4" t="s">
        <v>8511</v>
      </c>
      <c r="B4282" s="5" t="s">
        <v>8512</v>
      </c>
      <c r="C4282" s="6">
        <v>2000.0</v>
      </c>
      <c r="D4282" s="6">
        <v>3.0</v>
      </c>
      <c r="E4282" s="6">
        <v>3.0</v>
      </c>
    </row>
    <row r="4283">
      <c r="A4283" s="4" t="s">
        <v>8513</v>
      </c>
      <c r="B4283" s="5" t="s">
        <v>8514</v>
      </c>
      <c r="C4283" s="6">
        <v>2000.0</v>
      </c>
      <c r="D4283" s="6">
        <v>1.727272727</v>
      </c>
      <c r="E4283" s="6">
        <v>11.0</v>
      </c>
    </row>
    <row r="4284">
      <c r="A4284" s="4" t="s">
        <v>8515</v>
      </c>
      <c r="B4284" s="5" t="s">
        <v>8516</v>
      </c>
      <c r="C4284" s="6">
        <v>2000.0</v>
      </c>
      <c r="D4284" s="6">
        <v>3.529411765</v>
      </c>
      <c r="E4284" s="6">
        <v>17.0</v>
      </c>
    </row>
    <row r="4285">
      <c r="A4285" s="4" t="s">
        <v>8517</v>
      </c>
      <c r="B4285" s="5" t="s">
        <v>8518</v>
      </c>
      <c r="C4285" s="6">
        <v>2000.0</v>
      </c>
      <c r="D4285" s="6">
        <v>3.705882353</v>
      </c>
      <c r="E4285" s="6">
        <v>17.0</v>
      </c>
    </row>
    <row r="4286">
      <c r="A4286" s="4" t="s">
        <v>8519</v>
      </c>
      <c r="B4286" s="5" t="s">
        <v>8520</v>
      </c>
      <c r="C4286" s="6">
        <v>2000.0</v>
      </c>
      <c r="D4286" s="6">
        <v>3.166666667</v>
      </c>
      <c r="E4286" s="6">
        <v>6.0</v>
      </c>
    </row>
    <row r="4287">
      <c r="A4287" s="4" t="s">
        <v>8521</v>
      </c>
      <c r="B4287" s="5" t="s">
        <v>8522</v>
      </c>
      <c r="C4287" s="6">
        <v>2000.0</v>
      </c>
      <c r="D4287" s="6">
        <v>3.5</v>
      </c>
      <c r="E4287" s="6">
        <v>4.0</v>
      </c>
    </row>
    <row r="4288">
      <c r="A4288" s="4" t="s">
        <v>8523</v>
      </c>
      <c r="B4288" s="5" t="s">
        <v>8524</v>
      </c>
      <c r="C4288" s="6">
        <v>2000.0</v>
      </c>
      <c r="D4288" s="6">
        <v>3.133333333</v>
      </c>
      <c r="E4288" s="6">
        <v>15.0</v>
      </c>
    </row>
    <row r="4289">
      <c r="A4289" s="4" t="s">
        <v>8525</v>
      </c>
      <c r="B4289" s="5" t="s">
        <v>8526</v>
      </c>
      <c r="C4289" s="6">
        <v>2000.0</v>
      </c>
      <c r="D4289" s="6">
        <v>2.2</v>
      </c>
      <c r="E4289" s="6">
        <v>10.0</v>
      </c>
    </row>
    <row r="4290">
      <c r="A4290" s="4" t="s">
        <v>8527</v>
      </c>
      <c r="B4290" s="5" t="s">
        <v>8528</v>
      </c>
      <c r="C4290" s="6">
        <v>2000.0</v>
      </c>
      <c r="D4290" s="9"/>
      <c r="E4290" s="9"/>
    </row>
    <row r="4291">
      <c r="A4291" s="4" t="s">
        <v>8529</v>
      </c>
      <c r="B4291" s="5" t="s">
        <v>8530</v>
      </c>
      <c r="C4291" s="6">
        <v>2000.0</v>
      </c>
      <c r="D4291" s="6">
        <v>4.947368421</v>
      </c>
      <c r="E4291" s="6">
        <v>19.0</v>
      </c>
    </row>
    <row r="4292">
      <c r="A4292" s="4" t="s">
        <v>8531</v>
      </c>
      <c r="B4292" s="5" t="s">
        <v>8532</v>
      </c>
      <c r="C4292" s="6">
        <v>2000.0</v>
      </c>
      <c r="D4292" s="6">
        <v>5.0</v>
      </c>
      <c r="E4292" s="6">
        <v>2.0</v>
      </c>
    </row>
    <row r="4293">
      <c r="A4293" s="4" t="s">
        <v>8533</v>
      </c>
      <c r="B4293" s="5" t="s">
        <v>8534</v>
      </c>
      <c r="C4293" s="6">
        <v>2000.0</v>
      </c>
      <c r="D4293" s="6">
        <v>4.0</v>
      </c>
      <c r="E4293" s="6">
        <v>17.0</v>
      </c>
    </row>
    <row r="4294">
      <c r="A4294" s="4" t="s">
        <v>8535</v>
      </c>
      <c r="B4294" s="5" t="s">
        <v>8536</v>
      </c>
      <c r="C4294" s="6">
        <v>2000.0</v>
      </c>
      <c r="D4294" s="6">
        <v>5.0</v>
      </c>
      <c r="E4294" s="6">
        <v>2.0</v>
      </c>
    </row>
    <row r="4295">
      <c r="A4295" s="4" t="s">
        <v>8537</v>
      </c>
      <c r="B4295" s="5" t="s">
        <v>8538</v>
      </c>
      <c r="C4295" s="6">
        <v>2000.0</v>
      </c>
      <c r="D4295" s="6">
        <v>1.5</v>
      </c>
      <c r="E4295" s="6">
        <v>2.0</v>
      </c>
    </row>
    <row r="4296">
      <c r="A4296" s="4" t="s">
        <v>8539</v>
      </c>
      <c r="B4296" s="5" t="s">
        <v>8540</v>
      </c>
      <c r="C4296" s="6">
        <v>2000.0</v>
      </c>
      <c r="D4296" s="6">
        <v>3.875</v>
      </c>
      <c r="E4296" s="6">
        <v>24.0</v>
      </c>
    </row>
    <row r="4297">
      <c r="A4297" s="4" t="s">
        <v>8541</v>
      </c>
      <c r="B4297" s="5" t="s">
        <v>8542</v>
      </c>
      <c r="C4297" s="6">
        <v>2000.0</v>
      </c>
      <c r="D4297" s="6">
        <v>5.0</v>
      </c>
      <c r="E4297" s="6">
        <v>5.0</v>
      </c>
    </row>
    <row r="4298">
      <c r="A4298" s="4" t="s">
        <v>8543</v>
      </c>
      <c r="B4298" s="5" t="s">
        <v>8544</v>
      </c>
      <c r="C4298" s="6">
        <v>2000.0</v>
      </c>
      <c r="D4298" s="6">
        <v>3.543209877</v>
      </c>
      <c r="E4298" s="6">
        <v>81.0</v>
      </c>
    </row>
    <row r="4299">
      <c r="A4299" s="4" t="s">
        <v>8545</v>
      </c>
      <c r="B4299" s="5" t="s">
        <v>8546</v>
      </c>
      <c r="C4299" s="6">
        <v>2000.0</v>
      </c>
      <c r="D4299" s="6">
        <v>4.0</v>
      </c>
      <c r="E4299" s="6">
        <v>8.0</v>
      </c>
    </row>
    <row r="4300">
      <c r="A4300" s="4" t="s">
        <v>8547</v>
      </c>
      <c r="B4300" s="5" t="s">
        <v>8548</v>
      </c>
      <c r="C4300" s="6">
        <v>2000.0</v>
      </c>
      <c r="D4300" s="6">
        <v>4.375</v>
      </c>
      <c r="E4300" s="6">
        <v>8.0</v>
      </c>
    </row>
    <row r="4301">
      <c r="A4301" s="4" t="s">
        <v>8549</v>
      </c>
      <c r="B4301" s="5" t="s">
        <v>8550</v>
      </c>
      <c r="C4301" s="6">
        <v>2000.0</v>
      </c>
      <c r="D4301" s="6">
        <v>4.733333333</v>
      </c>
      <c r="E4301" s="6">
        <v>15.0</v>
      </c>
    </row>
    <row r="4302">
      <c r="A4302" s="4" t="s">
        <v>8551</v>
      </c>
      <c r="B4302" s="5" t="s">
        <v>8552</v>
      </c>
      <c r="C4302" s="6">
        <v>2000.0</v>
      </c>
      <c r="D4302" s="6">
        <v>3.041666667</v>
      </c>
      <c r="E4302" s="6">
        <v>24.0</v>
      </c>
    </row>
    <row r="4303">
      <c r="A4303" s="4" t="s">
        <v>8553</v>
      </c>
      <c r="B4303" s="5" t="s">
        <v>8554</v>
      </c>
      <c r="C4303" s="6">
        <v>2000.0</v>
      </c>
      <c r="D4303" s="6">
        <v>4.5</v>
      </c>
      <c r="E4303" s="6">
        <v>20.0</v>
      </c>
    </row>
    <row r="4304">
      <c r="A4304" s="4" t="s">
        <v>8555</v>
      </c>
      <c r="B4304" s="5" t="s">
        <v>8556</v>
      </c>
      <c r="C4304" s="6">
        <v>2000.0</v>
      </c>
      <c r="D4304" s="6">
        <v>4.615384615</v>
      </c>
      <c r="E4304" s="6">
        <v>13.0</v>
      </c>
    </row>
    <row r="4305">
      <c r="A4305" s="4" t="s">
        <v>8557</v>
      </c>
      <c r="B4305" s="5" t="s">
        <v>8558</v>
      </c>
      <c r="C4305" s="6">
        <v>2000.0</v>
      </c>
      <c r="D4305" s="6">
        <v>4.294117647</v>
      </c>
      <c r="E4305" s="6">
        <v>17.0</v>
      </c>
    </row>
    <row r="4306">
      <c r="A4306" s="4" t="s">
        <v>8559</v>
      </c>
      <c r="B4306" s="5" t="s">
        <v>8560</v>
      </c>
      <c r="C4306" s="6">
        <v>2000.0</v>
      </c>
      <c r="D4306" s="6">
        <v>4.125</v>
      </c>
      <c r="E4306" s="6">
        <v>8.0</v>
      </c>
    </row>
    <row r="4307">
      <c r="A4307" s="4" t="s">
        <v>8561</v>
      </c>
      <c r="B4307" s="5" t="s">
        <v>8562</v>
      </c>
      <c r="C4307" s="6">
        <v>2000.0</v>
      </c>
      <c r="D4307" s="6">
        <v>4.682352941</v>
      </c>
      <c r="E4307" s="6">
        <v>85.0</v>
      </c>
    </row>
    <row r="4308">
      <c r="A4308" s="4" t="s">
        <v>8563</v>
      </c>
      <c r="B4308" s="5" t="s">
        <v>8564</v>
      </c>
      <c r="C4308" s="6">
        <v>2000.0</v>
      </c>
      <c r="D4308" s="6">
        <v>3.851851852</v>
      </c>
      <c r="E4308" s="6">
        <v>27.0</v>
      </c>
    </row>
    <row r="4309">
      <c r="A4309" s="4" t="s">
        <v>8565</v>
      </c>
      <c r="B4309" s="5" t="s">
        <v>8566</v>
      </c>
      <c r="C4309" s="6">
        <v>2000.0</v>
      </c>
      <c r="D4309" s="6">
        <v>4.653846154</v>
      </c>
      <c r="E4309" s="6">
        <v>26.0</v>
      </c>
    </row>
    <row r="4310">
      <c r="A4310" s="4" t="s">
        <v>8567</v>
      </c>
      <c r="B4310" s="5" t="s">
        <v>8568</v>
      </c>
      <c r="C4310" s="6">
        <v>2000.0</v>
      </c>
      <c r="D4310" s="6">
        <v>3.095238095</v>
      </c>
      <c r="E4310" s="6">
        <v>21.0</v>
      </c>
    </row>
    <row r="4311">
      <c r="A4311" s="4" t="s">
        <v>8569</v>
      </c>
      <c r="B4311" s="5" t="s">
        <v>8570</v>
      </c>
      <c r="C4311" s="6">
        <v>2000.0</v>
      </c>
      <c r="D4311" s="6">
        <v>4.641791045</v>
      </c>
      <c r="E4311" s="6">
        <v>67.0</v>
      </c>
    </row>
    <row r="4312">
      <c r="A4312" s="4" t="s">
        <v>8571</v>
      </c>
      <c r="B4312" s="5" t="s">
        <v>8572</v>
      </c>
      <c r="C4312" s="6">
        <v>2000.0</v>
      </c>
      <c r="D4312" s="6">
        <v>4.941176471</v>
      </c>
      <c r="E4312" s="6">
        <v>17.0</v>
      </c>
    </row>
    <row r="4313">
      <c r="A4313" s="4" t="s">
        <v>8573</v>
      </c>
      <c r="B4313" s="5" t="s">
        <v>8574</v>
      </c>
      <c r="C4313" s="6">
        <v>2000.0</v>
      </c>
      <c r="D4313" s="6">
        <v>5.0</v>
      </c>
      <c r="E4313" s="6">
        <v>1.0</v>
      </c>
    </row>
    <row r="4314">
      <c r="A4314" s="4" t="s">
        <v>8575</v>
      </c>
      <c r="B4314" s="5" t="s">
        <v>8576</v>
      </c>
      <c r="C4314" s="6">
        <v>2000.0</v>
      </c>
      <c r="D4314" s="6">
        <v>4.2</v>
      </c>
      <c r="E4314" s="6">
        <v>5.0</v>
      </c>
    </row>
    <row r="4315">
      <c r="A4315" s="4" t="s">
        <v>8577</v>
      </c>
      <c r="B4315" s="5" t="s">
        <v>8578</v>
      </c>
      <c r="C4315" s="6">
        <v>2000.0</v>
      </c>
      <c r="D4315" s="6">
        <v>4.808510638</v>
      </c>
      <c r="E4315" s="6">
        <v>47.0</v>
      </c>
    </row>
    <row r="4316">
      <c r="A4316" s="4" t="s">
        <v>8579</v>
      </c>
      <c r="B4316" s="5" t="s">
        <v>8580</v>
      </c>
      <c r="C4316" s="6">
        <v>2000.0</v>
      </c>
      <c r="D4316" s="6">
        <v>4.25</v>
      </c>
      <c r="E4316" s="6">
        <v>8.0</v>
      </c>
    </row>
    <row r="4317">
      <c r="A4317" s="4" t="s">
        <v>8581</v>
      </c>
      <c r="B4317" s="5" t="s">
        <v>8582</v>
      </c>
      <c r="C4317" s="6">
        <v>2000.0</v>
      </c>
      <c r="D4317" s="6">
        <v>3.611111111</v>
      </c>
      <c r="E4317" s="6">
        <v>18.0</v>
      </c>
    </row>
    <row r="4318">
      <c r="A4318" s="4" t="s">
        <v>8583</v>
      </c>
      <c r="B4318" s="5" t="s">
        <v>8584</v>
      </c>
      <c r="C4318" s="6">
        <v>2000.0</v>
      </c>
      <c r="D4318" s="6">
        <v>4.289473684</v>
      </c>
      <c r="E4318" s="6">
        <v>38.0</v>
      </c>
    </row>
    <row r="4319">
      <c r="A4319" s="4" t="s">
        <v>8585</v>
      </c>
      <c r="B4319" s="5" t="s">
        <v>8586</v>
      </c>
      <c r="C4319" s="6">
        <v>2000.0</v>
      </c>
      <c r="D4319" s="6">
        <v>4.75</v>
      </c>
      <c r="E4319" s="6">
        <v>12.0</v>
      </c>
    </row>
    <row r="4320">
      <c r="A4320" s="4" t="s">
        <v>8587</v>
      </c>
      <c r="B4320" s="5" t="s">
        <v>8588</v>
      </c>
      <c r="C4320" s="6">
        <v>2000.0</v>
      </c>
      <c r="D4320" s="6">
        <v>3.076923077</v>
      </c>
      <c r="E4320" s="6">
        <v>13.0</v>
      </c>
    </row>
    <row r="4321">
      <c r="A4321" s="4" t="s">
        <v>8589</v>
      </c>
      <c r="B4321" s="5" t="s">
        <v>8590</v>
      </c>
      <c r="C4321" s="6">
        <v>2000.0</v>
      </c>
      <c r="D4321" s="6">
        <v>5.0</v>
      </c>
      <c r="E4321" s="6">
        <v>2.0</v>
      </c>
    </row>
    <row r="4322">
      <c r="A4322" s="4" t="s">
        <v>8591</v>
      </c>
      <c r="B4322" s="5" t="s">
        <v>8592</v>
      </c>
      <c r="C4322" s="6">
        <v>2000.0</v>
      </c>
      <c r="D4322" s="6">
        <v>3.076923077</v>
      </c>
      <c r="E4322" s="6">
        <v>13.0</v>
      </c>
    </row>
    <row r="4323">
      <c r="A4323" s="4" t="s">
        <v>8593</v>
      </c>
      <c r="B4323" s="5" t="s">
        <v>8594</v>
      </c>
      <c r="C4323" s="6">
        <v>2000.0</v>
      </c>
      <c r="D4323" s="6">
        <v>4.788321168</v>
      </c>
      <c r="E4323" s="6">
        <v>137.0</v>
      </c>
    </row>
    <row r="4324">
      <c r="A4324" s="4" t="s">
        <v>8595</v>
      </c>
      <c r="B4324" s="5" t="s">
        <v>8596</v>
      </c>
      <c r="C4324" s="6">
        <v>2000.0</v>
      </c>
      <c r="D4324" s="6">
        <v>4.466666667</v>
      </c>
      <c r="E4324" s="6">
        <v>15.0</v>
      </c>
    </row>
    <row r="4325">
      <c r="A4325" s="4" t="s">
        <v>8597</v>
      </c>
      <c r="B4325" s="5" t="s">
        <v>8598</v>
      </c>
      <c r="C4325" s="6">
        <v>2000.0</v>
      </c>
      <c r="D4325" s="6">
        <v>5.0</v>
      </c>
      <c r="E4325" s="6">
        <v>4.0</v>
      </c>
    </row>
    <row r="4326">
      <c r="A4326" s="4" t="s">
        <v>8599</v>
      </c>
      <c r="B4326" s="5" t="s">
        <v>8600</v>
      </c>
      <c r="C4326" s="6">
        <v>2000.0</v>
      </c>
      <c r="D4326" s="6">
        <v>4.777777778</v>
      </c>
      <c r="E4326" s="6">
        <v>9.0</v>
      </c>
    </row>
    <row r="4327">
      <c r="A4327" s="4" t="s">
        <v>8601</v>
      </c>
      <c r="B4327" s="5" t="s">
        <v>8602</v>
      </c>
      <c r="C4327" s="6">
        <v>2000.0</v>
      </c>
      <c r="D4327" s="6">
        <v>4.6875</v>
      </c>
      <c r="E4327" s="6">
        <v>16.0</v>
      </c>
    </row>
    <row r="4328">
      <c r="A4328" s="4" t="s">
        <v>8603</v>
      </c>
      <c r="B4328" s="5" t="s">
        <v>8604</v>
      </c>
      <c r="C4328" s="6">
        <v>2000.0</v>
      </c>
      <c r="D4328" s="6">
        <v>4.342857143</v>
      </c>
      <c r="E4328" s="6">
        <v>35.0</v>
      </c>
    </row>
    <row r="4329">
      <c r="A4329" s="4" t="s">
        <v>8605</v>
      </c>
      <c r="B4329" s="5" t="s">
        <v>8606</v>
      </c>
      <c r="C4329" s="6">
        <v>2000.0</v>
      </c>
      <c r="D4329" s="6">
        <v>4.698113208</v>
      </c>
      <c r="E4329" s="6">
        <v>53.0</v>
      </c>
    </row>
    <row r="4330">
      <c r="A4330" s="4" t="s">
        <v>8607</v>
      </c>
      <c r="B4330" s="5" t="s">
        <v>8608</v>
      </c>
      <c r="C4330" s="6">
        <v>2000.0</v>
      </c>
      <c r="D4330" s="6">
        <v>3.296296296</v>
      </c>
      <c r="E4330" s="6">
        <v>27.0</v>
      </c>
    </row>
    <row r="4331">
      <c r="A4331" s="4" t="s">
        <v>8609</v>
      </c>
      <c r="B4331" s="5" t="s">
        <v>8610</v>
      </c>
      <c r="C4331" s="6">
        <v>2000.0</v>
      </c>
      <c r="D4331" s="9"/>
      <c r="E4331" s="9"/>
    </row>
    <row r="4332">
      <c r="A4332" s="4" t="s">
        <v>8611</v>
      </c>
      <c r="B4332" s="5" t="s">
        <v>8612</v>
      </c>
      <c r="C4332" s="6">
        <v>2000.0</v>
      </c>
      <c r="D4332" s="6">
        <v>3.363636364</v>
      </c>
      <c r="E4332" s="6">
        <v>11.0</v>
      </c>
    </row>
    <row r="4333">
      <c r="A4333" s="4" t="s">
        <v>8613</v>
      </c>
      <c r="B4333" s="5" t="s">
        <v>8614</v>
      </c>
      <c r="C4333" s="6">
        <v>2000.0</v>
      </c>
      <c r="D4333" s="6">
        <v>4.586826347</v>
      </c>
      <c r="E4333" s="6">
        <v>167.0</v>
      </c>
    </row>
    <row r="4334">
      <c r="A4334" s="4" t="s">
        <v>8615</v>
      </c>
      <c r="B4334" s="5" t="s">
        <v>8616</v>
      </c>
      <c r="C4334" s="6">
        <v>2000.0</v>
      </c>
      <c r="D4334" s="6">
        <v>5.0</v>
      </c>
      <c r="E4334" s="6">
        <v>13.0</v>
      </c>
    </row>
    <row r="4335">
      <c r="A4335" s="4" t="s">
        <v>8617</v>
      </c>
      <c r="B4335" s="5" t="s">
        <v>8618</v>
      </c>
      <c r="C4335" s="6">
        <v>2000.0</v>
      </c>
      <c r="D4335" s="6">
        <v>4.0</v>
      </c>
      <c r="E4335" s="6">
        <v>3.0</v>
      </c>
    </row>
    <row r="4336">
      <c r="A4336" s="4" t="s">
        <v>8619</v>
      </c>
      <c r="B4336" s="5" t="s">
        <v>8620</v>
      </c>
      <c r="C4336" s="6">
        <v>2000.0</v>
      </c>
      <c r="D4336" s="6">
        <v>5.0</v>
      </c>
      <c r="E4336" s="6">
        <v>1.0</v>
      </c>
    </row>
    <row r="4337">
      <c r="A4337" s="4" t="s">
        <v>3340</v>
      </c>
      <c r="B4337" s="5" t="s">
        <v>8621</v>
      </c>
      <c r="C4337" s="6">
        <v>2000.0</v>
      </c>
      <c r="D4337" s="6">
        <v>3.941176471</v>
      </c>
      <c r="E4337" s="6">
        <v>17.0</v>
      </c>
    </row>
    <row r="4338">
      <c r="A4338" s="4" t="s">
        <v>8622</v>
      </c>
      <c r="B4338" s="5" t="s">
        <v>8623</v>
      </c>
      <c r="C4338" s="6">
        <v>2000.0</v>
      </c>
      <c r="D4338" s="6">
        <v>3.75</v>
      </c>
      <c r="E4338" s="6">
        <v>12.0</v>
      </c>
    </row>
    <row r="4339">
      <c r="A4339" s="4" t="s">
        <v>8624</v>
      </c>
      <c r="B4339" s="5" t="s">
        <v>8625</v>
      </c>
      <c r="C4339" s="6">
        <v>2000.0</v>
      </c>
      <c r="D4339" s="6">
        <v>5.0</v>
      </c>
      <c r="E4339" s="6">
        <v>7.0</v>
      </c>
    </row>
    <row r="4340">
      <c r="A4340" s="4" t="s">
        <v>8626</v>
      </c>
      <c r="B4340" s="5" t="s">
        <v>8627</v>
      </c>
      <c r="C4340" s="6">
        <v>2000.0</v>
      </c>
      <c r="D4340" s="6">
        <v>5.0</v>
      </c>
      <c r="E4340" s="6">
        <v>16.0</v>
      </c>
    </row>
    <row r="4341">
      <c r="A4341" s="4" t="s">
        <v>8628</v>
      </c>
      <c r="B4341" s="5" t="s">
        <v>8629</v>
      </c>
      <c r="C4341" s="6">
        <v>2000.0</v>
      </c>
      <c r="D4341" s="6">
        <v>4.032258065</v>
      </c>
      <c r="E4341" s="6">
        <v>31.0</v>
      </c>
    </row>
    <row r="4342">
      <c r="A4342" s="4" t="s">
        <v>8630</v>
      </c>
      <c r="B4342" s="5" t="s">
        <v>8631</v>
      </c>
      <c r="C4342" s="6">
        <v>2000.0</v>
      </c>
      <c r="D4342" s="6">
        <v>3.0</v>
      </c>
      <c r="E4342" s="6">
        <v>6.0</v>
      </c>
    </row>
    <row r="4343">
      <c r="A4343" s="4" t="s">
        <v>8632</v>
      </c>
      <c r="B4343" s="5" t="s">
        <v>8633</v>
      </c>
      <c r="C4343" s="6">
        <v>2000.0</v>
      </c>
      <c r="D4343" s="6">
        <v>4.608695652</v>
      </c>
      <c r="E4343" s="6">
        <v>115.0</v>
      </c>
    </row>
    <row r="4344">
      <c r="A4344" s="4" t="s">
        <v>8634</v>
      </c>
      <c r="B4344" s="5" t="s">
        <v>8635</v>
      </c>
      <c r="C4344" s="6">
        <v>2000.0</v>
      </c>
      <c r="D4344" s="6">
        <v>4.224489796</v>
      </c>
      <c r="E4344" s="6">
        <v>49.0</v>
      </c>
    </row>
    <row r="4345">
      <c r="A4345" s="4" t="s">
        <v>8636</v>
      </c>
      <c r="B4345" s="5" t="s">
        <v>8637</v>
      </c>
      <c r="C4345" s="6">
        <v>2000.0</v>
      </c>
      <c r="D4345" s="6">
        <v>5.0</v>
      </c>
      <c r="E4345" s="6">
        <v>1.0</v>
      </c>
    </row>
    <row r="4346">
      <c r="A4346" s="4" t="s">
        <v>8638</v>
      </c>
      <c r="B4346" s="5" t="s">
        <v>8639</v>
      </c>
      <c r="C4346" s="6">
        <v>2000.0</v>
      </c>
      <c r="D4346" s="6">
        <v>3.0</v>
      </c>
      <c r="E4346" s="6">
        <v>3.0</v>
      </c>
    </row>
    <row r="4347">
      <c r="A4347" s="4" t="s">
        <v>8640</v>
      </c>
      <c r="B4347" s="5" t="s">
        <v>8641</v>
      </c>
      <c r="C4347" s="6">
        <v>2000.0</v>
      </c>
      <c r="D4347" s="6">
        <v>4.909090909</v>
      </c>
      <c r="E4347" s="6">
        <v>22.0</v>
      </c>
    </row>
    <row r="4348">
      <c r="A4348" s="4" t="s">
        <v>8642</v>
      </c>
      <c r="B4348" s="5" t="s">
        <v>8643</v>
      </c>
      <c r="C4348" s="6">
        <v>2000.0</v>
      </c>
      <c r="D4348" s="6">
        <v>4.157894737</v>
      </c>
      <c r="E4348" s="6">
        <v>19.0</v>
      </c>
    </row>
    <row r="4349">
      <c r="A4349" s="4" t="s">
        <v>8644</v>
      </c>
      <c r="B4349" s="5" t="s">
        <v>8645</v>
      </c>
      <c r="C4349" s="6">
        <v>2000.0</v>
      </c>
      <c r="D4349" s="6">
        <v>5.0</v>
      </c>
      <c r="E4349" s="6">
        <v>1.0</v>
      </c>
    </row>
    <row r="4350">
      <c r="A4350" s="4" t="s">
        <v>8646</v>
      </c>
      <c r="B4350" s="5" t="s">
        <v>8647</v>
      </c>
      <c r="C4350" s="6">
        <v>2000.0</v>
      </c>
      <c r="D4350" s="6">
        <v>3.833333333</v>
      </c>
      <c r="E4350" s="6">
        <v>6.0</v>
      </c>
    </row>
    <row r="4351">
      <c r="A4351" s="4" t="s">
        <v>8648</v>
      </c>
      <c r="B4351" s="5" t="s">
        <v>8649</v>
      </c>
      <c r="C4351" s="6">
        <v>2000.0</v>
      </c>
      <c r="D4351" s="6">
        <v>4.0</v>
      </c>
      <c r="E4351" s="6">
        <v>24.0</v>
      </c>
    </row>
    <row r="4352">
      <c r="A4352" s="4" t="s">
        <v>8650</v>
      </c>
      <c r="B4352" s="5" t="s">
        <v>8651</v>
      </c>
      <c r="C4352" s="6">
        <v>2000.0</v>
      </c>
      <c r="D4352" s="6">
        <v>4.753623188</v>
      </c>
      <c r="E4352" s="6">
        <v>69.0</v>
      </c>
    </row>
    <row r="4353">
      <c r="A4353" s="4" t="s">
        <v>8652</v>
      </c>
      <c r="B4353" s="5" t="s">
        <v>8653</v>
      </c>
      <c r="C4353" s="6">
        <v>2000.0</v>
      </c>
      <c r="D4353" s="6">
        <v>3.0</v>
      </c>
      <c r="E4353" s="6">
        <v>2.0</v>
      </c>
    </row>
    <row r="4354">
      <c r="A4354" s="4" t="s">
        <v>8654</v>
      </c>
      <c r="B4354" s="5" t="s">
        <v>8655</v>
      </c>
      <c r="C4354" s="6">
        <v>2000.0</v>
      </c>
      <c r="D4354" s="6">
        <v>5.0</v>
      </c>
      <c r="E4354" s="6">
        <v>3.0</v>
      </c>
    </row>
    <row r="4355">
      <c r="A4355" s="4" t="s">
        <v>8656</v>
      </c>
      <c r="B4355" s="5" t="s">
        <v>8657</v>
      </c>
      <c r="C4355" s="6">
        <v>2000.0</v>
      </c>
      <c r="D4355" s="6">
        <v>3.5</v>
      </c>
      <c r="E4355" s="6">
        <v>6.0</v>
      </c>
    </row>
    <row r="4356">
      <c r="A4356" s="4" t="s">
        <v>8658</v>
      </c>
      <c r="B4356" s="5" t="s">
        <v>8659</v>
      </c>
      <c r="C4356" s="6">
        <v>2000.0</v>
      </c>
      <c r="D4356" s="6">
        <v>3.625</v>
      </c>
      <c r="E4356" s="6">
        <v>16.0</v>
      </c>
    </row>
    <row r="4357">
      <c r="A4357" s="4" t="s">
        <v>8660</v>
      </c>
      <c r="B4357" s="5" t="s">
        <v>8661</v>
      </c>
      <c r="C4357" s="6">
        <v>2000.0</v>
      </c>
      <c r="D4357" s="6">
        <v>5.0</v>
      </c>
      <c r="E4357" s="6">
        <v>7.0</v>
      </c>
    </row>
    <row r="4358">
      <c r="A4358" s="4" t="s">
        <v>8662</v>
      </c>
      <c r="B4358" s="5" t="s">
        <v>8663</v>
      </c>
      <c r="C4358" s="6">
        <v>2000.0</v>
      </c>
      <c r="D4358" s="6">
        <v>4.136363636</v>
      </c>
      <c r="E4358" s="6">
        <v>22.0</v>
      </c>
    </row>
    <row r="4359">
      <c r="A4359" s="4" t="s">
        <v>8664</v>
      </c>
      <c r="B4359" s="5" t="s">
        <v>8665</v>
      </c>
      <c r="C4359" s="6">
        <v>2000.0</v>
      </c>
      <c r="D4359" s="6">
        <v>3.625</v>
      </c>
      <c r="E4359" s="6">
        <v>24.0</v>
      </c>
    </row>
    <row r="4360">
      <c r="A4360" s="4" t="s">
        <v>8666</v>
      </c>
      <c r="B4360" s="5" t="s">
        <v>8667</v>
      </c>
      <c r="C4360" s="6">
        <v>2000.0</v>
      </c>
      <c r="D4360" s="6">
        <v>4.0</v>
      </c>
      <c r="E4360" s="6">
        <v>11.0</v>
      </c>
    </row>
    <row r="4361">
      <c r="A4361" s="4" t="s">
        <v>8668</v>
      </c>
      <c r="B4361" s="5" t="s">
        <v>8669</v>
      </c>
      <c r="C4361" s="6">
        <v>2000.0</v>
      </c>
      <c r="D4361" s="6">
        <v>4.630769231</v>
      </c>
      <c r="E4361" s="6">
        <v>65.0</v>
      </c>
    </row>
    <row r="4362">
      <c r="A4362" s="4" t="s">
        <v>8670</v>
      </c>
      <c r="B4362" s="5" t="s">
        <v>8671</v>
      </c>
      <c r="C4362" s="6">
        <v>2000.0</v>
      </c>
      <c r="D4362" s="6">
        <v>3.444444444</v>
      </c>
      <c r="E4362" s="6">
        <v>9.0</v>
      </c>
    </row>
    <row r="4363">
      <c r="A4363" s="4" t="s">
        <v>8672</v>
      </c>
      <c r="B4363" s="5" t="s">
        <v>8673</v>
      </c>
      <c r="C4363" s="6">
        <v>2000.0</v>
      </c>
      <c r="D4363" s="6">
        <v>3.651685393</v>
      </c>
      <c r="E4363" s="6">
        <v>89.0</v>
      </c>
    </row>
    <row r="4364">
      <c r="A4364" s="4" t="s">
        <v>8674</v>
      </c>
      <c r="B4364" s="5" t="s">
        <v>8675</v>
      </c>
      <c r="C4364" s="6">
        <v>2000.0</v>
      </c>
      <c r="D4364" s="6">
        <v>4.886363636</v>
      </c>
      <c r="E4364" s="6">
        <v>44.0</v>
      </c>
    </row>
    <row r="4365">
      <c r="A4365" s="4" t="s">
        <v>8676</v>
      </c>
      <c r="B4365" s="5" t="s">
        <v>8677</v>
      </c>
      <c r="C4365" s="6">
        <v>2000.0</v>
      </c>
      <c r="D4365" s="6">
        <v>2.833333333</v>
      </c>
      <c r="E4365" s="6">
        <v>6.0</v>
      </c>
    </row>
    <row r="4366">
      <c r="A4366" s="4" t="s">
        <v>8678</v>
      </c>
      <c r="B4366" s="5" t="s">
        <v>8679</v>
      </c>
      <c r="C4366" s="6">
        <v>2000.0</v>
      </c>
      <c r="D4366" s="6">
        <v>3.166666667</v>
      </c>
      <c r="E4366" s="6">
        <v>6.0</v>
      </c>
    </row>
    <row r="4367">
      <c r="A4367" s="4" t="s">
        <v>8680</v>
      </c>
      <c r="B4367" s="5" t="s">
        <v>8681</v>
      </c>
      <c r="C4367" s="6">
        <v>2000.0</v>
      </c>
      <c r="D4367" s="6">
        <v>4.5</v>
      </c>
      <c r="E4367" s="6">
        <v>6.0</v>
      </c>
    </row>
    <row r="4368">
      <c r="A4368" s="4" t="s">
        <v>8682</v>
      </c>
      <c r="B4368" s="5" t="s">
        <v>8683</v>
      </c>
      <c r="C4368" s="6">
        <v>2000.0</v>
      </c>
      <c r="D4368" s="6">
        <v>3.714285714</v>
      </c>
      <c r="E4368" s="6">
        <v>77.0</v>
      </c>
    </row>
    <row r="4369">
      <c r="A4369" s="4" t="s">
        <v>8684</v>
      </c>
      <c r="B4369" s="5" t="s">
        <v>8685</v>
      </c>
      <c r="C4369" s="6">
        <v>2000.0</v>
      </c>
      <c r="D4369" s="6">
        <v>4.6</v>
      </c>
      <c r="E4369" s="6">
        <v>30.0</v>
      </c>
    </row>
    <row r="4370">
      <c r="A4370" s="4" t="s">
        <v>8686</v>
      </c>
      <c r="B4370" s="5" t="s">
        <v>8687</v>
      </c>
      <c r="C4370" s="6">
        <v>2000.0</v>
      </c>
      <c r="D4370" s="6">
        <v>5.0</v>
      </c>
      <c r="E4370" s="6">
        <v>23.0</v>
      </c>
    </row>
    <row r="4371">
      <c r="A4371" s="4" t="s">
        <v>8688</v>
      </c>
      <c r="B4371" s="5" t="s">
        <v>8689</v>
      </c>
      <c r="C4371" s="6">
        <v>2000.0</v>
      </c>
      <c r="D4371" s="6">
        <v>4.0</v>
      </c>
      <c r="E4371" s="6">
        <v>8.0</v>
      </c>
    </row>
    <row r="4372">
      <c r="A4372" s="4" t="s">
        <v>249</v>
      </c>
      <c r="B4372" s="5" t="s">
        <v>8690</v>
      </c>
      <c r="C4372" s="6">
        <v>2000.0</v>
      </c>
      <c r="D4372" s="6">
        <v>4.466666667</v>
      </c>
      <c r="E4372" s="6">
        <v>15.0</v>
      </c>
    </row>
    <row r="4373">
      <c r="A4373" s="4" t="s">
        <v>8691</v>
      </c>
      <c r="B4373" s="5" t="s">
        <v>8692</v>
      </c>
      <c r="C4373" s="6">
        <v>2000.0</v>
      </c>
      <c r="D4373" s="6">
        <v>4.802030457</v>
      </c>
      <c r="E4373" s="6">
        <v>197.0</v>
      </c>
    </row>
    <row r="4374">
      <c r="A4374" s="4" t="s">
        <v>8693</v>
      </c>
      <c r="B4374" s="5" t="s">
        <v>8694</v>
      </c>
      <c r="C4374" s="6">
        <v>2000.0</v>
      </c>
      <c r="D4374" s="6">
        <v>2.9375</v>
      </c>
      <c r="E4374" s="6">
        <v>16.0</v>
      </c>
    </row>
    <row r="4375">
      <c r="A4375" s="4" t="s">
        <v>8695</v>
      </c>
      <c r="B4375" s="5" t="s">
        <v>8696</v>
      </c>
      <c r="C4375" s="6">
        <v>2000.0</v>
      </c>
      <c r="D4375" s="6">
        <v>2.573170732</v>
      </c>
      <c r="E4375" s="6">
        <v>82.0</v>
      </c>
    </row>
    <row r="4376">
      <c r="A4376" s="4" t="s">
        <v>8697</v>
      </c>
      <c r="B4376" s="5" t="s">
        <v>8698</v>
      </c>
      <c r="C4376" s="6">
        <v>2000.0</v>
      </c>
      <c r="D4376" s="6">
        <v>1.0</v>
      </c>
      <c r="E4376" s="6">
        <v>1.0</v>
      </c>
    </row>
    <row r="4377">
      <c r="A4377" s="4" t="s">
        <v>8699</v>
      </c>
      <c r="B4377" s="5" t="s">
        <v>8700</v>
      </c>
      <c r="C4377" s="6">
        <v>2000.0</v>
      </c>
      <c r="D4377" s="6">
        <v>4.166666667</v>
      </c>
      <c r="E4377" s="6">
        <v>6.0</v>
      </c>
    </row>
    <row r="4378">
      <c r="A4378" s="4" t="s">
        <v>8701</v>
      </c>
      <c r="B4378" s="5" t="s">
        <v>8702</v>
      </c>
      <c r="C4378" s="6">
        <v>2000.0</v>
      </c>
      <c r="D4378" s="6">
        <v>2.5</v>
      </c>
      <c r="E4378" s="6">
        <v>2.0</v>
      </c>
    </row>
    <row r="4379">
      <c r="A4379" s="4" t="s">
        <v>8703</v>
      </c>
      <c r="B4379" s="5" t="s">
        <v>8704</v>
      </c>
      <c r="C4379" s="6">
        <v>2000.0</v>
      </c>
      <c r="D4379" s="6">
        <v>3.285714286</v>
      </c>
      <c r="E4379" s="6">
        <v>14.0</v>
      </c>
    </row>
    <row r="4380">
      <c r="A4380" s="4" t="s">
        <v>8705</v>
      </c>
      <c r="B4380" s="5" t="s">
        <v>8706</v>
      </c>
      <c r="C4380" s="6">
        <v>2000.0</v>
      </c>
      <c r="D4380" s="6">
        <v>2.464285714</v>
      </c>
      <c r="E4380" s="6">
        <v>56.0</v>
      </c>
    </row>
    <row r="4381">
      <c r="A4381" s="4" t="s">
        <v>8707</v>
      </c>
      <c r="B4381" s="5" t="s">
        <v>8708</v>
      </c>
      <c r="C4381" s="6">
        <v>2000.0</v>
      </c>
      <c r="D4381" s="6">
        <v>4.375</v>
      </c>
      <c r="E4381" s="6">
        <v>32.0</v>
      </c>
    </row>
    <row r="4382">
      <c r="A4382" s="4" t="s">
        <v>8709</v>
      </c>
      <c r="B4382" s="5" t="s">
        <v>8710</v>
      </c>
      <c r="C4382" s="6">
        <v>2000.0</v>
      </c>
      <c r="D4382" s="6">
        <v>3.875</v>
      </c>
      <c r="E4382" s="6">
        <v>24.0</v>
      </c>
    </row>
    <row r="4383">
      <c r="A4383" s="4" t="s">
        <v>8711</v>
      </c>
      <c r="B4383" s="5" t="s">
        <v>8712</v>
      </c>
      <c r="C4383" s="6">
        <v>2000.0</v>
      </c>
      <c r="D4383" s="6">
        <v>4.55</v>
      </c>
      <c r="E4383" s="6">
        <v>20.0</v>
      </c>
    </row>
    <row r="4384">
      <c r="A4384" s="4" t="s">
        <v>8713</v>
      </c>
      <c r="B4384" s="5" t="s">
        <v>8714</v>
      </c>
      <c r="C4384" s="6">
        <v>2000.0</v>
      </c>
      <c r="D4384" s="6">
        <v>5.0</v>
      </c>
      <c r="E4384" s="6">
        <v>2.0</v>
      </c>
    </row>
    <row r="4385">
      <c r="A4385" s="4" t="s">
        <v>8715</v>
      </c>
      <c r="B4385" s="5" t="s">
        <v>8716</v>
      </c>
      <c r="C4385" s="6">
        <v>2000.0</v>
      </c>
      <c r="D4385" s="6">
        <v>3.0</v>
      </c>
      <c r="E4385" s="6">
        <v>2.0</v>
      </c>
    </row>
    <row r="4386">
      <c r="A4386" s="4" t="s">
        <v>8717</v>
      </c>
      <c r="B4386" s="5" t="s">
        <v>8718</v>
      </c>
      <c r="C4386" s="6">
        <v>2000.0</v>
      </c>
      <c r="D4386" s="6">
        <v>4.8</v>
      </c>
      <c r="E4386" s="6">
        <v>25.0</v>
      </c>
    </row>
    <row r="4387">
      <c r="A4387" s="4" t="s">
        <v>8719</v>
      </c>
      <c r="B4387" s="5" t="s">
        <v>8720</v>
      </c>
      <c r="C4387" s="6">
        <v>2000.0</v>
      </c>
      <c r="D4387" s="6">
        <v>4.666666667</v>
      </c>
      <c r="E4387" s="6">
        <v>3.0</v>
      </c>
    </row>
    <row r="4388">
      <c r="A4388" s="4" t="s">
        <v>8721</v>
      </c>
      <c r="B4388" s="5" t="s">
        <v>8722</v>
      </c>
      <c r="C4388" s="6">
        <v>2000.0</v>
      </c>
      <c r="D4388" s="6">
        <v>3.791666667</v>
      </c>
      <c r="E4388" s="6">
        <v>24.0</v>
      </c>
    </row>
    <row r="4389">
      <c r="A4389" s="4" t="s">
        <v>8723</v>
      </c>
      <c r="B4389" s="5" t="s">
        <v>8724</v>
      </c>
      <c r="C4389" s="6">
        <v>2000.0</v>
      </c>
      <c r="D4389" s="6">
        <v>2.75</v>
      </c>
      <c r="E4389" s="6">
        <v>20.0</v>
      </c>
    </row>
    <row r="4390">
      <c r="A4390" s="4" t="s">
        <v>8725</v>
      </c>
      <c r="B4390" s="5" t="s">
        <v>8726</v>
      </c>
      <c r="C4390" s="6">
        <v>2000.0</v>
      </c>
      <c r="D4390" s="6">
        <v>3.38</v>
      </c>
      <c r="E4390" s="6">
        <v>50.0</v>
      </c>
    </row>
    <row r="4391">
      <c r="A4391" s="4" t="s">
        <v>8727</v>
      </c>
      <c r="B4391" s="5" t="s">
        <v>8728</v>
      </c>
      <c r="C4391" s="6">
        <v>2000.0</v>
      </c>
      <c r="D4391" s="6">
        <v>2.052631579</v>
      </c>
      <c r="E4391" s="6">
        <v>38.0</v>
      </c>
    </row>
    <row r="4392">
      <c r="A4392" s="4" t="s">
        <v>8729</v>
      </c>
      <c r="B4392" s="5" t="s">
        <v>8730</v>
      </c>
      <c r="C4392" s="6">
        <v>2000.0</v>
      </c>
      <c r="D4392" s="6">
        <v>5.0</v>
      </c>
      <c r="E4392" s="6">
        <v>2.0</v>
      </c>
    </row>
    <row r="4393">
      <c r="A4393" s="4" t="s">
        <v>8731</v>
      </c>
      <c r="B4393" s="5" t="s">
        <v>8732</v>
      </c>
      <c r="C4393" s="6">
        <v>2000.0</v>
      </c>
      <c r="D4393" s="6">
        <v>4.181818182</v>
      </c>
      <c r="E4393" s="6">
        <v>11.0</v>
      </c>
    </row>
    <row r="4394">
      <c r="A4394" s="4" t="s">
        <v>8733</v>
      </c>
      <c r="B4394" s="5" t="s">
        <v>8734</v>
      </c>
      <c r="C4394" s="6">
        <v>2000.0</v>
      </c>
      <c r="D4394" s="6">
        <v>4.692307692</v>
      </c>
      <c r="E4394" s="6">
        <v>13.0</v>
      </c>
    </row>
    <row r="4395">
      <c r="A4395" s="4" t="s">
        <v>8735</v>
      </c>
      <c r="B4395" s="5" t="s">
        <v>8736</v>
      </c>
      <c r="C4395" s="6">
        <v>2000.0</v>
      </c>
      <c r="D4395" s="6">
        <v>4.583333333</v>
      </c>
      <c r="E4395" s="6">
        <v>84.0</v>
      </c>
    </row>
    <row r="4396">
      <c r="A4396" s="4" t="s">
        <v>8737</v>
      </c>
      <c r="B4396" s="5" t="s">
        <v>8738</v>
      </c>
      <c r="C4396" s="6">
        <v>2000.0</v>
      </c>
      <c r="D4396" s="6">
        <v>5.0</v>
      </c>
      <c r="E4396" s="6">
        <v>11.0</v>
      </c>
    </row>
    <row r="4397">
      <c r="A4397" s="4" t="s">
        <v>8739</v>
      </c>
      <c r="B4397" s="5" t="s">
        <v>8740</v>
      </c>
      <c r="C4397" s="6">
        <v>2000.0</v>
      </c>
      <c r="D4397" s="6">
        <v>4.6</v>
      </c>
      <c r="E4397" s="6">
        <v>15.0</v>
      </c>
    </row>
    <row r="4398">
      <c r="A4398" s="4" t="s">
        <v>8741</v>
      </c>
      <c r="B4398" s="5" t="s">
        <v>8742</v>
      </c>
      <c r="C4398" s="6">
        <v>2000.0</v>
      </c>
      <c r="D4398" s="6">
        <v>4.210526316</v>
      </c>
      <c r="E4398" s="6">
        <v>19.0</v>
      </c>
    </row>
    <row r="4399">
      <c r="A4399" s="4" t="s">
        <v>8743</v>
      </c>
      <c r="B4399" s="5" t="s">
        <v>8744</v>
      </c>
      <c r="C4399" s="6">
        <v>2000.0</v>
      </c>
      <c r="D4399" s="6">
        <v>4.1875</v>
      </c>
      <c r="E4399" s="6">
        <v>16.0</v>
      </c>
    </row>
    <row r="4400">
      <c r="A4400" s="4" t="s">
        <v>8745</v>
      </c>
      <c r="B4400" s="5" t="s">
        <v>8746</v>
      </c>
      <c r="C4400" s="6">
        <v>2000.0</v>
      </c>
      <c r="D4400" s="6">
        <v>4.676470588</v>
      </c>
      <c r="E4400" s="6">
        <v>34.0</v>
      </c>
    </row>
    <row r="4401">
      <c r="A4401" s="4" t="s">
        <v>8747</v>
      </c>
      <c r="B4401" s="5" t="s">
        <v>8748</v>
      </c>
      <c r="C4401" s="6">
        <v>2000.0</v>
      </c>
      <c r="D4401" s="6">
        <v>3.574074074</v>
      </c>
      <c r="E4401" s="6">
        <v>54.0</v>
      </c>
    </row>
    <row r="4402">
      <c r="A4402" s="4" t="s">
        <v>8749</v>
      </c>
      <c r="B4402" s="5" t="s">
        <v>8750</v>
      </c>
      <c r="C4402" s="6">
        <v>2000.0</v>
      </c>
      <c r="D4402" s="6">
        <v>3.571428571</v>
      </c>
      <c r="E4402" s="6">
        <v>7.0</v>
      </c>
    </row>
    <row r="4403">
      <c r="A4403" s="4" t="s">
        <v>8751</v>
      </c>
      <c r="B4403" s="5" t="s">
        <v>8752</v>
      </c>
      <c r="C4403" s="6">
        <v>2000.0</v>
      </c>
      <c r="D4403" s="6">
        <v>4.3</v>
      </c>
      <c r="E4403" s="6">
        <v>80.0</v>
      </c>
    </row>
    <row r="4404">
      <c r="A4404" s="4" t="s">
        <v>8753</v>
      </c>
      <c r="B4404" s="5" t="s">
        <v>8754</v>
      </c>
      <c r="C4404" s="6">
        <v>2000.0</v>
      </c>
      <c r="D4404" s="6">
        <v>3.863636364</v>
      </c>
      <c r="E4404" s="6">
        <v>66.0</v>
      </c>
    </row>
    <row r="4405">
      <c r="A4405" s="4" t="s">
        <v>8755</v>
      </c>
      <c r="B4405" s="5" t="s">
        <v>8756</v>
      </c>
      <c r="C4405" s="6">
        <v>2000.0</v>
      </c>
      <c r="D4405" s="6">
        <v>3.8</v>
      </c>
      <c r="E4405" s="6">
        <v>35.0</v>
      </c>
    </row>
    <row r="4406">
      <c r="A4406" s="4" t="s">
        <v>8757</v>
      </c>
      <c r="B4406" s="5" t="s">
        <v>8758</v>
      </c>
      <c r="C4406" s="6">
        <v>2000.0</v>
      </c>
      <c r="D4406" s="6">
        <v>5.0</v>
      </c>
      <c r="E4406" s="6">
        <v>8.0</v>
      </c>
    </row>
    <row r="4407">
      <c r="A4407" s="4" t="s">
        <v>8759</v>
      </c>
      <c r="B4407" s="5" t="s">
        <v>8760</v>
      </c>
      <c r="C4407" s="6">
        <v>2000.0</v>
      </c>
      <c r="D4407" s="6">
        <v>2.396226415</v>
      </c>
      <c r="E4407" s="6">
        <v>53.0</v>
      </c>
    </row>
    <row r="4408">
      <c r="A4408" s="4" t="s">
        <v>8761</v>
      </c>
      <c r="B4408" s="5" t="s">
        <v>8762</v>
      </c>
      <c r="C4408" s="6">
        <v>2000.0</v>
      </c>
      <c r="D4408" s="6">
        <v>4.125</v>
      </c>
      <c r="E4408" s="6">
        <v>16.0</v>
      </c>
    </row>
    <row r="4409">
      <c r="A4409" s="4" t="s">
        <v>8763</v>
      </c>
      <c r="B4409" s="5" t="s">
        <v>8764</v>
      </c>
      <c r="C4409" s="6">
        <v>2000.0</v>
      </c>
      <c r="D4409" s="6">
        <v>4.375</v>
      </c>
      <c r="E4409" s="6">
        <v>8.0</v>
      </c>
    </row>
    <row r="4410">
      <c r="A4410" s="4" t="s">
        <v>8765</v>
      </c>
      <c r="B4410" s="12" t="s">
        <v>8766</v>
      </c>
      <c r="C4410" s="7">
        <v>2000.0</v>
      </c>
      <c r="D4410" s="6">
        <v>4.7</v>
      </c>
      <c r="E4410" s="6">
        <v>398.0</v>
      </c>
    </row>
    <row r="4411">
      <c r="A4411" s="4" t="s">
        <v>8767</v>
      </c>
      <c r="B4411" s="5" t="s">
        <v>8768</v>
      </c>
      <c r="C4411" s="6">
        <v>2000.0</v>
      </c>
      <c r="D4411" s="6">
        <v>4.342857143</v>
      </c>
      <c r="E4411" s="6">
        <v>35.0</v>
      </c>
    </row>
    <row r="4412">
      <c r="A4412" s="4" t="s">
        <v>8769</v>
      </c>
      <c r="B4412" s="5" t="s">
        <v>8770</v>
      </c>
      <c r="C4412" s="6">
        <v>2000.0</v>
      </c>
      <c r="D4412" s="6">
        <v>4.183333333</v>
      </c>
      <c r="E4412" s="6">
        <v>60.0</v>
      </c>
    </row>
    <row r="4413">
      <c r="A4413" s="4" t="s">
        <v>8771</v>
      </c>
      <c r="B4413" s="5" t="s">
        <v>8772</v>
      </c>
      <c r="C4413" s="6">
        <v>2000.0</v>
      </c>
      <c r="D4413" s="6">
        <v>1.675</v>
      </c>
      <c r="E4413" s="6">
        <v>40.0</v>
      </c>
    </row>
    <row r="4414">
      <c r="A4414" s="4" t="s">
        <v>8773</v>
      </c>
      <c r="B4414" s="5" t="s">
        <v>8774</v>
      </c>
      <c r="C4414" s="6">
        <v>2000.0</v>
      </c>
      <c r="D4414" s="6">
        <v>1.0</v>
      </c>
      <c r="E4414" s="6">
        <v>4.0</v>
      </c>
    </row>
    <row r="4415">
      <c r="A4415" s="4" t="s">
        <v>8775</v>
      </c>
      <c r="B4415" s="5" t="s">
        <v>8776</v>
      </c>
      <c r="C4415" s="6">
        <v>2000.0</v>
      </c>
      <c r="D4415" s="6">
        <v>3.956521739</v>
      </c>
      <c r="E4415" s="6">
        <v>23.0</v>
      </c>
    </row>
    <row r="4416">
      <c r="A4416" s="4" t="s">
        <v>8777</v>
      </c>
      <c r="B4416" s="5" t="s">
        <v>8778</v>
      </c>
      <c r="C4416" s="6">
        <v>2000.0</v>
      </c>
      <c r="D4416" s="6">
        <v>5.0</v>
      </c>
      <c r="E4416" s="6">
        <v>1.0</v>
      </c>
    </row>
    <row r="4417">
      <c r="A4417" s="4" t="s">
        <v>8779</v>
      </c>
      <c r="B4417" s="5" t="s">
        <v>8780</v>
      </c>
      <c r="C4417" s="6">
        <v>2000.0</v>
      </c>
      <c r="D4417" s="6">
        <v>4.3125</v>
      </c>
      <c r="E4417" s="6">
        <v>16.0</v>
      </c>
    </row>
    <row r="4418">
      <c r="A4418" s="4" t="s">
        <v>8781</v>
      </c>
      <c r="B4418" s="5" t="s">
        <v>8782</v>
      </c>
      <c r="C4418" s="6">
        <v>2000.0</v>
      </c>
      <c r="D4418" s="6">
        <v>3.666666667</v>
      </c>
      <c r="E4418" s="6">
        <v>3.0</v>
      </c>
    </row>
    <row r="4419">
      <c r="A4419" s="4" t="s">
        <v>8783</v>
      </c>
      <c r="B4419" s="5" t="s">
        <v>8784</v>
      </c>
      <c r="C4419" s="6">
        <v>2000.0</v>
      </c>
      <c r="D4419" s="6">
        <v>5.0</v>
      </c>
      <c r="E4419" s="6">
        <v>2.0</v>
      </c>
    </row>
    <row r="4420">
      <c r="A4420" s="4" t="s">
        <v>8785</v>
      </c>
      <c r="B4420" s="5" t="s">
        <v>8786</v>
      </c>
      <c r="C4420" s="6">
        <v>2000.0</v>
      </c>
      <c r="D4420" s="6">
        <v>4.0</v>
      </c>
      <c r="E4420" s="6">
        <v>33.0</v>
      </c>
    </row>
    <row r="4421">
      <c r="A4421" s="4" t="s">
        <v>8787</v>
      </c>
      <c r="B4421" s="5" t="s">
        <v>8788</v>
      </c>
      <c r="C4421" s="6">
        <v>2000.0</v>
      </c>
      <c r="D4421" s="6">
        <v>3.375</v>
      </c>
      <c r="E4421" s="6">
        <v>8.0</v>
      </c>
    </row>
    <row r="4422">
      <c r="A4422" s="4" t="s">
        <v>8789</v>
      </c>
      <c r="B4422" s="5" t="s">
        <v>8790</v>
      </c>
      <c r="C4422" s="6">
        <v>2000.0</v>
      </c>
      <c r="D4422" s="6">
        <v>5.0</v>
      </c>
      <c r="E4422" s="6">
        <v>16.0</v>
      </c>
    </row>
    <row r="4423">
      <c r="A4423" s="4" t="s">
        <v>8791</v>
      </c>
      <c r="B4423" s="5" t="s">
        <v>8792</v>
      </c>
      <c r="C4423" s="6">
        <v>2000.0</v>
      </c>
      <c r="D4423" s="6">
        <v>4.5</v>
      </c>
      <c r="E4423" s="6">
        <v>12.0</v>
      </c>
    </row>
    <row r="4424">
      <c r="A4424" s="4" t="s">
        <v>8793</v>
      </c>
      <c r="B4424" s="5" t="s">
        <v>8794</v>
      </c>
      <c r="C4424" s="6">
        <v>2000.0</v>
      </c>
      <c r="D4424" s="6">
        <v>4.6</v>
      </c>
      <c r="E4424" s="6">
        <v>5.0</v>
      </c>
    </row>
    <row r="4425">
      <c r="A4425" s="4" t="s">
        <v>8795</v>
      </c>
      <c r="B4425" s="5" t="s">
        <v>8796</v>
      </c>
      <c r="C4425" s="6">
        <v>2000.0</v>
      </c>
      <c r="D4425" s="6">
        <v>4.875</v>
      </c>
      <c r="E4425" s="6">
        <v>16.0</v>
      </c>
    </row>
    <row r="4426">
      <c r="A4426" s="4" t="s">
        <v>8797</v>
      </c>
      <c r="B4426" s="5" t="s">
        <v>8798</v>
      </c>
      <c r="C4426" s="6">
        <v>2000.0</v>
      </c>
      <c r="D4426" s="9"/>
      <c r="E4426" s="9"/>
    </row>
    <row r="4427">
      <c r="A4427" s="4" t="s">
        <v>3106</v>
      </c>
      <c r="B4427" s="5" t="s">
        <v>8799</v>
      </c>
      <c r="C4427" s="6">
        <v>2000.0</v>
      </c>
      <c r="D4427" s="6">
        <v>4.0</v>
      </c>
      <c r="E4427" s="6">
        <v>4.0</v>
      </c>
    </row>
    <row r="4428">
      <c r="A4428" s="4" t="s">
        <v>8800</v>
      </c>
      <c r="B4428" s="5" t="s">
        <v>8801</v>
      </c>
      <c r="C4428" s="6">
        <v>2000.0</v>
      </c>
      <c r="D4428" s="6">
        <v>3.684210526</v>
      </c>
      <c r="E4428" s="6">
        <v>19.0</v>
      </c>
    </row>
    <row r="4429">
      <c r="A4429" s="4" t="s">
        <v>8802</v>
      </c>
      <c r="B4429" s="5" t="s">
        <v>8803</v>
      </c>
      <c r="C4429" s="6">
        <v>2000.0</v>
      </c>
      <c r="D4429" s="6">
        <v>2.846153846</v>
      </c>
      <c r="E4429" s="6">
        <v>13.0</v>
      </c>
    </row>
    <row r="4430">
      <c r="A4430" s="4" t="s">
        <v>8804</v>
      </c>
      <c r="B4430" s="5" t="s">
        <v>8805</v>
      </c>
      <c r="C4430" s="6">
        <v>2000.0</v>
      </c>
      <c r="D4430" s="6">
        <v>4.4375</v>
      </c>
      <c r="E4430" s="6">
        <v>16.0</v>
      </c>
    </row>
    <row r="4431">
      <c r="A4431" s="4" t="s">
        <v>8806</v>
      </c>
      <c r="B4431" s="12" t="s">
        <v>8807</v>
      </c>
      <c r="C4431" s="7">
        <v>2000.0</v>
      </c>
      <c r="D4431" s="6">
        <v>4.4</v>
      </c>
      <c r="E4431" s="6">
        <v>11.0</v>
      </c>
    </row>
    <row r="4432">
      <c r="A4432" s="4" t="s">
        <v>8808</v>
      </c>
      <c r="B4432" s="5" t="s">
        <v>8809</v>
      </c>
      <c r="C4432" s="6">
        <v>2000.0</v>
      </c>
      <c r="D4432" s="6">
        <v>3.25</v>
      </c>
      <c r="E4432" s="6">
        <v>4.0</v>
      </c>
    </row>
    <row r="4433">
      <c r="A4433" s="4" t="s">
        <v>8810</v>
      </c>
      <c r="B4433" s="5" t="s">
        <v>8811</v>
      </c>
      <c r="C4433" s="6">
        <v>2000.0</v>
      </c>
      <c r="D4433" s="6">
        <v>4.615384615</v>
      </c>
      <c r="E4433" s="6">
        <v>13.0</v>
      </c>
    </row>
    <row r="4434">
      <c r="A4434" s="4" t="s">
        <v>8812</v>
      </c>
      <c r="B4434" s="5" t="s">
        <v>8813</v>
      </c>
      <c r="C4434" s="6">
        <v>2000.0</v>
      </c>
      <c r="D4434" s="6">
        <v>3.428571429</v>
      </c>
      <c r="E4434" s="6">
        <v>42.0</v>
      </c>
    </row>
    <row r="4435">
      <c r="A4435" s="4" t="s">
        <v>8814</v>
      </c>
      <c r="B4435" s="5" t="s">
        <v>8815</v>
      </c>
      <c r="C4435" s="6">
        <v>2000.0</v>
      </c>
      <c r="D4435" s="6">
        <v>3.555555556</v>
      </c>
      <c r="E4435" s="6">
        <v>27.0</v>
      </c>
    </row>
    <row r="4436">
      <c r="A4436" s="4" t="s">
        <v>8816</v>
      </c>
      <c r="B4436" s="5" t="s">
        <v>8817</v>
      </c>
      <c r="C4436" s="6">
        <v>2000.0</v>
      </c>
      <c r="D4436" s="6">
        <v>4.0</v>
      </c>
      <c r="E4436" s="6">
        <v>6.0</v>
      </c>
    </row>
    <row r="4437">
      <c r="A4437" s="4" t="s">
        <v>8818</v>
      </c>
      <c r="B4437" s="5" t="s">
        <v>8819</v>
      </c>
      <c r="C4437" s="6">
        <v>2000.0</v>
      </c>
      <c r="D4437" s="6">
        <v>3.636363636</v>
      </c>
      <c r="E4437" s="6">
        <v>11.0</v>
      </c>
    </row>
    <row r="4438">
      <c r="A4438" s="4" t="s">
        <v>8820</v>
      </c>
      <c r="B4438" s="5" t="s">
        <v>8821</v>
      </c>
      <c r="C4438" s="6">
        <v>2000.0</v>
      </c>
      <c r="D4438" s="6">
        <v>2.777777778</v>
      </c>
      <c r="E4438" s="6">
        <v>9.0</v>
      </c>
    </row>
    <row r="4439">
      <c r="A4439" s="4" t="s">
        <v>8822</v>
      </c>
      <c r="B4439" s="5" t="s">
        <v>8823</v>
      </c>
      <c r="C4439" s="6">
        <v>2000.0</v>
      </c>
      <c r="D4439" s="6">
        <v>1.47752809</v>
      </c>
      <c r="E4439" s="6">
        <v>178.0</v>
      </c>
    </row>
    <row r="4440">
      <c r="A4440" s="4" t="s">
        <v>8824</v>
      </c>
      <c r="B4440" s="5" t="s">
        <v>8825</v>
      </c>
      <c r="C4440" s="6">
        <v>2000.0</v>
      </c>
      <c r="D4440" s="6">
        <v>4.719298246</v>
      </c>
      <c r="E4440" s="6">
        <v>57.0</v>
      </c>
    </row>
    <row r="4441">
      <c r="A4441" s="4" t="s">
        <v>8826</v>
      </c>
      <c r="B4441" s="5" t="s">
        <v>8827</v>
      </c>
      <c r="C4441" s="6">
        <v>2000.0</v>
      </c>
      <c r="D4441" s="6">
        <v>4.5</v>
      </c>
      <c r="E4441" s="6">
        <v>4.0</v>
      </c>
    </row>
    <row r="4442">
      <c r="A4442" s="4" t="s">
        <v>8828</v>
      </c>
      <c r="B4442" s="5" t="s">
        <v>8829</v>
      </c>
      <c r="C4442" s="6">
        <v>2000.0</v>
      </c>
      <c r="D4442" s="9"/>
      <c r="E4442" s="9"/>
    </row>
    <row r="4443">
      <c r="A4443" s="4" t="s">
        <v>8830</v>
      </c>
      <c r="B4443" s="5" t="s">
        <v>8831</v>
      </c>
      <c r="C4443" s="6">
        <v>2000.0</v>
      </c>
      <c r="D4443" s="6">
        <v>4.409090909</v>
      </c>
      <c r="E4443" s="6">
        <v>22.0</v>
      </c>
    </row>
    <row r="4444">
      <c r="A4444" s="4" t="s">
        <v>8832</v>
      </c>
      <c r="B4444" s="5" t="s">
        <v>8833</v>
      </c>
      <c r="C4444" s="6">
        <v>2000.0</v>
      </c>
      <c r="D4444" s="6">
        <v>5.0</v>
      </c>
      <c r="E4444" s="6">
        <v>2.0</v>
      </c>
    </row>
    <row r="4445">
      <c r="A4445" s="4" t="s">
        <v>8834</v>
      </c>
      <c r="B4445" s="5" t="s">
        <v>8835</v>
      </c>
      <c r="C4445" s="6">
        <v>2000.0</v>
      </c>
      <c r="D4445" s="6">
        <v>3.857142857</v>
      </c>
      <c r="E4445" s="6">
        <v>7.0</v>
      </c>
    </row>
    <row r="4446">
      <c r="A4446" s="4" t="s">
        <v>8836</v>
      </c>
      <c r="B4446" s="5" t="s">
        <v>8837</v>
      </c>
      <c r="C4446" s="6">
        <v>2000.0</v>
      </c>
      <c r="D4446" s="6">
        <v>4.666666667</v>
      </c>
      <c r="E4446" s="6">
        <v>3.0</v>
      </c>
    </row>
    <row r="4447">
      <c r="A4447" s="4" t="s">
        <v>8838</v>
      </c>
      <c r="B4447" s="5" t="s">
        <v>8839</v>
      </c>
      <c r="C4447" s="6">
        <v>2000.0</v>
      </c>
      <c r="D4447" s="6">
        <v>3.365853659</v>
      </c>
      <c r="E4447" s="6">
        <v>41.0</v>
      </c>
    </row>
    <row r="4448">
      <c r="A4448" s="4" t="s">
        <v>8840</v>
      </c>
      <c r="B4448" s="5" t="s">
        <v>8841</v>
      </c>
      <c r="C4448" s="6">
        <v>2000.0</v>
      </c>
      <c r="D4448" s="6">
        <v>3.525</v>
      </c>
      <c r="E4448" s="6">
        <v>80.0</v>
      </c>
    </row>
    <row r="4449">
      <c r="A4449" s="4" t="s">
        <v>8842</v>
      </c>
      <c r="B4449" s="5" t="s">
        <v>8843</v>
      </c>
      <c r="C4449" s="6">
        <v>2000.0</v>
      </c>
      <c r="D4449" s="6">
        <v>3.722222222</v>
      </c>
      <c r="E4449" s="6">
        <v>18.0</v>
      </c>
    </row>
    <row r="4450">
      <c r="A4450" s="4" t="s">
        <v>8844</v>
      </c>
      <c r="B4450" s="5" t="s">
        <v>8845</v>
      </c>
      <c r="C4450" s="6">
        <v>2000.0</v>
      </c>
      <c r="D4450" s="6">
        <v>3.375</v>
      </c>
      <c r="E4450" s="6">
        <v>8.0</v>
      </c>
    </row>
    <row r="4451">
      <c r="A4451" s="4" t="s">
        <v>8846</v>
      </c>
      <c r="B4451" s="5" t="s">
        <v>8847</v>
      </c>
      <c r="C4451" s="6">
        <v>2000.0</v>
      </c>
      <c r="D4451" s="6">
        <v>4.857142857</v>
      </c>
      <c r="E4451" s="6">
        <v>7.0</v>
      </c>
    </row>
    <row r="4452">
      <c r="A4452" s="4" t="s">
        <v>8848</v>
      </c>
      <c r="B4452" s="5" t="s">
        <v>8849</v>
      </c>
      <c r="C4452" s="6">
        <v>2000.0</v>
      </c>
      <c r="D4452" s="6">
        <v>5.0</v>
      </c>
      <c r="E4452" s="6">
        <v>1.0</v>
      </c>
    </row>
    <row r="4453">
      <c r="A4453" s="4" t="s">
        <v>8850</v>
      </c>
      <c r="B4453" s="5" t="s">
        <v>8851</v>
      </c>
      <c r="C4453" s="6">
        <v>2000.0</v>
      </c>
      <c r="D4453" s="6">
        <v>4.333333333</v>
      </c>
      <c r="E4453" s="6">
        <v>21.0</v>
      </c>
    </row>
    <row r="4454">
      <c r="A4454" s="4" t="s">
        <v>8852</v>
      </c>
      <c r="B4454" s="5" t="s">
        <v>8853</v>
      </c>
      <c r="C4454" s="6">
        <v>2000.0</v>
      </c>
      <c r="D4454" s="6">
        <v>3.85915493</v>
      </c>
      <c r="E4454" s="6">
        <v>71.0</v>
      </c>
    </row>
    <row r="4455">
      <c r="A4455" s="4" t="s">
        <v>8854</v>
      </c>
      <c r="B4455" s="5" t="s">
        <v>8855</v>
      </c>
      <c r="C4455" s="6">
        <v>2000.0</v>
      </c>
      <c r="D4455" s="6">
        <v>4.609756098</v>
      </c>
      <c r="E4455" s="6">
        <v>41.0</v>
      </c>
    </row>
    <row r="4456">
      <c r="A4456" s="4" t="s">
        <v>8856</v>
      </c>
      <c r="B4456" s="5" t="s">
        <v>8857</v>
      </c>
      <c r="C4456" s="6">
        <v>2000.0</v>
      </c>
      <c r="D4456" s="6">
        <v>3.352941176</v>
      </c>
      <c r="E4456" s="6">
        <v>17.0</v>
      </c>
    </row>
    <row r="4457">
      <c r="A4457" s="4" t="s">
        <v>8858</v>
      </c>
      <c r="B4457" s="5" t="s">
        <v>8859</v>
      </c>
      <c r="C4457" s="6">
        <v>2000.0</v>
      </c>
      <c r="D4457" s="6">
        <v>4.25</v>
      </c>
      <c r="E4457" s="6">
        <v>8.0</v>
      </c>
    </row>
    <row r="4458">
      <c r="A4458" s="4" t="s">
        <v>8860</v>
      </c>
      <c r="B4458" s="5" t="s">
        <v>8861</v>
      </c>
      <c r="C4458" s="6">
        <v>2000.0</v>
      </c>
      <c r="D4458" s="6">
        <v>4.222222222</v>
      </c>
      <c r="E4458" s="6">
        <v>9.0</v>
      </c>
    </row>
    <row r="4459">
      <c r="A4459" s="4" t="s">
        <v>8862</v>
      </c>
      <c r="B4459" s="5" t="s">
        <v>8863</v>
      </c>
      <c r="C4459" s="6">
        <v>2000.0</v>
      </c>
      <c r="D4459" s="6">
        <v>4.315789474</v>
      </c>
      <c r="E4459" s="6">
        <v>19.0</v>
      </c>
    </row>
    <row r="4460">
      <c r="A4460" s="4" t="s">
        <v>8864</v>
      </c>
      <c r="B4460" s="5" t="s">
        <v>8865</v>
      </c>
      <c r="C4460" s="6">
        <v>2000.0</v>
      </c>
      <c r="D4460" s="6">
        <v>4.416666667</v>
      </c>
      <c r="E4460" s="6">
        <v>96.0</v>
      </c>
    </row>
    <row r="4461">
      <c r="A4461" s="4" t="s">
        <v>8866</v>
      </c>
      <c r="B4461" s="5" t="s">
        <v>8867</v>
      </c>
      <c r="C4461" s="6">
        <v>2000.0</v>
      </c>
      <c r="D4461" s="6">
        <v>4.285714286</v>
      </c>
      <c r="E4461" s="6">
        <v>21.0</v>
      </c>
    </row>
    <row r="4462">
      <c r="A4462" s="4" t="s">
        <v>8868</v>
      </c>
      <c r="B4462" s="5" t="s">
        <v>8869</v>
      </c>
      <c r="C4462" s="6">
        <v>2000.0</v>
      </c>
      <c r="D4462" s="6">
        <v>4.428571429</v>
      </c>
      <c r="E4462" s="6">
        <v>7.0</v>
      </c>
    </row>
    <row r="4463">
      <c r="A4463" s="4" t="s">
        <v>8870</v>
      </c>
      <c r="B4463" s="5" t="s">
        <v>8871</v>
      </c>
      <c r="C4463" s="6">
        <v>2000.0</v>
      </c>
      <c r="D4463" s="6">
        <v>3.794642857</v>
      </c>
      <c r="E4463" s="6">
        <v>336.0</v>
      </c>
    </row>
    <row r="4464">
      <c r="A4464" s="4" t="s">
        <v>8872</v>
      </c>
      <c r="B4464" s="5" t="s">
        <v>8873</v>
      </c>
      <c r="C4464" s="6">
        <v>2000.0</v>
      </c>
      <c r="D4464" s="9"/>
      <c r="E4464" s="9"/>
    </row>
    <row r="4465">
      <c r="A4465" s="4" t="s">
        <v>8874</v>
      </c>
      <c r="B4465" s="5" t="s">
        <v>8875</v>
      </c>
      <c r="C4465" s="6">
        <v>2000.0</v>
      </c>
      <c r="D4465" s="6">
        <v>4.569230769</v>
      </c>
      <c r="E4465" s="6">
        <v>65.0</v>
      </c>
    </row>
    <row r="4466">
      <c r="A4466" s="4" t="s">
        <v>8876</v>
      </c>
      <c r="B4466" s="5" t="s">
        <v>8877</v>
      </c>
      <c r="C4466" s="6">
        <v>2000.0</v>
      </c>
      <c r="D4466" s="6">
        <v>4.615384615</v>
      </c>
      <c r="E4466" s="6">
        <v>13.0</v>
      </c>
    </row>
    <row r="4467">
      <c r="A4467" s="4" t="s">
        <v>8878</v>
      </c>
      <c r="B4467" s="5" t="s">
        <v>8879</v>
      </c>
      <c r="C4467" s="6">
        <v>2000.0</v>
      </c>
      <c r="D4467" s="6">
        <v>5.0</v>
      </c>
      <c r="E4467" s="6">
        <v>14.0</v>
      </c>
    </row>
    <row r="4468">
      <c r="A4468" s="4" t="s">
        <v>8880</v>
      </c>
      <c r="B4468" s="5" t="s">
        <v>8881</v>
      </c>
      <c r="C4468" s="6">
        <v>2000.0</v>
      </c>
      <c r="D4468" s="6">
        <v>5.0</v>
      </c>
      <c r="E4468" s="6">
        <v>2.0</v>
      </c>
    </row>
    <row r="4469">
      <c r="A4469" s="4" t="s">
        <v>8882</v>
      </c>
      <c r="B4469" s="5" t="s">
        <v>8883</v>
      </c>
      <c r="C4469" s="6">
        <v>2000.0</v>
      </c>
      <c r="D4469" s="6">
        <v>4.444444444</v>
      </c>
      <c r="E4469" s="6">
        <v>9.0</v>
      </c>
    </row>
    <row r="4470">
      <c r="A4470" s="4" t="s">
        <v>8884</v>
      </c>
      <c r="B4470" s="5" t="s">
        <v>8885</v>
      </c>
      <c r="C4470" s="6">
        <v>2000.0</v>
      </c>
      <c r="D4470" s="6">
        <v>5.0</v>
      </c>
      <c r="E4470" s="6">
        <v>6.0</v>
      </c>
    </row>
    <row r="4471">
      <c r="A4471" s="4" t="s">
        <v>8886</v>
      </c>
      <c r="B4471" s="5" t="s">
        <v>8887</v>
      </c>
      <c r="C4471" s="6">
        <v>2000.0</v>
      </c>
      <c r="D4471" s="6">
        <v>3.0</v>
      </c>
      <c r="E4471" s="6">
        <v>1.0</v>
      </c>
    </row>
    <row r="4472">
      <c r="A4472" s="4" t="s">
        <v>8888</v>
      </c>
      <c r="B4472" s="5" t="s">
        <v>8889</v>
      </c>
      <c r="C4472" s="6">
        <v>2000.0</v>
      </c>
      <c r="D4472" s="6">
        <v>1.8</v>
      </c>
      <c r="E4472" s="6">
        <v>15.0</v>
      </c>
    </row>
    <row r="4473">
      <c r="A4473" s="4" t="s">
        <v>8890</v>
      </c>
      <c r="B4473" s="5" t="s">
        <v>8891</v>
      </c>
      <c r="C4473" s="6">
        <v>2000.0</v>
      </c>
      <c r="D4473" s="6">
        <v>3.057692308</v>
      </c>
      <c r="E4473" s="6">
        <v>52.0</v>
      </c>
    </row>
    <row r="4474">
      <c r="A4474" s="4" t="s">
        <v>8892</v>
      </c>
      <c r="B4474" s="5" t="s">
        <v>8893</v>
      </c>
      <c r="C4474" s="6">
        <v>2000.0</v>
      </c>
      <c r="D4474" s="6">
        <v>3.833333333</v>
      </c>
      <c r="E4474" s="6">
        <v>6.0</v>
      </c>
    </row>
    <row r="4475">
      <c r="A4475" s="4" t="s">
        <v>8894</v>
      </c>
      <c r="B4475" s="5" t="s">
        <v>8895</v>
      </c>
      <c r="C4475" s="6">
        <v>2000.0</v>
      </c>
      <c r="D4475" s="6">
        <v>4.555555556</v>
      </c>
      <c r="E4475" s="6">
        <v>9.0</v>
      </c>
    </row>
    <row r="4476">
      <c r="A4476" s="4" t="s">
        <v>8896</v>
      </c>
      <c r="B4476" s="5" t="s">
        <v>8897</v>
      </c>
      <c r="C4476" s="6">
        <v>2000.0</v>
      </c>
      <c r="D4476" s="6">
        <v>4.711538462</v>
      </c>
      <c r="E4476" s="6">
        <v>156.0</v>
      </c>
    </row>
    <row r="4477">
      <c r="A4477" s="4" t="s">
        <v>8898</v>
      </c>
      <c r="B4477" s="5" t="s">
        <v>8899</v>
      </c>
      <c r="C4477" s="6">
        <v>2000.0</v>
      </c>
      <c r="D4477" s="6">
        <v>4.130434783</v>
      </c>
      <c r="E4477" s="6">
        <v>23.0</v>
      </c>
    </row>
    <row r="4478">
      <c r="A4478" s="4" t="s">
        <v>8900</v>
      </c>
      <c r="B4478" s="5" t="s">
        <v>8901</v>
      </c>
      <c r="C4478" s="6">
        <v>2000.0</v>
      </c>
      <c r="D4478" s="6">
        <v>3.8</v>
      </c>
      <c r="E4478" s="6">
        <v>5.0</v>
      </c>
    </row>
    <row r="4479">
      <c r="A4479" s="4" t="s">
        <v>8902</v>
      </c>
      <c r="B4479" s="5" t="s">
        <v>8903</v>
      </c>
      <c r="C4479" s="6">
        <v>2000.0</v>
      </c>
      <c r="D4479" s="6">
        <v>4.375</v>
      </c>
      <c r="E4479" s="6">
        <v>8.0</v>
      </c>
    </row>
    <row r="4480">
      <c r="A4480" s="4" t="s">
        <v>8904</v>
      </c>
      <c r="B4480" s="5" t="s">
        <v>8905</v>
      </c>
      <c r="C4480" s="6">
        <v>2000.0</v>
      </c>
      <c r="D4480" s="6">
        <v>2.285714286</v>
      </c>
      <c r="E4480" s="6">
        <v>28.0</v>
      </c>
    </row>
    <row r="4481">
      <c r="A4481" s="4" t="s">
        <v>8906</v>
      </c>
      <c r="B4481" s="5" t="s">
        <v>8907</v>
      </c>
      <c r="C4481" s="6">
        <v>2000.0</v>
      </c>
      <c r="D4481" s="6">
        <v>4.574468085</v>
      </c>
      <c r="E4481" s="6">
        <v>47.0</v>
      </c>
    </row>
    <row r="4482">
      <c r="A4482" s="4" t="s">
        <v>8908</v>
      </c>
      <c r="B4482" s="5" t="s">
        <v>8909</v>
      </c>
      <c r="C4482" s="6">
        <v>2000.0</v>
      </c>
      <c r="D4482" s="6">
        <v>4.375</v>
      </c>
      <c r="E4482" s="6">
        <v>8.0</v>
      </c>
    </row>
    <row r="4483">
      <c r="A4483" s="4" t="s">
        <v>8910</v>
      </c>
      <c r="B4483" s="5" t="s">
        <v>8911</v>
      </c>
      <c r="C4483" s="6">
        <v>2000.0</v>
      </c>
      <c r="D4483" s="6">
        <v>4.907407407</v>
      </c>
      <c r="E4483" s="6">
        <v>378.0</v>
      </c>
    </row>
    <row r="4484">
      <c r="A4484" s="4" t="s">
        <v>8912</v>
      </c>
      <c r="B4484" s="5" t="s">
        <v>8913</v>
      </c>
      <c r="C4484" s="6">
        <v>2000.0</v>
      </c>
      <c r="D4484" s="6">
        <v>4.0</v>
      </c>
      <c r="E4484" s="6">
        <v>12.0</v>
      </c>
    </row>
    <row r="4485">
      <c r="A4485" s="4" t="s">
        <v>8914</v>
      </c>
      <c r="B4485" s="5" t="s">
        <v>8915</v>
      </c>
      <c r="C4485" s="6">
        <v>2000.0</v>
      </c>
      <c r="D4485" s="6">
        <v>4.698113208</v>
      </c>
      <c r="E4485" s="6">
        <v>53.0</v>
      </c>
    </row>
    <row r="4486">
      <c r="A4486" s="4" t="s">
        <v>8916</v>
      </c>
      <c r="B4486" s="5" t="s">
        <v>8917</v>
      </c>
      <c r="C4486" s="6">
        <v>2000.0</v>
      </c>
      <c r="D4486" s="6">
        <v>4.615384615</v>
      </c>
      <c r="E4486" s="6">
        <v>13.0</v>
      </c>
    </row>
    <row r="4487">
      <c r="A4487" s="4" t="s">
        <v>8918</v>
      </c>
      <c r="B4487" s="5" t="s">
        <v>8919</v>
      </c>
      <c r="C4487" s="6">
        <v>2000.0</v>
      </c>
      <c r="D4487" s="6">
        <v>2.714285714</v>
      </c>
      <c r="E4487" s="6">
        <v>7.0</v>
      </c>
    </row>
    <row r="4488">
      <c r="A4488" s="4" t="s">
        <v>8920</v>
      </c>
      <c r="B4488" s="5" t="s">
        <v>8921</v>
      </c>
      <c r="C4488" s="6">
        <v>2000.0</v>
      </c>
      <c r="D4488" s="6">
        <v>5.0</v>
      </c>
      <c r="E4488" s="6">
        <v>4.0</v>
      </c>
    </row>
    <row r="4489">
      <c r="A4489" s="4" t="s">
        <v>8922</v>
      </c>
      <c r="B4489" s="5" t="s">
        <v>8923</v>
      </c>
      <c r="C4489" s="6">
        <v>2000.0</v>
      </c>
      <c r="D4489" s="6">
        <v>5.0</v>
      </c>
      <c r="E4489" s="6">
        <v>9.0</v>
      </c>
    </row>
    <row r="4490">
      <c r="A4490" s="4" t="s">
        <v>8924</v>
      </c>
      <c r="B4490" s="5" t="s">
        <v>8925</v>
      </c>
      <c r="C4490" s="6">
        <v>2000.0</v>
      </c>
      <c r="D4490" s="6">
        <v>4.246153846</v>
      </c>
      <c r="E4490" s="6">
        <v>65.0</v>
      </c>
    </row>
    <row r="4491">
      <c r="A4491" s="4" t="s">
        <v>8926</v>
      </c>
      <c r="B4491" s="5" t="s">
        <v>8927</v>
      </c>
      <c r="C4491" s="6">
        <v>2000.0</v>
      </c>
      <c r="D4491" s="6">
        <v>4.761904762</v>
      </c>
      <c r="E4491" s="6">
        <v>21.0</v>
      </c>
    </row>
    <row r="4492">
      <c r="A4492" s="4" t="s">
        <v>8928</v>
      </c>
      <c r="B4492" s="5" t="s">
        <v>8929</v>
      </c>
      <c r="C4492" s="6">
        <v>2000.0</v>
      </c>
      <c r="D4492" s="6">
        <v>3.2</v>
      </c>
      <c r="E4492" s="6">
        <v>15.0</v>
      </c>
    </row>
    <row r="4493">
      <c r="A4493" s="4" t="s">
        <v>8930</v>
      </c>
      <c r="B4493" s="5" t="s">
        <v>8931</v>
      </c>
      <c r="C4493" s="6">
        <v>2000.0</v>
      </c>
      <c r="D4493" s="9"/>
      <c r="E4493" s="9"/>
    </row>
    <row r="4494">
      <c r="A4494" s="10" t="s">
        <v>8932</v>
      </c>
      <c r="B4494" s="5" t="s">
        <v>8933</v>
      </c>
      <c r="C4494" s="6">
        <v>2000.0</v>
      </c>
      <c r="D4494" s="6">
        <v>4.474226804</v>
      </c>
      <c r="E4494" s="6">
        <v>97.0</v>
      </c>
    </row>
    <row r="4495">
      <c r="A4495" s="4" t="s">
        <v>8934</v>
      </c>
      <c r="B4495" s="5" t="s">
        <v>8935</v>
      </c>
      <c r="C4495" s="6">
        <v>2000.0</v>
      </c>
      <c r="D4495" s="6">
        <v>5.0</v>
      </c>
      <c r="E4495" s="6">
        <v>6.0</v>
      </c>
    </row>
    <row r="4496">
      <c r="A4496" s="4" t="s">
        <v>8936</v>
      </c>
      <c r="B4496" s="5" t="s">
        <v>8937</v>
      </c>
      <c r="C4496" s="6">
        <v>2000.0</v>
      </c>
      <c r="D4496" s="6">
        <v>3.4</v>
      </c>
      <c r="E4496" s="6">
        <v>10.0</v>
      </c>
    </row>
    <row r="4497">
      <c r="A4497" s="4" t="s">
        <v>8938</v>
      </c>
      <c r="B4497" s="5" t="s">
        <v>8939</v>
      </c>
      <c r="C4497" s="6">
        <v>2000.0</v>
      </c>
      <c r="D4497" s="6">
        <v>4.670886076</v>
      </c>
      <c r="E4497" s="6">
        <v>79.0</v>
      </c>
    </row>
    <row r="4498">
      <c r="A4498" s="4" t="s">
        <v>8940</v>
      </c>
      <c r="B4498" s="5" t="s">
        <v>8941</v>
      </c>
      <c r="C4498" s="6">
        <v>2000.0</v>
      </c>
      <c r="D4498" s="6">
        <v>3.0</v>
      </c>
      <c r="E4498" s="6">
        <v>4.0</v>
      </c>
    </row>
    <row r="4499">
      <c r="A4499" s="4" t="s">
        <v>8942</v>
      </c>
      <c r="B4499" s="5" t="s">
        <v>8943</v>
      </c>
      <c r="C4499" s="6">
        <v>2000.0</v>
      </c>
      <c r="D4499" s="6">
        <v>4.5</v>
      </c>
      <c r="E4499" s="6">
        <v>18.0</v>
      </c>
    </row>
    <row r="4500">
      <c r="A4500" s="4" t="s">
        <v>8944</v>
      </c>
      <c r="B4500" s="5" t="s">
        <v>8945</v>
      </c>
      <c r="C4500" s="6">
        <v>2000.0</v>
      </c>
      <c r="D4500" s="6">
        <v>3.0</v>
      </c>
      <c r="E4500" s="6">
        <v>22.0</v>
      </c>
    </row>
    <row r="4501">
      <c r="A4501" s="4" t="s">
        <v>8946</v>
      </c>
      <c r="B4501" s="5" t="s">
        <v>8947</v>
      </c>
      <c r="C4501" s="6">
        <v>2000.0</v>
      </c>
      <c r="D4501" s="6">
        <v>3.933333333</v>
      </c>
      <c r="E4501" s="6">
        <v>15.0</v>
      </c>
    </row>
    <row r="4502">
      <c r="A4502" s="4" t="s">
        <v>8948</v>
      </c>
      <c r="B4502" s="5" t="s">
        <v>8949</v>
      </c>
      <c r="C4502" s="6">
        <v>2000.0</v>
      </c>
      <c r="D4502" s="6">
        <v>3.791666667</v>
      </c>
      <c r="E4502" s="6">
        <v>24.0</v>
      </c>
    </row>
    <row r="4503">
      <c r="A4503" s="4" t="s">
        <v>8950</v>
      </c>
      <c r="B4503" s="5" t="s">
        <v>8951</v>
      </c>
      <c r="C4503" s="6">
        <v>2000.0</v>
      </c>
      <c r="D4503" s="6">
        <v>4.642857143</v>
      </c>
      <c r="E4503" s="6">
        <v>14.0</v>
      </c>
    </row>
    <row r="4504">
      <c r="A4504" s="4" t="s">
        <v>8952</v>
      </c>
      <c r="B4504" s="5" t="s">
        <v>8953</v>
      </c>
      <c r="C4504" s="6">
        <v>2000.0</v>
      </c>
      <c r="D4504" s="6">
        <v>4.75</v>
      </c>
      <c r="E4504" s="6">
        <v>24.0</v>
      </c>
    </row>
    <row r="4505">
      <c r="A4505" s="4" t="s">
        <v>8954</v>
      </c>
      <c r="B4505" s="5" t="s">
        <v>8955</v>
      </c>
      <c r="C4505" s="6">
        <v>2000.0</v>
      </c>
      <c r="D4505" s="6">
        <v>3.555555556</v>
      </c>
      <c r="E4505" s="6">
        <v>63.0</v>
      </c>
    </row>
    <row r="4506">
      <c r="A4506" s="4" t="s">
        <v>8956</v>
      </c>
      <c r="B4506" s="5" t="s">
        <v>8957</v>
      </c>
      <c r="C4506" s="6">
        <v>2000.0</v>
      </c>
      <c r="D4506" s="6">
        <v>4.294117647</v>
      </c>
      <c r="E4506" s="6">
        <v>17.0</v>
      </c>
    </row>
    <row r="4507">
      <c r="A4507" s="4" t="s">
        <v>8958</v>
      </c>
      <c r="B4507" s="5" t="s">
        <v>8959</v>
      </c>
      <c r="C4507" s="6">
        <v>2000.0</v>
      </c>
      <c r="D4507" s="6">
        <v>4.666666667</v>
      </c>
      <c r="E4507" s="6">
        <v>3.0</v>
      </c>
    </row>
    <row r="4508">
      <c r="A4508" s="4" t="s">
        <v>8960</v>
      </c>
      <c r="B4508" s="5" t="s">
        <v>8961</v>
      </c>
      <c r="C4508" s="6">
        <v>2000.0</v>
      </c>
      <c r="D4508" s="6">
        <v>3.533333333</v>
      </c>
      <c r="E4508" s="6">
        <v>15.0</v>
      </c>
    </row>
    <row r="4509">
      <c r="A4509" s="4" t="s">
        <v>8962</v>
      </c>
      <c r="B4509" s="5" t="s">
        <v>8963</v>
      </c>
      <c r="C4509" s="6">
        <v>2000.0</v>
      </c>
      <c r="D4509" s="6">
        <v>4.714285714</v>
      </c>
      <c r="E4509" s="6">
        <v>49.0</v>
      </c>
    </row>
    <row r="4510">
      <c r="A4510" s="4" t="s">
        <v>8964</v>
      </c>
      <c r="B4510" s="5" t="s">
        <v>8965</v>
      </c>
      <c r="C4510" s="6">
        <v>2000.0</v>
      </c>
      <c r="D4510" s="6">
        <v>5.0</v>
      </c>
      <c r="E4510" s="6">
        <v>3.0</v>
      </c>
    </row>
    <row r="4511">
      <c r="A4511" s="4" t="s">
        <v>8966</v>
      </c>
      <c r="B4511" s="5" t="s">
        <v>8967</v>
      </c>
      <c r="C4511" s="6">
        <v>2000.0</v>
      </c>
      <c r="D4511" s="6">
        <v>4.058823529</v>
      </c>
      <c r="E4511" s="6">
        <v>17.0</v>
      </c>
    </row>
    <row r="4512">
      <c r="A4512" s="4" t="s">
        <v>8968</v>
      </c>
      <c r="B4512" s="5" t="s">
        <v>8969</v>
      </c>
      <c r="C4512" s="6">
        <v>2000.0</v>
      </c>
      <c r="D4512" s="6">
        <v>4.678321678</v>
      </c>
      <c r="E4512" s="6">
        <v>143.0</v>
      </c>
    </row>
    <row r="4513">
      <c r="A4513" s="4" t="s">
        <v>8970</v>
      </c>
      <c r="B4513" s="5" t="s">
        <v>8971</v>
      </c>
      <c r="C4513" s="6">
        <v>2000.0</v>
      </c>
      <c r="D4513" s="6">
        <v>2.304347826</v>
      </c>
      <c r="E4513" s="6">
        <v>23.0</v>
      </c>
    </row>
    <row r="4514">
      <c r="A4514" s="4" t="s">
        <v>8972</v>
      </c>
      <c r="B4514" s="5" t="s">
        <v>8973</v>
      </c>
      <c r="C4514" s="6">
        <v>2000.0</v>
      </c>
      <c r="D4514" s="6">
        <v>3.666666667</v>
      </c>
      <c r="E4514" s="6">
        <v>3.0</v>
      </c>
    </row>
    <row r="4515">
      <c r="A4515" s="4" t="s">
        <v>8974</v>
      </c>
      <c r="B4515" s="5" t="s">
        <v>8975</v>
      </c>
      <c r="C4515" s="6">
        <v>2000.0</v>
      </c>
      <c r="D4515" s="6">
        <v>4.775</v>
      </c>
      <c r="E4515" s="6">
        <v>40.0</v>
      </c>
    </row>
    <row r="4516">
      <c r="A4516" s="4" t="s">
        <v>8976</v>
      </c>
      <c r="B4516" s="5" t="s">
        <v>8977</v>
      </c>
      <c r="C4516" s="6">
        <v>2000.0</v>
      </c>
      <c r="D4516" s="6">
        <v>2.806451613</v>
      </c>
      <c r="E4516" s="6">
        <v>31.0</v>
      </c>
    </row>
    <row r="4517">
      <c r="A4517" s="4" t="s">
        <v>8978</v>
      </c>
      <c r="B4517" s="5" t="s">
        <v>8979</v>
      </c>
      <c r="C4517" s="6">
        <v>2000.0</v>
      </c>
      <c r="D4517" s="6">
        <v>3.75</v>
      </c>
      <c r="E4517" s="6">
        <v>20.0</v>
      </c>
    </row>
    <row r="4518">
      <c r="A4518" s="4" t="s">
        <v>8980</v>
      </c>
      <c r="B4518" s="5" t="s">
        <v>8981</v>
      </c>
      <c r="C4518" s="6">
        <v>2000.0</v>
      </c>
      <c r="D4518" s="6">
        <v>4.534883721</v>
      </c>
      <c r="E4518" s="6">
        <v>43.0</v>
      </c>
    </row>
    <row r="4519">
      <c r="A4519" s="4" t="s">
        <v>8982</v>
      </c>
      <c r="B4519" s="5" t="s">
        <v>8983</v>
      </c>
      <c r="C4519" s="6">
        <v>2000.0</v>
      </c>
      <c r="D4519" s="6">
        <v>2.333333333</v>
      </c>
      <c r="E4519" s="6">
        <v>6.0</v>
      </c>
    </row>
    <row r="4520">
      <c r="A4520" s="4" t="s">
        <v>8984</v>
      </c>
      <c r="B4520" s="5" t="s">
        <v>8985</v>
      </c>
      <c r="C4520" s="6">
        <v>2000.0</v>
      </c>
      <c r="D4520" s="6">
        <v>5.0</v>
      </c>
      <c r="E4520" s="6">
        <v>5.0</v>
      </c>
    </row>
    <row r="4521">
      <c r="A4521" s="4" t="s">
        <v>8986</v>
      </c>
      <c r="B4521" s="5" t="s">
        <v>8987</v>
      </c>
      <c r="C4521" s="6">
        <v>2000.0</v>
      </c>
      <c r="D4521" s="6">
        <v>4.363636364</v>
      </c>
      <c r="E4521" s="6">
        <v>22.0</v>
      </c>
    </row>
    <row r="4522">
      <c r="A4522" s="4" t="s">
        <v>8988</v>
      </c>
      <c r="B4522" s="5" t="s">
        <v>8989</v>
      </c>
      <c r="C4522" s="6">
        <v>2000.0</v>
      </c>
      <c r="D4522" s="6">
        <v>4.076923077</v>
      </c>
      <c r="E4522" s="6">
        <v>13.0</v>
      </c>
    </row>
    <row r="4523">
      <c r="A4523" s="4" t="s">
        <v>8990</v>
      </c>
      <c r="B4523" s="5" t="s">
        <v>8991</v>
      </c>
      <c r="C4523" s="6">
        <v>2000.0</v>
      </c>
      <c r="D4523" s="6">
        <v>3.80952381</v>
      </c>
      <c r="E4523" s="6">
        <v>21.0</v>
      </c>
    </row>
    <row r="4524">
      <c r="A4524" s="4" t="s">
        <v>8992</v>
      </c>
      <c r="B4524" s="5" t="s">
        <v>8993</v>
      </c>
      <c r="C4524" s="6">
        <v>2000.0</v>
      </c>
      <c r="D4524" s="6">
        <v>4.24137931</v>
      </c>
      <c r="E4524" s="6">
        <v>29.0</v>
      </c>
    </row>
    <row r="4525">
      <c r="A4525" s="4" t="s">
        <v>8994</v>
      </c>
      <c r="B4525" s="5" t="s">
        <v>8995</v>
      </c>
      <c r="C4525" s="6">
        <v>2000.0</v>
      </c>
      <c r="D4525" s="6">
        <v>4.9</v>
      </c>
      <c r="E4525" s="6">
        <v>10.0</v>
      </c>
    </row>
    <row r="4526">
      <c r="A4526" s="4" t="s">
        <v>8996</v>
      </c>
      <c r="B4526" s="5" t="s">
        <v>8997</v>
      </c>
      <c r="C4526" s="6">
        <v>2000.0</v>
      </c>
      <c r="D4526" s="6">
        <v>5.0</v>
      </c>
      <c r="E4526" s="6">
        <v>6.0</v>
      </c>
    </row>
    <row r="4527">
      <c r="A4527" s="4" t="s">
        <v>8998</v>
      </c>
      <c r="B4527" s="5" t="s">
        <v>8999</v>
      </c>
      <c r="C4527" s="6">
        <v>2000.0</v>
      </c>
      <c r="D4527" s="6">
        <v>3.566666667</v>
      </c>
      <c r="E4527" s="6">
        <v>60.0</v>
      </c>
    </row>
    <row r="4528">
      <c r="A4528" s="4" t="s">
        <v>9000</v>
      </c>
      <c r="B4528" s="5" t="s">
        <v>9001</v>
      </c>
      <c r="C4528" s="6">
        <v>2000.0</v>
      </c>
      <c r="D4528" s="6">
        <v>4.666666667</v>
      </c>
      <c r="E4528" s="6">
        <v>3.0</v>
      </c>
    </row>
    <row r="4529">
      <c r="A4529" s="4" t="s">
        <v>9002</v>
      </c>
      <c r="B4529" s="5" t="s">
        <v>9003</v>
      </c>
      <c r="C4529" s="6">
        <v>2000.0</v>
      </c>
      <c r="D4529" s="6">
        <v>2.690909091</v>
      </c>
      <c r="E4529" s="6">
        <v>55.0</v>
      </c>
    </row>
    <row r="4530">
      <c r="A4530" s="4" t="s">
        <v>9004</v>
      </c>
      <c r="B4530" s="5" t="s">
        <v>9005</v>
      </c>
      <c r="C4530" s="6">
        <v>2000.0</v>
      </c>
      <c r="D4530" s="6">
        <v>4.333333333</v>
      </c>
      <c r="E4530" s="6">
        <v>6.0</v>
      </c>
    </row>
    <row r="4531">
      <c r="A4531" s="4" t="s">
        <v>9006</v>
      </c>
      <c r="B4531" s="5" t="s">
        <v>9007</v>
      </c>
      <c r="C4531" s="6">
        <v>2000.0</v>
      </c>
      <c r="D4531" s="6">
        <v>5.0</v>
      </c>
      <c r="E4531" s="6">
        <v>2.0</v>
      </c>
    </row>
    <row r="4532">
      <c r="A4532" s="10" t="s">
        <v>9008</v>
      </c>
      <c r="B4532" s="5" t="s">
        <v>9009</v>
      </c>
      <c r="C4532" s="6">
        <v>2000.0</v>
      </c>
      <c r="D4532" s="6">
        <v>5.0</v>
      </c>
      <c r="E4532" s="6">
        <v>2.0</v>
      </c>
    </row>
    <row r="4533">
      <c r="A4533" s="4" t="s">
        <v>9010</v>
      </c>
      <c r="B4533" s="5" t="s">
        <v>9011</v>
      </c>
      <c r="C4533" s="6">
        <v>2000.0</v>
      </c>
      <c r="D4533" s="6">
        <v>3.307692308</v>
      </c>
      <c r="E4533" s="6">
        <v>13.0</v>
      </c>
    </row>
    <row r="4534">
      <c r="A4534" s="4" t="s">
        <v>9012</v>
      </c>
      <c r="B4534" s="5" t="s">
        <v>9013</v>
      </c>
      <c r="C4534" s="6">
        <v>2000.0</v>
      </c>
      <c r="D4534" s="6">
        <v>3.818181818</v>
      </c>
      <c r="E4534" s="6">
        <v>11.0</v>
      </c>
    </row>
    <row r="4535">
      <c r="A4535" s="4" t="s">
        <v>9014</v>
      </c>
      <c r="B4535" s="5" t="s">
        <v>9015</v>
      </c>
      <c r="C4535" s="6">
        <v>2000.0</v>
      </c>
      <c r="D4535" s="6">
        <v>4.703703704</v>
      </c>
      <c r="E4535" s="6">
        <v>54.0</v>
      </c>
    </row>
    <row r="4536">
      <c r="A4536" s="4" t="s">
        <v>9016</v>
      </c>
      <c r="B4536" s="5" t="s">
        <v>9017</v>
      </c>
      <c r="C4536" s="6">
        <v>2000.0</v>
      </c>
      <c r="D4536" s="6">
        <v>4.7</v>
      </c>
      <c r="E4536" s="6">
        <v>10.0</v>
      </c>
    </row>
    <row r="4537">
      <c r="A4537" s="4" t="s">
        <v>9018</v>
      </c>
      <c r="B4537" s="5" t="s">
        <v>9019</v>
      </c>
      <c r="C4537" s="6">
        <v>2000.0</v>
      </c>
      <c r="D4537" s="6">
        <v>4.255319149</v>
      </c>
      <c r="E4537" s="6">
        <v>47.0</v>
      </c>
    </row>
    <row r="4538">
      <c r="A4538" s="4" t="s">
        <v>9020</v>
      </c>
      <c r="B4538" s="5" t="s">
        <v>9021</v>
      </c>
      <c r="C4538" s="6">
        <v>2000.0</v>
      </c>
      <c r="D4538" s="6">
        <v>4.273972603</v>
      </c>
      <c r="E4538" s="6">
        <v>73.0</v>
      </c>
    </row>
    <row r="4539">
      <c r="A4539" s="4" t="s">
        <v>9022</v>
      </c>
      <c r="B4539" s="5" t="s">
        <v>9023</v>
      </c>
      <c r="C4539" s="6">
        <v>2000.0</v>
      </c>
      <c r="D4539" s="6">
        <v>4.08</v>
      </c>
      <c r="E4539" s="6">
        <v>25.0</v>
      </c>
    </row>
    <row r="4540">
      <c r="A4540" s="4" t="s">
        <v>9024</v>
      </c>
      <c r="B4540" s="5" t="s">
        <v>9025</v>
      </c>
      <c r="C4540" s="6">
        <v>2000.0</v>
      </c>
      <c r="D4540" s="9"/>
      <c r="E4540" s="9"/>
    </row>
    <row r="4541">
      <c r="A4541" s="4" t="s">
        <v>9026</v>
      </c>
      <c r="B4541" s="5" t="s">
        <v>9027</v>
      </c>
      <c r="C4541" s="6">
        <v>2000.0</v>
      </c>
      <c r="D4541" s="6">
        <v>5.0</v>
      </c>
      <c r="E4541" s="6">
        <v>9.0</v>
      </c>
    </row>
    <row r="4542">
      <c r="A4542" s="4" t="s">
        <v>9028</v>
      </c>
      <c r="B4542" s="5" t="s">
        <v>9029</v>
      </c>
      <c r="C4542" s="6">
        <v>2000.0</v>
      </c>
      <c r="D4542" s="6">
        <v>4.0</v>
      </c>
      <c r="E4542" s="6">
        <v>10.0</v>
      </c>
    </row>
    <row r="4543">
      <c r="A4543" s="4" t="s">
        <v>9030</v>
      </c>
      <c r="B4543" s="5" t="s">
        <v>9031</v>
      </c>
      <c r="C4543" s="6">
        <v>2000.0</v>
      </c>
      <c r="D4543" s="6">
        <v>4.277777778</v>
      </c>
      <c r="E4543" s="6">
        <v>18.0</v>
      </c>
    </row>
    <row r="4544">
      <c r="A4544" s="4" t="s">
        <v>9032</v>
      </c>
      <c r="B4544" s="5" t="s">
        <v>9033</v>
      </c>
      <c r="C4544" s="6">
        <v>2000.0</v>
      </c>
      <c r="D4544" s="6">
        <v>3.714285714</v>
      </c>
      <c r="E4544" s="6">
        <v>7.0</v>
      </c>
    </row>
    <row r="4545">
      <c r="A4545" s="4" t="s">
        <v>9034</v>
      </c>
      <c r="B4545" s="5" t="s">
        <v>9035</v>
      </c>
      <c r="C4545" s="6">
        <v>2000.0</v>
      </c>
      <c r="D4545" s="6">
        <v>4.6</v>
      </c>
      <c r="E4545" s="6">
        <v>30.0</v>
      </c>
    </row>
    <row r="4546">
      <c r="A4546" s="4" t="s">
        <v>9036</v>
      </c>
      <c r="B4546" s="5" t="s">
        <v>9037</v>
      </c>
      <c r="C4546" s="6">
        <v>2000.0</v>
      </c>
      <c r="D4546" s="6">
        <v>4.756410256</v>
      </c>
      <c r="E4546" s="6">
        <v>156.0</v>
      </c>
    </row>
    <row r="4547">
      <c r="A4547" s="4" t="s">
        <v>9038</v>
      </c>
      <c r="B4547" s="5" t="s">
        <v>9039</v>
      </c>
      <c r="C4547" s="6">
        <v>2000.0</v>
      </c>
      <c r="D4547" s="6">
        <v>4.666666667</v>
      </c>
      <c r="E4547" s="6">
        <v>6.0</v>
      </c>
    </row>
    <row r="4548">
      <c r="A4548" s="4" t="s">
        <v>9040</v>
      </c>
      <c r="B4548" s="5" t="s">
        <v>9041</v>
      </c>
      <c r="C4548" s="6">
        <v>2000.0</v>
      </c>
      <c r="D4548" s="6">
        <v>5.0</v>
      </c>
      <c r="E4548" s="6">
        <v>6.0</v>
      </c>
    </row>
    <row r="4549">
      <c r="A4549" s="4" t="s">
        <v>9042</v>
      </c>
      <c r="B4549" s="5" t="s">
        <v>9043</v>
      </c>
      <c r="C4549" s="6">
        <v>2000.0</v>
      </c>
      <c r="D4549" s="6">
        <v>5.0</v>
      </c>
      <c r="E4549" s="6">
        <v>1.0</v>
      </c>
    </row>
    <row r="4550">
      <c r="A4550" s="4" t="s">
        <v>9044</v>
      </c>
      <c r="B4550" s="5" t="s">
        <v>9045</v>
      </c>
      <c r="C4550" s="6">
        <v>2000.0</v>
      </c>
      <c r="D4550" s="6">
        <v>3.666666667</v>
      </c>
      <c r="E4550" s="6">
        <v>12.0</v>
      </c>
    </row>
    <row r="4551">
      <c r="A4551" s="4" t="s">
        <v>9046</v>
      </c>
      <c r="B4551" s="5" t="s">
        <v>9047</v>
      </c>
      <c r="C4551" s="6">
        <v>2000.0</v>
      </c>
      <c r="D4551" s="6">
        <v>4.380952381</v>
      </c>
      <c r="E4551" s="6">
        <v>21.0</v>
      </c>
    </row>
    <row r="4552">
      <c r="A4552" s="4" t="s">
        <v>9048</v>
      </c>
      <c r="B4552" s="5" t="s">
        <v>9049</v>
      </c>
      <c r="C4552" s="6">
        <v>2000.0</v>
      </c>
      <c r="D4552" s="6">
        <v>5.0</v>
      </c>
      <c r="E4552" s="6">
        <v>1.0</v>
      </c>
    </row>
    <row r="4553">
      <c r="A4553" s="4" t="s">
        <v>9050</v>
      </c>
      <c r="B4553" s="5" t="s">
        <v>9051</v>
      </c>
      <c r="C4553" s="6">
        <v>2000.0</v>
      </c>
      <c r="D4553" s="6">
        <v>3.4</v>
      </c>
      <c r="E4553" s="6">
        <v>5.0</v>
      </c>
    </row>
    <row r="4554">
      <c r="A4554" s="4" t="s">
        <v>9052</v>
      </c>
      <c r="B4554" s="5" t="s">
        <v>9053</v>
      </c>
      <c r="C4554" s="6">
        <v>2000.0</v>
      </c>
      <c r="D4554" s="6">
        <v>3.659574468</v>
      </c>
      <c r="E4554" s="6">
        <v>47.0</v>
      </c>
    </row>
    <row r="4555">
      <c r="A4555" s="4" t="s">
        <v>9054</v>
      </c>
      <c r="B4555" s="5" t="s">
        <v>9055</v>
      </c>
      <c r="C4555" s="6">
        <v>2000.0</v>
      </c>
      <c r="D4555" s="6">
        <v>3.75</v>
      </c>
      <c r="E4555" s="6">
        <v>16.0</v>
      </c>
    </row>
    <row r="4556">
      <c r="A4556" s="4" t="s">
        <v>9056</v>
      </c>
      <c r="B4556" s="5" t="s">
        <v>9057</v>
      </c>
      <c r="C4556" s="6">
        <v>2000.0</v>
      </c>
      <c r="D4556" s="6">
        <v>4.894736842</v>
      </c>
      <c r="E4556" s="6">
        <v>19.0</v>
      </c>
    </row>
    <row r="4557">
      <c r="A4557" s="4" t="s">
        <v>9058</v>
      </c>
      <c r="B4557" s="5" t="s">
        <v>9059</v>
      </c>
      <c r="C4557" s="6">
        <v>2000.0</v>
      </c>
      <c r="D4557" s="6">
        <v>4.418604651</v>
      </c>
      <c r="E4557" s="6">
        <v>43.0</v>
      </c>
    </row>
    <row r="4558">
      <c r="A4558" s="4" t="s">
        <v>9060</v>
      </c>
      <c r="B4558" s="5" t="s">
        <v>9061</v>
      </c>
      <c r="C4558" s="6">
        <v>2000.0</v>
      </c>
      <c r="D4558" s="6">
        <v>3.5</v>
      </c>
      <c r="E4558" s="6">
        <v>10.0</v>
      </c>
    </row>
    <row r="4559">
      <c r="A4559" s="4" t="s">
        <v>9062</v>
      </c>
      <c r="B4559" s="5" t="s">
        <v>9063</v>
      </c>
      <c r="C4559" s="6">
        <v>2000.0</v>
      </c>
      <c r="D4559" s="6">
        <v>3.142857143</v>
      </c>
      <c r="E4559" s="6">
        <v>21.0</v>
      </c>
    </row>
    <row r="4560">
      <c r="A4560" s="4" t="s">
        <v>9064</v>
      </c>
      <c r="B4560" s="5" t="s">
        <v>9065</v>
      </c>
      <c r="C4560" s="6">
        <v>2000.0</v>
      </c>
      <c r="D4560" s="6">
        <v>4.882352941</v>
      </c>
      <c r="E4560" s="6">
        <v>17.0</v>
      </c>
    </row>
    <row r="4561">
      <c r="A4561" s="4" t="s">
        <v>9066</v>
      </c>
      <c r="B4561" s="5" t="s">
        <v>9067</v>
      </c>
      <c r="C4561" s="6">
        <v>2000.0</v>
      </c>
      <c r="D4561" s="6">
        <v>3.0</v>
      </c>
      <c r="E4561" s="6">
        <v>28.0</v>
      </c>
    </row>
    <row r="4562">
      <c r="A4562" s="4" t="s">
        <v>9068</v>
      </c>
      <c r="B4562" s="5" t="s">
        <v>9069</v>
      </c>
      <c r="C4562" s="6">
        <v>2000.0</v>
      </c>
      <c r="D4562" s="6">
        <v>3.846153846</v>
      </c>
      <c r="E4562" s="6">
        <v>13.0</v>
      </c>
    </row>
    <row r="4563">
      <c r="A4563" s="4" t="s">
        <v>9070</v>
      </c>
      <c r="B4563" s="5" t="s">
        <v>9071</v>
      </c>
      <c r="C4563" s="6">
        <v>2000.0</v>
      </c>
      <c r="D4563" s="6">
        <v>5.0</v>
      </c>
      <c r="E4563" s="6">
        <v>6.0</v>
      </c>
    </row>
    <row r="4564">
      <c r="A4564" s="4" t="s">
        <v>9072</v>
      </c>
      <c r="B4564" s="5" t="s">
        <v>9073</v>
      </c>
      <c r="C4564" s="6">
        <v>2000.0</v>
      </c>
      <c r="D4564" s="6">
        <v>2.5</v>
      </c>
      <c r="E4564" s="6">
        <v>8.0</v>
      </c>
    </row>
    <row r="4565">
      <c r="A4565" s="4" t="s">
        <v>9074</v>
      </c>
      <c r="B4565" s="5" t="s">
        <v>9075</v>
      </c>
      <c r="C4565" s="6">
        <v>2000.0</v>
      </c>
      <c r="D4565" s="6">
        <v>4.425531915</v>
      </c>
      <c r="E4565" s="6">
        <v>47.0</v>
      </c>
    </row>
    <row r="4566">
      <c r="A4566" s="4" t="s">
        <v>9076</v>
      </c>
      <c r="B4566" s="5" t="s">
        <v>9077</v>
      </c>
      <c r="C4566" s="6">
        <v>2000.0</v>
      </c>
      <c r="D4566" s="6">
        <v>4.352941176</v>
      </c>
      <c r="E4566" s="6">
        <v>17.0</v>
      </c>
    </row>
    <row r="4567">
      <c r="A4567" s="4" t="s">
        <v>9078</v>
      </c>
      <c r="B4567" s="5" t="s">
        <v>9079</v>
      </c>
      <c r="C4567" s="6">
        <v>2000.0</v>
      </c>
      <c r="D4567" s="9"/>
      <c r="E4567" s="9"/>
    </row>
    <row r="4568">
      <c r="A4568" s="4" t="s">
        <v>9080</v>
      </c>
      <c r="B4568" s="5" t="s">
        <v>9081</v>
      </c>
      <c r="C4568" s="6">
        <v>2000.0</v>
      </c>
      <c r="D4568" s="6">
        <v>4.666666667</v>
      </c>
      <c r="E4568" s="6">
        <v>3.0</v>
      </c>
    </row>
    <row r="4569">
      <c r="A4569" s="4" t="s">
        <v>9082</v>
      </c>
      <c r="B4569" s="5" t="s">
        <v>9083</v>
      </c>
      <c r="C4569" s="6">
        <v>2000.0</v>
      </c>
      <c r="D4569" s="6">
        <v>3.461538462</v>
      </c>
      <c r="E4569" s="6">
        <v>13.0</v>
      </c>
    </row>
    <row r="4570">
      <c r="A4570" s="4" t="s">
        <v>9084</v>
      </c>
      <c r="B4570" s="5" t="s">
        <v>9085</v>
      </c>
      <c r="C4570" s="6">
        <v>2000.0</v>
      </c>
      <c r="D4570" s="6">
        <v>2.8</v>
      </c>
      <c r="E4570" s="6">
        <v>5.0</v>
      </c>
    </row>
    <row r="4571">
      <c r="A4571" s="4" t="s">
        <v>9086</v>
      </c>
      <c r="B4571" s="5" t="s">
        <v>9087</v>
      </c>
      <c r="C4571" s="6">
        <v>2000.0</v>
      </c>
      <c r="D4571" s="6">
        <v>4.811594203</v>
      </c>
      <c r="E4571" s="6">
        <v>69.0</v>
      </c>
    </row>
    <row r="4572">
      <c r="A4572" s="4" t="s">
        <v>9088</v>
      </c>
      <c r="B4572" s="5" t="s">
        <v>9089</v>
      </c>
      <c r="C4572" s="6">
        <v>2000.0</v>
      </c>
      <c r="D4572" s="6">
        <v>3.675</v>
      </c>
      <c r="E4572" s="6">
        <v>80.0</v>
      </c>
    </row>
    <row r="4573">
      <c r="A4573" s="4" t="s">
        <v>9090</v>
      </c>
      <c r="B4573" s="5" t="s">
        <v>9091</v>
      </c>
      <c r="C4573" s="6">
        <v>2000.0</v>
      </c>
      <c r="D4573" s="6">
        <v>3.380952381</v>
      </c>
      <c r="E4573" s="6">
        <v>21.0</v>
      </c>
    </row>
    <row r="4574">
      <c r="A4574" s="4" t="s">
        <v>9092</v>
      </c>
      <c r="B4574" s="5" t="s">
        <v>9093</v>
      </c>
      <c r="C4574" s="6">
        <v>2000.0</v>
      </c>
      <c r="D4574" s="6">
        <v>5.0</v>
      </c>
      <c r="E4574" s="6">
        <v>1.0</v>
      </c>
    </row>
    <row r="4575">
      <c r="A4575" s="4" t="s">
        <v>9094</v>
      </c>
      <c r="B4575" s="5" t="s">
        <v>9095</v>
      </c>
      <c r="C4575" s="6">
        <v>2000.0</v>
      </c>
      <c r="D4575" s="6">
        <v>4.0</v>
      </c>
      <c r="E4575" s="6">
        <v>10.0</v>
      </c>
    </row>
    <row r="4576">
      <c r="A4576" s="4" t="s">
        <v>9096</v>
      </c>
      <c r="B4576" s="5" t="s">
        <v>9097</v>
      </c>
      <c r="C4576" s="6">
        <v>2000.0</v>
      </c>
      <c r="D4576" s="6">
        <v>4.733333333</v>
      </c>
      <c r="E4576" s="6">
        <v>15.0</v>
      </c>
    </row>
    <row r="4577">
      <c r="A4577" s="4" t="s">
        <v>9098</v>
      </c>
      <c r="B4577" s="5" t="s">
        <v>9099</v>
      </c>
      <c r="C4577" s="6">
        <v>2000.0</v>
      </c>
      <c r="D4577" s="6">
        <v>1.490566038</v>
      </c>
      <c r="E4577" s="6">
        <v>53.0</v>
      </c>
    </row>
    <row r="4578">
      <c r="A4578" s="4" t="s">
        <v>9100</v>
      </c>
      <c r="B4578" s="5" t="s">
        <v>9101</v>
      </c>
      <c r="C4578" s="6">
        <v>2000.0</v>
      </c>
      <c r="D4578" s="6">
        <v>4.596491228</v>
      </c>
      <c r="E4578" s="6">
        <v>57.0</v>
      </c>
    </row>
    <row r="4579">
      <c r="A4579" s="4" t="s">
        <v>9102</v>
      </c>
      <c r="B4579" s="5" t="s">
        <v>9103</v>
      </c>
      <c r="C4579" s="6">
        <v>2000.0</v>
      </c>
      <c r="D4579" s="6">
        <v>1.6</v>
      </c>
      <c r="E4579" s="6">
        <v>10.0</v>
      </c>
    </row>
    <row r="4580">
      <c r="A4580" s="4" t="s">
        <v>9104</v>
      </c>
      <c r="B4580" s="5" t="s">
        <v>9105</v>
      </c>
      <c r="C4580" s="6">
        <v>2000.0</v>
      </c>
      <c r="D4580" s="6">
        <v>4.222222222</v>
      </c>
      <c r="E4580" s="6">
        <v>9.0</v>
      </c>
    </row>
    <row r="4581">
      <c r="A4581" s="4" t="s">
        <v>9106</v>
      </c>
      <c r="B4581" s="5" t="s">
        <v>9107</v>
      </c>
      <c r="C4581" s="6">
        <v>2000.0</v>
      </c>
      <c r="D4581" s="6">
        <v>4.5</v>
      </c>
      <c r="E4581" s="6">
        <v>2.0</v>
      </c>
    </row>
    <row r="4582">
      <c r="A4582" s="4" t="s">
        <v>9108</v>
      </c>
      <c r="B4582" s="5" t="s">
        <v>9109</v>
      </c>
      <c r="C4582" s="6">
        <v>2000.0</v>
      </c>
      <c r="D4582" s="6">
        <v>4.352941176</v>
      </c>
      <c r="E4582" s="6">
        <v>17.0</v>
      </c>
    </row>
    <row r="4583">
      <c r="A4583" s="4" t="s">
        <v>9110</v>
      </c>
      <c r="B4583" s="5" t="s">
        <v>9111</v>
      </c>
      <c r="C4583" s="6">
        <v>2000.0</v>
      </c>
      <c r="D4583" s="6">
        <v>3.178571429</v>
      </c>
      <c r="E4583" s="6">
        <v>28.0</v>
      </c>
    </row>
    <row r="4584">
      <c r="A4584" s="4" t="s">
        <v>9112</v>
      </c>
      <c r="B4584" s="5" t="s">
        <v>9113</v>
      </c>
      <c r="C4584" s="6">
        <v>2000.0</v>
      </c>
      <c r="D4584" s="6">
        <v>1.619047619</v>
      </c>
      <c r="E4584" s="6">
        <v>21.0</v>
      </c>
    </row>
    <row r="4585">
      <c r="A4585" s="4" t="s">
        <v>9114</v>
      </c>
      <c r="B4585" s="5" t="s">
        <v>9115</v>
      </c>
      <c r="C4585" s="6">
        <v>2000.0</v>
      </c>
      <c r="D4585" s="6">
        <v>4.76</v>
      </c>
      <c r="E4585" s="6">
        <v>25.0</v>
      </c>
    </row>
    <row r="4586">
      <c r="A4586" s="4" t="s">
        <v>9116</v>
      </c>
      <c r="B4586" s="5" t="s">
        <v>9117</v>
      </c>
      <c r="C4586" s="6">
        <v>2000.0</v>
      </c>
      <c r="D4586" s="6">
        <v>3.921052632</v>
      </c>
      <c r="E4586" s="6">
        <v>76.0</v>
      </c>
    </row>
    <row r="4587">
      <c r="A4587" s="4" t="s">
        <v>9118</v>
      </c>
      <c r="B4587" s="5" t="s">
        <v>9119</v>
      </c>
      <c r="C4587" s="6">
        <v>2000.0</v>
      </c>
      <c r="D4587" s="6">
        <v>4.476923077</v>
      </c>
      <c r="E4587" s="6">
        <v>130.0</v>
      </c>
    </row>
    <row r="4588">
      <c r="A4588" s="4" t="s">
        <v>9120</v>
      </c>
      <c r="B4588" s="5" t="s">
        <v>9121</v>
      </c>
      <c r="C4588" s="6">
        <v>2000.0</v>
      </c>
      <c r="D4588" s="6">
        <v>4.677419355</v>
      </c>
      <c r="E4588" s="6">
        <v>31.0</v>
      </c>
    </row>
    <row r="4589">
      <c r="A4589" s="4" t="s">
        <v>9122</v>
      </c>
      <c r="B4589" s="5" t="s">
        <v>9123</v>
      </c>
      <c r="C4589" s="6">
        <v>2000.0</v>
      </c>
      <c r="D4589" s="6">
        <v>4.7</v>
      </c>
      <c r="E4589" s="6">
        <v>10.0</v>
      </c>
    </row>
    <row r="4590">
      <c r="A4590" s="4" t="s">
        <v>9124</v>
      </c>
      <c r="B4590" s="5" t="s">
        <v>9125</v>
      </c>
      <c r="C4590" s="6">
        <v>2000.0</v>
      </c>
      <c r="D4590" s="6">
        <v>3.441860465</v>
      </c>
      <c r="E4590" s="6">
        <v>43.0</v>
      </c>
    </row>
    <row r="4591">
      <c r="A4591" s="4" t="s">
        <v>9126</v>
      </c>
      <c r="B4591" s="5" t="s">
        <v>9127</v>
      </c>
      <c r="C4591" s="6">
        <v>2000.0</v>
      </c>
      <c r="D4591" s="6">
        <v>2.047619048</v>
      </c>
      <c r="E4591" s="6">
        <v>21.0</v>
      </c>
    </row>
    <row r="4592">
      <c r="A4592" s="4" t="s">
        <v>9128</v>
      </c>
      <c r="B4592" s="5" t="s">
        <v>9129</v>
      </c>
      <c r="C4592" s="6">
        <v>2000.0</v>
      </c>
      <c r="D4592" s="6">
        <v>4.333333333</v>
      </c>
      <c r="E4592" s="6">
        <v>3.0</v>
      </c>
    </row>
    <row r="4593">
      <c r="A4593" s="4" t="s">
        <v>9130</v>
      </c>
      <c r="B4593" s="5" t="s">
        <v>9131</v>
      </c>
      <c r="C4593" s="6">
        <v>2000.0</v>
      </c>
      <c r="D4593" s="6">
        <v>4.584615385</v>
      </c>
      <c r="E4593" s="6">
        <v>65.0</v>
      </c>
    </row>
    <row r="4594">
      <c r="A4594" s="4" t="s">
        <v>9132</v>
      </c>
      <c r="B4594" s="5" t="s">
        <v>9133</v>
      </c>
      <c r="C4594" s="6">
        <v>2000.0</v>
      </c>
      <c r="D4594" s="6">
        <v>3.709677419</v>
      </c>
      <c r="E4594" s="6">
        <v>31.0</v>
      </c>
    </row>
    <row r="4595">
      <c r="A4595" s="4" t="s">
        <v>9134</v>
      </c>
      <c r="B4595" s="5" t="s">
        <v>9135</v>
      </c>
      <c r="C4595" s="6">
        <v>2000.0</v>
      </c>
      <c r="D4595" s="6">
        <v>5.0</v>
      </c>
      <c r="E4595" s="6">
        <v>6.0</v>
      </c>
    </row>
    <row r="4596">
      <c r="A4596" s="4" t="s">
        <v>9136</v>
      </c>
      <c r="B4596" s="5" t="s">
        <v>9137</v>
      </c>
      <c r="C4596" s="6">
        <v>2000.0</v>
      </c>
      <c r="D4596" s="6">
        <v>4.0</v>
      </c>
      <c r="E4596" s="6">
        <v>7.0</v>
      </c>
    </row>
    <row r="4597">
      <c r="A4597" s="4" t="s">
        <v>9138</v>
      </c>
      <c r="B4597" s="5" t="s">
        <v>9139</v>
      </c>
      <c r="C4597" s="6">
        <v>2000.0</v>
      </c>
      <c r="D4597" s="6">
        <v>4.258064516</v>
      </c>
      <c r="E4597" s="6">
        <v>31.0</v>
      </c>
    </row>
    <row r="4598">
      <c r="A4598" s="4" t="s">
        <v>9140</v>
      </c>
      <c r="B4598" s="5" t="s">
        <v>9141</v>
      </c>
      <c r="C4598" s="6">
        <v>2000.0</v>
      </c>
      <c r="D4598" s="6">
        <v>4.153846154</v>
      </c>
      <c r="E4598" s="6">
        <v>13.0</v>
      </c>
    </row>
    <row r="4599">
      <c r="A4599" s="4" t="s">
        <v>9142</v>
      </c>
      <c r="B4599" s="5" t="s">
        <v>9143</v>
      </c>
      <c r="C4599" s="6">
        <v>2000.0</v>
      </c>
      <c r="D4599" s="6">
        <v>3.771428571</v>
      </c>
      <c r="E4599" s="6">
        <v>35.0</v>
      </c>
    </row>
    <row r="4600">
      <c r="A4600" s="4" t="s">
        <v>9144</v>
      </c>
      <c r="B4600" s="5" t="s">
        <v>9145</v>
      </c>
      <c r="C4600" s="6">
        <v>2000.0</v>
      </c>
      <c r="D4600" s="6">
        <v>3.727272727</v>
      </c>
      <c r="E4600" s="6">
        <v>11.0</v>
      </c>
    </row>
    <row r="4601">
      <c r="A4601" s="4" t="s">
        <v>9146</v>
      </c>
      <c r="B4601" s="5" t="s">
        <v>9147</v>
      </c>
      <c r="C4601" s="6">
        <v>2000.0</v>
      </c>
      <c r="D4601" s="6">
        <v>4.25</v>
      </c>
      <c r="E4601" s="6">
        <v>8.0</v>
      </c>
    </row>
    <row r="4602">
      <c r="A4602" s="4" t="s">
        <v>9148</v>
      </c>
      <c r="B4602" s="5" t="s">
        <v>9149</v>
      </c>
      <c r="C4602" s="6">
        <v>2000.0</v>
      </c>
      <c r="D4602" s="6">
        <v>4.333333333</v>
      </c>
      <c r="E4602" s="6">
        <v>6.0</v>
      </c>
    </row>
    <row r="4603">
      <c r="A4603" s="4" t="s">
        <v>9150</v>
      </c>
      <c r="B4603" s="5" t="s">
        <v>9151</v>
      </c>
      <c r="C4603" s="6">
        <v>2000.0</v>
      </c>
      <c r="D4603" s="6">
        <v>5.0</v>
      </c>
      <c r="E4603" s="6">
        <v>3.0</v>
      </c>
    </row>
    <row r="4604">
      <c r="A4604" s="4" t="s">
        <v>9152</v>
      </c>
      <c r="B4604" s="5" t="s">
        <v>9153</v>
      </c>
      <c r="C4604" s="6">
        <v>2000.0</v>
      </c>
      <c r="D4604" s="6">
        <v>3.0</v>
      </c>
      <c r="E4604" s="6">
        <v>21.0</v>
      </c>
    </row>
    <row r="4605">
      <c r="A4605" s="4" t="s">
        <v>9154</v>
      </c>
      <c r="B4605" s="5" t="s">
        <v>9155</v>
      </c>
      <c r="C4605" s="6">
        <v>2000.0</v>
      </c>
      <c r="D4605" s="9"/>
      <c r="E4605" s="9"/>
    </row>
    <row r="4606">
      <c r="A4606" s="4" t="s">
        <v>9156</v>
      </c>
      <c r="B4606" s="5" t="s">
        <v>9157</v>
      </c>
      <c r="C4606" s="6">
        <v>2000.0</v>
      </c>
      <c r="D4606" s="6">
        <v>5.0</v>
      </c>
      <c r="E4606" s="6">
        <v>24.0</v>
      </c>
    </row>
    <row r="4607">
      <c r="A4607" s="4" t="s">
        <v>9158</v>
      </c>
      <c r="B4607" s="5" t="s">
        <v>9159</v>
      </c>
      <c r="C4607" s="6">
        <v>2000.0</v>
      </c>
      <c r="D4607" s="6">
        <v>4.818181818</v>
      </c>
      <c r="E4607" s="6">
        <v>11.0</v>
      </c>
    </row>
    <row r="4608">
      <c r="A4608" s="4" t="s">
        <v>9160</v>
      </c>
      <c r="B4608" s="5" t="s">
        <v>9161</v>
      </c>
      <c r="C4608" s="6">
        <v>2000.0</v>
      </c>
      <c r="D4608" s="9"/>
      <c r="E4608" s="9"/>
    </row>
    <row r="4609">
      <c r="A4609" s="4" t="s">
        <v>9162</v>
      </c>
      <c r="B4609" s="5" t="s">
        <v>9163</v>
      </c>
      <c r="C4609" s="6">
        <v>2000.0</v>
      </c>
      <c r="D4609" s="6">
        <v>4.428571429</v>
      </c>
      <c r="E4609" s="6">
        <v>7.0</v>
      </c>
    </row>
    <row r="4610">
      <c r="A4610" s="4" t="s">
        <v>9164</v>
      </c>
      <c r="B4610" s="5" t="s">
        <v>9165</v>
      </c>
      <c r="C4610" s="6">
        <v>2000.0</v>
      </c>
      <c r="D4610" s="6">
        <v>4.2</v>
      </c>
      <c r="E4610" s="6">
        <v>5.0</v>
      </c>
    </row>
    <row r="4611">
      <c r="A4611" s="4" t="s">
        <v>9166</v>
      </c>
      <c r="B4611" s="5" t="s">
        <v>9167</v>
      </c>
      <c r="C4611" s="6">
        <v>2000.0</v>
      </c>
      <c r="D4611" s="6">
        <v>3.909090909</v>
      </c>
      <c r="E4611" s="6">
        <v>11.0</v>
      </c>
    </row>
    <row r="4612">
      <c r="A4612" s="4" t="s">
        <v>9168</v>
      </c>
      <c r="B4612" s="5" t="s">
        <v>9169</v>
      </c>
      <c r="C4612" s="6">
        <v>2000.0</v>
      </c>
      <c r="D4612" s="6">
        <v>3.96875</v>
      </c>
      <c r="E4612" s="6">
        <v>32.0</v>
      </c>
    </row>
    <row r="4613">
      <c r="A4613" s="4" t="s">
        <v>9170</v>
      </c>
      <c r="B4613" s="5" t="s">
        <v>9171</v>
      </c>
      <c r="C4613" s="6">
        <v>2000.0</v>
      </c>
      <c r="D4613" s="6">
        <v>4.461538462</v>
      </c>
      <c r="E4613" s="6">
        <v>13.0</v>
      </c>
    </row>
    <row r="4614">
      <c r="A4614" s="4" t="s">
        <v>9172</v>
      </c>
      <c r="B4614" s="5" t="s">
        <v>9173</v>
      </c>
      <c r="C4614" s="6">
        <v>2000.0</v>
      </c>
      <c r="D4614" s="6">
        <v>4.833333333</v>
      </c>
      <c r="E4614" s="6">
        <v>12.0</v>
      </c>
    </row>
    <row r="4615">
      <c r="A4615" s="4" t="s">
        <v>9174</v>
      </c>
      <c r="B4615" s="5" t="s">
        <v>9175</v>
      </c>
      <c r="C4615" s="6">
        <v>2000.0</v>
      </c>
      <c r="D4615" s="6">
        <v>2.142857143</v>
      </c>
      <c r="E4615" s="6">
        <v>7.0</v>
      </c>
    </row>
    <row r="4616">
      <c r="A4616" s="4" t="s">
        <v>9176</v>
      </c>
      <c r="B4616" s="5" t="s">
        <v>9177</v>
      </c>
      <c r="C4616" s="6">
        <v>2000.0</v>
      </c>
      <c r="D4616" s="6">
        <v>3.923076923</v>
      </c>
      <c r="E4616" s="6">
        <v>13.0</v>
      </c>
    </row>
    <row r="4617">
      <c r="A4617" s="4" t="s">
        <v>9178</v>
      </c>
      <c r="B4617" s="5" t="s">
        <v>9179</v>
      </c>
      <c r="C4617" s="6">
        <v>2000.0</v>
      </c>
      <c r="D4617" s="6">
        <v>3.79245283</v>
      </c>
      <c r="E4617" s="6">
        <v>53.0</v>
      </c>
    </row>
    <row r="4618">
      <c r="A4618" s="4" t="s">
        <v>9180</v>
      </c>
      <c r="B4618" s="5" t="s">
        <v>9181</v>
      </c>
      <c r="C4618" s="6">
        <v>2000.0</v>
      </c>
      <c r="D4618" s="6">
        <v>4.5</v>
      </c>
      <c r="E4618" s="6">
        <v>18.0</v>
      </c>
    </row>
    <row r="4619">
      <c r="A4619" s="4" t="s">
        <v>9182</v>
      </c>
      <c r="B4619" s="5" t="s">
        <v>9183</v>
      </c>
      <c r="C4619" s="6">
        <v>2000.0</v>
      </c>
      <c r="D4619" s="6">
        <v>4.0</v>
      </c>
      <c r="E4619" s="6">
        <v>5.0</v>
      </c>
    </row>
    <row r="4620">
      <c r="A4620" s="4" t="s">
        <v>9184</v>
      </c>
      <c r="B4620" s="5" t="s">
        <v>9185</v>
      </c>
      <c r="C4620" s="6">
        <v>2000.0</v>
      </c>
      <c r="D4620" s="6">
        <v>2.538461538</v>
      </c>
      <c r="E4620" s="6">
        <v>13.0</v>
      </c>
    </row>
    <row r="4621">
      <c r="A4621" s="4" t="s">
        <v>9186</v>
      </c>
      <c r="B4621" s="5" t="s">
        <v>9187</v>
      </c>
      <c r="C4621" s="6">
        <v>2000.0</v>
      </c>
      <c r="D4621" s="6">
        <v>4.210526316</v>
      </c>
      <c r="E4621" s="6">
        <v>19.0</v>
      </c>
    </row>
    <row r="4622">
      <c r="A4622" s="4" t="s">
        <v>9188</v>
      </c>
      <c r="B4622" s="5" t="s">
        <v>9189</v>
      </c>
      <c r="C4622" s="6">
        <v>2000.0</v>
      </c>
      <c r="D4622" s="6">
        <v>4.666666667</v>
      </c>
      <c r="E4622" s="6">
        <v>3.0</v>
      </c>
    </row>
    <row r="4623">
      <c r="A4623" s="4" t="s">
        <v>9190</v>
      </c>
      <c r="B4623" s="5" t="s">
        <v>9191</v>
      </c>
      <c r="C4623" s="6">
        <v>2000.0</v>
      </c>
      <c r="D4623" s="6">
        <v>4.956521739</v>
      </c>
      <c r="E4623" s="6">
        <v>23.0</v>
      </c>
    </row>
    <row r="4624">
      <c r="A4624" s="4" t="s">
        <v>9192</v>
      </c>
      <c r="B4624" s="5" t="s">
        <v>9193</v>
      </c>
      <c r="C4624" s="6">
        <v>2000.0</v>
      </c>
      <c r="D4624" s="6">
        <v>3.357142857</v>
      </c>
      <c r="E4624" s="6">
        <v>14.0</v>
      </c>
    </row>
    <row r="4625">
      <c r="A4625" s="4" t="s">
        <v>9194</v>
      </c>
      <c r="B4625" s="5" t="s">
        <v>9195</v>
      </c>
      <c r="C4625" s="6">
        <v>2000.0</v>
      </c>
      <c r="D4625" s="6">
        <v>3.5</v>
      </c>
      <c r="E4625" s="6">
        <v>2.0</v>
      </c>
    </row>
    <row r="4626">
      <c r="A4626" s="4" t="s">
        <v>9196</v>
      </c>
      <c r="B4626" s="5" t="s">
        <v>9197</v>
      </c>
      <c r="C4626" s="6">
        <v>2000.0</v>
      </c>
      <c r="D4626" s="6">
        <v>5.0</v>
      </c>
      <c r="E4626" s="6">
        <v>5.0</v>
      </c>
    </row>
    <row r="4627">
      <c r="A4627" s="4" t="s">
        <v>9198</v>
      </c>
      <c r="B4627" s="5" t="s">
        <v>9199</v>
      </c>
      <c r="C4627" s="6">
        <v>2000.0</v>
      </c>
      <c r="D4627" s="6">
        <v>5.0</v>
      </c>
      <c r="E4627" s="6">
        <v>2.0</v>
      </c>
    </row>
    <row r="4628">
      <c r="A4628" s="4" t="s">
        <v>9200</v>
      </c>
      <c r="B4628" s="5" t="s">
        <v>9201</v>
      </c>
      <c r="C4628" s="6">
        <v>2000.0</v>
      </c>
      <c r="D4628" s="6">
        <v>4.55</v>
      </c>
      <c r="E4628" s="6">
        <v>40.0</v>
      </c>
    </row>
    <row r="4629">
      <c r="A4629" s="4" t="s">
        <v>9202</v>
      </c>
      <c r="B4629" s="5" t="s">
        <v>9203</v>
      </c>
      <c r="C4629" s="6">
        <v>2000.0</v>
      </c>
      <c r="D4629" s="6">
        <v>3.089285714</v>
      </c>
      <c r="E4629" s="6">
        <v>56.0</v>
      </c>
    </row>
    <row r="4630">
      <c r="A4630" s="4" t="s">
        <v>9204</v>
      </c>
      <c r="B4630" s="5" t="s">
        <v>9205</v>
      </c>
      <c r="C4630" s="6">
        <v>2000.0</v>
      </c>
      <c r="D4630" s="6">
        <v>4.333333333</v>
      </c>
      <c r="E4630" s="6">
        <v>6.0</v>
      </c>
    </row>
    <row r="4631">
      <c r="A4631" s="4" t="s">
        <v>9206</v>
      </c>
      <c r="B4631" s="5" t="s">
        <v>9207</v>
      </c>
      <c r="C4631" s="6">
        <v>2000.0</v>
      </c>
      <c r="D4631" s="6">
        <v>4.204545455</v>
      </c>
      <c r="E4631" s="6">
        <v>88.0</v>
      </c>
    </row>
    <row r="4632">
      <c r="A4632" s="4" t="s">
        <v>9208</v>
      </c>
      <c r="B4632" s="5" t="s">
        <v>9209</v>
      </c>
      <c r="C4632" s="6">
        <v>2000.0</v>
      </c>
      <c r="D4632" s="6">
        <v>5.0</v>
      </c>
      <c r="E4632" s="6">
        <v>11.0</v>
      </c>
    </row>
    <row r="4633">
      <c r="A4633" s="4" t="s">
        <v>9210</v>
      </c>
      <c r="B4633" s="5" t="s">
        <v>9211</v>
      </c>
      <c r="C4633" s="6">
        <v>2000.0</v>
      </c>
      <c r="D4633" s="6">
        <v>3.0</v>
      </c>
      <c r="E4633" s="6">
        <v>4.0</v>
      </c>
    </row>
    <row r="4634">
      <c r="A4634" s="4" t="s">
        <v>9212</v>
      </c>
      <c r="B4634" s="5" t="s">
        <v>9213</v>
      </c>
      <c r="C4634" s="6">
        <v>2000.0</v>
      </c>
      <c r="D4634" s="6">
        <v>4.357142857</v>
      </c>
      <c r="E4634" s="6">
        <v>14.0</v>
      </c>
    </row>
    <row r="4635">
      <c r="A4635" s="4" t="s">
        <v>9214</v>
      </c>
      <c r="B4635" s="5" t="s">
        <v>9215</v>
      </c>
      <c r="C4635" s="6">
        <v>2000.0</v>
      </c>
      <c r="D4635" s="6">
        <v>4.623376623</v>
      </c>
      <c r="E4635" s="6">
        <v>77.0</v>
      </c>
    </row>
    <row r="4636">
      <c r="A4636" s="4" t="s">
        <v>9216</v>
      </c>
      <c r="B4636" s="5" t="s">
        <v>9217</v>
      </c>
      <c r="C4636" s="6">
        <v>2000.0</v>
      </c>
      <c r="D4636" s="6">
        <v>4.891891892</v>
      </c>
      <c r="E4636" s="6">
        <v>37.0</v>
      </c>
    </row>
    <row r="4637">
      <c r="A4637" s="4" t="s">
        <v>9218</v>
      </c>
      <c r="B4637" s="5" t="s">
        <v>9219</v>
      </c>
      <c r="C4637" s="6">
        <v>2000.0</v>
      </c>
      <c r="D4637" s="6">
        <v>3.862068966</v>
      </c>
      <c r="E4637" s="6">
        <v>29.0</v>
      </c>
    </row>
    <row r="4638">
      <c r="A4638" s="4" t="s">
        <v>9220</v>
      </c>
      <c r="B4638" s="5" t="s">
        <v>9221</v>
      </c>
      <c r="C4638" s="6">
        <v>2000.0</v>
      </c>
      <c r="D4638" s="6">
        <v>2.833333333</v>
      </c>
      <c r="E4638" s="6">
        <v>12.0</v>
      </c>
    </row>
    <row r="4639">
      <c r="A4639" s="4" t="s">
        <v>9222</v>
      </c>
      <c r="B4639" s="5" t="s">
        <v>9223</v>
      </c>
      <c r="C4639" s="6">
        <v>2000.0</v>
      </c>
      <c r="D4639" s="6">
        <v>4.653846154</v>
      </c>
      <c r="E4639" s="6">
        <v>26.0</v>
      </c>
    </row>
    <row r="4640">
      <c r="A4640" s="4" t="s">
        <v>9224</v>
      </c>
      <c r="B4640" s="5" t="s">
        <v>9225</v>
      </c>
      <c r="C4640" s="6">
        <v>2000.0</v>
      </c>
      <c r="D4640" s="6">
        <v>4.897727273</v>
      </c>
      <c r="E4640" s="6">
        <v>88.0</v>
      </c>
    </row>
    <row r="4641">
      <c r="A4641" s="4" t="s">
        <v>9226</v>
      </c>
      <c r="B4641" s="5" t="s">
        <v>9227</v>
      </c>
      <c r="C4641" s="6">
        <v>2000.0</v>
      </c>
      <c r="D4641" s="6">
        <v>4.611111111</v>
      </c>
      <c r="E4641" s="6">
        <v>18.0</v>
      </c>
    </row>
    <row r="4642">
      <c r="A4642" s="4" t="s">
        <v>9228</v>
      </c>
      <c r="B4642" s="5" t="s">
        <v>9229</v>
      </c>
      <c r="C4642" s="6">
        <v>2000.0</v>
      </c>
      <c r="D4642" s="6">
        <v>2.230769231</v>
      </c>
      <c r="E4642" s="6">
        <v>13.0</v>
      </c>
    </row>
    <row r="4643">
      <c r="A4643" s="4" t="s">
        <v>9230</v>
      </c>
      <c r="B4643" s="5" t="s">
        <v>9231</v>
      </c>
      <c r="C4643" s="6">
        <v>2000.0</v>
      </c>
      <c r="D4643" s="6">
        <v>4.0</v>
      </c>
      <c r="E4643" s="6">
        <v>3.0</v>
      </c>
    </row>
    <row r="4644">
      <c r="A4644" s="4" t="s">
        <v>9232</v>
      </c>
      <c r="B4644" s="5" t="s">
        <v>9233</v>
      </c>
      <c r="C4644" s="6">
        <v>2000.0</v>
      </c>
      <c r="D4644" s="6">
        <v>4.777777778</v>
      </c>
      <c r="E4644" s="6">
        <v>9.0</v>
      </c>
    </row>
    <row r="4645">
      <c r="A4645" s="4" t="s">
        <v>9234</v>
      </c>
      <c r="B4645" s="5" t="s">
        <v>9235</v>
      </c>
      <c r="C4645" s="6">
        <v>2000.0</v>
      </c>
      <c r="D4645" s="6">
        <v>4.0</v>
      </c>
      <c r="E4645" s="6">
        <v>6.0</v>
      </c>
    </row>
    <row r="4646">
      <c r="A4646" s="4" t="s">
        <v>9236</v>
      </c>
      <c r="B4646" s="5" t="s">
        <v>9237</v>
      </c>
      <c r="C4646" s="6">
        <v>2000.0</v>
      </c>
      <c r="D4646" s="6">
        <v>4.214285714</v>
      </c>
      <c r="E4646" s="6">
        <v>14.0</v>
      </c>
    </row>
    <row r="4647">
      <c r="A4647" s="4" t="s">
        <v>9238</v>
      </c>
      <c r="B4647" s="5" t="s">
        <v>9239</v>
      </c>
      <c r="C4647" s="6">
        <v>2000.0</v>
      </c>
      <c r="D4647" s="6">
        <v>4.480769231</v>
      </c>
      <c r="E4647" s="6">
        <v>52.0</v>
      </c>
    </row>
    <row r="4648">
      <c r="A4648" s="4" t="s">
        <v>9240</v>
      </c>
      <c r="B4648" s="5" t="s">
        <v>9241</v>
      </c>
      <c r="C4648" s="6">
        <v>2000.0</v>
      </c>
      <c r="D4648" s="6">
        <v>2.333333333</v>
      </c>
      <c r="E4648" s="6">
        <v>3.0</v>
      </c>
    </row>
    <row r="4649">
      <c r="A4649" s="4" t="s">
        <v>9242</v>
      </c>
      <c r="B4649" s="5" t="s">
        <v>9243</v>
      </c>
      <c r="C4649" s="6">
        <v>2000.0</v>
      </c>
      <c r="D4649" s="6">
        <v>1.0</v>
      </c>
      <c r="E4649" s="6">
        <v>2.0</v>
      </c>
    </row>
    <row r="4650">
      <c r="A4650" s="4" t="s">
        <v>9244</v>
      </c>
      <c r="B4650" s="5" t="s">
        <v>9245</v>
      </c>
      <c r="C4650" s="6">
        <v>2000.0</v>
      </c>
      <c r="D4650" s="6">
        <v>2.857142857</v>
      </c>
      <c r="E4650" s="6">
        <v>7.0</v>
      </c>
    </row>
    <row r="4651">
      <c r="A4651" s="4" t="s">
        <v>9246</v>
      </c>
      <c r="B4651" s="5" t="s">
        <v>9247</v>
      </c>
      <c r="C4651" s="6">
        <v>2000.0</v>
      </c>
      <c r="D4651" s="6">
        <v>3.789473684</v>
      </c>
      <c r="E4651" s="6">
        <v>19.0</v>
      </c>
    </row>
    <row r="4652">
      <c r="A4652" s="4" t="s">
        <v>9248</v>
      </c>
      <c r="B4652" s="5" t="s">
        <v>9249</v>
      </c>
      <c r="C4652" s="6">
        <v>2000.0</v>
      </c>
      <c r="D4652" s="6">
        <v>1.8</v>
      </c>
      <c r="E4652" s="6">
        <v>10.0</v>
      </c>
    </row>
    <row r="4653">
      <c r="A4653" s="4" t="s">
        <v>9250</v>
      </c>
      <c r="B4653" s="5" t="s">
        <v>9251</v>
      </c>
      <c r="C4653" s="6">
        <v>2000.0</v>
      </c>
      <c r="D4653" s="6">
        <v>3.25</v>
      </c>
      <c r="E4653" s="6">
        <v>12.0</v>
      </c>
    </row>
    <row r="4654">
      <c r="A4654" s="4" t="s">
        <v>9252</v>
      </c>
      <c r="B4654" s="5" t="s">
        <v>9253</v>
      </c>
      <c r="C4654" s="6">
        <v>2000.0</v>
      </c>
      <c r="D4654" s="6">
        <v>4.833333333</v>
      </c>
      <c r="E4654" s="6">
        <v>6.0</v>
      </c>
    </row>
    <row r="4655">
      <c r="A4655" s="4" t="s">
        <v>9254</v>
      </c>
      <c r="B4655" s="5" t="s">
        <v>9255</v>
      </c>
      <c r="C4655" s="6">
        <v>2000.0</v>
      </c>
      <c r="D4655" s="6">
        <v>4.25</v>
      </c>
      <c r="E4655" s="6">
        <v>4.0</v>
      </c>
    </row>
    <row r="4656">
      <c r="A4656" s="4" t="s">
        <v>9256</v>
      </c>
      <c r="B4656" s="5" t="s">
        <v>9257</v>
      </c>
      <c r="C4656" s="6">
        <v>2000.0</v>
      </c>
      <c r="D4656" s="6">
        <v>4.153846154</v>
      </c>
      <c r="E4656" s="6">
        <v>13.0</v>
      </c>
    </row>
    <row r="4657">
      <c r="A4657" s="4" t="s">
        <v>9258</v>
      </c>
      <c r="B4657" s="5" t="s">
        <v>9259</v>
      </c>
      <c r="C4657" s="6">
        <v>2000.0</v>
      </c>
      <c r="D4657" s="6">
        <v>4.875</v>
      </c>
      <c r="E4657" s="6">
        <v>8.0</v>
      </c>
    </row>
    <row r="4658">
      <c r="A4658" s="4" t="s">
        <v>9260</v>
      </c>
      <c r="B4658" s="5" t="s">
        <v>9261</v>
      </c>
      <c r="C4658" s="6">
        <v>2000.0</v>
      </c>
      <c r="D4658" s="6">
        <v>4.475</v>
      </c>
      <c r="E4658" s="6">
        <v>40.0</v>
      </c>
    </row>
    <row r="4659">
      <c r="A4659" s="4" t="s">
        <v>9262</v>
      </c>
      <c r="B4659" s="5" t="s">
        <v>9263</v>
      </c>
      <c r="C4659" s="6">
        <v>2000.0</v>
      </c>
      <c r="D4659" s="6">
        <v>4.357142857</v>
      </c>
      <c r="E4659" s="6">
        <v>42.0</v>
      </c>
    </row>
    <row r="4660">
      <c r="A4660" s="4" t="s">
        <v>9264</v>
      </c>
      <c r="B4660" s="5" t="s">
        <v>9265</v>
      </c>
      <c r="C4660" s="6">
        <v>2000.0</v>
      </c>
      <c r="D4660" s="6">
        <v>4.706896552</v>
      </c>
      <c r="E4660" s="6">
        <v>58.0</v>
      </c>
    </row>
    <row r="4661">
      <c r="A4661" s="4" t="s">
        <v>9266</v>
      </c>
      <c r="B4661" s="5" t="s">
        <v>9267</v>
      </c>
      <c r="C4661" s="6">
        <v>2000.0</v>
      </c>
      <c r="D4661" s="6">
        <v>5.0</v>
      </c>
      <c r="E4661" s="6">
        <v>2.0</v>
      </c>
    </row>
    <row r="4662">
      <c r="A4662" s="4" t="s">
        <v>9268</v>
      </c>
      <c r="B4662" s="5" t="s">
        <v>9269</v>
      </c>
      <c r="C4662" s="6">
        <v>2000.0</v>
      </c>
      <c r="D4662" s="6">
        <v>4.019230769</v>
      </c>
      <c r="E4662" s="6">
        <v>52.0</v>
      </c>
    </row>
    <row r="4663">
      <c r="A4663" s="4" t="s">
        <v>9270</v>
      </c>
      <c r="B4663" s="5" t="s">
        <v>9271</v>
      </c>
      <c r="C4663" s="6">
        <v>2000.0</v>
      </c>
      <c r="D4663" s="6">
        <v>5.0</v>
      </c>
      <c r="E4663" s="6">
        <v>2.0</v>
      </c>
    </row>
    <row r="4664">
      <c r="A4664" s="4" t="s">
        <v>9272</v>
      </c>
      <c r="B4664" s="5" t="s">
        <v>9273</v>
      </c>
      <c r="C4664" s="6">
        <v>2000.0</v>
      </c>
      <c r="D4664" s="6">
        <v>3.235294118</v>
      </c>
      <c r="E4664" s="6">
        <v>17.0</v>
      </c>
    </row>
    <row r="4665">
      <c r="A4665" s="4" t="s">
        <v>9274</v>
      </c>
      <c r="B4665" s="5" t="s">
        <v>9275</v>
      </c>
      <c r="C4665" s="6">
        <v>2000.0</v>
      </c>
      <c r="D4665" s="6">
        <v>3.368421053</v>
      </c>
      <c r="E4665" s="6">
        <v>38.0</v>
      </c>
    </row>
    <row r="4666">
      <c r="A4666" s="4" t="s">
        <v>9276</v>
      </c>
      <c r="B4666" s="5" t="s">
        <v>9277</v>
      </c>
      <c r="C4666" s="6">
        <v>2000.0</v>
      </c>
      <c r="D4666" s="6">
        <v>4.6</v>
      </c>
      <c r="E4666" s="6">
        <v>5.0</v>
      </c>
    </row>
    <row r="4667">
      <c r="A4667" s="10" t="s">
        <v>9278</v>
      </c>
      <c r="B4667" s="5" t="s">
        <v>9279</v>
      </c>
      <c r="C4667" s="6">
        <v>2000.0</v>
      </c>
      <c r="D4667" s="6">
        <v>4.25</v>
      </c>
      <c r="E4667" s="6">
        <v>48.0</v>
      </c>
    </row>
    <row r="4668">
      <c r="A4668" s="4" t="s">
        <v>9280</v>
      </c>
      <c r="B4668" s="5" t="s">
        <v>9281</v>
      </c>
      <c r="C4668" s="6">
        <v>2000.0</v>
      </c>
      <c r="D4668" s="6">
        <v>3.6</v>
      </c>
      <c r="E4668" s="6">
        <v>15.0</v>
      </c>
    </row>
    <row r="4669">
      <c r="A4669" s="4" t="s">
        <v>9282</v>
      </c>
      <c r="B4669" s="5" t="s">
        <v>9283</v>
      </c>
      <c r="C4669" s="6">
        <v>2000.0</v>
      </c>
      <c r="D4669" s="6">
        <v>4.714285714</v>
      </c>
      <c r="E4669" s="6">
        <v>7.0</v>
      </c>
    </row>
    <row r="4670">
      <c r="A4670" s="4" t="s">
        <v>9284</v>
      </c>
      <c r="B4670" s="5" t="s">
        <v>9285</v>
      </c>
      <c r="C4670" s="6">
        <v>2000.0</v>
      </c>
      <c r="D4670" s="6">
        <v>4.59375</v>
      </c>
      <c r="E4670" s="6">
        <v>32.0</v>
      </c>
    </row>
    <row r="4671">
      <c r="A4671" s="4" t="s">
        <v>9286</v>
      </c>
      <c r="B4671" s="5" t="s">
        <v>9287</v>
      </c>
      <c r="C4671" s="6">
        <v>2000.0</v>
      </c>
      <c r="D4671" s="6">
        <v>2.727272727</v>
      </c>
      <c r="E4671" s="6">
        <v>22.0</v>
      </c>
    </row>
    <row r="4672">
      <c r="A4672" s="4" t="s">
        <v>9288</v>
      </c>
      <c r="B4672" s="5" t="s">
        <v>9289</v>
      </c>
      <c r="C4672" s="6">
        <v>2000.0</v>
      </c>
      <c r="D4672" s="6">
        <v>4.864864865</v>
      </c>
      <c r="E4672" s="6">
        <v>222.0</v>
      </c>
    </row>
    <row r="4673">
      <c r="A4673" s="4" t="s">
        <v>9290</v>
      </c>
      <c r="B4673" s="5" t="s">
        <v>9291</v>
      </c>
      <c r="C4673" s="6">
        <v>2000.0</v>
      </c>
      <c r="D4673" s="6">
        <v>2.416666667</v>
      </c>
      <c r="E4673" s="6">
        <v>12.0</v>
      </c>
    </row>
    <row r="4674">
      <c r="A4674" s="4" t="s">
        <v>9292</v>
      </c>
      <c r="B4674" s="5" t="s">
        <v>9293</v>
      </c>
      <c r="C4674" s="6">
        <v>2000.0</v>
      </c>
      <c r="D4674" s="6">
        <v>5.0</v>
      </c>
      <c r="E4674" s="6">
        <v>1.0</v>
      </c>
    </row>
    <row r="4675">
      <c r="A4675" s="4" t="s">
        <v>9294</v>
      </c>
      <c r="B4675" s="5" t="s">
        <v>9295</v>
      </c>
      <c r="C4675" s="6">
        <v>2000.0</v>
      </c>
      <c r="D4675" s="9"/>
      <c r="E4675" s="9"/>
    </row>
    <row r="4676">
      <c r="A4676" s="4" t="s">
        <v>9296</v>
      </c>
      <c r="B4676" s="5" t="s">
        <v>9297</v>
      </c>
      <c r="C4676" s="6">
        <v>2000.0</v>
      </c>
      <c r="D4676" s="6">
        <v>4.898876404</v>
      </c>
      <c r="E4676" s="6">
        <v>178.0</v>
      </c>
    </row>
    <row r="4677">
      <c r="A4677" s="4" t="s">
        <v>9298</v>
      </c>
      <c r="B4677" s="5" t="s">
        <v>9299</v>
      </c>
      <c r="C4677" s="6">
        <v>2000.0</v>
      </c>
      <c r="D4677" s="6">
        <v>4.0</v>
      </c>
      <c r="E4677" s="6">
        <v>1.0</v>
      </c>
    </row>
    <row r="4678">
      <c r="A4678" s="4" t="s">
        <v>9300</v>
      </c>
      <c r="B4678" s="5" t="s">
        <v>9301</v>
      </c>
      <c r="C4678" s="6">
        <v>2000.0</v>
      </c>
      <c r="D4678" s="6">
        <v>3.933333333</v>
      </c>
      <c r="E4678" s="6">
        <v>15.0</v>
      </c>
    </row>
    <row r="4679">
      <c r="A4679" s="4" t="s">
        <v>9302</v>
      </c>
      <c r="B4679" s="5" t="s">
        <v>9303</v>
      </c>
      <c r="C4679" s="6">
        <v>2000.0</v>
      </c>
      <c r="D4679" s="6">
        <v>3.72</v>
      </c>
      <c r="E4679" s="6">
        <v>25.0</v>
      </c>
    </row>
    <row r="4680">
      <c r="A4680" s="4" t="s">
        <v>9304</v>
      </c>
      <c r="B4680" s="5" t="s">
        <v>9305</v>
      </c>
      <c r="C4680" s="6">
        <v>2000.0</v>
      </c>
      <c r="D4680" s="9"/>
      <c r="E4680" s="9"/>
    </row>
    <row r="4681">
      <c r="A4681" s="4" t="s">
        <v>9306</v>
      </c>
      <c r="B4681" s="5" t="s">
        <v>9307</v>
      </c>
      <c r="C4681" s="6">
        <v>2000.0</v>
      </c>
      <c r="D4681" s="6">
        <v>3.388888889</v>
      </c>
      <c r="E4681" s="6">
        <v>18.0</v>
      </c>
    </row>
    <row r="4682">
      <c r="A4682" s="4" t="s">
        <v>9308</v>
      </c>
      <c r="B4682" s="5" t="s">
        <v>9309</v>
      </c>
      <c r="C4682" s="6">
        <v>2000.0</v>
      </c>
      <c r="D4682" s="6">
        <v>3.714285714</v>
      </c>
      <c r="E4682" s="6">
        <v>7.0</v>
      </c>
    </row>
    <row r="4683">
      <c r="A4683" s="4" t="s">
        <v>9310</v>
      </c>
      <c r="B4683" s="5" t="s">
        <v>9311</v>
      </c>
      <c r="C4683" s="6">
        <v>2000.0</v>
      </c>
      <c r="D4683" s="9"/>
      <c r="E4683" s="9"/>
    </row>
    <row r="4684">
      <c r="A4684" s="4" t="s">
        <v>9312</v>
      </c>
      <c r="B4684" s="5" t="s">
        <v>9313</v>
      </c>
      <c r="C4684" s="6">
        <v>2000.0</v>
      </c>
      <c r="D4684" s="6">
        <v>4.714285714</v>
      </c>
      <c r="E4684" s="6">
        <v>70.0</v>
      </c>
    </row>
    <row r="4685">
      <c r="A4685" s="4" t="s">
        <v>9314</v>
      </c>
      <c r="B4685" s="5" t="s">
        <v>9315</v>
      </c>
      <c r="C4685" s="6">
        <v>2000.0</v>
      </c>
      <c r="D4685" s="6">
        <v>4.952380952</v>
      </c>
      <c r="E4685" s="6">
        <v>21.0</v>
      </c>
    </row>
    <row r="4686">
      <c r="A4686" s="4" t="s">
        <v>9316</v>
      </c>
      <c r="B4686" s="5" t="s">
        <v>9317</v>
      </c>
      <c r="C4686" s="6">
        <v>2000.0</v>
      </c>
      <c r="D4686" s="6">
        <v>4.552238806</v>
      </c>
      <c r="E4686" s="6">
        <v>67.0</v>
      </c>
    </row>
    <row r="4687">
      <c r="A4687" s="4" t="s">
        <v>9318</v>
      </c>
      <c r="B4687" s="5" t="s">
        <v>9319</v>
      </c>
      <c r="C4687" s="6">
        <v>2000.0</v>
      </c>
      <c r="D4687" s="6">
        <v>3.294117647</v>
      </c>
      <c r="E4687" s="6">
        <v>17.0</v>
      </c>
    </row>
    <row r="4688">
      <c r="A4688" s="4" t="s">
        <v>9320</v>
      </c>
      <c r="B4688" s="5" t="s">
        <v>9321</v>
      </c>
      <c r="C4688" s="6">
        <v>2000.0</v>
      </c>
      <c r="D4688" s="6">
        <v>4.428571429</v>
      </c>
      <c r="E4688" s="6">
        <v>7.0</v>
      </c>
    </row>
    <row r="4689">
      <c r="A4689" s="4" t="s">
        <v>9322</v>
      </c>
      <c r="B4689" s="5" t="s">
        <v>9323</v>
      </c>
      <c r="C4689" s="6">
        <v>2000.0</v>
      </c>
      <c r="D4689" s="6">
        <v>2.25</v>
      </c>
      <c r="E4689" s="6">
        <v>4.0</v>
      </c>
    </row>
    <row r="4690">
      <c r="A4690" s="4" t="s">
        <v>9324</v>
      </c>
      <c r="B4690" s="5" t="s">
        <v>9325</v>
      </c>
      <c r="C4690" s="6">
        <v>2000.0</v>
      </c>
      <c r="D4690" s="6">
        <v>3.78</v>
      </c>
      <c r="E4690" s="6">
        <v>50.0</v>
      </c>
    </row>
    <row r="4691">
      <c r="A4691" s="4" t="s">
        <v>9326</v>
      </c>
      <c r="B4691" s="5" t="s">
        <v>9327</v>
      </c>
      <c r="C4691" s="6">
        <v>2000.0</v>
      </c>
      <c r="D4691" s="6">
        <v>3.72</v>
      </c>
      <c r="E4691" s="6">
        <v>25.0</v>
      </c>
    </row>
    <row r="4692">
      <c r="A4692" s="4" t="s">
        <v>9328</v>
      </c>
      <c r="B4692" s="5" t="s">
        <v>9329</v>
      </c>
      <c r="C4692" s="6">
        <v>2000.0</v>
      </c>
      <c r="D4692" s="6">
        <v>4.776595745</v>
      </c>
      <c r="E4692" s="6">
        <v>94.0</v>
      </c>
    </row>
    <row r="4693">
      <c r="A4693" s="4" t="s">
        <v>9330</v>
      </c>
      <c r="B4693" s="5" t="s">
        <v>9331</v>
      </c>
      <c r="C4693" s="6">
        <v>2000.0</v>
      </c>
      <c r="D4693" s="6">
        <v>2.6</v>
      </c>
      <c r="E4693" s="6">
        <v>10.0</v>
      </c>
    </row>
    <row r="4694">
      <c r="A4694" s="4" t="s">
        <v>3988</v>
      </c>
      <c r="B4694" s="5" t="s">
        <v>9332</v>
      </c>
      <c r="C4694" s="6">
        <v>2000.0</v>
      </c>
      <c r="D4694" s="6">
        <v>3.666666667</v>
      </c>
      <c r="E4694" s="6">
        <v>6.0</v>
      </c>
    </row>
    <row r="4695">
      <c r="A4695" s="4" t="s">
        <v>9333</v>
      </c>
      <c r="B4695" s="5" t="s">
        <v>9334</v>
      </c>
      <c r="C4695" s="6">
        <v>2000.0</v>
      </c>
      <c r="D4695" s="6">
        <v>4.695652174</v>
      </c>
      <c r="E4695" s="6">
        <v>23.0</v>
      </c>
    </row>
    <row r="4696">
      <c r="A4696" s="4" t="s">
        <v>9335</v>
      </c>
      <c r="B4696" s="5" t="s">
        <v>9336</v>
      </c>
      <c r="C4696" s="6">
        <v>2000.0</v>
      </c>
      <c r="D4696" s="6">
        <v>1.0</v>
      </c>
      <c r="E4696" s="6">
        <v>3.0</v>
      </c>
    </row>
    <row r="4697">
      <c r="A4697" s="4" t="s">
        <v>9337</v>
      </c>
      <c r="B4697" s="5" t="s">
        <v>9338</v>
      </c>
      <c r="C4697" s="6">
        <v>2000.0</v>
      </c>
      <c r="D4697" s="6">
        <v>4.373333333</v>
      </c>
      <c r="E4697" s="6">
        <v>75.0</v>
      </c>
    </row>
    <row r="4698">
      <c r="A4698" s="4" t="s">
        <v>9339</v>
      </c>
      <c r="B4698" s="5" t="s">
        <v>9340</v>
      </c>
      <c r="C4698" s="6">
        <v>2000.0</v>
      </c>
      <c r="D4698" s="6">
        <v>4.076923077</v>
      </c>
      <c r="E4698" s="6">
        <v>13.0</v>
      </c>
    </row>
    <row r="4699">
      <c r="A4699" s="4" t="s">
        <v>5062</v>
      </c>
      <c r="B4699" s="5" t="s">
        <v>9341</v>
      </c>
      <c r="C4699" s="6">
        <v>2000.0</v>
      </c>
      <c r="D4699" s="6">
        <v>4.322344322</v>
      </c>
      <c r="E4699" s="6">
        <v>273.0</v>
      </c>
    </row>
    <row r="4700">
      <c r="A4700" s="4" t="s">
        <v>9342</v>
      </c>
      <c r="B4700" s="5" t="s">
        <v>9343</v>
      </c>
      <c r="C4700" s="6">
        <v>2000.0</v>
      </c>
      <c r="D4700" s="6">
        <v>5.0</v>
      </c>
      <c r="E4700" s="6">
        <v>27.0</v>
      </c>
    </row>
    <row r="4701">
      <c r="A4701" s="4" t="s">
        <v>9344</v>
      </c>
      <c r="B4701" s="5" t="s">
        <v>9345</v>
      </c>
      <c r="C4701" s="6">
        <v>2000.0</v>
      </c>
      <c r="D4701" s="6">
        <v>4.333333333</v>
      </c>
      <c r="E4701" s="6">
        <v>21.0</v>
      </c>
    </row>
    <row r="4702">
      <c r="A4702" s="4" t="s">
        <v>9346</v>
      </c>
      <c r="B4702" s="5" t="s">
        <v>9347</v>
      </c>
      <c r="C4702" s="6">
        <v>2000.0</v>
      </c>
      <c r="D4702" s="6">
        <v>2.428571429</v>
      </c>
      <c r="E4702" s="6">
        <v>14.0</v>
      </c>
    </row>
    <row r="4703">
      <c r="A4703" s="4" t="s">
        <v>9348</v>
      </c>
      <c r="B4703" s="5" t="s">
        <v>9349</v>
      </c>
      <c r="C4703" s="6">
        <v>2000.0</v>
      </c>
      <c r="D4703" s="6">
        <v>5.0</v>
      </c>
      <c r="E4703" s="6">
        <v>2.0</v>
      </c>
    </row>
    <row r="4704">
      <c r="A4704" s="4" t="s">
        <v>9350</v>
      </c>
      <c r="B4704" s="5" t="s">
        <v>9351</v>
      </c>
      <c r="C4704" s="6">
        <v>2000.0</v>
      </c>
      <c r="D4704" s="6">
        <v>5.0</v>
      </c>
      <c r="E4704" s="6">
        <v>3.0</v>
      </c>
    </row>
    <row r="4705">
      <c r="A4705" s="4" t="s">
        <v>9352</v>
      </c>
      <c r="B4705" s="5" t="s">
        <v>9353</v>
      </c>
      <c r="C4705" s="6">
        <v>2000.0</v>
      </c>
      <c r="D4705" s="6">
        <v>4.333333333</v>
      </c>
      <c r="E4705" s="6">
        <v>6.0</v>
      </c>
    </row>
    <row r="4706">
      <c r="A4706" s="4" t="s">
        <v>9354</v>
      </c>
      <c r="B4706" s="5" t="s">
        <v>9355</v>
      </c>
      <c r="C4706" s="6">
        <v>2000.0</v>
      </c>
      <c r="D4706" s="6">
        <v>3.692307692</v>
      </c>
      <c r="E4706" s="6">
        <v>13.0</v>
      </c>
    </row>
    <row r="4707">
      <c r="A4707" s="4" t="s">
        <v>9356</v>
      </c>
      <c r="B4707" s="5" t="s">
        <v>9357</v>
      </c>
      <c r="C4707" s="6">
        <v>2000.0</v>
      </c>
      <c r="D4707" s="6">
        <v>5.0</v>
      </c>
      <c r="E4707" s="6">
        <v>1.0</v>
      </c>
    </row>
    <row r="4708">
      <c r="A4708" s="4" t="s">
        <v>9358</v>
      </c>
      <c r="B4708" s="5" t="s">
        <v>9359</v>
      </c>
      <c r="C4708" s="6">
        <v>2000.0</v>
      </c>
      <c r="D4708" s="6">
        <v>4.372093023</v>
      </c>
      <c r="E4708" s="6">
        <v>43.0</v>
      </c>
    </row>
    <row r="4709">
      <c r="A4709" s="4" t="s">
        <v>2872</v>
      </c>
      <c r="B4709" s="5" t="s">
        <v>9360</v>
      </c>
      <c r="C4709" s="6">
        <v>2000.0</v>
      </c>
      <c r="D4709" s="6">
        <v>3.742857143</v>
      </c>
      <c r="E4709" s="6">
        <v>35.0</v>
      </c>
    </row>
    <row r="4710">
      <c r="A4710" s="4" t="s">
        <v>9361</v>
      </c>
      <c r="B4710" s="5" t="s">
        <v>9362</v>
      </c>
      <c r="C4710" s="6">
        <v>2000.0</v>
      </c>
      <c r="D4710" s="6">
        <v>3.9</v>
      </c>
      <c r="E4710" s="6">
        <v>10.0</v>
      </c>
    </row>
    <row r="4711">
      <c r="A4711" s="4" t="s">
        <v>9363</v>
      </c>
      <c r="B4711" s="5" t="s">
        <v>9364</v>
      </c>
      <c r="C4711" s="6">
        <v>2000.0</v>
      </c>
      <c r="D4711" s="6">
        <v>5.0</v>
      </c>
      <c r="E4711" s="6">
        <v>5.0</v>
      </c>
    </row>
    <row r="4712">
      <c r="A4712" s="4" t="s">
        <v>9365</v>
      </c>
      <c r="B4712" s="5" t="s">
        <v>9366</v>
      </c>
      <c r="C4712" s="6">
        <v>2000.0</v>
      </c>
      <c r="D4712" s="6">
        <v>3.625</v>
      </c>
      <c r="E4712" s="6">
        <v>8.0</v>
      </c>
    </row>
    <row r="4713">
      <c r="A4713" s="4" t="s">
        <v>9367</v>
      </c>
      <c r="B4713" s="5" t="s">
        <v>9368</v>
      </c>
      <c r="C4713" s="6">
        <v>2000.0</v>
      </c>
      <c r="D4713" s="6">
        <v>4.217391304</v>
      </c>
      <c r="E4713" s="6">
        <v>23.0</v>
      </c>
    </row>
    <row r="4714">
      <c r="A4714" s="4" t="s">
        <v>9369</v>
      </c>
      <c r="B4714" s="5" t="s">
        <v>9370</v>
      </c>
      <c r="C4714" s="6">
        <v>2000.0</v>
      </c>
      <c r="D4714" s="6">
        <v>3.818181818</v>
      </c>
      <c r="E4714" s="6">
        <v>22.0</v>
      </c>
    </row>
    <row r="4715">
      <c r="A4715" s="4" t="s">
        <v>9371</v>
      </c>
      <c r="B4715" s="5" t="s">
        <v>9372</v>
      </c>
      <c r="C4715" s="6">
        <v>2000.0</v>
      </c>
      <c r="D4715" s="6">
        <v>4.666666667</v>
      </c>
      <c r="E4715" s="6">
        <v>51.0</v>
      </c>
    </row>
    <row r="4716">
      <c r="A4716" s="4" t="s">
        <v>9373</v>
      </c>
      <c r="B4716" s="5" t="s">
        <v>9374</v>
      </c>
      <c r="C4716" s="6">
        <v>2000.0</v>
      </c>
      <c r="D4716" s="9"/>
      <c r="E4716" s="9"/>
    </row>
    <row r="4717">
      <c r="A4717" s="4" t="s">
        <v>9375</v>
      </c>
      <c r="B4717" s="5" t="s">
        <v>9376</v>
      </c>
      <c r="C4717" s="6">
        <v>2000.0</v>
      </c>
      <c r="D4717" s="6">
        <v>4.333333333</v>
      </c>
      <c r="E4717" s="6">
        <v>3.0</v>
      </c>
    </row>
    <row r="4718">
      <c r="A4718" s="4" t="s">
        <v>9377</v>
      </c>
      <c r="B4718" s="5" t="s">
        <v>9378</v>
      </c>
      <c r="C4718" s="6">
        <v>2000.0</v>
      </c>
      <c r="D4718" s="6">
        <v>4.318181818</v>
      </c>
      <c r="E4718" s="6">
        <v>22.0</v>
      </c>
    </row>
    <row r="4719">
      <c r="A4719" s="4" t="s">
        <v>9379</v>
      </c>
      <c r="B4719" s="5" t="s">
        <v>9380</v>
      </c>
      <c r="C4719" s="6">
        <v>2000.0</v>
      </c>
      <c r="D4719" s="9"/>
      <c r="E4719" s="9"/>
    </row>
    <row r="4720">
      <c r="A4720" s="4" t="s">
        <v>9381</v>
      </c>
      <c r="B4720" s="5" t="s">
        <v>9382</v>
      </c>
      <c r="C4720" s="6">
        <v>2000.0</v>
      </c>
      <c r="D4720" s="6">
        <v>4.166666667</v>
      </c>
      <c r="E4720" s="6">
        <v>6.0</v>
      </c>
    </row>
    <row r="4721">
      <c r="A4721" s="4" t="s">
        <v>9383</v>
      </c>
      <c r="B4721" s="5" t="s">
        <v>9384</v>
      </c>
      <c r="C4721" s="6">
        <v>2000.0</v>
      </c>
      <c r="D4721" s="6">
        <v>4.652173913</v>
      </c>
      <c r="E4721" s="6">
        <v>23.0</v>
      </c>
    </row>
    <row r="4722">
      <c r="A4722" s="4" t="s">
        <v>9385</v>
      </c>
      <c r="B4722" s="5" t="s">
        <v>9386</v>
      </c>
      <c r="C4722" s="6">
        <v>2000.0</v>
      </c>
      <c r="D4722" s="6">
        <v>2.25</v>
      </c>
      <c r="E4722" s="6">
        <v>4.0</v>
      </c>
    </row>
    <row r="4723">
      <c r="A4723" s="4" t="s">
        <v>9387</v>
      </c>
      <c r="B4723" s="5" t="s">
        <v>9388</v>
      </c>
      <c r="C4723" s="6">
        <v>2000.0</v>
      </c>
      <c r="D4723" s="6">
        <v>3.85</v>
      </c>
      <c r="E4723" s="6">
        <v>20.0</v>
      </c>
    </row>
    <row r="4724">
      <c r="A4724" s="4" t="s">
        <v>9389</v>
      </c>
      <c r="B4724" s="5" t="s">
        <v>9390</v>
      </c>
      <c r="C4724" s="6">
        <v>2000.0</v>
      </c>
      <c r="D4724" s="6">
        <v>5.0</v>
      </c>
      <c r="E4724" s="6">
        <v>4.0</v>
      </c>
    </row>
    <row r="4725">
      <c r="A4725" s="4" t="s">
        <v>9391</v>
      </c>
      <c r="B4725" s="5" t="s">
        <v>9392</v>
      </c>
      <c r="C4725" s="6">
        <v>2000.0</v>
      </c>
      <c r="D4725" s="6">
        <v>4.060606061</v>
      </c>
      <c r="E4725" s="6">
        <v>66.0</v>
      </c>
    </row>
    <row r="4726">
      <c r="A4726" s="4" t="s">
        <v>9393</v>
      </c>
      <c r="B4726" s="5" t="s">
        <v>9394</v>
      </c>
      <c r="C4726" s="6">
        <v>2000.0</v>
      </c>
      <c r="D4726" s="6">
        <v>4.166666667</v>
      </c>
      <c r="E4726" s="6">
        <v>6.0</v>
      </c>
    </row>
    <row r="4727">
      <c r="A4727" s="4" t="s">
        <v>9395</v>
      </c>
      <c r="B4727" s="5" t="s">
        <v>9396</v>
      </c>
      <c r="C4727" s="6">
        <v>2000.0</v>
      </c>
      <c r="D4727" s="6">
        <v>3.971223022</v>
      </c>
      <c r="E4727" s="6">
        <v>139.0</v>
      </c>
    </row>
    <row r="4728">
      <c r="A4728" s="4" t="s">
        <v>9397</v>
      </c>
      <c r="B4728" s="12" t="s">
        <v>9398</v>
      </c>
      <c r="C4728" s="7">
        <v>2000.0</v>
      </c>
      <c r="D4728" s="6">
        <v>3.5</v>
      </c>
      <c r="E4728" s="6">
        <v>13.0</v>
      </c>
    </row>
    <row r="4729">
      <c r="A4729" s="4" t="s">
        <v>9399</v>
      </c>
      <c r="B4729" s="5" t="s">
        <v>9400</v>
      </c>
      <c r="C4729" s="6">
        <v>2000.0</v>
      </c>
      <c r="D4729" s="6">
        <v>3.75</v>
      </c>
      <c r="E4729" s="6">
        <v>4.0</v>
      </c>
    </row>
    <row r="4730">
      <c r="A4730" s="4" t="s">
        <v>9401</v>
      </c>
      <c r="B4730" s="5" t="s">
        <v>9402</v>
      </c>
      <c r="C4730" s="6">
        <v>2000.0</v>
      </c>
      <c r="D4730" s="6">
        <v>3.3</v>
      </c>
      <c r="E4730" s="6">
        <v>10.0</v>
      </c>
    </row>
    <row r="4731">
      <c r="A4731" s="4" t="s">
        <v>9403</v>
      </c>
      <c r="B4731" s="5" t="s">
        <v>9404</v>
      </c>
      <c r="C4731" s="6">
        <v>2000.0</v>
      </c>
      <c r="D4731" s="6">
        <v>5.0</v>
      </c>
      <c r="E4731" s="6">
        <v>5.0</v>
      </c>
    </row>
    <row r="4732">
      <c r="A4732" s="4" t="s">
        <v>9405</v>
      </c>
      <c r="B4732" s="5" t="s">
        <v>9406</v>
      </c>
      <c r="C4732" s="6">
        <v>2000.0</v>
      </c>
      <c r="D4732" s="6">
        <v>4.909090909</v>
      </c>
      <c r="E4732" s="6">
        <v>11.0</v>
      </c>
    </row>
    <row r="4733">
      <c r="A4733" s="4" t="s">
        <v>9407</v>
      </c>
      <c r="B4733" s="5" t="s">
        <v>9408</v>
      </c>
      <c r="C4733" s="6">
        <v>2000.0</v>
      </c>
      <c r="D4733" s="6">
        <v>5.0</v>
      </c>
      <c r="E4733" s="6">
        <v>3.0</v>
      </c>
    </row>
    <row r="4734">
      <c r="A4734" s="4" t="s">
        <v>9409</v>
      </c>
      <c r="B4734" s="5" t="s">
        <v>9410</v>
      </c>
      <c r="C4734" s="6">
        <v>2000.0</v>
      </c>
      <c r="D4734" s="6">
        <v>4.8</v>
      </c>
      <c r="E4734" s="6">
        <v>5.0</v>
      </c>
    </row>
    <row r="4735">
      <c r="A4735" s="4" t="s">
        <v>9411</v>
      </c>
      <c r="B4735" s="5" t="s">
        <v>9412</v>
      </c>
      <c r="C4735" s="6">
        <v>2000.0</v>
      </c>
      <c r="D4735" s="6">
        <v>2.7</v>
      </c>
      <c r="E4735" s="6">
        <v>30.0</v>
      </c>
    </row>
    <row r="4736">
      <c r="A4736" s="4" t="s">
        <v>9413</v>
      </c>
      <c r="B4736" s="5" t="s">
        <v>9414</v>
      </c>
      <c r="C4736" s="6">
        <v>2000.0</v>
      </c>
      <c r="D4736" s="6">
        <v>4.777777778</v>
      </c>
      <c r="E4736" s="6">
        <v>36.0</v>
      </c>
    </row>
    <row r="4737">
      <c r="A4737" s="4" t="s">
        <v>9415</v>
      </c>
      <c r="B4737" s="5" t="s">
        <v>9416</v>
      </c>
      <c r="C4737" s="6">
        <v>2000.0</v>
      </c>
      <c r="D4737" s="6">
        <v>3.695652174</v>
      </c>
      <c r="E4737" s="6">
        <v>23.0</v>
      </c>
    </row>
    <row r="4738">
      <c r="A4738" s="4" t="s">
        <v>9417</v>
      </c>
      <c r="B4738" s="5" t="s">
        <v>9418</v>
      </c>
      <c r="C4738" s="6">
        <v>2000.0</v>
      </c>
      <c r="D4738" s="6">
        <v>5.0</v>
      </c>
      <c r="E4738" s="6">
        <v>1.0</v>
      </c>
    </row>
    <row r="4739">
      <c r="A4739" s="4" t="s">
        <v>9419</v>
      </c>
      <c r="B4739" s="5" t="s">
        <v>9420</v>
      </c>
      <c r="C4739" s="6">
        <v>2000.0</v>
      </c>
      <c r="D4739" s="6">
        <v>4.0</v>
      </c>
      <c r="E4739" s="6">
        <v>9.0</v>
      </c>
    </row>
    <row r="4740">
      <c r="A4740" s="4" t="s">
        <v>9421</v>
      </c>
      <c r="B4740" s="5" t="s">
        <v>9422</v>
      </c>
      <c r="C4740" s="6">
        <v>2000.0</v>
      </c>
      <c r="D4740" s="6">
        <v>3.5</v>
      </c>
      <c r="E4740" s="6">
        <v>56.0</v>
      </c>
    </row>
    <row r="4741">
      <c r="A4741" s="4" t="s">
        <v>9423</v>
      </c>
      <c r="B4741" s="5" t="s">
        <v>9424</v>
      </c>
      <c r="C4741" s="6">
        <v>2000.0</v>
      </c>
      <c r="D4741" s="6">
        <v>3.428571429</v>
      </c>
      <c r="E4741" s="6">
        <v>7.0</v>
      </c>
    </row>
    <row r="4742">
      <c r="A4742" s="4" t="s">
        <v>9425</v>
      </c>
      <c r="B4742" s="5" t="s">
        <v>9426</v>
      </c>
      <c r="C4742" s="6">
        <v>2000.0</v>
      </c>
      <c r="D4742" s="6">
        <v>3.0</v>
      </c>
      <c r="E4742" s="6">
        <v>2.0</v>
      </c>
    </row>
    <row r="4743">
      <c r="A4743" s="4" t="s">
        <v>9427</v>
      </c>
      <c r="B4743" s="5" t="s">
        <v>9428</v>
      </c>
      <c r="C4743" s="6">
        <v>2000.0</v>
      </c>
      <c r="D4743" s="6">
        <v>3.727272727</v>
      </c>
      <c r="E4743" s="6">
        <v>11.0</v>
      </c>
    </row>
    <row r="4744">
      <c r="A4744" s="4" t="s">
        <v>9429</v>
      </c>
      <c r="B4744" s="5" t="s">
        <v>9430</v>
      </c>
      <c r="C4744" s="6">
        <v>2000.0</v>
      </c>
      <c r="D4744" s="6">
        <v>5.0</v>
      </c>
      <c r="E4744" s="6">
        <v>1.0</v>
      </c>
    </row>
    <row r="4745">
      <c r="A4745" s="4" t="s">
        <v>9431</v>
      </c>
      <c r="B4745" s="5" t="s">
        <v>9432</v>
      </c>
      <c r="C4745" s="6">
        <v>2000.0</v>
      </c>
      <c r="D4745" s="6">
        <v>3.533333333</v>
      </c>
      <c r="E4745" s="6">
        <v>15.0</v>
      </c>
    </row>
    <row r="4746">
      <c r="A4746" s="4" t="s">
        <v>3198</v>
      </c>
      <c r="B4746" s="5" t="s">
        <v>9433</v>
      </c>
      <c r="C4746" s="6">
        <v>2000.0</v>
      </c>
      <c r="D4746" s="6">
        <v>4.0</v>
      </c>
      <c r="E4746" s="6">
        <v>4.0</v>
      </c>
    </row>
    <row r="4747">
      <c r="A4747" s="4" t="s">
        <v>9434</v>
      </c>
      <c r="B4747" s="5" t="s">
        <v>9435</v>
      </c>
      <c r="C4747" s="6">
        <v>2000.0</v>
      </c>
      <c r="D4747" s="6">
        <v>2.666666667</v>
      </c>
      <c r="E4747" s="6">
        <v>12.0</v>
      </c>
    </row>
    <row r="4748">
      <c r="A4748" s="4" t="s">
        <v>9436</v>
      </c>
      <c r="B4748" s="5" t="s">
        <v>9437</v>
      </c>
      <c r="C4748" s="6">
        <v>2000.0</v>
      </c>
      <c r="D4748" s="6">
        <v>4.2</v>
      </c>
      <c r="E4748" s="6">
        <v>30.0</v>
      </c>
    </row>
    <row r="4749">
      <c r="A4749" s="4" t="s">
        <v>9438</v>
      </c>
      <c r="B4749" s="5" t="s">
        <v>9439</v>
      </c>
      <c r="C4749" s="6">
        <v>2000.0</v>
      </c>
      <c r="D4749" s="6">
        <v>4.0</v>
      </c>
      <c r="E4749" s="6">
        <v>13.0</v>
      </c>
    </row>
    <row r="4750">
      <c r="A4750" s="4" t="s">
        <v>8664</v>
      </c>
      <c r="B4750" s="5" t="s">
        <v>9440</v>
      </c>
      <c r="C4750" s="6">
        <v>2000.0</v>
      </c>
      <c r="D4750" s="6">
        <v>3.829787234</v>
      </c>
      <c r="E4750" s="6">
        <v>47.0</v>
      </c>
    </row>
    <row r="4751">
      <c r="A4751" s="4" t="s">
        <v>9441</v>
      </c>
      <c r="B4751" s="5" t="s">
        <v>9442</v>
      </c>
      <c r="C4751" s="6">
        <v>2000.0</v>
      </c>
      <c r="D4751" s="6">
        <v>4.071428571</v>
      </c>
      <c r="E4751" s="6">
        <v>14.0</v>
      </c>
    </row>
    <row r="4752">
      <c r="A4752" s="4" t="s">
        <v>9443</v>
      </c>
      <c r="B4752" s="5" t="s">
        <v>9444</v>
      </c>
      <c r="C4752" s="6">
        <v>2000.0</v>
      </c>
      <c r="D4752" s="6">
        <v>3.5</v>
      </c>
      <c r="E4752" s="6">
        <v>10.0</v>
      </c>
    </row>
    <row r="4753">
      <c r="A4753" s="4" t="s">
        <v>9445</v>
      </c>
      <c r="B4753" s="5" t="s">
        <v>9446</v>
      </c>
      <c r="C4753" s="6">
        <v>2000.0</v>
      </c>
      <c r="D4753" s="6">
        <v>4.285714286</v>
      </c>
      <c r="E4753" s="6">
        <v>7.0</v>
      </c>
    </row>
    <row r="4754">
      <c r="A4754" s="4" t="s">
        <v>9447</v>
      </c>
      <c r="B4754" s="5" t="s">
        <v>9448</v>
      </c>
      <c r="C4754" s="6">
        <v>2000.0</v>
      </c>
      <c r="D4754" s="6">
        <v>4.102564103</v>
      </c>
      <c r="E4754" s="6">
        <v>39.0</v>
      </c>
    </row>
    <row r="4755">
      <c r="A4755" s="4" t="s">
        <v>9449</v>
      </c>
      <c r="B4755" s="5" t="s">
        <v>9450</v>
      </c>
      <c r="C4755" s="6">
        <v>2000.0</v>
      </c>
      <c r="D4755" s="6">
        <v>2.9</v>
      </c>
      <c r="E4755" s="6">
        <v>10.0</v>
      </c>
    </row>
    <row r="4756">
      <c r="A4756" s="4" t="s">
        <v>9451</v>
      </c>
      <c r="B4756" s="5" t="s">
        <v>9452</v>
      </c>
      <c r="C4756" s="6">
        <v>2000.0</v>
      </c>
      <c r="D4756" s="6">
        <v>3.636363636</v>
      </c>
      <c r="E4756" s="6">
        <v>22.0</v>
      </c>
    </row>
    <row r="4757">
      <c r="A4757" s="4" t="s">
        <v>9453</v>
      </c>
      <c r="B4757" s="5" t="s">
        <v>9454</v>
      </c>
      <c r="C4757" s="6">
        <v>2000.0</v>
      </c>
      <c r="D4757" s="6">
        <v>4.142857143</v>
      </c>
      <c r="E4757" s="6">
        <v>7.0</v>
      </c>
    </row>
    <row r="4758">
      <c r="A4758" s="4" t="s">
        <v>9455</v>
      </c>
      <c r="B4758" s="5" t="s">
        <v>9456</v>
      </c>
      <c r="C4758" s="6">
        <v>2000.0</v>
      </c>
      <c r="D4758" s="6">
        <v>3.892857143</v>
      </c>
      <c r="E4758" s="6">
        <v>28.0</v>
      </c>
    </row>
    <row r="4759">
      <c r="A4759" s="4" t="s">
        <v>9457</v>
      </c>
      <c r="B4759" s="5" t="s">
        <v>9458</v>
      </c>
      <c r="C4759" s="6">
        <v>2000.0</v>
      </c>
      <c r="D4759" s="6">
        <v>3.857142857</v>
      </c>
      <c r="E4759" s="6">
        <v>14.0</v>
      </c>
    </row>
    <row r="4760">
      <c r="A4760" s="4" t="s">
        <v>9459</v>
      </c>
      <c r="B4760" s="5" t="s">
        <v>9460</v>
      </c>
      <c r="C4760" s="6">
        <v>2000.0</v>
      </c>
      <c r="D4760" s="6">
        <v>4.22</v>
      </c>
      <c r="E4760" s="6">
        <v>50.0</v>
      </c>
    </row>
    <row r="4761">
      <c r="A4761" s="4" t="s">
        <v>9461</v>
      </c>
      <c r="B4761" s="5" t="s">
        <v>9462</v>
      </c>
      <c r="C4761" s="6">
        <v>2000.0</v>
      </c>
      <c r="D4761" s="6">
        <v>3.78125</v>
      </c>
      <c r="E4761" s="6">
        <v>32.0</v>
      </c>
    </row>
    <row r="4762">
      <c r="A4762" s="4" t="s">
        <v>9463</v>
      </c>
      <c r="B4762" s="5" t="s">
        <v>9464</v>
      </c>
      <c r="C4762" s="6">
        <v>2000.0</v>
      </c>
      <c r="D4762" s="6">
        <v>4.5</v>
      </c>
      <c r="E4762" s="6">
        <v>4.0</v>
      </c>
    </row>
    <row r="4763">
      <c r="A4763" s="4" t="s">
        <v>9465</v>
      </c>
      <c r="B4763" s="5" t="s">
        <v>9466</v>
      </c>
      <c r="C4763" s="6">
        <v>2000.0</v>
      </c>
      <c r="D4763" s="6">
        <v>2.543478261</v>
      </c>
      <c r="E4763" s="6">
        <v>46.0</v>
      </c>
    </row>
    <row r="4764">
      <c r="A4764" s="4" t="s">
        <v>9467</v>
      </c>
      <c r="B4764" s="5" t="s">
        <v>9468</v>
      </c>
      <c r="C4764" s="6">
        <v>2000.0</v>
      </c>
      <c r="D4764" s="6">
        <v>4.705882353</v>
      </c>
      <c r="E4764" s="6">
        <v>17.0</v>
      </c>
    </row>
    <row r="4765">
      <c r="A4765" s="4" t="s">
        <v>9469</v>
      </c>
      <c r="B4765" s="5" t="s">
        <v>9470</v>
      </c>
      <c r="C4765" s="6">
        <v>2000.0</v>
      </c>
      <c r="D4765" s="6">
        <v>4.333333333</v>
      </c>
      <c r="E4765" s="6">
        <v>6.0</v>
      </c>
    </row>
    <row r="4766">
      <c r="A4766" s="4" t="s">
        <v>9471</v>
      </c>
      <c r="B4766" s="5" t="s">
        <v>9472</v>
      </c>
      <c r="C4766" s="6">
        <v>2000.0</v>
      </c>
      <c r="D4766" s="6">
        <v>4.666666667</v>
      </c>
      <c r="E4766" s="6">
        <v>42.0</v>
      </c>
    </row>
    <row r="4767">
      <c r="A4767" s="4" t="s">
        <v>9473</v>
      </c>
      <c r="B4767" s="5" t="s">
        <v>9474</v>
      </c>
      <c r="C4767" s="6">
        <v>2000.0</v>
      </c>
      <c r="D4767" s="6">
        <v>4.089430894</v>
      </c>
      <c r="E4767" s="6">
        <v>123.0</v>
      </c>
    </row>
    <row r="4768">
      <c r="A4768" s="4" t="s">
        <v>9475</v>
      </c>
      <c r="B4768" s="5" t="s">
        <v>9476</v>
      </c>
      <c r="C4768" s="6">
        <v>2000.0</v>
      </c>
      <c r="D4768" s="6">
        <v>4.032258065</v>
      </c>
      <c r="E4768" s="6">
        <v>31.0</v>
      </c>
    </row>
    <row r="4769">
      <c r="A4769" s="4" t="s">
        <v>9477</v>
      </c>
      <c r="B4769" s="5" t="s">
        <v>9478</v>
      </c>
      <c r="C4769" s="6">
        <v>2000.0</v>
      </c>
      <c r="D4769" s="6">
        <v>4.166666667</v>
      </c>
      <c r="E4769" s="6">
        <v>12.0</v>
      </c>
    </row>
    <row r="4770">
      <c r="A4770" s="4" t="s">
        <v>9479</v>
      </c>
      <c r="B4770" s="5" t="s">
        <v>9480</v>
      </c>
      <c r="C4770" s="6">
        <v>2000.0</v>
      </c>
      <c r="D4770" s="6">
        <v>3.803571429</v>
      </c>
      <c r="E4770" s="6">
        <v>56.0</v>
      </c>
    </row>
    <row r="4771">
      <c r="A4771" s="4" t="s">
        <v>9481</v>
      </c>
      <c r="B4771" s="5" t="s">
        <v>9482</v>
      </c>
      <c r="C4771" s="6">
        <v>2000.0</v>
      </c>
      <c r="D4771" s="6">
        <v>4.1875</v>
      </c>
      <c r="E4771" s="6">
        <v>48.0</v>
      </c>
    </row>
    <row r="4772">
      <c r="A4772" s="4" t="s">
        <v>9483</v>
      </c>
      <c r="B4772" s="5" t="s">
        <v>9484</v>
      </c>
      <c r="C4772" s="6">
        <v>2000.0</v>
      </c>
      <c r="D4772" s="9"/>
      <c r="E4772" s="9"/>
    </row>
    <row r="4773">
      <c r="A4773" s="4" t="s">
        <v>9485</v>
      </c>
      <c r="B4773" s="5" t="s">
        <v>9486</v>
      </c>
      <c r="C4773" s="6">
        <v>2000.0</v>
      </c>
      <c r="D4773" s="6">
        <v>1.692307692</v>
      </c>
      <c r="E4773" s="6">
        <v>13.0</v>
      </c>
    </row>
    <row r="4774">
      <c r="A4774" s="4" t="s">
        <v>9487</v>
      </c>
      <c r="B4774" s="5" t="s">
        <v>9488</v>
      </c>
      <c r="C4774" s="6">
        <v>2000.0</v>
      </c>
      <c r="D4774" s="6">
        <v>4.555555556</v>
      </c>
      <c r="E4774" s="6">
        <v>9.0</v>
      </c>
    </row>
    <row r="4775">
      <c r="A4775" s="4" t="s">
        <v>9489</v>
      </c>
      <c r="B4775" s="5" t="s">
        <v>9490</v>
      </c>
      <c r="C4775" s="6">
        <v>2000.0</v>
      </c>
      <c r="D4775" s="6">
        <v>4.355555556</v>
      </c>
      <c r="E4775" s="6">
        <v>45.0</v>
      </c>
    </row>
    <row r="4776">
      <c r="A4776" s="4" t="s">
        <v>9491</v>
      </c>
      <c r="B4776" s="5" t="s">
        <v>9492</v>
      </c>
      <c r="C4776" s="6">
        <v>2000.0</v>
      </c>
      <c r="D4776" s="6">
        <v>3.5</v>
      </c>
      <c r="E4776" s="6">
        <v>14.0</v>
      </c>
    </row>
    <row r="4777">
      <c r="A4777" s="4" t="s">
        <v>9493</v>
      </c>
      <c r="B4777" s="5" t="s">
        <v>9494</v>
      </c>
      <c r="C4777" s="6">
        <v>2000.0</v>
      </c>
      <c r="D4777" s="6">
        <v>3.75</v>
      </c>
      <c r="E4777" s="6">
        <v>36.0</v>
      </c>
    </row>
    <row r="4778">
      <c r="A4778" s="4" t="s">
        <v>9495</v>
      </c>
      <c r="B4778" s="5" t="s">
        <v>9496</v>
      </c>
      <c r="C4778" s="6">
        <v>2000.0</v>
      </c>
      <c r="D4778" s="6">
        <v>3.333333333</v>
      </c>
      <c r="E4778" s="6">
        <v>6.0</v>
      </c>
    </row>
    <row r="4779">
      <c r="A4779" s="4" t="s">
        <v>1306</v>
      </c>
      <c r="B4779" s="5" t="s">
        <v>9497</v>
      </c>
      <c r="C4779" s="6">
        <v>2000.0</v>
      </c>
      <c r="D4779" s="6">
        <v>4.2</v>
      </c>
      <c r="E4779" s="6">
        <v>15.0</v>
      </c>
    </row>
    <row r="4780">
      <c r="A4780" s="4" t="s">
        <v>9498</v>
      </c>
      <c r="B4780" s="5" t="s">
        <v>9499</v>
      </c>
      <c r="C4780" s="6">
        <v>2000.0</v>
      </c>
      <c r="D4780" s="6">
        <v>4.217391304</v>
      </c>
      <c r="E4780" s="6">
        <v>23.0</v>
      </c>
    </row>
    <row r="4781">
      <c r="A4781" s="4" t="s">
        <v>9500</v>
      </c>
      <c r="B4781" s="5" t="s">
        <v>9501</v>
      </c>
      <c r="C4781" s="6">
        <v>2000.0</v>
      </c>
      <c r="D4781" s="6">
        <v>4.896907216</v>
      </c>
      <c r="E4781" s="6">
        <v>97.0</v>
      </c>
    </row>
    <row r="4782">
      <c r="A4782" s="4" t="s">
        <v>9502</v>
      </c>
      <c r="B4782" s="5" t="s">
        <v>9503</v>
      </c>
      <c r="C4782" s="6">
        <v>2000.0</v>
      </c>
      <c r="D4782" s="6">
        <v>4.166666667</v>
      </c>
      <c r="E4782" s="6">
        <v>24.0</v>
      </c>
    </row>
    <row r="4783">
      <c r="A4783" s="4" t="s">
        <v>9504</v>
      </c>
      <c r="B4783" s="5" t="s">
        <v>9505</v>
      </c>
      <c r="C4783" s="6">
        <v>2000.0</v>
      </c>
      <c r="D4783" s="6">
        <v>2.166666667</v>
      </c>
      <c r="E4783" s="6">
        <v>12.0</v>
      </c>
    </row>
    <row r="4784">
      <c r="A4784" s="4" t="s">
        <v>9506</v>
      </c>
      <c r="B4784" s="5" t="s">
        <v>9507</v>
      </c>
      <c r="C4784" s="6">
        <v>2000.0</v>
      </c>
      <c r="D4784" s="6">
        <v>2.0</v>
      </c>
      <c r="E4784" s="6">
        <v>4.0</v>
      </c>
    </row>
    <row r="4785">
      <c r="A4785" s="4" t="s">
        <v>9508</v>
      </c>
      <c r="B4785" s="5" t="s">
        <v>9509</v>
      </c>
      <c r="C4785" s="6">
        <v>2000.0</v>
      </c>
      <c r="D4785" s="6">
        <v>4.765957447</v>
      </c>
      <c r="E4785" s="6">
        <v>47.0</v>
      </c>
    </row>
    <row r="4786">
      <c r="A4786" s="4" t="s">
        <v>9510</v>
      </c>
      <c r="B4786" s="5" t="s">
        <v>9511</v>
      </c>
      <c r="C4786" s="6">
        <v>2000.0</v>
      </c>
      <c r="D4786" s="6">
        <v>4.142857143</v>
      </c>
      <c r="E4786" s="6">
        <v>7.0</v>
      </c>
    </row>
    <row r="4787">
      <c r="A4787" s="4" t="s">
        <v>9512</v>
      </c>
      <c r="B4787" s="5" t="s">
        <v>9513</v>
      </c>
      <c r="C4787" s="6">
        <v>2000.0</v>
      </c>
      <c r="D4787" s="6">
        <v>3.170731707</v>
      </c>
      <c r="E4787" s="6">
        <v>41.0</v>
      </c>
    </row>
    <row r="4788">
      <c r="A4788" s="4" t="s">
        <v>9514</v>
      </c>
      <c r="B4788" s="5" t="s">
        <v>9515</v>
      </c>
      <c r="C4788" s="6">
        <v>2000.0</v>
      </c>
      <c r="D4788" s="6">
        <v>3.666666667</v>
      </c>
      <c r="E4788" s="6">
        <v>9.0</v>
      </c>
    </row>
    <row r="4789">
      <c r="A4789" s="4" t="s">
        <v>9516</v>
      </c>
      <c r="B4789" s="5" t="s">
        <v>9517</v>
      </c>
      <c r="C4789" s="6">
        <v>2000.0</v>
      </c>
      <c r="D4789" s="6">
        <v>5.0</v>
      </c>
      <c r="E4789" s="6">
        <v>19.0</v>
      </c>
    </row>
    <row r="4790">
      <c r="A4790" s="4" t="s">
        <v>9518</v>
      </c>
      <c r="B4790" s="5" t="s">
        <v>9519</v>
      </c>
      <c r="C4790" s="6">
        <v>2000.0</v>
      </c>
      <c r="D4790" s="6">
        <v>5.0</v>
      </c>
      <c r="E4790" s="6">
        <v>3.0</v>
      </c>
    </row>
    <row r="4791">
      <c r="A4791" s="4" t="s">
        <v>9520</v>
      </c>
      <c r="B4791" s="5" t="s">
        <v>9521</v>
      </c>
      <c r="C4791" s="6">
        <v>2000.0</v>
      </c>
      <c r="D4791" s="6">
        <v>3.68</v>
      </c>
      <c r="E4791" s="6">
        <v>25.0</v>
      </c>
    </row>
    <row r="4792">
      <c r="A4792" s="4" t="s">
        <v>9522</v>
      </c>
      <c r="B4792" s="5" t="s">
        <v>9523</v>
      </c>
      <c r="C4792" s="6">
        <v>2000.0</v>
      </c>
      <c r="D4792" s="6">
        <v>4.375</v>
      </c>
      <c r="E4792" s="6">
        <v>16.0</v>
      </c>
    </row>
    <row r="4793">
      <c r="A4793" s="4" t="s">
        <v>9524</v>
      </c>
      <c r="B4793" s="5" t="s">
        <v>9525</v>
      </c>
      <c r="C4793" s="6">
        <v>2000.0</v>
      </c>
      <c r="D4793" s="6">
        <v>2.903225806</v>
      </c>
      <c r="E4793" s="6">
        <v>31.0</v>
      </c>
    </row>
    <row r="4794">
      <c r="A4794" s="4" t="s">
        <v>9526</v>
      </c>
      <c r="B4794" s="5" t="s">
        <v>9527</v>
      </c>
      <c r="C4794" s="6">
        <v>2000.0</v>
      </c>
      <c r="D4794" s="6">
        <v>4.833333333</v>
      </c>
      <c r="E4794" s="6">
        <v>12.0</v>
      </c>
    </row>
    <row r="4795">
      <c r="A4795" s="4" t="s">
        <v>9528</v>
      </c>
      <c r="B4795" s="5" t="s">
        <v>9529</v>
      </c>
      <c r="C4795" s="6">
        <v>2000.0</v>
      </c>
      <c r="D4795" s="6">
        <v>3.810810811</v>
      </c>
      <c r="E4795" s="6">
        <v>37.0</v>
      </c>
    </row>
    <row r="4796">
      <c r="A4796" s="4" t="s">
        <v>9530</v>
      </c>
      <c r="B4796" s="5" t="s">
        <v>9531</v>
      </c>
      <c r="C4796" s="6">
        <v>2000.0</v>
      </c>
      <c r="D4796" s="6">
        <v>3.5</v>
      </c>
      <c r="E4796" s="6">
        <v>4.0</v>
      </c>
    </row>
    <row r="4797">
      <c r="A4797" s="4" t="s">
        <v>9532</v>
      </c>
      <c r="B4797" s="5" t="s">
        <v>9533</v>
      </c>
      <c r="C4797" s="6">
        <v>2000.0</v>
      </c>
      <c r="D4797" s="6">
        <v>4.816933638</v>
      </c>
      <c r="E4797" s="6">
        <v>437.0</v>
      </c>
    </row>
    <row r="4798">
      <c r="A4798" s="4" t="s">
        <v>9534</v>
      </c>
      <c r="B4798" s="5" t="s">
        <v>9535</v>
      </c>
      <c r="C4798" s="6">
        <v>2000.0</v>
      </c>
      <c r="D4798" s="6">
        <v>2.692307692</v>
      </c>
      <c r="E4798" s="6">
        <v>13.0</v>
      </c>
    </row>
    <row r="4799">
      <c r="A4799" s="4" t="s">
        <v>9536</v>
      </c>
      <c r="B4799" s="5" t="s">
        <v>9537</v>
      </c>
      <c r="C4799" s="6">
        <v>2000.0</v>
      </c>
      <c r="D4799" s="6">
        <v>3.25</v>
      </c>
      <c r="E4799" s="6">
        <v>4.0</v>
      </c>
    </row>
    <row r="4800">
      <c r="A4800" s="4" t="s">
        <v>9538</v>
      </c>
      <c r="B4800" s="5" t="s">
        <v>9539</v>
      </c>
      <c r="C4800" s="6">
        <v>2000.0</v>
      </c>
      <c r="D4800" s="6">
        <v>3.75</v>
      </c>
      <c r="E4800" s="6">
        <v>4.0</v>
      </c>
    </row>
    <row r="4801">
      <c r="A4801" s="4" t="s">
        <v>9540</v>
      </c>
      <c r="B4801" s="5" t="s">
        <v>9541</v>
      </c>
      <c r="C4801" s="6">
        <v>2000.0</v>
      </c>
      <c r="D4801" s="6">
        <v>4.705882353</v>
      </c>
      <c r="E4801" s="6">
        <v>68.0</v>
      </c>
    </row>
    <row r="4802">
      <c r="A4802" s="4" t="s">
        <v>9542</v>
      </c>
      <c r="B4802" s="5" t="s">
        <v>9543</v>
      </c>
      <c r="C4802" s="6">
        <v>2000.0</v>
      </c>
      <c r="D4802" s="6">
        <v>2.5</v>
      </c>
      <c r="E4802" s="6">
        <v>8.0</v>
      </c>
    </row>
    <row r="4803">
      <c r="A4803" s="4" t="s">
        <v>9544</v>
      </c>
      <c r="B4803" s="5" t="s">
        <v>9545</v>
      </c>
      <c r="C4803" s="6">
        <v>2000.0</v>
      </c>
      <c r="D4803" s="6">
        <v>4.04</v>
      </c>
      <c r="E4803" s="6">
        <v>25.0</v>
      </c>
    </row>
    <row r="4804">
      <c r="A4804" s="4" t="s">
        <v>9546</v>
      </c>
      <c r="B4804" s="5" t="s">
        <v>9547</v>
      </c>
      <c r="C4804" s="6">
        <v>2000.0</v>
      </c>
      <c r="D4804" s="6">
        <v>2.222222222</v>
      </c>
      <c r="E4804" s="6">
        <v>9.0</v>
      </c>
    </row>
    <row r="4805">
      <c r="A4805" s="4" t="s">
        <v>9548</v>
      </c>
      <c r="B4805" s="5" t="s">
        <v>9549</v>
      </c>
      <c r="C4805" s="6">
        <v>2000.0</v>
      </c>
      <c r="D4805" s="6">
        <v>4.447761194</v>
      </c>
      <c r="E4805" s="6">
        <v>67.0</v>
      </c>
    </row>
    <row r="4806">
      <c r="A4806" s="4" t="s">
        <v>9550</v>
      </c>
      <c r="B4806" s="5" t="s">
        <v>9551</v>
      </c>
      <c r="C4806" s="6">
        <v>2000.0</v>
      </c>
      <c r="D4806" s="6">
        <v>2.25</v>
      </c>
      <c r="E4806" s="6">
        <v>16.0</v>
      </c>
    </row>
    <row r="4807">
      <c r="A4807" s="4" t="s">
        <v>9552</v>
      </c>
      <c r="B4807" s="5" t="s">
        <v>9553</v>
      </c>
      <c r="C4807" s="6">
        <v>2000.0</v>
      </c>
      <c r="D4807" s="6">
        <v>3.636363636</v>
      </c>
      <c r="E4807" s="6">
        <v>11.0</v>
      </c>
    </row>
    <row r="4808">
      <c r="A4808" s="4" t="s">
        <v>9554</v>
      </c>
      <c r="B4808" s="5" t="s">
        <v>9555</v>
      </c>
      <c r="C4808" s="6">
        <v>2000.0</v>
      </c>
      <c r="D4808" s="6">
        <v>4.5</v>
      </c>
      <c r="E4808" s="6">
        <v>16.0</v>
      </c>
    </row>
    <row r="4809">
      <c r="A4809" s="4" t="s">
        <v>9556</v>
      </c>
      <c r="B4809" s="5" t="s">
        <v>9557</v>
      </c>
      <c r="C4809" s="6">
        <v>2000.0</v>
      </c>
      <c r="D4809" s="6">
        <v>1.0</v>
      </c>
      <c r="E4809" s="6">
        <v>3.0</v>
      </c>
    </row>
    <row r="4810">
      <c r="A4810" s="4" t="s">
        <v>9558</v>
      </c>
      <c r="B4810" s="5" t="s">
        <v>9559</v>
      </c>
      <c r="C4810" s="6">
        <v>2000.0</v>
      </c>
      <c r="D4810" s="6">
        <v>4.666666667</v>
      </c>
      <c r="E4810" s="6">
        <v>6.0</v>
      </c>
    </row>
    <row r="4811">
      <c r="A4811" s="4" t="s">
        <v>9560</v>
      </c>
      <c r="B4811" s="5" t="s">
        <v>9561</v>
      </c>
      <c r="C4811" s="6">
        <v>2000.0</v>
      </c>
      <c r="D4811" s="6">
        <v>4.0</v>
      </c>
      <c r="E4811" s="6">
        <v>12.0</v>
      </c>
    </row>
    <row r="4812">
      <c r="A4812" s="4" t="s">
        <v>9562</v>
      </c>
      <c r="B4812" s="5" t="s">
        <v>9563</v>
      </c>
      <c r="C4812" s="6">
        <v>2000.0</v>
      </c>
      <c r="D4812" s="6">
        <v>4.407407407</v>
      </c>
      <c r="E4812" s="6">
        <v>54.0</v>
      </c>
    </row>
    <row r="4813">
      <c r="A4813" s="4" t="s">
        <v>9564</v>
      </c>
      <c r="B4813" s="5" t="s">
        <v>9565</v>
      </c>
      <c r="C4813" s="6">
        <v>2000.0</v>
      </c>
      <c r="D4813" s="6">
        <v>2.3125</v>
      </c>
      <c r="E4813" s="6">
        <v>16.0</v>
      </c>
    </row>
    <row r="4814">
      <c r="A4814" s="4" t="s">
        <v>9566</v>
      </c>
      <c r="B4814" s="5" t="s">
        <v>9567</v>
      </c>
      <c r="C4814" s="6">
        <v>2000.0</v>
      </c>
      <c r="D4814" s="6">
        <v>4.75</v>
      </c>
      <c r="E4814" s="6">
        <v>52.0</v>
      </c>
    </row>
    <row r="4815">
      <c r="A4815" s="4" t="s">
        <v>9568</v>
      </c>
      <c r="B4815" s="5" t="s">
        <v>9569</v>
      </c>
      <c r="C4815" s="6">
        <v>2000.0</v>
      </c>
      <c r="D4815" s="6">
        <v>4.555555556</v>
      </c>
      <c r="E4815" s="6">
        <v>9.0</v>
      </c>
    </row>
    <row r="4816">
      <c r="A4816" s="4" t="s">
        <v>9570</v>
      </c>
      <c r="B4816" s="5" t="s">
        <v>9571</v>
      </c>
      <c r="C4816" s="6">
        <v>2000.0</v>
      </c>
      <c r="D4816" s="6">
        <v>4.5</v>
      </c>
      <c r="E4816" s="6">
        <v>20.0</v>
      </c>
    </row>
    <row r="4817">
      <c r="A4817" s="4" t="s">
        <v>9572</v>
      </c>
      <c r="B4817" s="5" t="s">
        <v>9573</v>
      </c>
      <c r="C4817" s="6">
        <v>2000.0</v>
      </c>
      <c r="D4817" s="6">
        <v>4.263157895</v>
      </c>
      <c r="E4817" s="6">
        <v>19.0</v>
      </c>
    </row>
    <row r="4818">
      <c r="A4818" s="4" t="s">
        <v>9574</v>
      </c>
      <c r="B4818" s="5" t="s">
        <v>9575</v>
      </c>
      <c r="C4818" s="6">
        <v>2000.0</v>
      </c>
      <c r="D4818" s="6">
        <v>4.111111111</v>
      </c>
      <c r="E4818" s="6">
        <v>9.0</v>
      </c>
    </row>
    <row r="4819">
      <c r="A4819" s="4" t="s">
        <v>9576</v>
      </c>
      <c r="B4819" s="5" t="s">
        <v>9577</v>
      </c>
      <c r="C4819" s="6">
        <v>2000.0</v>
      </c>
      <c r="D4819" s="6">
        <v>3.75</v>
      </c>
      <c r="E4819" s="6">
        <v>4.0</v>
      </c>
    </row>
    <row r="4820">
      <c r="A4820" s="4" t="s">
        <v>9578</v>
      </c>
      <c r="B4820" s="5" t="s">
        <v>9579</v>
      </c>
      <c r="C4820" s="6">
        <v>2000.0</v>
      </c>
      <c r="D4820" s="9"/>
      <c r="E4820" s="9"/>
    </row>
    <row r="4821">
      <c r="A4821" s="4" t="s">
        <v>9580</v>
      </c>
      <c r="B4821" s="5" t="s">
        <v>9581</v>
      </c>
      <c r="C4821" s="6">
        <v>2000.0</v>
      </c>
      <c r="D4821" s="6">
        <v>4.653846154</v>
      </c>
      <c r="E4821" s="6">
        <v>26.0</v>
      </c>
    </row>
    <row r="4822">
      <c r="A4822" s="4" t="s">
        <v>9582</v>
      </c>
      <c r="B4822" s="5" t="s">
        <v>9583</v>
      </c>
      <c r="C4822" s="6">
        <v>2000.0</v>
      </c>
      <c r="D4822" s="9"/>
      <c r="E4822" s="9"/>
    </row>
    <row r="4823">
      <c r="A4823" s="4" t="s">
        <v>9584</v>
      </c>
      <c r="B4823" s="5" t="s">
        <v>9585</v>
      </c>
      <c r="C4823" s="6">
        <v>2000.0</v>
      </c>
      <c r="D4823" s="6">
        <v>4.409090909</v>
      </c>
      <c r="E4823" s="6">
        <v>22.0</v>
      </c>
    </row>
    <row r="4824">
      <c r="A4824" s="4" t="s">
        <v>9586</v>
      </c>
      <c r="B4824" s="5" t="s">
        <v>9587</v>
      </c>
      <c r="C4824" s="6">
        <v>2000.0</v>
      </c>
      <c r="D4824" s="6">
        <v>4.166666667</v>
      </c>
      <c r="E4824" s="6">
        <v>6.0</v>
      </c>
    </row>
    <row r="4825">
      <c r="A4825" s="4" t="s">
        <v>9588</v>
      </c>
      <c r="B4825" s="5" t="s">
        <v>9589</v>
      </c>
      <c r="C4825" s="6">
        <v>2000.0</v>
      </c>
      <c r="D4825" s="6">
        <v>4.583333333</v>
      </c>
      <c r="E4825" s="6">
        <v>60.0</v>
      </c>
    </row>
    <row r="4826">
      <c r="A4826" s="4" t="s">
        <v>9590</v>
      </c>
      <c r="B4826" s="5" t="s">
        <v>9591</v>
      </c>
      <c r="C4826" s="6">
        <v>2000.0</v>
      </c>
      <c r="D4826" s="6">
        <v>3.315789474</v>
      </c>
      <c r="E4826" s="6">
        <v>19.0</v>
      </c>
    </row>
    <row r="4827">
      <c r="A4827" s="4" t="s">
        <v>9592</v>
      </c>
      <c r="B4827" s="5" t="s">
        <v>9593</v>
      </c>
      <c r="C4827" s="6">
        <v>2000.0</v>
      </c>
      <c r="D4827" s="6">
        <v>3.714285714</v>
      </c>
      <c r="E4827" s="6">
        <v>21.0</v>
      </c>
    </row>
    <row r="4828">
      <c r="A4828" s="4" t="s">
        <v>9594</v>
      </c>
      <c r="B4828" s="5" t="s">
        <v>9595</v>
      </c>
      <c r="C4828" s="6">
        <v>2000.0</v>
      </c>
      <c r="D4828" s="6">
        <v>3.875</v>
      </c>
      <c r="E4828" s="6">
        <v>16.0</v>
      </c>
    </row>
    <row r="4829">
      <c r="A4829" s="4" t="s">
        <v>9596</v>
      </c>
      <c r="B4829" s="5" t="s">
        <v>9597</v>
      </c>
      <c r="C4829" s="6">
        <v>2000.0</v>
      </c>
      <c r="D4829" s="6">
        <v>4.0</v>
      </c>
      <c r="E4829" s="6">
        <v>31.0</v>
      </c>
    </row>
    <row r="4830">
      <c r="A4830" s="4" t="s">
        <v>9598</v>
      </c>
      <c r="B4830" s="5" t="s">
        <v>9599</v>
      </c>
      <c r="C4830" s="6">
        <v>2000.0</v>
      </c>
      <c r="D4830" s="6">
        <v>3.75</v>
      </c>
      <c r="E4830" s="6">
        <v>4.0</v>
      </c>
    </row>
    <row r="4831">
      <c r="A4831" s="4" t="s">
        <v>9600</v>
      </c>
      <c r="B4831" s="5" t="s">
        <v>9601</v>
      </c>
      <c r="C4831" s="6">
        <v>2000.0</v>
      </c>
      <c r="D4831" s="6">
        <v>4.785714286</v>
      </c>
      <c r="E4831" s="6">
        <v>14.0</v>
      </c>
    </row>
    <row r="4832">
      <c r="A4832" s="4" t="s">
        <v>9602</v>
      </c>
      <c r="B4832" s="5" t="s">
        <v>9603</v>
      </c>
      <c r="C4832" s="6">
        <v>2000.0</v>
      </c>
      <c r="D4832" s="6">
        <v>3.333333333</v>
      </c>
      <c r="E4832" s="6">
        <v>6.0</v>
      </c>
    </row>
    <row r="4833">
      <c r="A4833" s="4" t="s">
        <v>9604</v>
      </c>
      <c r="B4833" s="5" t="s">
        <v>9605</v>
      </c>
      <c r="C4833" s="6">
        <v>2000.0</v>
      </c>
      <c r="D4833" s="6">
        <v>3.909090909</v>
      </c>
      <c r="E4833" s="6">
        <v>11.0</v>
      </c>
    </row>
    <row r="4834">
      <c r="A4834" s="4" t="s">
        <v>9606</v>
      </c>
      <c r="B4834" s="5" t="s">
        <v>9607</v>
      </c>
      <c r="C4834" s="6">
        <v>2000.0</v>
      </c>
      <c r="D4834" s="6">
        <v>4.625</v>
      </c>
      <c r="E4834" s="6">
        <v>8.0</v>
      </c>
    </row>
    <row r="4835">
      <c r="A4835" s="4" t="s">
        <v>9608</v>
      </c>
      <c r="B4835" s="5" t="s">
        <v>9609</v>
      </c>
      <c r="C4835" s="6">
        <v>2000.0</v>
      </c>
      <c r="D4835" s="6">
        <v>3.147058824</v>
      </c>
      <c r="E4835" s="6">
        <v>68.0</v>
      </c>
    </row>
    <row r="4836">
      <c r="A4836" s="4" t="s">
        <v>9610</v>
      </c>
      <c r="B4836" s="5" t="s">
        <v>9611</v>
      </c>
      <c r="C4836" s="6">
        <v>2000.0</v>
      </c>
      <c r="D4836" s="6">
        <v>4.833333333</v>
      </c>
      <c r="E4836" s="6">
        <v>12.0</v>
      </c>
    </row>
    <row r="4837">
      <c r="A4837" s="4" t="s">
        <v>9612</v>
      </c>
      <c r="B4837" s="5" t="s">
        <v>9613</v>
      </c>
      <c r="C4837" s="6">
        <v>2000.0</v>
      </c>
      <c r="D4837" s="6">
        <v>4.134831461</v>
      </c>
      <c r="E4837" s="6">
        <v>89.0</v>
      </c>
    </row>
    <row r="4838">
      <c r="A4838" s="4" t="s">
        <v>9614</v>
      </c>
      <c r="B4838" s="5" t="s">
        <v>9615</v>
      </c>
      <c r="C4838" s="6">
        <v>2000.0</v>
      </c>
      <c r="D4838" s="6">
        <v>4.55</v>
      </c>
      <c r="E4838" s="6">
        <v>20.0</v>
      </c>
    </row>
    <row r="4839">
      <c r="A4839" s="4" t="s">
        <v>9616</v>
      </c>
      <c r="B4839" s="5" t="s">
        <v>9617</v>
      </c>
      <c r="C4839" s="6">
        <v>2000.0</v>
      </c>
      <c r="D4839" s="6">
        <v>3.733333333</v>
      </c>
      <c r="E4839" s="6">
        <v>15.0</v>
      </c>
    </row>
    <row r="4840">
      <c r="A4840" s="4" t="s">
        <v>9618</v>
      </c>
      <c r="B4840" s="5" t="s">
        <v>9619</v>
      </c>
      <c r="C4840" s="6">
        <v>2000.0</v>
      </c>
      <c r="D4840" s="6">
        <v>4.466666667</v>
      </c>
      <c r="E4840" s="6">
        <v>30.0</v>
      </c>
    </row>
    <row r="4841">
      <c r="A4841" s="4" t="s">
        <v>9620</v>
      </c>
      <c r="B4841" s="5" t="s">
        <v>9621</v>
      </c>
      <c r="C4841" s="6">
        <v>2000.0</v>
      </c>
      <c r="D4841" s="6">
        <v>4.875</v>
      </c>
      <c r="E4841" s="6">
        <v>24.0</v>
      </c>
    </row>
    <row r="4842">
      <c r="A4842" s="4" t="s">
        <v>9622</v>
      </c>
      <c r="B4842" s="5" t="s">
        <v>9623</v>
      </c>
      <c r="C4842" s="6">
        <v>2000.0</v>
      </c>
      <c r="D4842" s="6">
        <v>4.72972973</v>
      </c>
      <c r="E4842" s="6">
        <v>37.0</v>
      </c>
    </row>
    <row r="4843">
      <c r="A4843" s="4" t="s">
        <v>9624</v>
      </c>
      <c r="B4843" s="5" t="s">
        <v>9625</v>
      </c>
      <c r="C4843" s="6">
        <v>2000.0</v>
      </c>
      <c r="D4843" s="6">
        <v>3.857142857</v>
      </c>
      <c r="E4843" s="6">
        <v>7.0</v>
      </c>
    </row>
    <row r="4844">
      <c r="A4844" s="4" t="s">
        <v>9626</v>
      </c>
      <c r="B4844" s="5" t="s">
        <v>9627</v>
      </c>
      <c r="C4844" s="6">
        <v>2000.0</v>
      </c>
      <c r="D4844" s="6">
        <v>2.714285714</v>
      </c>
      <c r="E4844" s="6">
        <v>7.0</v>
      </c>
    </row>
    <row r="4845">
      <c r="A4845" s="4" t="s">
        <v>9628</v>
      </c>
      <c r="B4845" s="5" t="s">
        <v>9629</v>
      </c>
      <c r="C4845" s="6">
        <v>2000.0</v>
      </c>
      <c r="D4845" s="6">
        <v>4.083333333</v>
      </c>
      <c r="E4845" s="6">
        <v>12.0</v>
      </c>
    </row>
    <row r="4846">
      <c r="A4846" s="4" t="s">
        <v>9630</v>
      </c>
      <c r="B4846" s="5" t="s">
        <v>9631</v>
      </c>
      <c r="C4846" s="6">
        <v>2000.0</v>
      </c>
      <c r="D4846" s="6">
        <v>4.833333333</v>
      </c>
      <c r="E4846" s="6">
        <v>24.0</v>
      </c>
    </row>
    <row r="4847">
      <c r="A4847" s="4" t="s">
        <v>9632</v>
      </c>
      <c r="B4847" s="5" t="s">
        <v>9633</v>
      </c>
      <c r="C4847" s="6">
        <v>2000.0</v>
      </c>
      <c r="D4847" s="6">
        <v>2.388888889</v>
      </c>
      <c r="E4847" s="6">
        <v>36.0</v>
      </c>
    </row>
    <row r="4848">
      <c r="A4848" s="4" t="s">
        <v>9634</v>
      </c>
      <c r="B4848" s="5" t="s">
        <v>9635</v>
      </c>
      <c r="C4848" s="6">
        <v>2000.0</v>
      </c>
      <c r="D4848" s="6">
        <v>4.058823529</v>
      </c>
      <c r="E4848" s="6">
        <v>17.0</v>
      </c>
    </row>
    <row r="4849">
      <c r="A4849" s="4" t="s">
        <v>9636</v>
      </c>
      <c r="B4849" s="5" t="s">
        <v>9637</v>
      </c>
      <c r="C4849" s="6">
        <v>2000.0</v>
      </c>
      <c r="D4849" s="6">
        <v>3.833333333</v>
      </c>
      <c r="E4849" s="6">
        <v>6.0</v>
      </c>
    </row>
    <row r="4850">
      <c r="A4850" s="4" t="s">
        <v>9638</v>
      </c>
      <c r="B4850" s="5" t="s">
        <v>9639</v>
      </c>
      <c r="C4850" s="6">
        <v>2000.0</v>
      </c>
      <c r="D4850" s="6">
        <v>3.659574468</v>
      </c>
      <c r="E4850" s="6">
        <v>47.0</v>
      </c>
    </row>
    <row r="4851">
      <c r="A4851" s="4" t="s">
        <v>9640</v>
      </c>
      <c r="B4851" s="5" t="s">
        <v>9641</v>
      </c>
      <c r="C4851" s="6">
        <v>2000.0</v>
      </c>
      <c r="D4851" s="6">
        <v>3.5</v>
      </c>
      <c r="E4851" s="6">
        <v>2.0</v>
      </c>
    </row>
    <row r="4852">
      <c r="A4852" s="4" t="s">
        <v>9642</v>
      </c>
      <c r="B4852" s="5" t="s">
        <v>9643</v>
      </c>
      <c r="C4852" s="6">
        <v>2000.0</v>
      </c>
      <c r="D4852" s="6">
        <v>3.178571429</v>
      </c>
      <c r="E4852" s="6">
        <v>28.0</v>
      </c>
    </row>
    <row r="4853">
      <c r="A4853" s="4" t="s">
        <v>9644</v>
      </c>
      <c r="B4853" s="5" t="s">
        <v>9645</v>
      </c>
      <c r="C4853" s="6">
        <v>2000.0</v>
      </c>
      <c r="D4853" s="6">
        <v>5.0</v>
      </c>
      <c r="E4853" s="6">
        <v>5.0</v>
      </c>
    </row>
    <row r="4854">
      <c r="A4854" s="4" t="s">
        <v>9646</v>
      </c>
      <c r="B4854" s="5" t="s">
        <v>9647</v>
      </c>
      <c r="C4854" s="6">
        <v>2000.0</v>
      </c>
      <c r="D4854" s="6">
        <v>4.5</v>
      </c>
      <c r="E4854" s="6">
        <v>14.0</v>
      </c>
    </row>
    <row r="4855">
      <c r="A4855" s="4" t="s">
        <v>9648</v>
      </c>
      <c r="B4855" s="5" t="s">
        <v>9649</v>
      </c>
      <c r="C4855" s="6">
        <v>2000.0</v>
      </c>
      <c r="D4855" s="6">
        <v>5.0</v>
      </c>
      <c r="E4855" s="6">
        <v>11.0</v>
      </c>
    </row>
    <row r="4856">
      <c r="A4856" s="4" t="s">
        <v>9650</v>
      </c>
      <c r="B4856" s="5" t="s">
        <v>9651</v>
      </c>
      <c r="C4856" s="6">
        <v>2000.0</v>
      </c>
      <c r="D4856" s="6">
        <v>5.0</v>
      </c>
      <c r="E4856" s="6">
        <v>136.0</v>
      </c>
    </row>
    <row r="4857">
      <c r="A4857" s="4" t="s">
        <v>9652</v>
      </c>
      <c r="B4857" s="5" t="s">
        <v>9653</v>
      </c>
      <c r="C4857" s="6">
        <v>2000.0</v>
      </c>
      <c r="D4857" s="6">
        <v>4.5</v>
      </c>
      <c r="E4857" s="6">
        <v>2.0</v>
      </c>
    </row>
    <row r="4858">
      <c r="A4858" s="4" t="s">
        <v>9654</v>
      </c>
      <c r="B4858" s="5" t="s">
        <v>9655</v>
      </c>
      <c r="C4858" s="6">
        <v>2000.0</v>
      </c>
      <c r="D4858" s="6">
        <v>4.121212121</v>
      </c>
      <c r="E4858" s="6">
        <v>99.0</v>
      </c>
    </row>
    <row r="4859">
      <c r="A4859" s="4" t="s">
        <v>9656</v>
      </c>
      <c r="B4859" s="5" t="s">
        <v>9657</v>
      </c>
      <c r="C4859" s="6">
        <v>2000.0</v>
      </c>
      <c r="D4859" s="6">
        <v>4.745098039</v>
      </c>
      <c r="E4859" s="6">
        <v>51.0</v>
      </c>
    </row>
    <row r="4860">
      <c r="A4860" s="4" t="s">
        <v>9658</v>
      </c>
      <c r="B4860" s="5" t="s">
        <v>9659</v>
      </c>
      <c r="C4860" s="6">
        <v>2000.0</v>
      </c>
      <c r="D4860" s="6">
        <v>4.142857143</v>
      </c>
      <c r="E4860" s="6">
        <v>7.0</v>
      </c>
    </row>
    <row r="4861">
      <c r="A4861" s="4" t="s">
        <v>9660</v>
      </c>
      <c r="B4861" s="12" t="s">
        <v>9661</v>
      </c>
      <c r="C4861" s="7">
        <v>2000.0</v>
      </c>
      <c r="D4861" s="6">
        <v>4.8</v>
      </c>
      <c r="E4861" s="6">
        <v>16.0</v>
      </c>
    </row>
    <row r="4862">
      <c r="A4862" s="4" t="s">
        <v>9662</v>
      </c>
      <c r="B4862" s="5" t="s">
        <v>9663</v>
      </c>
      <c r="C4862" s="6">
        <v>2000.0</v>
      </c>
      <c r="D4862" s="6">
        <v>4.333333333</v>
      </c>
      <c r="E4862" s="6">
        <v>6.0</v>
      </c>
    </row>
    <row r="4863">
      <c r="A4863" s="4" t="s">
        <v>9664</v>
      </c>
      <c r="B4863" s="5" t="s">
        <v>9665</v>
      </c>
      <c r="C4863" s="6">
        <v>2000.0</v>
      </c>
      <c r="D4863" s="6">
        <v>4.4</v>
      </c>
      <c r="E4863" s="6">
        <v>5.0</v>
      </c>
    </row>
    <row r="4864">
      <c r="A4864" s="4" t="s">
        <v>9666</v>
      </c>
      <c r="B4864" s="5" t="s">
        <v>9667</v>
      </c>
      <c r="C4864" s="6">
        <v>2000.0</v>
      </c>
      <c r="D4864" s="6">
        <v>4.611111111</v>
      </c>
      <c r="E4864" s="6">
        <v>18.0</v>
      </c>
    </row>
    <row r="4865">
      <c r="A4865" s="4" t="s">
        <v>9668</v>
      </c>
      <c r="B4865" s="5" t="s">
        <v>9669</v>
      </c>
      <c r="C4865" s="6">
        <v>2000.0</v>
      </c>
      <c r="D4865" s="6">
        <v>4.363636364</v>
      </c>
      <c r="E4865" s="6">
        <v>22.0</v>
      </c>
    </row>
    <row r="4866">
      <c r="A4866" s="4" t="s">
        <v>9670</v>
      </c>
      <c r="B4866" s="5" t="s">
        <v>9671</v>
      </c>
      <c r="C4866" s="6">
        <v>2000.0</v>
      </c>
      <c r="D4866" s="9"/>
      <c r="E4866" s="9"/>
    </row>
    <row r="4867">
      <c r="A4867" s="4" t="s">
        <v>9672</v>
      </c>
      <c r="B4867" s="5" t="s">
        <v>9673</v>
      </c>
      <c r="C4867" s="6">
        <v>2000.0</v>
      </c>
      <c r="D4867" s="6">
        <v>4.255319149</v>
      </c>
      <c r="E4867" s="6">
        <v>47.0</v>
      </c>
    </row>
    <row r="4868">
      <c r="A4868" s="4" t="s">
        <v>9674</v>
      </c>
      <c r="B4868" s="5" t="s">
        <v>9675</v>
      </c>
      <c r="C4868" s="7">
        <v>2000.0</v>
      </c>
      <c r="D4868" s="6">
        <v>3.8</v>
      </c>
      <c r="E4868" s="6">
        <v>6.0</v>
      </c>
    </row>
    <row r="4869">
      <c r="A4869" s="4" t="s">
        <v>9676</v>
      </c>
      <c r="B4869" s="5" t="s">
        <v>9677</v>
      </c>
      <c r="C4869" s="7">
        <v>2000.0</v>
      </c>
      <c r="D4869" s="6">
        <v>3.3</v>
      </c>
      <c r="E4869" s="6">
        <v>11.0</v>
      </c>
    </row>
    <row r="4870">
      <c r="A4870" s="4" t="s">
        <v>9678</v>
      </c>
      <c r="B4870" s="5" t="s">
        <v>9679</v>
      </c>
      <c r="C4870" s="7">
        <v>2000.0</v>
      </c>
      <c r="D4870" s="6">
        <v>5.0</v>
      </c>
      <c r="E4870" s="6">
        <v>4.0</v>
      </c>
    </row>
    <row r="4871">
      <c r="A4871" s="4" t="s">
        <v>9680</v>
      </c>
      <c r="B4871" s="5" t="s">
        <v>9681</v>
      </c>
      <c r="C4871" s="7">
        <v>2000.0</v>
      </c>
      <c r="D4871" s="6">
        <v>4.0</v>
      </c>
      <c r="E4871" s="6">
        <v>4.0</v>
      </c>
    </row>
    <row r="4872">
      <c r="A4872" s="4" t="s">
        <v>9682</v>
      </c>
      <c r="B4872" s="5" t="s">
        <v>9683</v>
      </c>
      <c r="C4872" s="7">
        <v>1000.0</v>
      </c>
      <c r="D4872" s="6">
        <v>2.6</v>
      </c>
      <c r="E4872" s="6">
        <v>16.0</v>
      </c>
    </row>
    <row r="4873">
      <c r="A4873" s="4" t="s">
        <v>9684</v>
      </c>
      <c r="B4873" s="5" t="s">
        <v>9685</v>
      </c>
      <c r="C4873" s="7">
        <v>1000.0</v>
      </c>
      <c r="D4873" s="6">
        <v>5.0</v>
      </c>
      <c r="E4873" s="6">
        <v>198.0</v>
      </c>
    </row>
    <row r="4874">
      <c r="A4874" s="4" t="s">
        <v>9686</v>
      </c>
      <c r="B4874" s="5" t="s">
        <v>9687</v>
      </c>
      <c r="C4874" s="7">
        <v>1000.0</v>
      </c>
      <c r="D4874" s="6">
        <v>4.1</v>
      </c>
      <c r="E4874" s="6">
        <v>41.0</v>
      </c>
    </row>
    <row r="4875">
      <c r="A4875" s="4" t="s">
        <v>9688</v>
      </c>
      <c r="B4875" s="5" t="s">
        <v>9689</v>
      </c>
      <c r="C4875" s="7">
        <v>1000.0</v>
      </c>
      <c r="D4875" s="6">
        <v>4.4</v>
      </c>
      <c r="E4875" s="6">
        <v>62.0</v>
      </c>
    </row>
    <row r="4876">
      <c r="A4876" s="4" t="s">
        <v>9690</v>
      </c>
      <c r="B4876" s="5" t="s">
        <v>9691</v>
      </c>
      <c r="C4876" s="7">
        <v>1000.0</v>
      </c>
      <c r="D4876" s="6">
        <v>2.7</v>
      </c>
      <c r="E4876" s="6">
        <v>27.0</v>
      </c>
    </row>
    <row r="4877">
      <c r="A4877" s="4" t="s">
        <v>9692</v>
      </c>
      <c r="B4877" s="5" t="s">
        <v>9693</v>
      </c>
      <c r="C4877" s="7">
        <v>1000.0</v>
      </c>
      <c r="D4877" s="6">
        <v>1.0</v>
      </c>
      <c r="E4877" s="6">
        <v>2.0</v>
      </c>
    </row>
    <row r="4878">
      <c r="A4878" s="4" t="s">
        <v>9694</v>
      </c>
      <c r="B4878" s="5" t="s">
        <v>9695</v>
      </c>
      <c r="C4878" s="6">
        <v>1000.0</v>
      </c>
      <c r="D4878" s="6">
        <v>4.777777778</v>
      </c>
      <c r="E4878" s="6">
        <v>9.0</v>
      </c>
    </row>
    <row r="4879">
      <c r="A4879" s="4" t="s">
        <v>9696</v>
      </c>
      <c r="B4879" s="5" t="s">
        <v>9697</v>
      </c>
      <c r="C4879" s="6">
        <v>1000.0</v>
      </c>
      <c r="D4879" s="6">
        <v>4.352941176</v>
      </c>
      <c r="E4879" s="6">
        <v>17.0</v>
      </c>
    </row>
    <row r="4880">
      <c r="A4880" s="4" t="s">
        <v>9698</v>
      </c>
      <c r="B4880" s="5" t="s">
        <v>9699</v>
      </c>
      <c r="C4880" s="6">
        <v>1000.0</v>
      </c>
      <c r="D4880" s="6">
        <v>4.366666667</v>
      </c>
      <c r="E4880" s="6">
        <v>30.0</v>
      </c>
    </row>
    <row r="4881">
      <c r="A4881" s="4" t="s">
        <v>9700</v>
      </c>
      <c r="B4881" s="5" t="s">
        <v>9701</v>
      </c>
      <c r="C4881" s="6">
        <v>1000.0</v>
      </c>
      <c r="D4881" s="6">
        <v>2.107142857</v>
      </c>
      <c r="E4881" s="6">
        <v>28.0</v>
      </c>
    </row>
    <row r="4882">
      <c r="A4882" s="4" t="s">
        <v>9702</v>
      </c>
      <c r="B4882" s="5" t="s">
        <v>9703</v>
      </c>
      <c r="C4882" s="6">
        <v>1000.0</v>
      </c>
      <c r="D4882" s="6">
        <v>5.0</v>
      </c>
      <c r="E4882" s="6">
        <v>8.0</v>
      </c>
    </row>
    <row r="4883">
      <c r="A4883" s="4" t="s">
        <v>9704</v>
      </c>
      <c r="B4883" s="5" t="s">
        <v>9705</v>
      </c>
      <c r="C4883" s="6">
        <v>1000.0</v>
      </c>
      <c r="D4883" s="6">
        <v>5.0</v>
      </c>
      <c r="E4883" s="6">
        <v>5.0</v>
      </c>
    </row>
    <row r="4884">
      <c r="A4884" s="4" t="s">
        <v>9706</v>
      </c>
      <c r="B4884" s="5" t="s">
        <v>9707</v>
      </c>
      <c r="C4884" s="6">
        <v>1000.0</v>
      </c>
      <c r="D4884" s="6">
        <v>4.15625</v>
      </c>
      <c r="E4884" s="6">
        <v>64.0</v>
      </c>
    </row>
    <row r="4885">
      <c r="A4885" s="4" t="s">
        <v>9708</v>
      </c>
      <c r="B4885" s="5" t="s">
        <v>9709</v>
      </c>
      <c r="C4885" s="6">
        <v>1000.0</v>
      </c>
      <c r="D4885" s="6">
        <v>4.423076923</v>
      </c>
      <c r="E4885" s="6">
        <v>78.0</v>
      </c>
    </row>
    <row r="4886">
      <c r="A4886" s="4" t="s">
        <v>9710</v>
      </c>
      <c r="B4886" s="5" t="s">
        <v>9711</v>
      </c>
      <c r="C4886" s="6">
        <v>1000.0</v>
      </c>
      <c r="D4886" s="6">
        <v>3.181818182</v>
      </c>
      <c r="E4886" s="6">
        <v>11.0</v>
      </c>
    </row>
    <row r="4887">
      <c r="A4887" s="4" t="s">
        <v>9712</v>
      </c>
      <c r="B4887" s="5" t="s">
        <v>9713</v>
      </c>
      <c r="C4887" s="6">
        <v>1000.0</v>
      </c>
      <c r="D4887" s="6">
        <v>4.0</v>
      </c>
      <c r="E4887" s="6">
        <v>1.0</v>
      </c>
    </row>
    <row r="4888">
      <c r="A4888" s="4" t="s">
        <v>9714</v>
      </c>
      <c r="B4888" s="5" t="s">
        <v>9715</v>
      </c>
      <c r="C4888" s="6">
        <v>1000.0</v>
      </c>
      <c r="D4888" s="6">
        <v>4.916666667</v>
      </c>
      <c r="E4888" s="6">
        <v>12.0</v>
      </c>
    </row>
    <row r="4889">
      <c r="A4889" s="4" t="s">
        <v>9716</v>
      </c>
      <c r="B4889" s="5" t="s">
        <v>9717</v>
      </c>
      <c r="C4889" s="6">
        <v>1000.0</v>
      </c>
      <c r="D4889" s="6">
        <v>2.684210526</v>
      </c>
      <c r="E4889" s="6">
        <v>38.0</v>
      </c>
    </row>
    <row r="4890">
      <c r="A4890" s="4" t="s">
        <v>9718</v>
      </c>
      <c r="B4890" s="5" t="s">
        <v>9719</v>
      </c>
      <c r="C4890" s="6">
        <v>1000.0</v>
      </c>
      <c r="D4890" s="6">
        <v>4.111111111</v>
      </c>
      <c r="E4890" s="6">
        <v>9.0</v>
      </c>
    </row>
    <row r="4891">
      <c r="A4891" s="4" t="s">
        <v>9720</v>
      </c>
      <c r="B4891" s="5" t="s">
        <v>9721</v>
      </c>
      <c r="C4891" s="6">
        <v>1000.0</v>
      </c>
      <c r="D4891" s="6">
        <v>4.137254902</v>
      </c>
      <c r="E4891" s="6">
        <v>51.0</v>
      </c>
    </row>
    <row r="4892">
      <c r="A4892" s="4" t="s">
        <v>9722</v>
      </c>
      <c r="B4892" s="5" t="s">
        <v>9723</v>
      </c>
      <c r="C4892" s="6">
        <v>1000.0</v>
      </c>
      <c r="D4892" s="6">
        <v>4.157894737</v>
      </c>
      <c r="E4892" s="6">
        <v>19.0</v>
      </c>
    </row>
    <row r="4893">
      <c r="A4893" s="4" t="s">
        <v>9724</v>
      </c>
      <c r="B4893" s="5" t="s">
        <v>9725</v>
      </c>
      <c r="C4893" s="6">
        <v>1000.0</v>
      </c>
      <c r="D4893" s="6">
        <v>4.888888889</v>
      </c>
      <c r="E4893" s="6">
        <v>9.0</v>
      </c>
    </row>
    <row r="4894">
      <c r="A4894" s="4" t="s">
        <v>9726</v>
      </c>
      <c r="B4894" s="5" t="s">
        <v>9727</v>
      </c>
      <c r="C4894" s="6">
        <v>1000.0</v>
      </c>
      <c r="D4894" s="6">
        <v>4.086956522</v>
      </c>
      <c r="E4894" s="6">
        <v>23.0</v>
      </c>
    </row>
    <row r="4895">
      <c r="A4895" s="4" t="s">
        <v>9728</v>
      </c>
      <c r="B4895" s="5" t="s">
        <v>9729</v>
      </c>
      <c r="C4895" s="6">
        <v>1000.0</v>
      </c>
      <c r="D4895" s="6">
        <v>3.909090909</v>
      </c>
      <c r="E4895" s="6">
        <v>11.0</v>
      </c>
    </row>
    <row r="4896">
      <c r="A4896" s="4" t="s">
        <v>9730</v>
      </c>
      <c r="B4896" s="5" t="s">
        <v>9731</v>
      </c>
      <c r="C4896" s="6">
        <v>1000.0</v>
      </c>
      <c r="D4896" s="9"/>
      <c r="E4896" s="9"/>
    </row>
    <row r="4897">
      <c r="A4897" s="4" t="s">
        <v>9732</v>
      </c>
      <c r="B4897" s="5" t="s">
        <v>9733</v>
      </c>
      <c r="C4897" s="6">
        <v>1000.0</v>
      </c>
      <c r="D4897" s="6">
        <v>4.769230769</v>
      </c>
      <c r="E4897" s="6">
        <v>26.0</v>
      </c>
    </row>
    <row r="4898">
      <c r="A4898" s="4" t="s">
        <v>9734</v>
      </c>
      <c r="B4898" s="5" t="s">
        <v>9735</v>
      </c>
      <c r="C4898" s="6">
        <v>1000.0</v>
      </c>
      <c r="D4898" s="6">
        <v>1.0</v>
      </c>
      <c r="E4898" s="6">
        <v>3.0</v>
      </c>
    </row>
    <row r="4899">
      <c r="A4899" s="4" t="s">
        <v>9736</v>
      </c>
      <c r="B4899" s="5" t="s">
        <v>9737</v>
      </c>
      <c r="C4899" s="6">
        <v>1000.0</v>
      </c>
      <c r="D4899" s="6">
        <v>3.833333333</v>
      </c>
      <c r="E4899" s="6">
        <v>6.0</v>
      </c>
    </row>
    <row r="4900">
      <c r="A4900" s="4" t="s">
        <v>9738</v>
      </c>
      <c r="B4900" s="5" t="s">
        <v>9739</v>
      </c>
      <c r="C4900" s="6">
        <v>1000.0</v>
      </c>
      <c r="D4900" s="6">
        <v>4.0</v>
      </c>
      <c r="E4900" s="6">
        <v>4.0</v>
      </c>
    </row>
    <row r="4901">
      <c r="A4901" s="4" t="s">
        <v>9740</v>
      </c>
      <c r="B4901" s="5" t="s">
        <v>9741</v>
      </c>
      <c r="C4901" s="6">
        <v>1000.0</v>
      </c>
      <c r="D4901" s="6">
        <v>3.611111111</v>
      </c>
      <c r="E4901" s="6">
        <v>18.0</v>
      </c>
    </row>
    <row r="4902">
      <c r="A4902" s="4" t="s">
        <v>9742</v>
      </c>
      <c r="B4902" s="5" t="s">
        <v>9743</v>
      </c>
      <c r="C4902" s="6">
        <v>1000.0</v>
      </c>
      <c r="D4902" s="6">
        <v>5.0</v>
      </c>
      <c r="E4902" s="6">
        <v>3.0</v>
      </c>
    </row>
    <row r="4903">
      <c r="A4903" s="4" t="s">
        <v>9744</v>
      </c>
      <c r="B4903" s="5" t="s">
        <v>9745</v>
      </c>
      <c r="C4903" s="6">
        <v>1000.0</v>
      </c>
      <c r="D4903" s="6">
        <v>4.6</v>
      </c>
      <c r="E4903" s="6">
        <v>20.0</v>
      </c>
    </row>
    <row r="4904">
      <c r="A4904" s="4" t="s">
        <v>9746</v>
      </c>
      <c r="B4904" s="5" t="s">
        <v>9747</v>
      </c>
      <c r="C4904" s="6">
        <v>1000.0</v>
      </c>
      <c r="D4904" s="6">
        <v>3.68</v>
      </c>
      <c r="E4904" s="6">
        <v>25.0</v>
      </c>
    </row>
    <row r="4905">
      <c r="A4905" s="4" t="s">
        <v>9748</v>
      </c>
      <c r="B4905" s="5" t="s">
        <v>9749</v>
      </c>
      <c r="C4905" s="6">
        <v>1000.0</v>
      </c>
      <c r="D4905" s="6">
        <v>4.875</v>
      </c>
      <c r="E4905" s="6">
        <v>8.0</v>
      </c>
    </row>
    <row r="4906">
      <c r="A4906" s="4" t="s">
        <v>9750</v>
      </c>
      <c r="B4906" s="5" t="s">
        <v>9751</v>
      </c>
      <c r="C4906" s="6">
        <v>1000.0</v>
      </c>
      <c r="D4906" s="6">
        <v>5.0</v>
      </c>
      <c r="E4906" s="6">
        <v>12.0</v>
      </c>
    </row>
    <row r="4907">
      <c r="A4907" s="4" t="s">
        <v>9752</v>
      </c>
      <c r="B4907" s="5" t="s">
        <v>9753</v>
      </c>
      <c r="C4907" s="6">
        <v>1000.0</v>
      </c>
      <c r="D4907" s="6">
        <v>5.0</v>
      </c>
      <c r="E4907" s="6">
        <v>5.0</v>
      </c>
    </row>
    <row r="4908">
      <c r="A4908" s="4" t="s">
        <v>9754</v>
      </c>
      <c r="B4908" s="5" t="s">
        <v>9755</v>
      </c>
      <c r="C4908" s="6">
        <v>1000.0</v>
      </c>
      <c r="D4908" s="6">
        <v>3.903846154</v>
      </c>
      <c r="E4908" s="6">
        <v>52.0</v>
      </c>
    </row>
    <row r="4909">
      <c r="A4909" s="4" t="s">
        <v>9756</v>
      </c>
      <c r="B4909" s="5" t="s">
        <v>9757</v>
      </c>
      <c r="C4909" s="6">
        <v>1000.0</v>
      </c>
      <c r="D4909" s="9"/>
      <c r="E4909" s="9"/>
    </row>
    <row r="4910">
      <c r="A4910" s="4" t="s">
        <v>9758</v>
      </c>
      <c r="B4910" s="5" t="s">
        <v>9759</v>
      </c>
      <c r="C4910" s="6">
        <v>1000.0</v>
      </c>
      <c r="D4910" s="6">
        <v>3.92</v>
      </c>
      <c r="E4910" s="6">
        <v>25.0</v>
      </c>
    </row>
    <row r="4911">
      <c r="A4911" s="4" t="s">
        <v>9760</v>
      </c>
      <c r="B4911" s="5" t="s">
        <v>9761</v>
      </c>
      <c r="C4911" s="6">
        <v>1000.0</v>
      </c>
      <c r="D4911" s="6">
        <v>4.375</v>
      </c>
      <c r="E4911" s="6">
        <v>8.0</v>
      </c>
    </row>
    <row r="4912">
      <c r="A4912" s="4" t="s">
        <v>9762</v>
      </c>
      <c r="B4912" s="5" t="s">
        <v>9763</v>
      </c>
      <c r="C4912" s="6">
        <v>1000.0</v>
      </c>
      <c r="D4912" s="6">
        <v>3.366666667</v>
      </c>
      <c r="E4912" s="6">
        <v>30.0</v>
      </c>
    </row>
    <row r="4913">
      <c r="A4913" s="4" t="s">
        <v>9764</v>
      </c>
      <c r="B4913" s="5" t="s">
        <v>9765</v>
      </c>
      <c r="C4913" s="6">
        <v>1000.0</v>
      </c>
      <c r="D4913" s="6">
        <v>3.657142857</v>
      </c>
      <c r="E4913" s="6">
        <v>35.0</v>
      </c>
    </row>
    <row r="4914">
      <c r="A4914" s="4" t="s">
        <v>9766</v>
      </c>
      <c r="B4914" s="5" t="s">
        <v>9767</v>
      </c>
      <c r="C4914" s="6">
        <v>1000.0</v>
      </c>
      <c r="D4914" s="6">
        <v>4.476190476</v>
      </c>
      <c r="E4914" s="6">
        <v>21.0</v>
      </c>
    </row>
    <row r="4915">
      <c r="A4915" s="4" t="s">
        <v>9768</v>
      </c>
      <c r="B4915" s="5" t="s">
        <v>9769</v>
      </c>
      <c r="C4915" s="6">
        <v>1000.0</v>
      </c>
      <c r="D4915" s="6">
        <v>5.0</v>
      </c>
      <c r="E4915" s="6">
        <v>4.0</v>
      </c>
    </row>
    <row r="4916">
      <c r="A4916" s="4" t="s">
        <v>9770</v>
      </c>
      <c r="B4916" s="5" t="s">
        <v>9771</v>
      </c>
      <c r="C4916" s="6">
        <v>1000.0</v>
      </c>
      <c r="D4916" s="6">
        <v>4.533333333</v>
      </c>
      <c r="E4916" s="6">
        <v>15.0</v>
      </c>
    </row>
    <row r="4917">
      <c r="A4917" s="4" t="s">
        <v>9772</v>
      </c>
      <c r="B4917" s="5" t="s">
        <v>9773</v>
      </c>
      <c r="C4917" s="6">
        <v>1000.0</v>
      </c>
      <c r="D4917" s="6">
        <v>4.843137255</v>
      </c>
      <c r="E4917" s="6">
        <v>51.0</v>
      </c>
    </row>
    <row r="4918">
      <c r="A4918" s="4" t="s">
        <v>9774</v>
      </c>
      <c r="B4918" s="5" t="s">
        <v>9775</v>
      </c>
      <c r="C4918" s="6">
        <v>1000.0</v>
      </c>
      <c r="D4918" s="6">
        <v>4.0</v>
      </c>
      <c r="E4918" s="6">
        <v>2.0</v>
      </c>
    </row>
    <row r="4919">
      <c r="A4919" s="4" t="s">
        <v>9776</v>
      </c>
      <c r="B4919" s="5" t="s">
        <v>9777</v>
      </c>
      <c r="C4919" s="6">
        <v>1000.0</v>
      </c>
      <c r="D4919" s="6">
        <v>3.230769231</v>
      </c>
      <c r="E4919" s="6">
        <v>13.0</v>
      </c>
    </row>
    <row r="4920">
      <c r="A4920" s="4" t="s">
        <v>9778</v>
      </c>
      <c r="B4920" s="5" t="s">
        <v>9779</v>
      </c>
      <c r="C4920" s="6">
        <v>1000.0</v>
      </c>
      <c r="D4920" s="6">
        <v>4.541666667</v>
      </c>
      <c r="E4920" s="6">
        <v>24.0</v>
      </c>
    </row>
    <row r="4921">
      <c r="A4921" s="4" t="s">
        <v>9780</v>
      </c>
      <c r="B4921" s="5" t="s">
        <v>9781</v>
      </c>
      <c r="C4921" s="6">
        <v>1000.0</v>
      </c>
      <c r="D4921" s="6">
        <v>5.0</v>
      </c>
      <c r="E4921" s="6">
        <v>1.0</v>
      </c>
    </row>
    <row r="4922">
      <c r="A4922" s="4" t="s">
        <v>9782</v>
      </c>
      <c r="B4922" s="5" t="s">
        <v>9783</v>
      </c>
      <c r="C4922" s="6">
        <v>1000.0</v>
      </c>
      <c r="D4922" s="6">
        <v>5.0</v>
      </c>
      <c r="E4922" s="6">
        <v>4.0</v>
      </c>
    </row>
    <row r="4923">
      <c r="A4923" s="4" t="s">
        <v>9784</v>
      </c>
      <c r="B4923" s="5" t="s">
        <v>9785</v>
      </c>
      <c r="C4923" s="6">
        <v>1000.0</v>
      </c>
      <c r="D4923" s="6">
        <v>3.3</v>
      </c>
      <c r="E4923" s="6">
        <v>44.0</v>
      </c>
    </row>
    <row r="4924">
      <c r="A4924" s="4" t="s">
        <v>9786</v>
      </c>
      <c r="B4924" s="5" t="s">
        <v>9787</v>
      </c>
      <c r="C4924" s="6">
        <v>1000.0</v>
      </c>
      <c r="D4924" s="6">
        <v>4.5</v>
      </c>
      <c r="E4924" s="6">
        <v>8.0</v>
      </c>
    </row>
    <row r="4925">
      <c r="A4925" s="4" t="s">
        <v>9788</v>
      </c>
      <c r="B4925" s="5" t="s">
        <v>9789</v>
      </c>
      <c r="C4925" s="6">
        <v>1000.0</v>
      </c>
      <c r="D4925" s="6">
        <v>5.0</v>
      </c>
      <c r="E4925" s="6">
        <v>7.0</v>
      </c>
    </row>
    <row r="4926">
      <c r="A4926" s="4" t="s">
        <v>9790</v>
      </c>
      <c r="B4926" s="5" t="s">
        <v>9791</v>
      </c>
      <c r="C4926" s="6">
        <v>1000.0</v>
      </c>
      <c r="D4926" s="6">
        <v>4.235294118</v>
      </c>
      <c r="E4926" s="6">
        <v>17.0</v>
      </c>
    </row>
    <row r="4927">
      <c r="A4927" s="4" t="s">
        <v>9792</v>
      </c>
      <c r="B4927" s="5" t="s">
        <v>9793</v>
      </c>
      <c r="C4927" s="6">
        <v>1000.0</v>
      </c>
      <c r="D4927" s="9"/>
      <c r="E4927" s="9"/>
    </row>
    <row r="4928">
      <c r="A4928" s="4" t="s">
        <v>9794</v>
      </c>
      <c r="B4928" s="5" t="s">
        <v>9795</v>
      </c>
      <c r="C4928" s="6">
        <v>1000.0</v>
      </c>
      <c r="D4928" s="6">
        <v>3.764705882</v>
      </c>
      <c r="E4928" s="6">
        <v>68.0</v>
      </c>
    </row>
    <row r="4929">
      <c r="A4929" s="4" t="s">
        <v>9796</v>
      </c>
      <c r="B4929" s="5" t="s">
        <v>9797</v>
      </c>
      <c r="C4929" s="6">
        <v>1000.0</v>
      </c>
      <c r="D4929" s="6">
        <v>3.857142857</v>
      </c>
      <c r="E4929" s="6">
        <v>7.0</v>
      </c>
    </row>
    <row r="4930">
      <c r="A4930" s="4" t="s">
        <v>227</v>
      </c>
      <c r="B4930" s="5" t="s">
        <v>9798</v>
      </c>
      <c r="C4930" s="6">
        <v>1000.0</v>
      </c>
      <c r="D4930" s="6">
        <v>5.0</v>
      </c>
      <c r="E4930" s="6">
        <v>4.0</v>
      </c>
    </row>
    <row r="4931">
      <c r="A4931" s="4" t="s">
        <v>9799</v>
      </c>
      <c r="B4931" s="5" t="s">
        <v>9800</v>
      </c>
      <c r="C4931" s="6">
        <v>1000.0</v>
      </c>
      <c r="D4931" s="6">
        <v>3.846153846</v>
      </c>
      <c r="E4931" s="6">
        <v>26.0</v>
      </c>
    </row>
    <row r="4932">
      <c r="A4932" s="4" t="s">
        <v>9801</v>
      </c>
      <c r="B4932" s="5" t="s">
        <v>9802</v>
      </c>
      <c r="C4932" s="6">
        <v>1000.0</v>
      </c>
      <c r="D4932" s="6">
        <v>3.75</v>
      </c>
      <c r="E4932" s="6">
        <v>4.0</v>
      </c>
    </row>
    <row r="4933">
      <c r="A4933" s="4" t="s">
        <v>9803</v>
      </c>
      <c r="B4933" s="5" t="s">
        <v>9804</v>
      </c>
      <c r="C4933" s="6">
        <v>1000.0</v>
      </c>
      <c r="D4933" s="9"/>
      <c r="E4933" s="9"/>
    </row>
    <row r="4934">
      <c r="A4934" s="4" t="s">
        <v>9805</v>
      </c>
      <c r="B4934" s="5" t="s">
        <v>9806</v>
      </c>
      <c r="C4934" s="6">
        <v>1000.0</v>
      </c>
      <c r="D4934" s="6">
        <v>5.0</v>
      </c>
      <c r="E4934" s="6">
        <v>1.0</v>
      </c>
    </row>
    <row r="4935">
      <c r="A4935" s="4" t="s">
        <v>9807</v>
      </c>
      <c r="B4935" s="5" t="s">
        <v>9808</v>
      </c>
      <c r="C4935" s="6">
        <v>1000.0</v>
      </c>
      <c r="D4935" s="6">
        <v>4.777777778</v>
      </c>
      <c r="E4935" s="6">
        <v>9.0</v>
      </c>
    </row>
    <row r="4936">
      <c r="A4936" s="4" t="s">
        <v>9809</v>
      </c>
      <c r="B4936" s="5" t="s">
        <v>9810</v>
      </c>
      <c r="C4936" s="6">
        <v>1000.0</v>
      </c>
      <c r="D4936" s="9"/>
      <c r="E4936" s="9"/>
    </row>
    <row r="4937">
      <c r="A4937" s="4" t="s">
        <v>9811</v>
      </c>
      <c r="B4937" s="5" t="s">
        <v>9812</v>
      </c>
      <c r="C4937" s="6">
        <v>1000.0</v>
      </c>
      <c r="D4937" s="6">
        <v>4.142857143</v>
      </c>
      <c r="E4937" s="6">
        <v>14.0</v>
      </c>
    </row>
    <row r="4938">
      <c r="A4938" s="4" t="s">
        <v>9813</v>
      </c>
      <c r="B4938" s="5" t="s">
        <v>9814</v>
      </c>
      <c r="C4938" s="6">
        <v>1000.0</v>
      </c>
      <c r="D4938" s="6">
        <v>4.444444444</v>
      </c>
      <c r="E4938" s="6">
        <v>9.0</v>
      </c>
    </row>
    <row r="4939">
      <c r="A4939" s="4" t="s">
        <v>9815</v>
      </c>
      <c r="B4939" s="14" t="s">
        <v>9816</v>
      </c>
      <c r="C4939" s="6">
        <v>1000.0</v>
      </c>
      <c r="D4939" s="6">
        <v>3.3</v>
      </c>
      <c r="E4939" s="6">
        <v>18.0</v>
      </c>
    </row>
    <row r="4940">
      <c r="A4940" s="4" t="s">
        <v>9817</v>
      </c>
      <c r="B4940" s="5" t="s">
        <v>9818</v>
      </c>
      <c r="C4940" s="6">
        <v>1000.0</v>
      </c>
      <c r="D4940" s="6">
        <v>4.804347826</v>
      </c>
      <c r="E4940" s="6">
        <v>46.0</v>
      </c>
    </row>
    <row r="4941">
      <c r="A4941" s="4" t="s">
        <v>9819</v>
      </c>
      <c r="B4941" s="5" t="s">
        <v>9820</v>
      </c>
      <c r="C4941" s="6">
        <v>1000.0</v>
      </c>
      <c r="D4941" s="6">
        <v>4.261904762</v>
      </c>
      <c r="E4941" s="6">
        <v>42.0</v>
      </c>
    </row>
    <row r="4942">
      <c r="A4942" s="4" t="s">
        <v>9821</v>
      </c>
      <c r="B4942" s="5" t="s">
        <v>9822</v>
      </c>
      <c r="C4942" s="6">
        <v>1000.0</v>
      </c>
      <c r="D4942" s="6">
        <v>3.862068966</v>
      </c>
      <c r="E4942" s="6">
        <v>29.0</v>
      </c>
    </row>
    <row r="4943">
      <c r="A4943" s="4" t="s">
        <v>9823</v>
      </c>
      <c r="B4943" s="5" t="s">
        <v>9824</v>
      </c>
      <c r="C4943" s="6">
        <v>1000.0</v>
      </c>
      <c r="D4943" s="6">
        <v>3.25</v>
      </c>
      <c r="E4943" s="6">
        <v>12.0</v>
      </c>
    </row>
    <row r="4944">
      <c r="A4944" s="4" t="s">
        <v>9825</v>
      </c>
      <c r="B4944" s="5" t="s">
        <v>9826</v>
      </c>
      <c r="C4944" s="6">
        <v>1000.0</v>
      </c>
      <c r="D4944" s="6">
        <v>4.5</v>
      </c>
      <c r="E4944" s="6">
        <v>2.0</v>
      </c>
    </row>
    <row r="4945">
      <c r="A4945" s="4" t="s">
        <v>9827</v>
      </c>
      <c r="B4945" s="5" t="s">
        <v>9828</v>
      </c>
      <c r="C4945" s="6">
        <v>1000.0</v>
      </c>
      <c r="D4945" s="6">
        <v>3.461538462</v>
      </c>
      <c r="E4945" s="6">
        <v>13.0</v>
      </c>
    </row>
    <row r="4946">
      <c r="A4946" s="4" t="s">
        <v>9829</v>
      </c>
      <c r="B4946" s="5" t="s">
        <v>9830</v>
      </c>
      <c r="C4946" s="6">
        <v>1000.0</v>
      </c>
      <c r="D4946" s="6">
        <v>3.909090909</v>
      </c>
      <c r="E4946" s="6">
        <v>11.0</v>
      </c>
    </row>
    <row r="4947">
      <c r="A4947" s="4" t="s">
        <v>9831</v>
      </c>
      <c r="B4947" s="5" t="s">
        <v>9832</v>
      </c>
      <c r="C4947" s="6">
        <v>1000.0</v>
      </c>
      <c r="D4947" s="6">
        <v>3.933333333</v>
      </c>
      <c r="E4947" s="6">
        <v>15.0</v>
      </c>
    </row>
    <row r="4948">
      <c r="A4948" s="4" t="s">
        <v>9833</v>
      </c>
      <c r="B4948" s="5" t="s">
        <v>9834</v>
      </c>
      <c r="C4948" s="6">
        <v>1000.0</v>
      </c>
      <c r="D4948" s="6">
        <v>4.133333333</v>
      </c>
      <c r="E4948" s="6">
        <v>30.0</v>
      </c>
    </row>
    <row r="4949">
      <c r="A4949" s="4" t="s">
        <v>9835</v>
      </c>
      <c r="B4949" s="5" t="s">
        <v>9836</v>
      </c>
      <c r="C4949" s="6">
        <v>1000.0</v>
      </c>
      <c r="D4949" s="6">
        <v>4.2</v>
      </c>
      <c r="E4949" s="6">
        <v>5.0</v>
      </c>
    </row>
    <row r="4950">
      <c r="A4950" s="4" t="s">
        <v>9837</v>
      </c>
      <c r="B4950" s="5" t="s">
        <v>9838</v>
      </c>
      <c r="C4950" s="6">
        <v>1000.0</v>
      </c>
      <c r="D4950" s="6">
        <v>3.09375</v>
      </c>
      <c r="E4950" s="6">
        <v>32.0</v>
      </c>
    </row>
    <row r="4951">
      <c r="A4951" s="4" t="s">
        <v>9839</v>
      </c>
      <c r="B4951" s="5" t="s">
        <v>9840</v>
      </c>
      <c r="C4951" s="6">
        <v>1000.0</v>
      </c>
      <c r="D4951" s="6">
        <v>3.2</v>
      </c>
      <c r="E4951" s="6">
        <v>25.0</v>
      </c>
    </row>
    <row r="4952">
      <c r="A4952" s="4" t="s">
        <v>9841</v>
      </c>
      <c r="B4952" s="5" t="s">
        <v>9842</v>
      </c>
      <c r="C4952" s="6">
        <v>1000.0</v>
      </c>
      <c r="D4952" s="6">
        <v>5.0</v>
      </c>
      <c r="E4952" s="6">
        <v>4.0</v>
      </c>
    </row>
    <row r="4953">
      <c r="A4953" s="4" t="s">
        <v>9843</v>
      </c>
      <c r="B4953" s="5" t="s">
        <v>9844</v>
      </c>
      <c r="C4953" s="6">
        <v>1000.0</v>
      </c>
      <c r="D4953" s="6">
        <v>1.0</v>
      </c>
      <c r="E4953" s="6">
        <v>1.0</v>
      </c>
    </row>
    <row r="4954">
      <c r="A4954" s="4" t="s">
        <v>9845</v>
      </c>
      <c r="B4954" s="5" t="s">
        <v>9846</v>
      </c>
      <c r="C4954" s="6">
        <v>1000.0</v>
      </c>
      <c r="D4954" s="6">
        <v>3.5</v>
      </c>
      <c r="E4954" s="6">
        <v>24.0</v>
      </c>
    </row>
    <row r="4955">
      <c r="A4955" s="4" t="s">
        <v>9847</v>
      </c>
      <c r="B4955" s="5" t="s">
        <v>9848</v>
      </c>
      <c r="C4955" s="6">
        <v>1000.0</v>
      </c>
      <c r="D4955" s="6">
        <v>3.333333333</v>
      </c>
      <c r="E4955" s="6">
        <v>3.0</v>
      </c>
    </row>
    <row r="4956">
      <c r="A4956" s="4" t="s">
        <v>9849</v>
      </c>
      <c r="B4956" s="5" t="s">
        <v>9850</v>
      </c>
      <c r="C4956" s="6">
        <v>1000.0</v>
      </c>
      <c r="D4956" s="9"/>
      <c r="E4956" s="9"/>
    </row>
    <row r="4957">
      <c r="A4957" s="4" t="s">
        <v>9851</v>
      </c>
      <c r="B4957" s="5" t="s">
        <v>9852</v>
      </c>
      <c r="C4957" s="6">
        <v>1000.0</v>
      </c>
      <c r="D4957" s="6">
        <v>4.333333333</v>
      </c>
      <c r="E4957" s="6">
        <v>3.0</v>
      </c>
    </row>
    <row r="4958">
      <c r="A4958" s="4" t="s">
        <v>9853</v>
      </c>
      <c r="B4958" s="5" t="s">
        <v>9854</v>
      </c>
      <c r="C4958" s="6">
        <v>1000.0</v>
      </c>
      <c r="D4958" s="6">
        <v>3.666666667</v>
      </c>
      <c r="E4958" s="6">
        <v>6.0</v>
      </c>
    </row>
    <row r="4959">
      <c r="A4959" s="4" t="s">
        <v>9855</v>
      </c>
      <c r="B4959" s="5" t="s">
        <v>9856</v>
      </c>
      <c r="C4959" s="6">
        <v>1000.0</v>
      </c>
      <c r="D4959" s="6">
        <v>4.702380952</v>
      </c>
      <c r="E4959" s="6">
        <v>84.0</v>
      </c>
    </row>
    <row r="4960">
      <c r="A4960" s="4" t="s">
        <v>9857</v>
      </c>
      <c r="B4960" s="5" t="s">
        <v>9858</v>
      </c>
      <c r="C4960" s="6">
        <v>1000.0</v>
      </c>
      <c r="D4960" s="6">
        <v>3.0</v>
      </c>
      <c r="E4960" s="6">
        <v>2.0</v>
      </c>
    </row>
    <row r="4961">
      <c r="A4961" s="4" t="s">
        <v>9859</v>
      </c>
      <c r="B4961" s="5" t="s">
        <v>9860</v>
      </c>
      <c r="C4961" s="6">
        <v>1000.0</v>
      </c>
      <c r="D4961" s="6">
        <v>4.0</v>
      </c>
      <c r="E4961" s="6">
        <v>4.0</v>
      </c>
    </row>
    <row r="4962">
      <c r="A4962" s="4" t="s">
        <v>9861</v>
      </c>
      <c r="B4962" s="5" t="s">
        <v>9862</v>
      </c>
      <c r="C4962" s="6">
        <v>1000.0</v>
      </c>
      <c r="D4962" s="6">
        <v>4.0</v>
      </c>
      <c r="E4962" s="6">
        <v>42.0</v>
      </c>
    </row>
    <row r="4963">
      <c r="A4963" s="4" t="s">
        <v>9863</v>
      </c>
      <c r="B4963" s="5" t="s">
        <v>9864</v>
      </c>
      <c r="C4963" s="6">
        <v>1000.0</v>
      </c>
      <c r="D4963" s="6">
        <v>4.433962264</v>
      </c>
      <c r="E4963" s="6">
        <v>53.0</v>
      </c>
    </row>
    <row r="4964">
      <c r="A4964" s="4" t="s">
        <v>9865</v>
      </c>
      <c r="B4964" s="5" t="s">
        <v>9866</v>
      </c>
      <c r="C4964" s="6">
        <v>1000.0</v>
      </c>
      <c r="D4964" s="6">
        <v>5.0</v>
      </c>
      <c r="E4964" s="6">
        <v>4.0</v>
      </c>
    </row>
    <row r="4965">
      <c r="A4965" s="4" t="s">
        <v>9867</v>
      </c>
      <c r="B4965" s="5" t="s">
        <v>9868</v>
      </c>
      <c r="C4965" s="6">
        <v>1000.0</v>
      </c>
      <c r="D4965" s="6">
        <v>4.4</v>
      </c>
      <c r="E4965" s="6">
        <v>10.0</v>
      </c>
    </row>
    <row r="4966">
      <c r="A4966" s="4" t="s">
        <v>9869</v>
      </c>
      <c r="B4966" s="5" t="s">
        <v>9870</v>
      </c>
      <c r="C4966" s="6">
        <v>1000.0</v>
      </c>
      <c r="D4966" s="6">
        <v>4.886363636</v>
      </c>
      <c r="E4966" s="6">
        <v>44.0</v>
      </c>
    </row>
    <row r="4967">
      <c r="A4967" s="4" t="s">
        <v>9871</v>
      </c>
      <c r="B4967" s="5" t="s">
        <v>9872</v>
      </c>
      <c r="C4967" s="6">
        <v>1000.0</v>
      </c>
      <c r="D4967" s="6">
        <v>3.870967742</v>
      </c>
      <c r="E4967" s="6">
        <v>31.0</v>
      </c>
    </row>
    <row r="4968">
      <c r="A4968" s="4" t="s">
        <v>9873</v>
      </c>
      <c r="B4968" s="5" t="s">
        <v>9874</v>
      </c>
      <c r="C4968" s="6">
        <v>1000.0</v>
      </c>
      <c r="D4968" s="6">
        <v>4.666666667</v>
      </c>
      <c r="E4968" s="6">
        <v>12.0</v>
      </c>
    </row>
    <row r="4969">
      <c r="A4969" s="4" t="s">
        <v>9875</v>
      </c>
      <c r="B4969" s="5" t="s">
        <v>9876</v>
      </c>
      <c r="C4969" s="6">
        <v>1000.0</v>
      </c>
      <c r="D4969" s="6">
        <v>3.75</v>
      </c>
      <c r="E4969" s="6">
        <v>16.0</v>
      </c>
    </row>
    <row r="4970">
      <c r="A4970" s="4" t="s">
        <v>9877</v>
      </c>
      <c r="B4970" s="5" t="s">
        <v>9878</v>
      </c>
      <c r="C4970" s="6">
        <v>1000.0</v>
      </c>
      <c r="D4970" s="6">
        <v>4.576923077</v>
      </c>
      <c r="E4970" s="6">
        <v>26.0</v>
      </c>
    </row>
    <row r="4971">
      <c r="A4971" s="4" t="s">
        <v>9879</v>
      </c>
      <c r="B4971" s="5" t="s">
        <v>9880</v>
      </c>
      <c r="C4971" s="6">
        <v>1000.0</v>
      </c>
      <c r="D4971" s="6">
        <v>4.407407407</v>
      </c>
      <c r="E4971" s="6">
        <v>54.0</v>
      </c>
    </row>
    <row r="4972">
      <c r="A4972" s="4" t="s">
        <v>9881</v>
      </c>
      <c r="B4972" s="5" t="s">
        <v>9882</v>
      </c>
      <c r="C4972" s="6">
        <v>1000.0</v>
      </c>
      <c r="D4972" s="6">
        <v>3.692307692</v>
      </c>
      <c r="E4972" s="6">
        <v>26.0</v>
      </c>
    </row>
    <row r="4973">
      <c r="A4973" s="4" t="s">
        <v>9883</v>
      </c>
      <c r="B4973" s="5" t="s">
        <v>9884</v>
      </c>
      <c r="C4973" s="6">
        <v>1000.0</v>
      </c>
      <c r="D4973" s="6">
        <v>4.888888889</v>
      </c>
      <c r="E4973" s="6">
        <v>9.0</v>
      </c>
    </row>
    <row r="4974">
      <c r="A4974" s="4" t="s">
        <v>9885</v>
      </c>
      <c r="B4974" s="5" t="s">
        <v>9886</v>
      </c>
      <c r="C4974" s="6">
        <v>1000.0</v>
      </c>
      <c r="D4974" s="6">
        <v>5.0</v>
      </c>
      <c r="E4974" s="6">
        <v>1.0</v>
      </c>
    </row>
    <row r="4975">
      <c r="A4975" s="4" t="s">
        <v>9887</v>
      </c>
      <c r="B4975" s="5" t="s">
        <v>9888</v>
      </c>
      <c r="C4975" s="6">
        <v>1000.0</v>
      </c>
      <c r="D4975" s="6">
        <v>2.459459459</v>
      </c>
      <c r="E4975" s="6">
        <v>37.0</v>
      </c>
    </row>
    <row r="4976">
      <c r="A4976" s="4" t="s">
        <v>9889</v>
      </c>
      <c r="B4976" s="5" t="s">
        <v>9890</v>
      </c>
      <c r="C4976" s="6">
        <v>1000.0</v>
      </c>
      <c r="D4976" s="6">
        <v>5.0</v>
      </c>
      <c r="E4976" s="6">
        <v>4.0</v>
      </c>
    </row>
    <row r="4977">
      <c r="A4977" s="4" t="s">
        <v>9891</v>
      </c>
      <c r="B4977" s="5" t="s">
        <v>9892</v>
      </c>
      <c r="C4977" s="6">
        <v>1000.0</v>
      </c>
      <c r="D4977" s="6">
        <v>4.75</v>
      </c>
      <c r="E4977" s="6">
        <v>4.0</v>
      </c>
    </row>
    <row r="4978">
      <c r="A4978" s="4" t="s">
        <v>9893</v>
      </c>
      <c r="B4978" s="5" t="s">
        <v>9894</v>
      </c>
      <c r="C4978" s="6">
        <v>1000.0</v>
      </c>
      <c r="D4978" s="6">
        <v>3.875</v>
      </c>
      <c r="E4978" s="6">
        <v>8.0</v>
      </c>
    </row>
    <row r="4979">
      <c r="A4979" s="4" t="s">
        <v>9895</v>
      </c>
      <c r="B4979" s="5" t="s">
        <v>9896</v>
      </c>
      <c r="C4979" s="6">
        <v>1000.0</v>
      </c>
      <c r="D4979" s="6">
        <v>4.06</v>
      </c>
      <c r="E4979" s="6">
        <v>100.0</v>
      </c>
    </row>
    <row r="4980">
      <c r="A4980" s="4" t="s">
        <v>9897</v>
      </c>
      <c r="B4980" s="5" t="s">
        <v>9898</v>
      </c>
      <c r="C4980" s="6">
        <v>1000.0</v>
      </c>
      <c r="D4980" s="6">
        <v>4.867924528</v>
      </c>
      <c r="E4980" s="6">
        <v>53.0</v>
      </c>
    </row>
    <row r="4981">
      <c r="A4981" s="4" t="s">
        <v>9899</v>
      </c>
      <c r="B4981" s="5" t="s">
        <v>9900</v>
      </c>
      <c r="C4981" s="6">
        <v>1000.0</v>
      </c>
      <c r="D4981" s="6">
        <v>4.470588235</v>
      </c>
      <c r="E4981" s="6">
        <v>17.0</v>
      </c>
    </row>
    <row r="4982">
      <c r="A4982" s="4" t="s">
        <v>9901</v>
      </c>
      <c r="B4982" s="5" t="s">
        <v>9902</v>
      </c>
      <c r="C4982" s="6">
        <v>1000.0</v>
      </c>
      <c r="D4982" s="6">
        <v>5.0</v>
      </c>
      <c r="E4982" s="6">
        <v>1.0</v>
      </c>
    </row>
    <row r="4983">
      <c r="A4983" s="4" t="s">
        <v>9903</v>
      </c>
      <c r="B4983" s="5" t="s">
        <v>9904</v>
      </c>
      <c r="C4983" s="6">
        <v>1000.0</v>
      </c>
      <c r="D4983" s="6">
        <v>4.666666667</v>
      </c>
      <c r="E4983" s="6">
        <v>18.0</v>
      </c>
    </row>
    <row r="4984">
      <c r="A4984" s="4" t="s">
        <v>9905</v>
      </c>
      <c r="B4984" s="5" t="s">
        <v>9906</v>
      </c>
      <c r="C4984" s="6">
        <v>1000.0</v>
      </c>
      <c r="D4984" s="6">
        <v>2.727272727</v>
      </c>
      <c r="E4984" s="6">
        <v>11.0</v>
      </c>
    </row>
    <row r="4985">
      <c r="A4985" s="4" t="s">
        <v>9907</v>
      </c>
      <c r="B4985" s="5" t="s">
        <v>9908</v>
      </c>
      <c r="C4985" s="6">
        <v>1000.0</v>
      </c>
      <c r="D4985" s="6">
        <v>4.625</v>
      </c>
      <c r="E4985" s="6">
        <v>8.0</v>
      </c>
    </row>
    <row r="4986">
      <c r="A4986" s="4" t="s">
        <v>9909</v>
      </c>
      <c r="B4986" s="5" t="s">
        <v>9910</v>
      </c>
      <c r="C4986" s="6">
        <v>1000.0</v>
      </c>
      <c r="D4986" s="6">
        <v>4.307692308</v>
      </c>
      <c r="E4986" s="6">
        <v>13.0</v>
      </c>
    </row>
    <row r="4987">
      <c r="A4987" s="4" t="s">
        <v>9911</v>
      </c>
      <c r="B4987" s="5" t="s">
        <v>9912</v>
      </c>
      <c r="C4987" s="6">
        <v>1000.0</v>
      </c>
      <c r="D4987" s="6">
        <v>4.675</v>
      </c>
      <c r="E4987" s="6">
        <v>40.0</v>
      </c>
    </row>
    <row r="4988">
      <c r="A4988" s="4" t="s">
        <v>9913</v>
      </c>
      <c r="B4988" s="5" t="s">
        <v>9914</v>
      </c>
      <c r="C4988" s="6">
        <v>1000.0</v>
      </c>
      <c r="D4988" s="6">
        <v>3.4</v>
      </c>
      <c r="E4988" s="6">
        <v>5.0</v>
      </c>
    </row>
    <row r="4989">
      <c r="A4989" s="4" t="s">
        <v>9915</v>
      </c>
      <c r="B4989" s="5" t="s">
        <v>9916</v>
      </c>
      <c r="C4989" s="6">
        <v>1000.0</v>
      </c>
      <c r="D4989" s="6">
        <v>4.5</v>
      </c>
      <c r="E4989" s="6">
        <v>26.0</v>
      </c>
    </row>
    <row r="4990">
      <c r="A4990" s="4" t="s">
        <v>9917</v>
      </c>
      <c r="B4990" s="5" t="s">
        <v>9918</v>
      </c>
      <c r="C4990" s="6">
        <v>1000.0</v>
      </c>
      <c r="D4990" s="6">
        <v>3.7</v>
      </c>
      <c r="E4990" s="6">
        <v>10.0</v>
      </c>
    </row>
    <row r="4991">
      <c r="A4991" s="4" t="s">
        <v>9919</v>
      </c>
      <c r="B4991" s="5" t="s">
        <v>9920</v>
      </c>
      <c r="C4991" s="6">
        <v>1000.0</v>
      </c>
      <c r="D4991" s="6">
        <v>4.252747253</v>
      </c>
      <c r="E4991" s="6">
        <v>91.0</v>
      </c>
    </row>
    <row r="4992">
      <c r="A4992" s="4" t="s">
        <v>227</v>
      </c>
      <c r="B4992" s="5" t="s">
        <v>9921</v>
      </c>
      <c r="C4992" s="6">
        <v>1000.0</v>
      </c>
      <c r="D4992" s="6">
        <v>4.0</v>
      </c>
      <c r="E4992" s="6">
        <v>21.0</v>
      </c>
    </row>
    <row r="4993">
      <c r="A4993" s="4" t="s">
        <v>9922</v>
      </c>
      <c r="B4993" s="5" t="s">
        <v>9923</v>
      </c>
      <c r="C4993" s="6">
        <v>1000.0</v>
      </c>
      <c r="D4993" s="6">
        <v>3.75</v>
      </c>
      <c r="E4993" s="6">
        <v>4.0</v>
      </c>
    </row>
    <row r="4994">
      <c r="A4994" s="4" t="s">
        <v>9924</v>
      </c>
      <c r="B4994" s="5" t="s">
        <v>9925</v>
      </c>
      <c r="C4994" s="6">
        <v>1000.0</v>
      </c>
      <c r="D4994" s="6">
        <v>4.653846154</v>
      </c>
      <c r="E4994" s="6">
        <v>26.0</v>
      </c>
    </row>
    <row r="4995">
      <c r="A4995" s="4" t="s">
        <v>9926</v>
      </c>
      <c r="B4995" s="5" t="s">
        <v>9927</v>
      </c>
      <c r="C4995" s="6">
        <v>1000.0</v>
      </c>
      <c r="D4995" s="6">
        <v>3.684210526</v>
      </c>
      <c r="E4995" s="6">
        <v>57.0</v>
      </c>
    </row>
    <row r="4996">
      <c r="A4996" s="4" t="s">
        <v>9928</v>
      </c>
      <c r="B4996" s="5" t="s">
        <v>9929</v>
      </c>
      <c r="C4996" s="6">
        <v>1000.0</v>
      </c>
      <c r="D4996" s="6">
        <v>4.5</v>
      </c>
      <c r="E4996" s="6">
        <v>4.0</v>
      </c>
    </row>
    <row r="4997">
      <c r="A4997" s="4" t="s">
        <v>227</v>
      </c>
      <c r="B4997" s="5" t="s">
        <v>9930</v>
      </c>
      <c r="C4997" s="6">
        <v>1000.0</v>
      </c>
      <c r="D4997" s="6">
        <v>5.0</v>
      </c>
      <c r="E4997" s="6">
        <v>2.0</v>
      </c>
    </row>
    <row r="4998">
      <c r="A4998" s="4" t="s">
        <v>9931</v>
      </c>
      <c r="B4998" s="5" t="s">
        <v>9932</v>
      </c>
      <c r="C4998" s="6">
        <v>1000.0</v>
      </c>
      <c r="D4998" s="6">
        <v>4.211864407</v>
      </c>
      <c r="E4998" s="6">
        <v>118.0</v>
      </c>
    </row>
    <row r="4999">
      <c r="A4999" s="4" t="s">
        <v>9933</v>
      </c>
      <c r="B4999" s="5" t="s">
        <v>9934</v>
      </c>
      <c r="C4999" s="6">
        <v>1000.0</v>
      </c>
      <c r="D4999" s="9"/>
      <c r="E4999" s="9"/>
    </row>
    <row r="5000">
      <c r="A5000" s="4" t="s">
        <v>9935</v>
      </c>
      <c r="B5000" s="5" t="s">
        <v>9936</v>
      </c>
      <c r="C5000" s="6">
        <v>1000.0</v>
      </c>
      <c r="D5000" s="6">
        <v>5.0</v>
      </c>
      <c r="E5000" s="6">
        <v>1.0</v>
      </c>
    </row>
    <row r="5001">
      <c r="A5001" s="4" t="s">
        <v>9937</v>
      </c>
      <c r="B5001" s="5" t="s">
        <v>9938</v>
      </c>
      <c r="C5001" s="6">
        <v>1000.0</v>
      </c>
      <c r="D5001" s="6">
        <v>3.552238806</v>
      </c>
      <c r="E5001" s="6">
        <v>67.0</v>
      </c>
    </row>
    <row r="5002">
      <c r="A5002" s="10" t="s">
        <v>9939</v>
      </c>
      <c r="B5002" s="5" t="s">
        <v>9940</v>
      </c>
      <c r="C5002" s="6">
        <v>1000.0</v>
      </c>
      <c r="D5002" s="6">
        <v>5.0</v>
      </c>
      <c r="E5002" s="6">
        <v>4.0</v>
      </c>
    </row>
    <row r="5003">
      <c r="A5003" s="4" t="s">
        <v>9941</v>
      </c>
      <c r="B5003" s="5" t="s">
        <v>9942</v>
      </c>
      <c r="C5003" s="6">
        <v>1000.0</v>
      </c>
      <c r="D5003" s="6">
        <v>4.647058824</v>
      </c>
      <c r="E5003" s="6">
        <v>17.0</v>
      </c>
    </row>
    <row r="5004">
      <c r="A5004" s="4" t="s">
        <v>9943</v>
      </c>
      <c r="B5004" s="5" t="s">
        <v>9944</v>
      </c>
      <c r="C5004" s="6">
        <v>1000.0</v>
      </c>
      <c r="D5004" s="6">
        <v>4.5</v>
      </c>
      <c r="E5004" s="6">
        <v>38.0</v>
      </c>
    </row>
    <row r="5005">
      <c r="A5005" s="4" t="s">
        <v>9945</v>
      </c>
      <c r="B5005" s="5" t="s">
        <v>9946</v>
      </c>
      <c r="C5005" s="6">
        <v>1000.0</v>
      </c>
      <c r="D5005" s="6">
        <v>4.454545455</v>
      </c>
      <c r="E5005" s="6">
        <v>11.0</v>
      </c>
    </row>
    <row r="5006">
      <c r="A5006" s="4" t="s">
        <v>9947</v>
      </c>
      <c r="B5006" s="5" t="s">
        <v>9948</v>
      </c>
      <c r="C5006" s="6">
        <v>1000.0</v>
      </c>
      <c r="D5006" s="6">
        <v>4.5</v>
      </c>
      <c r="E5006" s="6">
        <v>14.0</v>
      </c>
    </row>
    <row r="5007">
      <c r="A5007" s="4" t="s">
        <v>9949</v>
      </c>
      <c r="B5007" s="5" t="s">
        <v>9950</v>
      </c>
      <c r="C5007" s="6">
        <v>1000.0</v>
      </c>
      <c r="D5007" s="6">
        <v>5.0</v>
      </c>
      <c r="E5007" s="6">
        <v>18.0</v>
      </c>
    </row>
    <row r="5008">
      <c r="A5008" s="4" t="s">
        <v>9951</v>
      </c>
      <c r="B5008" s="5" t="s">
        <v>9952</v>
      </c>
      <c r="C5008" s="6">
        <v>1000.0</v>
      </c>
      <c r="D5008" s="9"/>
      <c r="E5008" s="9"/>
    </row>
    <row r="5009">
      <c r="A5009" s="4" t="s">
        <v>9953</v>
      </c>
      <c r="B5009" s="5" t="s">
        <v>9954</v>
      </c>
      <c r="C5009" s="6">
        <v>1000.0</v>
      </c>
      <c r="D5009" s="6">
        <v>2.861111111</v>
      </c>
      <c r="E5009" s="6">
        <v>36.0</v>
      </c>
    </row>
    <row r="5010">
      <c r="A5010" s="4" t="s">
        <v>9955</v>
      </c>
      <c r="B5010" s="5" t="s">
        <v>9956</v>
      </c>
      <c r="C5010" s="6">
        <v>1000.0</v>
      </c>
      <c r="D5010" s="6">
        <v>4.9375</v>
      </c>
      <c r="E5010" s="6">
        <v>16.0</v>
      </c>
    </row>
    <row r="5011">
      <c r="A5011" s="4" t="s">
        <v>9957</v>
      </c>
      <c r="B5011" s="5" t="s">
        <v>9958</v>
      </c>
      <c r="C5011" s="6">
        <v>1000.0</v>
      </c>
      <c r="D5011" s="6">
        <v>1.534883721</v>
      </c>
      <c r="E5011" s="6">
        <v>43.0</v>
      </c>
    </row>
    <row r="5012">
      <c r="A5012" s="4" t="s">
        <v>9959</v>
      </c>
      <c r="B5012" s="5" t="s">
        <v>9960</v>
      </c>
      <c r="C5012" s="6">
        <v>1000.0</v>
      </c>
      <c r="D5012" s="6">
        <v>4.890243902</v>
      </c>
      <c r="E5012" s="6">
        <v>82.0</v>
      </c>
    </row>
    <row r="5013">
      <c r="A5013" s="4" t="s">
        <v>9961</v>
      </c>
      <c r="B5013" s="5" t="s">
        <v>9962</v>
      </c>
      <c r="C5013" s="6">
        <v>1000.0</v>
      </c>
      <c r="D5013" s="6">
        <v>2.782608696</v>
      </c>
      <c r="E5013" s="6">
        <v>23.0</v>
      </c>
    </row>
    <row r="5014">
      <c r="A5014" s="4" t="s">
        <v>9963</v>
      </c>
      <c r="B5014" s="5" t="s">
        <v>9964</v>
      </c>
      <c r="C5014" s="6">
        <v>1000.0</v>
      </c>
      <c r="D5014" s="6">
        <v>4.0</v>
      </c>
      <c r="E5014" s="6">
        <v>5.0</v>
      </c>
    </row>
    <row r="5015">
      <c r="A5015" s="4" t="s">
        <v>9965</v>
      </c>
      <c r="B5015" s="5" t="s">
        <v>9966</v>
      </c>
      <c r="C5015" s="6">
        <v>1000.0</v>
      </c>
      <c r="D5015" s="6">
        <v>4.266666667</v>
      </c>
      <c r="E5015" s="6">
        <v>15.0</v>
      </c>
    </row>
    <row r="5016">
      <c r="A5016" s="4" t="s">
        <v>9967</v>
      </c>
      <c r="B5016" s="5" t="s">
        <v>9968</v>
      </c>
      <c r="C5016" s="6">
        <v>1000.0</v>
      </c>
      <c r="D5016" s="6">
        <v>4.4</v>
      </c>
      <c r="E5016" s="6">
        <v>10.0</v>
      </c>
    </row>
    <row r="5017">
      <c r="A5017" s="4" t="s">
        <v>9969</v>
      </c>
      <c r="B5017" s="5" t="s">
        <v>9970</v>
      </c>
      <c r="C5017" s="6">
        <v>1000.0</v>
      </c>
      <c r="D5017" s="6">
        <v>3.037037037</v>
      </c>
      <c r="E5017" s="6">
        <v>27.0</v>
      </c>
    </row>
    <row r="5018">
      <c r="A5018" s="4" t="s">
        <v>9971</v>
      </c>
      <c r="B5018" s="5" t="s">
        <v>9972</v>
      </c>
      <c r="C5018" s="6">
        <v>1000.0</v>
      </c>
      <c r="D5018" s="6">
        <v>4.5</v>
      </c>
      <c r="E5018" s="6">
        <v>8.0</v>
      </c>
    </row>
    <row r="5019">
      <c r="A5019" s="4" t="s">
        <v>9973</v>
      </c>
      <c r="B5019" s="5" t="s">
        <v>9974</v>
      </c>
      <c r="C5019" s="6">
        <v>1000.0</v>
      </c>
      <c r="D5019" s="9"/>
      <c r="E5019" s="9"/>
    </row>
    <row r="5020">
      <c r="A5020" s="4" t="s">
        <v>9975</v>
      </c>
      <c r="B5020" s="5" t="s">
        <v>9976</v>
      </c>
      <c r="C5020" s="6">
        <v>1000.0</v>
      </c>
      <c r="D5020" s="6">
        <v>5.0</v>
      </c>
      <c r="E5020" s="6">
        <v>8.0</v>
      </c>
    </row>
    <row r="5021">
      <c r="A5021" s="4" t="s">
        <v>9977</v>
      </c>
      <c r="B5021" s="5" t="s">
        <v>9978</v>
      </c>
      <c r="C5021" s="6">
        <v>1000.0</v>
      </c>
      <c r="D5021" s="6">
        <v>4.083333333</v>
      </c>
      <c r="E5021" s="6">
        <v>12.0</v>
      </c>
    </row>
    <row r="5022">
      <c r="A5022" s="4" t="s">
        <v>9979</v>
      </c>
      <c r="B5022" s="5" t="s">
        <v>9980</v>
      </c>
      <c r="C5022" s="6">
        <v>1000.0</v>
      </c>
      <c r="D5022" s="6">
        <v>3.4</v>
      </c>
      <c r="E5022" s="6">
        <v>10.0</v>
      </c>
    </row>
    <row r="5023">
      <c r="A5023" s="4" t="s">
        <v>9981</v>
      </c>
      <c r="B5023" s="5" t="s">
        <v>9982</v>
      </c>
      <c r="C5023" s="6">
        <v>1000.0</v>
      </c>
      <c r="D5023" s="6">
        <v>2.5</v>
      </c>
      <c r="E5023" s="6">
        <v>2.0</v>
      </c>
    </row>
    <row r="5024">
      <c r="A5024" s="4" t="s">
        <v>9983</v>
      </c>
      <c r="B5024" s="5" t="s">
        <v>9984</v>
      </c>
      <c r="C5024" s="6">
        <v>1000.0</v>
      </c>
      <c r="D5024" s="6">
        <v>4.333333333</v>
      </c>
      <c r="E5024" s="6">
        <v>6.0</v>
      </c>
    </row>
    <row r="5025">
      <c r="A5025" s="4" t="s">
        <v>9985</v>
      </c>
      <c r="B5025" s="5" t="s">
        <v>9986</v>
      </c>
      <c r="C5025" s="6">
        <v>1000.0</v>
      </c>
      <c r="D5025" s="6">
        <v>4.333333333</v>
      </c>
      <c r="E5025" s="6">
        <v>6.0</v>
      </c>
    </row>
    <row r="5026">
      <c r="A5026" s="4" t="s">
        <v>9987</v>
      </c>
      <c r="B5026" s="5" t="s">
        <v>9988</v>
      </c>
      <c r="C5026" s="6">
        <v>1000.0</v>
      </c>
      <c r="D5026" s="6">
        <v>2.956521739</v>
      </c>
      <c r="E5026" s="6">
        <v>23.0</v>
      </c>
    </row>
    <row r="5027">
      <c r="A5027" s="4" t="s">
        <v>9989</v>
      </c>
      <c r="B5027" s="5" t="s">
        <v>9990</v>
      </c>
      <c r="C5027" s="6">
        <v>1000.0</v>
      </c>
      <c r="D5027" s="6">
        <v>2.243243243</v>
      </c>
      <c r="E5027" s="6">
        <v>37.0</v>
      </c>
    </row>
    <row r="5028">
      <c r="A5028" s="4" t="s">
        <v>9991</v>
      </c>
      <c r="B5028" s="5" t="s">
        <v>9992</v>
      </c>
      <c r="C5028" s="6">
        <v>1000.0</v>
      </c>
      <c r="D5028" s="6">
        <v>4.8</v>
      </c>
      <c r="E5028" s="6">
        <v>5.0</v>
      </c>
    </row>
    <row r="5029">
      <c r="A5029" s="4" t="s">
        <v>9993</v>
      </c>
      <c r="B5029" s="5" t="s">
        <v>9994</v>
      </c>
      <c r="C5029" s="6">
        <v>1000.0</v>
      </c>
      <c r="D5029" s="6">
        <v>3.5625</v>
      </c>
      <c r="E5029" s="6">
        <v>16.0</v>
      </c>
    </row>
    <row r="5030">
      <c r="A5030" s="4" t="s">
        <v>9995</v>
      </c>
      <c r="B5030" s="5" t="s">
        <v>9996</v>
      </c>
      <c r="C5030" s="6">
        <v>1000.0</v>
      </c>
      <c r="D5030" s="6">
        <v>3.181818182</v>
      </c>
      <c r="E5030" s="6">
        <v>33.0</v>
      </c>
    </row>
    <row r="5031">
      <c r="A5031" s="4" t="s">
        <v>9997</v>
      </c>
      <c r="B5031" s="5" t="s">
        <v>9998</v>
      </c>
      <c r="C5031" s="6">
        <v>1000.0</v>
      </c>
      <c r="D5031" s="6">
        <v>4.6</v>
      </c>
      <c r="E5031" s="6">
        <v>5.0</v>
      </c>
    </row>
    <row r="5032">
      <c r="A5032" s="4" t="s">
        <v>9999</v>
      </c>
      <c r="B5032" s="5" t="s">
        <v>10000</v>
      </c>
      <c r="C5032" s="6">
        <v>1000.0</v>
      </c>
      <c r="D5032" s="9"/>
      <c r="E5032" s="9"/>
    </row>
    <row r="5033">
      <c r="A5033" s="4" t="s">
        <v>10001</v>
      </c>
      <c r="B5033" s="5" t="s">
        <v>10002</v>
      </c>
      <c r="C5033" s="6">
        <v>1000.0</v>
      </c>
      <c r="D5033" s="6">
        <v>4.75</v>
      </c>
      <c r="E5033" s="6">
        <v>16.0</v>
      </c>
    </row>
    <row r="5034">
      <c r="A5034" s="4" t="s">
        <v>10003</v>
      </c>
      <c r="B5034" s="5" t="s">
        <v>10004</v>
      </c>
      <c r="C5034" s="6">
        <v>1000.0</v>
      </c>
      <c r="D5034" s="6">
        <v>4.476190476</v>
      </c>
      <c r="E5034" s="6">
        <v>21.0</v>
      </c>
    </row>
    <row r="5035">
      <c r="A5035" s="4" t="s">
        <v>10005</v>
      </c>
      <c r="B5035" s="5" t="s">
        <v>10006</v>
      </c>
      <c r="C5035" s="6">
        <v>1000.0</v>
      </c>
      <c r="D5035" s="6">
        <v>3.666666667</v>
      </c>
      <c r="E5035" s="6">
        <v>3.0</v>
      </c>
    </row>
    <row r="5036">
      <c r="A5036" s="4" t="s">
        <v>10007</v>
      </c>
      <c r="B5036" s="5" t="s">
        <v>10008</v>
      </c>
      <c r="C5036" s="6">
        <v>1000.0</v>
      </c>
      <c r="D5036" s="6">
        <v>5.0</v>
      </c>
      <c r="E5036" s="6">
        <v>2.0</v>
      </c>
    </row>
    <row r="5037">
      <c r="A5037" s="4" t="s">
        <v>10009</v>
      </c>
      <c r="B5037" s="5" t="s">
        <v>10010</v>
      </c>
      <c r="C5037" s="6">
        <v>1000.0</v>
      </c>
      <c r="D5037" s="6">
        <v>3.0</v>
      </c>
      <c r="E5037" s="6">
        <v>6.0</v>
      </c>
    </row>
    <row r="5038">
      <c r="A5038" s="4" t="s">
        <v>10011</v>
      </c>
      <c r="B5038" s="5" t="s">
        <v>10012</v>
      </c>
      <c r="C5038" s="6">
        <v>1000.0</v>
      </c>
      <c r="D5038" s="6">
        <v>4.0</v>
      </c>
      <c r="E5038" s="6">
        <v>7.0</v>
      </c>
    </row>
    <row r="5039">
      <c r="A5039" s="4" t="s">
        <v>10013</v>
      </c>
      <c r="B5039" s="5" t="s">
        <v>10014</v>
      </c>
      <c r="C5039" s="6">
        <v>1000.0</v>
      </c>
      <c r="D5039" s="6">
        <v>4.666666667</v>
      </c>
      <c r="E5039" s="6">
        <v>3.0</v>
      </c>
    </row>
    <row r="5040">
      <c r="A5040" s="4" t="s">
        <v>10015</v>
      </c>
      <c r="B5040" s="5" t="s">
        <v>10016</v>
      </c>
      <c r="C5040" s="6">
        <v>1000.0</v>
      </c>
      <c r="D5040" s="6">
        <v>2.096774194</v>
      </c>
      <c r="E5040" s="6">
        <v>31.0</v>
      </c>
    </row>
    <row r="5041">
      <c r="A5041" s="4" t="s">
        <v>10017</v>
      </c>
      <c r="B5041" s="5" t="s">
        <v>10018</v>
      </c>
      <c r="C5041" s="6">
        <v>1000.0</v>
      </c>
      <c r="D5041" s="6">
        <v>2.75</v>
      </c>
      <c r="E5041" s="6">
        <v>4.0</v>
      </c>
    </row>
    <row r="5042">
      <c r="A5042" s="4" t="s">
        <v>10019</v>
      </c>
      <c r="B5042" s="5" t="s">
        <v>10020</v>
      </c>
      <c r="C5042" s="6">
        <v>1000.0</v>
      </c>
      <c r="D5042" s="6">
        <v>4.909090909</v>
      </c>
      <c r="E5042" s="6">
        <v>11.0</v>
      </c>
    </row>
    <row r="5043">
      <c r="A5043" s="4" t="s">
        <v>10021</v>
      </c>
      <c r="B5043" s="5" t="s">
        <v>10022</v>
      </c>
      <c r="C5043" s="6">
        <v>1000.0</v>
      </c>
      <c r="D5043" s="6">
        <v>4.894736842</v>
      </c>
      <c r="E5043" s="6">
        <v>19.0</v>
      </c>
    </row>
    <row r="5044">
      <c r="A5044" s="4" t="s">
        <v>10023</v>
      </c>
      <c r="B5044" s="5" t="s">
        <v>10024</v>
      </c>
      <c r="C5044" s="6">
        <v>1000.0</v>
      </c>
      <c r="D5044" s="6">
        <v>3.457142857</v>
      </c>
      <c r="E5044" s="6">
        <v>35.0</v>
      </c>
    </row>
    <row r="5045">
      <c r="A5045" s="4" t="s">
        <v>10025</v>
      </c>
      <c r="B5045" s="5" t="s">
        <v>10026</v>
      </c>
      <c r="C5045" s="6">
        <v>1000.0</v>
      </c>
      <c r="D5045" s="6">
        <v>3.666666667</v>
      </c>
      <c r="E5045" s="6">
        <v>3.0</v>
      </c>
    </row>
    <row r="5046">
      <c r="A5046" s="4" t="s">
        <v>10027</v>
      </c>
      <c r="B5046" s="5" t="s">
        <v>10028</v>
      </c>
      <c r="C5046" s="6">
        <v>1000.0</v>
      </c>
      <c r="D5046" s="6">
        <v>3.230769231</v>
      </c>
      <c r="E5046" s="6">
        <v>13.0</v>
      </c>
    </row>
    <row r="5047">
      <c r="A5047" s="4" t="s">
        <v>10029</v>
      </c>
      <c r="B5047" s="5" t="s">
        <v>10030</v>
      </c>
      <c r="C5047" s="6">
        <v>1000.0</v>
      </c>
      <c r="D5047" s="6">
        <v>5.0</v>
      </c>
      <c r="E5047" s="6">
        <v>2.0</v>
      </c>
    </row>
    <row r="5048">
      <c r="A5048" s="4" t="s">
        <v>10031</v>
      </c>
      <c r="B5048" s="5" t="s">
        <v>10032</v>
      </c>
      <c r="C5048" s="6">
        <v>1000.0</v>
      </c>
      <c r="D5048" s="6">
        <v>3.769230769</v>
      </c>
      <c r="E5048" s="6">
        <v>13.0</v>
      </c>
    </row>
    <row r="5049">
      <c r="A5049" s="4" t="s">
        <v>10033</v>
      </c>
      <c r="B5049" s="5" t="s">
        <v>10034</v>
      </c>
      <c r="C5049" s="6">
        <v>1000.0</v>
      </c>
      <c r="D5049" s="6">
        <v>3.833333333</v>
      </c>
      <c r="E5049" s="6">
        <v>6.0</v>
      </c>
    </row>
    <row r="5050">
      <c r="A5050" s="4" t="s">
        <v>10035</v>
      </c>
      <c r="B5050" s="5" t="s">
        <v>10036</v>
      </c>
      <c r="C5050" s="6">
        <v>1000.0</v>
      </c>
      <c r="D5050" s="6">
        <v>4.916666667</v>
      </c>
      <c r="E5050" s="6">
        <v>12.0</v>
      </c>
    </row>
    <row r="5051">
      <c r="A5051" s="4" t="s">
        <v>10037</v>
      </c>
      <c r="B5051" s="5" t="s">
        <v>10038</v>
      </c>
      <c r="C5051" s="6">
        <v>1000.0</v>
      </c>
      <c r="D5051" s="6">
        <v>4.111111111</v>
      </c>
      <c r="E5051" s="6">
        <v>9.0</v>
      </c>
    </row>
    <row r="5052">
      <c r="A5052" s="4" t="s">
        <v>6965</v>
      </c>
      <c r="B5052" s="5" t="s">
        <v>10039</v>
      </c>
      <c r="C5052" s="6">
        <v>1000.0</v>
      </c>
      <c r="D5052" s="6">
        <v>4.3</v>
      </c>
      <c r="E5052" s="6">
        <v>10.0</v>
      </c>
    </row>
    <row r="5053">
      <c r="A5053" s="4" t="s">
        <v>10040</v>
      </c>
      <c r="B5053" s="5" t="s">
        <v>10041</v>
      </c>
      <c r="C5053" s="6">
        <v>1000.0</v>
      </c>
      <c r="D5053" s="6">
        <v>4.151515152</v>
      </c>
      <c r="E5053" s="6">
        <v>33.0</v>
      </c>
    </row>
    <row r="5054">
      <c r="A5054" s="10" t="s">
        <v>10042</v>
      </c>
      <c r="B5054" s="5" t="s">
        <v>10043</v>
      </c>
      <c r="C5054" s="6">
        <v>1000.0</v>
      </c>
      <c r="D5054" s="6">
        <v>4.512195122</v>
      </c>
      <c r="E5054" s="6">
        <v>164.0</v>
      </c>
    </row>
    <row r="5055">
      <c r="A5055" s="4" t="s">
        <v>10044</v>
      </c>
      <c r="B5055" s="5" t="s">
        <v>10045</v>
      </c>
      <c r="C5055" s="6">
        <v>1000.0</v>
      </c>
      <c r="D5055" s="6">
        <v>4.453125</v>
      </c>
      <c r="E5055" s="6">
        <v>64.0</v>
      </c>
    </row>
    <row r="5056">
      <c r="A5056" s="4" t="s">
        <v>10046</v>
      </c>
      <c r="B5056" s="5" t="s">
        <v>10047</v>
      </c>
      <c r="C5056" s="6">
        <v>1000.0</v>
      </c>
      <c r="D5056" s="6">
        <v>4.571428571</v>
      </c>
      <c r="E5056" s="6">
        <v>14.0</v>
      </c>
    </row>
    <row r="5057">
      <c r="A5057" s="4" t="s">
        <v>10048</v>
      </c>
      <c r="B5057" s="5" t="s">
        <v>10049</v>
      </c>
      <c r="C5057" s="6">
        <v>1000.0</v>
      </c>
      <c r="D5057" s="6">
        <v>4.416666667</v>
      </c>
      <c r="E5057" s="6">
        <v>12.0</v>
      </c>
    </row>
    <row r="5058">
      <c r="A5058" s="4" t="s">
        <v>1442</v>
      </c>
      <c r="B5058" s="5" t="s">
        <v>10050</v>
      </c>
      <c r="C5058" s="6">
        <v>1000.0</v>
      </c>
      <c r="D5058" s="6">
        <v>5.0</v>
      </c>
      <c r="E5058" s="6">
        <v>1.0</v>
      </c>
    </row>
    <row r="5059">
      <c r="A5059" s="4" t="s">
        <v>10051</v>
      </c>
      <c r="B5059" s="5" t="s">
        <v>10052</v>
      </c>
      <c r="C5059" s="6">
        <v>1000.0</v>
      </c>
      <c r="D5059" s="6">
        <v>5.0</v>
      </c>
      <c r="E5059" s="6">
        <v>26.0</v>
      </c>
    </row>
    <row r="5060">
      <c r="A5060" s="4" t="s">
        <v>10053</v>
      </c>
      <c r="B5060" s="5" t="s">
        <v>10054</v>
      </c>
      <c r="C5060" s="6">
        <v>1000.0</v>
      </c>
      <c r="D5060" s="6">
        <v>4.111111111</v>
      </c>
      <c r="E5060" s="6">
        <v>9.0</v>
      </c>
    </row>
    <row r="5061">
      <c r="A5061" s="4" t="s">
        <v>10055</v>
      </c>
      <c r="B5061" s="5" t="s">
        <v>10056</v>
      </c>
      <c r="C5061" s="6">
        <v>1000.0</v>
      </c>
      <c r="D5061" s="6">
        <v>4.571428571</v>
      </c>
      <c r="E5061" s="6">
        <v>7.0</v>
      </c>
    </row>
    <row r="5062">
      <c r="A5062" s="4" t="s">
        <v>10057</v>
      </c>
      <c r="B5062" s="5" t="s">
        <v>10058</v>
      </c>
      <c r="C5062" s="6">
        <v>1000.0</v>
      </c>
      <c r="D5062" s="6">
        <v>4.705882353</v>
      </c>
      <c r="E5062" s="6">
        <v>17.0</v>
      </c>
    </row>
    <row r="5063">
      <c r="A5063" s="4" t="s">
        <v>10059</v>
      </c>
      <c r="B5063" s="5" t="s">
        <v>10060</v>
      </c>
      <c r="C5063" s="6">
        <v>1000.0</v>
      </c>
      <c r="D5063" s="6">
        <v>4.047619048</v>
      </c>
      <c r="E5063" s="6">
        <v>21.0</v>
      </c>
    </row>
    <row r="5064">
      <c r="A5064" s="4" t="s">
        <v>10061</v>
      </c>
      <c r="B5064" s="5" t="s">
        <v>10062</v>
      </c>
      <c r="C5064" s="6">
        <v>1000.0</v>
      </c>
      <c r="D5064" s="6">
        <v>3.764705882</v>
      </c>
      <c r="E5064" s="6">
        <v>17.0</v>
      </c>
    </row>
    <row r="5065">
      <c r="A5065" s="4" t="s">
        <v>10063</v>
      </c>
      <c r="B5065" s="5" t="s">
        <v>10064</v>
      </c>
      <c r="C5065" s="6">
        <v>1000.0</v>
      </c>
      <c r="D5065" s="6">
        <v>4.666666667</v>
      </c>
      <c r="E5065" s="6">
        <v>3.0</v>
      </c>
    </row>
    <row r="5066">
      <c r="A5066" s="4" t="s">
        <v>10065</v>
      </c>
      <c r="B5066" s="5" t="s">
        <v>10066</v>
      </c>
      <c r="C5066" s="6">
        <v>1000.0</v>
      </c>
      <c r="D5066" s="6">
        <v>4.666666667</v>
      </c>
      <c r="E5066" s="6">
        <v>18.0</v>
      </c>
    </row>
    <row r="5067">
      <c r="A5067" s="4" t="s">
        <v>10067</v>
      </c>
      <c r="B5067" s="5" t="s">
        <v>10068</v>
      </c>
      <c r="C5067" s="6">
        <v>1000.0</v>
      </c>
      <c r="D5067" s="6">
        <v>4.3</v>
      </c>
      <c r="E5067" s="6">
        <v>10.0</v>
      </c>
    </row>
    <row r="5068">
      <c r="A5068" s="4" t="s">
        <v>10069</v>
      </c>
      <c r="B5068" s="5" t="s">
        <v>10070</v>
      </c>
      <c r="C5068" s="6">
        <v>1000.0</v>
      </c>
      <c r="D5068" s="6">
        <v>5.0</v>
      </c>
      <c r="E5068" s="6">
        <v>2.0</v>
      </c>
    </row>
    <row r="5069">
      <c r="A5069" s="4" t="s">
        <v>10071</v>
      </c>
      <c r="B5069" s="5" t="s">
        <v>10072</v>
      </c>
      <c r="C5069" s="6">
        <v>1000.0</v>
      </c>
      <c r="D5069" s="6">
        <v>3.4</v>
      </c>
      <c r="E5069" s="6">
        <v>5.0</v>
      </c>
    </row>
    <row r="5070">
      <c r="A5070" s="4" t="s">
        <v>10073</v>
      </c>
      <c r="B5070" s="5" t="s">
        <v>10074</v>
      </c>
      <c r="C5070" s="6">
        <v>1000.0</v>
      </c>
      <c r="D5070" s="6">
        <v>4.0</v>
      </c>
      <c r="E5070" s="6">
        <v>4.0</v>
      </c>
    </row>
    <row r="5071">
      <c r="A5071" s="4" t="s">
        <v>10075</v>
      </c>
      <c r="B5071" s="5" t="s">
        <v>10076</v>
      </c>
      <c r="C5071" s="6">
        <v>1000.0</v>
      </c>
      <c r="D5071" s="6">
        <v>3.916666667</v>
      </c>
      <c r="E5071" s="6">
        <v>24.0</v>
      </c>
    </row>
    <row r="5072">
      <c r="A5072" s="4" t="s">
        <v>10077</v>
      </c>
      <c r="B5072" s="5" t="s">
        <v>10078</v>
      </c>
      <c r="C5072" s="6">
        <v>1000.0</v>
      </c>
      <c r="D5072" s="6">
        <v>4.0</v>
      </c>
      <c r="E5072" s="6">
        <v>4.0</v>
      </c>
    </row>
    <row r="5073">
      <c r="A5073" s="4" t="s">
        <v>10079</v>
      </c>
      <c r="B5073" s="5" t="s">
        <v>10080</v>
      </c>
      <c r="C5073" s="6">
        <v>1000.0</v>
      </c>
      <c r="D5073" s="6">
        <v>5.0</v>
      </c>
      <c r="E5073" s="6">
        <v>4.0</v>
      </c>
    </row>
    <row r="5074">
      <c r="A5074" s="4" t="s">
        <v>10081</v>
      </c>
      <c r="B5074" s="5" t="s">
        <v>10082</v>
      </c>
      <c r="C5074" s="6">
        <v>1000.0</v>
      </c>
      <c r="D5074" s="6">
        <v>4.5</v>
      </c>
      <c r="E5074" s="6">
        <v>2.0</v>
      </c>
    </row>
    <row r="5075">
      <c r="A5075" s="4" t="s">
        <v>10083</v>
      </c>
      <c r="B5075" s="5" t="s">
        <v>10084</v>
      </c>
      <c r="C5075" s="6">
        <v>1000.0</v>
      </c>
      <c r="D5075" s="6">
        <v>5.0</v>
      </c>
      <c r="E5075" s="6">
        <v>3.0</v>
      </c>
    </row>
    <row r="5076">
      <c r="A5076" s="4" t="s">
        <v>10085</v>
      </c>
      <c r="B5076" s="5" t="s">
        <v>10086</v>
      </c>
      <c r="C5076" s="6">
        <v>1000.0</v>
      </c>
      <c r="D5076" s="6">
        <v>4.236363636</v>
      </c>
      <c r="E5076" s="6">
        <v>55.0</v>
      </c>
    </row>
    <row r="5077">
      <c r="A5077" s="4" t="s">
        <v>10087</v>
      </c>
      <c r="B5077" s="5" t="s">
        <v>10088</v>
      </c>
      <c r="C5077" s="6">
        <v>1000.0</v>
      </c>
      <c r="D5077" s="6">
        <v>4.25</v>
      </c>
      <c r="E5077" s="6">
        <v>4.0</v>
      </c>
    </row>
    <row r="5078">
      <c r="A5078" s="4" t="s">
        <v>10089</v>
      </c>
      <c r="B5078" s="5" t="s">
        <v>10090</v>
      </c>
      <c r="C5078" s="6">
        <v>1000.0</v>
      </c>
      <c r="D5078" s="6">
        <v>1.857142857</v>
      </c>
      <c r="E5078" s="6">
        <v>7.0</v>
      </c>
    </row>
    <row r="5079">
      <c r="A5079" s="4" t="s">
        <v>10091</v>
      </c>
      <c r="B5079" s="5" t="s">
        <v>10092</v>
      </c>
      <c r="C5079" s="6">
        <v>1000.0</v>
      </c>
      <c r="D5079" s="6">
        <v>5.0</v>
      </c>
      <c r="E5079" s="6">
        <v>2.0</v>
      </c>
    </row>
    <row r="5080">
      <c r="A5080" s="4" t="s">
        <v>10093</v>
      </c>
      <c r="B5080" s="5" t="s">
        <v>10094</v>
      </c>
      <c r="C5080" s="6">
        <v>1000.0</v>
      </c>
      <c r="D5080" s="6">
        <v>4.852272727</v>
      </c>
      <c r="E5080" s="6">
        <v>88.0</v>
      </c>
    </row>
    <row r="5081">
      <c r="A5081" s="4" t="s">
        <v>10095</v>
      </c>
      <c r="B5081" s="5" t="s">
        <v>10096</v>
      </c>
      <c r="C5081" s="6">
        <v>1000.0</v>
      </c>
      <c r="D5081" s="6">
        <v>3.8</v>
      </c>
      <c r="E5081" s="6">
        <v>5.0</v>
      </c>
    </row>
    <row r="5082">
      <c r="A5082" s="4" t="s">
        <v>10097</v>
      </c>
      <c r="B5082" s="5" t="s">
        <v>10098</v>
      </c>
      <c r="C5082" s="6">
        <v>1000.0</v>
      </c>
      <c r="D5082" s="6">
        <v>5.0</v>
      </c>
      <c r="E5082" s="6">
        <v>1.0</v>
      </c>
    </row>
    <row r="5083">
      <c r="A5083" s="4" t="s">
        <v>10099</v>
      </c>
      <c r="B5083" s="5" t="s">
        <v>10100</v>
      </c>
      <c r="C5083" s="6">
        <v>1000.0</v>
      </c>
      <c r="D5083" s="6">
        <v>4.806451613</v>
      </c>
      <c r="E5083" s="6">
        <v>31.0</v>
      </c>
    </row>
    <row r="5084">
      <c r="A5084" s="4" t="s">
        <v>10101</v>
      </c>
      <c r="B5084" s="5" t="s">
        <v>10102</v>
      </c>
      <c r="C5084" s="6">
        <v>1000.0</v>
      </c>
      <c r="D5084" s="6">
        <v>1.19047619</v>
      </c>
      <c r="E5084" s="6">
        <v>21.0</v>
      </c>
    </row>
    <row r="5085">
      <c r="A5085" s="4" t="s">
        <v>10103</v>
      </c>
      <c r="B5085" s="5" t="s">
        <v>10104</v>
      </c>
      <c r="C5085" s="6">
        <v>1000.0</v>
      </c>
      <c r="D5085" s="6">
        <v>4.909090909</v>
      </c>
      <c r="E5085" s="6">
        <v>11.0</v>
      </c>
    </row>
    <row r="5086">
      <c r="A5086" s="4" t="s">
        <v>10105</v>
      </c>
      <c r="B5086" s="5" t="s">
        <v>10106</v>
      </c>
      <c r="C5086" s="6">
        <v>1000.0</v>
      </c>
      <c r="D5086" s="6">
        <v>4.368421053</v>
      </c>
      <c r="E5086" s="6">
        <v>19.0</v>
      </c>
    </row>
    <row r="5087">
      <c r="A5087" s="4" t="s">
        <v>10107</v>
      </c>
      <c r="B5087" s="5" t="s">
        <v>10108</v>
      </c>
      <c r="C5087" s="6">
        <v>1000.0</v>
      </c>
      <c r="D5087" s="6">
        <v>4.928571429</v>
      </c>
      <c r="E5087" s="6">
        <v>14.0</v>
      </c>
    </row>
    <row r="5088">
      <c r="A5088" s="4" t="s">
        <v>10109</v>
      </c>
      <c r="B5088" s="5" t="s">
        <v>10110</v>
      </c>
      <c r="C5088" s="6">
        <v>1000.0</v>
      </c>
      <c r="D5088" s="6">
        <v>3.0</v>
      </c>
      <c r="E5088" s="6">
        <v>2.0</v>
      </c>
    </row>
    <row r="5089">
      <c r="A5089" s="4" t="s">
        <v>3458</v>
      </c>
      <c r="B5089" s="5" t="s">
        <v>10111</v>
      </c>
      <c r="C5089" s="6">
        <v>1000.0</v>
      </c>
      <c r="D5089" s="6">
        <v>2.888888889</v>
      </c>
      <c r="E5089" s="6">
        <v>9.0</v>
      </c>
    </row>
    <row r="5090">
      <c r="A5090" s="4" t="s">
        <v>10112</v>
      </c>
      <c r="B5090" s="5" t="s">
        <v>10113</v>
      </c>
      <c r="C5090" s="6">
        <v>1000.0</v>
      </c>
      <c r="D5090" s="6">
        <v>5.0</v>
      </c>
      <c r="E5090" s="6">
        <v>15.0</v>
      </c>
    </row>
    <row r="5091">
      <c r="A5091" s="4" t="s">
        <v>10114</v>
      </c>
      <c r="B5091" s="5" t="s">
        <v>10115</v>
      </c>
      <c r="C5091" s="6">
        <v>1000.0</v>
      </c>
      <c r="D5091" s="6">
        <v>2.952380952</v>
      </c>
      <c r="E5091" s="6">
        <v>21.0</v>
      </c>
    </row>
    <row r="5092">
      <c r="A5092" s="4" t="s">
        <v>10116</v>
      </c>
      <c r="B5092" s="5" t="s">
        <v>10117</v>
      </c>
      <c r="C5092" s="6">
        <v>1000.0</v>
      </c>
      <c r="D5092" s="6">
        <v>3.333333333</v>
      </c>
      <c r="E5092" s="6">
        <v>3.0</v>
      </c>
    </row>
    <row r="5093">
      <c r="A5093" s="4" t="s">
        <v>10118</v>
      </c>
      <c r="B5093" s="5" t="s">
        <v>10119</v>
      </c>
      <c r="C5093" s="6">
        <v>1000.0</v>
      </c>
      <c r="D5093" s="6">
        <v>5.0</v>
      </c>
      <c r="E5093" s="6">
        <v>1.0</v>
      </c>
    </row>
    <row r="5094">
      <c r="A5094" s="4" t="s">
        <v>2783</v>
      </c>
      <c r="B5094" s="5" t="s">
        <v>10120</v>
      </c>
      <c r="C5094" s="6">
        <v>1000.0</v>
      </c>
      <c r="D5094" s="6">
        <v>3.739130435</v>
      </c>
      <c r="E5094" s="6">
        <v>23.0</v>
      </c>
    </row>
    <row r="5095">
      <c r="A5095" s="4" t="s">
        <v>10121</v>
      </c>
      <c r="B5095" s="5" t="s">
        <v>10122</v>
      </c>
      <c r="C5095" s="6">
        <v>1000.0</v>
      </c>
      <c r="D5095" s="9"/>
      <c r="E5095" s="9"/>
    </row>
    <row r="5096">
      <c r="A5096" s="4" t="s">
        <v>10123</v>
      </c>
      <c r="B5096" s="5" t="s">
        <v>10124</v>
      </c>
      <c r="C5096" s="6">
        <v>1000.0</v>
      </c>
      <c r="D5096" s="6">
        <v>5.0</v>
      </c>
      <c r="E5096" s="6">
        <v>1.0</v>
      </c>
    </row>
    <row r="5097">
      <c r="A5097" s="4" t="s">
        <v>10125</v>
      </c>
      <c r="B5097" s="5" t="s">
        <v>10126</v>
      </c>
      <c r="C5097" s="6">
        <v>1000.0</v>
      </c>
      <c r="D5097" s="6">
        <v>4.5</v>
      </c>
      <c r="E5097" s="6">
        <v>18.0</v>
      </c>
    </row>
    <row r="5098">
      <c r="A5098" s="4" t="s">
        <v>10127</v>
      </c>
      <c r="B5098" s="5" t="s">
        <v>10128</v>
      </c>
      <c r="C5098" s="6">
        <v>1000.0</v>
      </c>
      <c r="D5098" s="6">
        <v>5.0</v>
      </c>
      <c r="E5098" s="6">
        <v>3.0</v>
      </c>
    </row>
    <row r="5099">
      <c r="A5099" s="4" t="s">
        <v>10129</v>
      </c>
      <c r="B5099" s="5" t="s">
        <v>10130</v>
      </c>
      <c r="C5099" s="6">
        <v>1000.0</v>
      </c>
      <c r="D5099" s="6">
        <v>4.951219512</v>
      </c>
      <c r="E5099" s="6">
        <v>41.0</v>
      </c>
    </row>
    <row r="5100">
      <c r="A5100" s="4" t="s">
        <v>10131</v>
      </c>
      <c r="B5100" s="5" t="s">
        <v>10132</v>
      </c>
      <c r="C5100" s="6">
        <v>1000.0</v>
      </c>
      <c r="D5100" s="6">
        <v>4.35</v>
      </c>
      <c r="E5100" s="6">
        <v>20.0</v>
      </c>
    </row>
    <row r="5101">
      <c r="A5101" s="4" t="s">
        <v>10133</v>
      </c>
      <c r="B5101" s="5" t="s">
        <v>10134</v>
      </c>
      <c r="C5101" s="6">
        <v>1000.0</v>
      </c>
      <c r="D5101" s="6">
        <v>4.833333333</v>
      </c>
      <c r="E5101" s="6">
        <v>6.0</v>
      </c>
    </row>
    <row r="5102">
      <c r="A5102" s="4" t="s">
        <v>10135</v>
      </c>
      <c r="B5102" s="5" t="s">
        <v>10136</v>
      </c>
      <c r="C5102" s="6">
        <v>1000.0</v>
      </c>
      <c r="D5102" s="6">
        <v>4.629213483</v>
      </c>
      <c r="E5102" s="6">
        <v>89.0</v>
      </c>
    </row>
    <row r="5103">
      <c r="A5103" s="4" t="s">
        <v>10137</v>
      </c>
      <c r="B5103" s="5" t="s">
        <v>10138</v>
      </c>
      <c r="C5103" s="6">
        <v>1000.0</v>
      </c>
      <c r="D5103" s="6">
        <v>4.769230769</v>
      </c>
      <c r="E5103" s="6">
        <v>26.0</v>
      </c>
    </row>
    <row r="5104">
      <c r="A5104" s="4" t="s">
        <v>10139</v>
      </c>
      <c r="B5104" s="5" t="s">
        <v>10140</v>
      </c>
      <c r="C5104" s="6">
        <v>1000.0</v>
      </c>
      <c r="D5104" s="6">
        <v>2.333333333</v>
      </c>
      <c r="E5104" s="6">
        <v>3.0</v>
      </c>
    </row>
    <row r="5105">
      <c r="A5105" s="4" t="s">
        <v>10141</v>
      </c>
      <c r="B5105" s="5" t="s">
        <v>10142</v>
      </c>
      <c r="C5105" s="6">
        <v>1000.0</v>
      </c>
      <c r="D5105" s="6">
        <v>4.023809524</v>
      </c>
      <c r="E5105" s="6">
        <v>42.0</v>
      </c>
    </row>
    <row r="5106">
      <c r="A5106" s="4" t="s">
        <v>10143</v>
      </c>
      <c r="B5106" s="5" t="s">
        <v>10144</v>
      </c>
      <c r="C5106" s="6">
        <v>1000.0</v>
      </c>
      <c r="D5106" s="6">
        <v>2.125</v>
      </c>
      <c r="E5106" s="6">
        <v>8.0</v>
      </c>
    </row>
    <row r="5107">
      <c r="A5107" s="4" t="s">
        <v>10145</v>
      </c>
      <c r="B5107" s="5" t="s">
        <v>10146</v>
      </c>
      <c r="C5107" s="6">
        <v>1000.0</v>
      </c>
      <c r="D5107" s="6">
        <v>4.375</v>
      </c>
      <c r="E5107" s="6">
        <v>8.0</v>
      </c>
    </row>
    <row r="5108">
      <c r="A5108" s="4" t="s">
        <v>10147</v>
      </c>
      <c r="B5108" s="5" t="s">
        <v>10148</v>
      </c>
      <c r="C5108" s="6">
        <v>1000.0</v>
      </c>
      <c r="D5108" s="6">
        <v>4.857142857</v>
      </c>
      <c r="E5108" s="6">
        <v>21.0</v>
      </c>
    </row>
    <row r="5109">
      <c r="A5109" s="4" t="s">
        <v>10149</v>
      </c>
      <c r="B5109" s="5" t="s">
        <v>10150</v>
      </c>
      <c r="C5109" s="6">
        <v>1000.0</v>
      </c>
      <c r="D5109" s="6">
        <v>4.9</v>
      </c>
      <c r="E5109" s="6">
        <v>10.0</v>
      </c>
    </row>
    <row r="5110">
      <c r="A5110" s="4" t="s">
        <v>10151</v>
      </c>
      <c r="B5110" s="5" t="s">
        <v>10152</v>
      </c>
      <c r="C5110" s="6">
        <v>1000.0</v>
      </c>
      <c r="D5110" s="6">
        <v>4.6</v>
      </c>
      <c r="E5110" s="6">
        <v>5.0</v>
      </c>
    </row>
    <row r="5111">
      <c r="A5111" s="4" t="s">
        <v>10153</v>
      </c>
      <c r="B5111" s="5" t="s">
        <v>10154</v>
      </c>
      <c r="C5111" s="6">
        <v>1000.0</v>
      </c>
      <c r="D5111" s="6">
        <v>5.0</v>
      </c>
      <c r="E5111" s="6">
        <v>6.0</v>
      </c>
    </row>
    <row r="5112">
      <c r="A5112" s="4" t="s">
        <v>10155</v>
      </c>
      <c r="B5112" s="5" t="s">
        <v>10156</v>
      </c>
      <c r="C5112" s="6">
        <v>1000.0</v>
      </c>
      <c r="D5112" s="9"/>
      <c r="E5112" s="9"/>
    </row>
    <row r="5113">
      <c r="A5113" s="4" t="s">
        <v>10157</v>
      </c>
      <c r="B5113" s="5" t="s">
        <v>10158</v>
      </c>
      <c r="C5113" s="6">
        <v>1000.0</v>
      </c>
      <c r="D5113" s="6">
        <v>4.882352941</v>
      </c>
      <c r="E5113" s="6">
        <v>17.0</v>
      </c>
    </row>
    <row r="5114">
      <c r="A5114" s="4" t="s">
        <v>10159</v>
      </c>
      <c r="B5114" s="5" t="s">
        <v>10160</v>
      </c>
      <c r="C5114" s="6">
        <v>1000.0</v>
      </c>
      <c r="D5114" s="6">
        <v>4.777777778</v>
      </c>
      <c r="E5114" s="6">
        <v>9.0</v>
      </c>
    </row>
    <row r="5115">
      <c r="A5115" s="4" t="s">
        <v>10161</v>
      </c>
      <c r="B5115" s="5" t="s">
        <v>10162</v>
      </c>
      <c r="C5115" s="6">
        <v>1000.0</v>
      </c>
      <c r="D5115" s="6">
        <v>4.0</v>
      </c>
      <c r="E5115" s="6">
        <v>7.0</v>
      </c>
    </row>
    <row r="5116">
      <c r="A5116" s="4" t="s">
        <v>10163</v>
      </c>
      <c r="B5116" s="5" t="s">
        <v>10164</v>
      </c>
      <c r="C5116" s="6">
        <v>1000.0</v>
      </c>
      <c r="D5116" s="6">
        <v>4.152173913</v>
      </c>
      <c r="E5116" s="6">
        <v>46.0</v>
      </c>
    </row>
    <row r="5117">
      <c r="A5117" s="4" t="s">
        <v>10165</v>
      </c>
      <c r="B5117" s="5" t="s">
        <v>10166</v>
      </c>
      <c r="C5117" s="6">
        <v>1000.0</v>
      </c>
      <c r="D5117" s="6">
        <v>4.272727273</v>
      </c>
      <c r="E5117" s="6">
        <v>11.0</v>
      </c>
    </row>
    <row r="5118">
      <c r="A5118" s="4" t="s">
        <v>10167</v>
      </c>
      <c r="B5118" s="5" t="s">
        <v>10168</v>
      </c>
      <c r="C5118" s="6">
        <v>1000.0</v>
      </c>
      <c r="D5118" s="6">
        <v>4.6</v>
      </c>
      <c r="E5118" s="6">
        <v>5.0</v>
      </c>
    </row>
    <row r="5119">
      <c r="A5119" s="4" t="s">
        <v>10169</v>
      </c>
      <c r="B5119" s="5" t="s">
        <v>10170</v>
      </c>
      <c r="C5119" s="6">
        <v>1000.0</v>
      </c>
      <c r="D5119" s="6">
        <v>4.583333333</v>
      </c>
      <c r="E5119" s="6">
        <v>24.0</v>
      </c>
    </row>
    <row r="5120">
      <c r="A5120" s="4" t="s">
        <v>10171</v>
      </c>
      <c r="B5120" s="5" t="s">
        <v>10172</v>
      </c>
      <c r="C5120" s="6">
        <v>1000.0</v>
      </c>
      <c r="D5120" s="6">
        <v>3.611111111</v>
      </c>
      <c r="E5120" s="6">
        <v>18.0</v>
      </c>
    </row>
    <row r="5121">
      <c r="A5121" s="4" t="s">
        <v>10173</v>
      </c>
      <c r="B5121" s="5" t="s">
        <v>10174</v>
      </c>
      <c r="C5121" s="6">
        <v>1000.0</v>
      </c>
      <c r="D5121" s="6">
        <v>5.0</v>
      </c>
      <c r="E5121" s="6">
        <v>4.0</v>
      </c>
    </row>
    <row r="5122">
      <c r="A5122" s="4" t="s">
        <v>10175</v>
      </c>
      <c r="B5122" s="5" t="s">
        <v>10176</v>
      </c>
      <c r="C5122" s="6">
        <v>1000.0</v>
      </c>
      <c r="D5122" s="6">
        <v>5.0</v>
      </c>
      <c r="E5122" s="6">
        <v>5.0</v>
      </c>
    </row>
    <row r="5123">
      <c r="A5123" s="4" t="s">
        <v>3228</v>
      </c>
      <c r="B5123" s="5" t="s">
        <v>10177</v>
      </c>
      <c r="C5123" s="6">
        <v>1000.0</v>
      </c>
      <c r="D5123" s="9"/>
      <c r="E5123" s="9"/>
    </row>
    <row r="5124">
      <c r="A5124" s="4" t="s">
        <v>10178</v>
      </c>
      <c r="B5124" s="5" t="s">
        <v>10179</v>
      </c>
      <c r="C5124" s="6">
        <v>1000.0</v>
      </c>
      <c r="D5124" s="6">
        <v>4.25</v>
      </c>
      <c r="E5124" s="6">
        <v>4.0</v>
      </c>
    </row>
    <row r="5125">
      <c r="A5125" s="4" t="s">
        <v>10180</v>
      </c>
      <c r="B5125" s="5" t="s">
        <v>10181</v>
      </c>
      <c r="C5125" s="6">
        <v>1000.0</v>
      </c>
      <c r="D5125" s="6">
        <v>4.047619048</v>
      </c>
      <c r="E5125" s="6">
        <v>21.0</v>
      </c>
    </row>
    <row r="5126">
      <c r="A5126" s="4" t="s">
        <v>10182</v>
      </c>
      <c r="B5126" s="5" t="s">
        <v>10183</v>
      </c>
      <c r="C5126" s="6">
        <v>1000.0</v>
      </c>
      <c r="D5126" s="6">
        <v>4.5</v>
      </c>
      <c r="E5126" s="6">
        <v>8.0</v>
      </c>
    </row>
    <row r="5127">
      <c r="A5127" s="4" t="s">
        <v>10184</v>
      </c>
      <c r="B5127" s="5" t="s">
        <v>10185</v>
      </c>
      <c r="C5127" s="6">
        <v>1000.0</v>
      </c>
      <c r="D5127" s="6">
        <v>4.0625</v>
      </c>
      <c r="E5127" s="6">
        <v>16.0</v>
      </c>
    </row>
    <row r="5128">
      <c r="A5128" s="4" t="s">
        <v>10186</v>
      </c>
      <c r="B5128" s="5" t="s">
        <v>10187</v>
      </c>
      <c r="C5128" s="6">
        <v>1000.0</v>
      </c>
      <c r="D5128" s="6">
        <v>4.595238095</v>
      </c>
      <c r="E5128" s="6">
        <v>42.0</v>
      </c>
    </row>
    <row r="5129">
      <c r="A5129" s="4" t="s">
        <v>10188</v>
      </c>
      <c r="B5129" s="5" t="s">
        <v>10189</v>
      </c>
      <c r="C5129" s="6">
        <v>1000.0</v>
      </c>
      <c r="D5129" s="6">
        <v>5.0</v>
      </c>
      <c r="E5129" s="6">
        <v>7.0</v>
      </c>
    </row>
    <row r="5130">
      <c r="A5130" s="4" t="s">
        <v>10190</v>
      </c>
      <c r="B5130" s="5" t="s">
        <v>10191</v>
      </c>
      <c r="C5130" s="6">
        <v>1000.0</v>
      </c>
      <c r="D5130" s="6">
        <v>4.2</v>
      </c>
      <c r="E5130" s="6">
        <v>5.0</v>
      </c>
    </row>
    <row r="5131">
      <c r="A5131" s="4" t="s">
        <v>10192</v>
      </c>
      <c r="B5131" s="5" t="s">
        <v>10193</v>
      </c>
      <c r="C5131" s="6">
        <v>1000.0</v>
      </c>
      <c r="D5131" s="6">
        <v>1.8</v>
      </c>
      <c r="E5131" s="6">
        <v>5.0</v>
      </c>
    </row>
    <row r="5132">
      <c r="A5132" s="4" t="s">
        <v>10194</v>
      </c>
      <c r="B5132" s="5" t="s">
        <v>10195</v>
      </c>
      <c r="C5132" s="6">
        <v>1000.0</v>
      </c>
      <c r="D5132" s="6">
        <v>4.673076923</v>
      </c>
      <c r="E5132" s="6">
        <v>52.0</v>
      </c>
    </row>
    <row r="5133">
      <c r="A5133" s="4" t="s">
        <v>10196</v>
      </c>
      <c r="B5133" s="5" t="s">
        <v>10197</v>
      </c>
      <c r="C5133" s="6">
        <v>1000.0</v>
      </c>
      <c r="D5133" s="6">
        <v>3.0</v>
      </c>
      <c r="E5133" s="6">
        <v>4.0</v>
      </c>
    </row>
    <row r="5134">
      <c r="A5134" s="4" t="s">
        <v>10198</v>
      </c>
      <c r="B5134" s="5" t="s">
        <v>10199</v>
      </c>
      <c r="C5134" s="6">
        <v>1000.0</v>
      </c>
      <c r="D5134" s="6">
        <v>1.75</v>
      </c>
      <c r="E5134" s="6">
        <v>4.0</v>
      </c>
    </row>
    <row r="5135">
      <c r="A5135" s="4" t="s">
        <v>10200</v>
      </c>
      <c r="B5135" s="5" t="s">
        <v>10201</v>
      </c>
      <c r="C5135" s="6">
        <v>1000.0</v>
      </c>
      <c r="D5135" s="6">
        <v>5.0</v>
      </c>
      <c r="E5135" s="6">
        <v>1.0</v>
      </c>
    </row>
    <row r="5136">
      <c r="A5136" s="4" t="s">
        <v>10202</v>
      </c>
      <c r="B5136" s="5" t="s">
        <v>10203</v>
      </c>
      <c r="C5136" s="6">
        <v>1000.0</v>
      </c>
      <c r="D5136" s="6">
        <v>4.75</v>
      </c>
      <c r="E5136" s="6">
        <v>12.0</v>
      </c>
    </row>
    <row r="5137">
      <c r="A5137" s="5" t="s">
        <v>10204</v>
      </c>
      <c r="B5137" s="5" t="s">
        <v>10205</v>
      </c>
      <c r="C5137" s="6">
        <v>1000.0</v>
      </c>
      <c r="D5137" s="6">
        <v>3.75</v>
      </c>
      <c r="E5137" s="6">
        <v>8.0</v>
      </c>
    </row>
    <row r="5138">
      <c r="A5138" s="4" t="s">
        <v>10206</v>
      </c>
      <c r="B5138" s="5" t="s">
        <v>10207</v>
      </c>
      <c r="C5138" s="6">
        <v>1000.0</v>
      </c>
      <c r="D5138" s="6">
        <v>4.5</v>
      </c>
      <c r="E5138" s="6">
        <v>16.0</v>
      </c>
    </row>
    <row r="5139">
      <c r="A5139" s="4" t="s">
        <v>10208</v>
      </c>
      <c r="B5139" s="5" t="s">
        <v>10209</v>
      </c>
      <c r="C5139" s="6">
        <v>1000.0</v>
      </c>
      <c r="D5139" s="6">
        <v>4.0</v>
      </c>
      <c r="E5139" s="6">
        <v>4.0</v>
      </c>
    </row>
    <row r="5140">
      <c r="A5140" s="4" t="s">
        <v>1250</v>
      </c>
      <c r="B5140" s="5" t="s">
        <v>10210</v>
      </c>
      <c r="C5140" s="6">
        <v>1000.0</v>
      </c>
      <c r="D5140" s="6">
        <v>4.0</v>
      </c>
      <c r="E5140" s="6">
        <v>4.0</v>
      </c>
    </row>
    <row r="5141">
      <c r="A5141" s="4" t="s">
        <v>4672</v>
      </c>
      <c r="B5141" s="5" t="s">
        <v>10211</v>
      </c>
      <c r="C5141" s="6">
        <v>1000.0</v>
      </c>
      <c r="D5141" s="6">
        <v>3.368421053</v>
      </c>
      <c r="E5141" s="6">
        <v>19.0</v>
      </c>
    </row>
    <row r="5142">
      <c r="A5142" s="4" t="s">
        <v>10212</v>
      </c>
      <c r="B5142" s="5" t="s">
        <v>10213</v>
      </c>
      <c r="C5142" s="6">
        <v>1000.0</v>
      </c>
      <c r="D5142" s="6">
        <v>3.6</v>
      </c>
      <c r="E5142" s="6">
        <v>5.0</v>
      </c>
    </row>
    <row r="5143">
      <c r="A5143" s="4" t="s">
        <v>10214</v>
      </c>
      <c r="B5143" s="5" t="s">
        <v>10215</v>
      </c>
      <c r="C5143" s="6">
        <v>1000.0</v>
      </c>
      <c r="D5143" s="6">
        <v>1.714285714</v>
      </c>
      <c r="E5143" s="6">
        <v>14.0</v>
      </c>
    </row>
    <row r="5144">
      <c r="A5144" s="4" t="s">
        <v>10216</v>
      </c>
      <c r="B5144" s="5" t="s">
        <v>10217</v>
      </c>
      <c r="C5144" s="6">
        <v>1000.0</v>
      </c>
      <c r="D5144" s="6">
        <v>4.5</v>
      </c>
      <c r="E5144" s="6">
        <v>8.0</v>
      </c>
    </row>
    <row r="5145">
      <c r="A5145" s="4" t="s">
        <v>10218</v>
      </c>
      <c r="B5145" s="5" t="s">
        <v>10219</v>
      </c>
      <c r="C5145" s="6">
        <v>1000.0</v>
      </c>
      <c r="D5145" s="6">
        <v>5.0</v>
      </c>
      <c r="E5145" s="6">
        <v>3.0</v>
      </c>
    </row>
    <row r="5146">
      <c r="A5146" s="4" t="s">
        <v>10220</v>
      </c>
      <c r="B5146" s="5" t="s">
        <v>10221</v>
      </c>
      <c r="C5146" s="6">
        <v>1000.0</v>
      </c>
      <c r="D5146" s="6">
        <v>5.0</v>
      </c>
      <c r="E5146" s="6">
        <v>9.0</v>
      </c>
    </row>
    <row r="5147">
      <c r="A5147" s="4" t="s">
        <v>10222</v>
      </c>
      <c r="B5147" s="5" t="s">
        <v>10223</v>
      </c>
      <c r="C5147" s="6">
        <v>1000.0</v>
      </c>
      <c r="D5147" s="6">
        <v>4.888888889</v>
      </c>
      <c r="E5147" s="6">
        <v>9.0</v>
      </c>
    </row>
    <row r="5148">
      <c r="A5148" s="4" t="s">
        <v>10224</v>
      </c>
      <c r="B5148" s="5" t="s">
        <v>10225</v>
      </c>
      <c r="C5148" s="6">
        <v>1000.0</v>
      </c>
      <c r="D5148" s="6">
        <v>3.854166667</v>
      </c>
      <c r="E5148" s="6">
        <v>48.0</v>
      </c>
    </row>
    <row r="5149">
      <c r="A5149" s="4" t="s">
        <v>10226</v>
      </c>
      <c r="B5149" s="5" t="s">
        <v>10227</v>
      </c>
      <c r="C5149" s="6">
        <v>1000.0</v>
      </c>
      <c r="D5149" s="6">
        <v>3.0</v>
      </c>
      <c r="E5149" s="6">
        <v>2.0</v>
      </c>
    </row>
    <row r="5150">
      <c r="A5150" s="4" t="s">
        <v>10228</v>
      </c>
      <c r="B5150" s="5" t="s">
        <v>10229</v>
      </c>
      <c r="C5150" s="6">
        <v>1000.0</v>
      </c>
      <c r="D5150" s="6">
        <v>2.315789474</v>
      </c>
      <c r="E5150" s="6">
        <v>19.0</v>
      </c>
    </row>
    <row r="5151">
      <c r="A5151" s="4" t="s">
        <v>10230</v>
      </c>
      <c r="B5151" s="5" t="s">
        <v>10231</v>
      </c>
      <c r="C5151" s="6">
        <v>1000.0</v>
      </c>
      <c r="D5151" s="6">
        <v>3.666666667</v>
      </c>
      <c r="E5151" s="6">
        <v>6.0</v>
      </c>
    </row>
    <row r="5152">
      <c r="A5152" s="4" t="s">
        <v>10232</v>
      </c>
      <c r="B5152" s="5" t="s">
        <v>10233</v>
      </c>
      <c r="C5152" s="6">
        <v>1000.0</v>
      </c>
      <c r="D5152" s="6">
        <v>4.576923077</v>
      </c>
      <c r="E5152" s="6">
        <v>26.0</v>
      </c>
    </row>
    <row r="5153">
      <c r="A5153" s="4" t="s">
        <v>10234</v>
      </c>
      <c r="B5153" s="5" t="s">
        <v>10235</v>
      </c>
      <c r="C5153" s="6">
        <v>1000.0</v>
      </c>
      <c r="D5153" s="6">
        <v>3.230769231</v>
      </c>
      <c r="E5153" s="6">
        <v>13.0</v>
      </c>
    </row>
    <row r="5154">
      <c r="A5154" s="4" t="s">
        <v>10236</v>
      </c>
      <c r="B5154" s="5" t="s">
        <v>10237</v>
      </c>
      <c r="C5154" s="6">
        <v>1000.0</v>
      </c>
      <c r="D5154" s="6">
        <v>4.857142857</v>
      </c>
      <c r="E5154" s="6">
        <v>14.0</v>
      </c>
    </row>
    <row r="5155">
      <c r="A5155" s="4" t="s">
        <v>10238</v>
      </c>
      <c r="B5155" s="5" t="s">
        <v>10239</v>
      </c>
      <c r="C5155" s="6">
        <v>1000.0</v>
      </c>
      <c r="D5155" s="6">
        <v>4.833333333</v>
      </c>
      <c r="E5155" s="6">
        <v>12.0</v>
      </c>
    </row>
    <row r="5156">
      <c r="A5156" s="4" t="s">
        <v>10240</v>
      </c>
      <c r="B5156" s="5" t="s">
        <v>10241</v>
      </c>
      <c r="C5156" s="6">
        <v>1000.0</v>
      </c>
      <c r="D5156" s="6">
        <v>5.0</v>
      </c>
      <c r="E5156" s="6">
        <v>3.0</v>
      </c>
    </row>
    <row r="5157">
      <c r="A5157" s="4" t="s">
        <v>10242</v>
      </c>
      <c r="B5157" s="5" t="s">
        <v>10243</v>
      </c>
      <c r="C5157" s="6">
        <v>1000.0</v>
      </c>
      <c r="D5157" s="6">
        <v>4.727272727</v>
      </c>
      <c r="E5157" s="6">
        <v>22.0</v>
      </c>
    </row>
    <row r="5158">
      <c r="A5158" s="4" t="s">
        <v>10244</v>
      </c>
      <c r="B5158" s="5" t="s">
        <v>10245</v>
      </c>
      <c r="C5158" s="6">
        <v>1000.0</v>
      </c>
      <c r="D5158" s="6">
        <v>4.541666667</v>
      </c>
      <c r="E5158" s="6">
        <v>24.0</v>
      </c>
    </row>
    <row r="5159">
      <c r="A5159" s="4" t="s">
        <v>10246</v>
      </c>
      <c r="B5159" s="5" t="s">
        <v>10247</v>
      </c>
      <c r="C5159" s="6">
        <v>1000.0</v>
      </c>
      <c r="D5159" s="6">
        <v>4.0</v>
      </c>
      <c r="E5159" s="6">
        <v>8.0</v>
      </c>
    </row>
    <row r="5160">
      <c r="A5160" s="4" t="s">
        <v>1306</v>
      </c>
      <c r="B5160" s="5" t="s">
        <v>10248</v>
      </c>
      <c r="C5160" s="6">
        <v>1000.0</v>
      </c>
      <c r="D5160" s="6">
        <v>3.666666667</v>
      </c>
      <c r="E5160" s="6">
        <v>3.0</v>
      </c>
    </row>
    <row r="5161">
      <c r="A5161" s="4" t="s">
        <v>10249</v>
      </c>
      <c r="B5161" s="5" t="s">
        <v>10250</v>
      </c>
      <c r="C5161" s="6">
        <v>1000.0</v>
      </c>
      <c r="D5161" s="6">
        <v>5.0</v>
      </c>
      <c r="E5161" s="6">
        <v>3.0</v>
      </c>
    </row>
    <row r="5162">
      <c r="A5162" s="4" t="s">
        <v>10251</v>
      </c>
      <c r="B5162" s="5" t="s">
        <v>10252</v>
      </c>
      <c r="C5162" s="6">
        <v>1000.0</v>
      </c>
      <c r="D5162" s="6">
        <v>4.5</v>
      </c>
      <c r="E5162" s="6">
        <v>28.0</v>
      </c>
    </row>
    <row r="5163">
      <c r="A5163" s="4" t="s">
        <v>10253</v>
      </c>
      <c r="B5163" s="5" t="s">
        <v>10254</v>
      </c>
      <c r="C5163" s="6">
        <v>1000.0</v>
      </c>
      <c r="D5163" s="6">
        <v>4.75</v>
      </c>
      <c r="E5163" s="6">
        <v>20.0</v>
      </c>
    </row>
    <row r="5164">
      <c r="A5164" s="4" t="s">
        <v>10255</v>
      </c>
      <c r="B5164" s="5" t="s">
        <v>10256</v>
      </c>
      <c r="C5164" s="6">
        <v>1000.0</v>
      </c>
      <c r="D5164" s="6">
        <v>4.8</v>
      </c>
      <c r="E5164" s="6">
        <v>5.0</v>
      </c>
    </row>
    <row r="5165">
      <c r="A5165" s="4" t="s">
        <v>10257</v>
      </c>
      <c r="B5165" s="5" t="s">
        <v>10258</v>
      </c>
      <c r="C5165" s="6">
        <v>1000.0</v>
      </c>
      <c r="D5165" s="6">
        <v>4.583333333</v>
      </c>
      <c r="E5165" s="6">
        <v>12.0</v>
      </c>
    </row>
    <row r="5166">
      <c r="A5166" s="4" t="s">
        <v>10259</v>
      </c>
      <c r="B5166" s="5" t="s">
        <v>10260</v>
      </c>
      <c r="C5166" s="6">
        <v>1000.0</v>
      </c>
      <c r="D5166" s="6">
        <v>3.125</v>
      </c>
      <c r="E5166" s="6">
        <v>8.0</v>
      </c>
    </row>
    <row r="5167">
      <c r="A5167" s="4" t="s">
        <v>10261</v>
      </c>
      <c r="B5167" s="5" t="s">
        <v>10262</v>
      </c>
      <c r="C5167" s="6">
        <v>1000.0</v>
      </c>
      <c r="D5167" s="6">
        <v>1.166666667</v>
      </c>
      <c r="E5167" s="6">
        <v>6.0</v>
      </c>
    </row>
    <row r="5168">
      <c r="A5168" s="4" t="s">
        <v>10263</v>
      </c>
      <c r="B5168" s="5" t="s">
        <v>10264</v>
      </c>
      <c r="C5168" s="6">
        <v>1000.0</v>
      </c>
      <c r="D5168" s="6">
        <v>3.272727273</v>
      </c>
      <c r="E5168" s="6">
        <v>22.0</v>
      </c>
    </row>
    <row r="5169">
      <c r="A5169" s="4" t="s">
        <v>10265</v>
      </c>
      <c r="B5169" s="5" t="s">
        <v>10266</v>
      </c>
      <c r="C5169" s="6">
        <v>1000.0</v>
      </c>
      <c r="D5169" s="6">
        <v>4.0</v>
      </c>
      <c r="E5169" s="6">
        <v>8.0</v>
      </c>
    </row>
    <row r="5170">
      <c r="A5170" s="4" t="s">
        <v>10267</v>
      </c>
      <c r="B5170" s="5" t="s">
        <v>10268</v>
      </c>
      <c r="C5170" s="6">
        <v>1000.0</v>
      </c>
      <c r="D5170" s="6">
        <v>5.0</v>
      </c>
      <c r="E5170" s="6">
        <v>5.0</v>
      </c>
    </row>
    <row r="5171">
      <c r="A5171" s="4" t="s">
        <v>10269</v>
      </c>
      <c r="B5171" s="5" t="s">
        <v>10270</v>
      </c>
      <c r="C5171" s="6">
        <v>1000.0</v>
      </c>
      <c r="D5171" s="6">
        <v>4.2</v>
      </c>
      <c r="E5171" s="6">
        <v>5.0</v>
      </c>
    </row>
    <row r="5172">
      <c r="A5172" s="4" t="s">
        <v>10271</v>
      </c>
      <c r="B5172" s="5" t="s">
        <v>10272</v>
      </c>
      <c r="C5172" s="6">
        <v>1000.0</v>
      </c>
      <c r="D5172" s="6">
        <v>2.5</v>
      </c>
      <c r="E5172" s="6">
        <v>10.0</v>
      </c>
    </row>
    <row r="5173">
      <c r="A5173" s="4" t="s">
        <v>10273</v>
      </c>
      <c r="B5173" s="5" t="s">
        <v>10274</v>
      </c>
      <c r="C5173" s="6">
        <v>1000.0</v>
      </c>
      <c r="D5173" s="6">
        <v>4.931034483</v>
      </c>
      <c r="E5173" s="6">
        <v>29.0</v>
      </c>
    </row>
    <row r="5174">
      <c r="A5174" s="4" t="s">
        <v>10275</v>
      </c>
      <c r="B5174" s="5" t="s">
        <v>10276</v>
      </c>
      <c r="C5174" s="6">
        <v>1000.0</v>
      </c>
      <c r="D5174" s="6">
        <v>3.0</v>
      </c>
      <c r="E5174" s="6">
        <v>2.0</v>
      </c>
    </row>
    <row r="5175">
      <c r="A5175" s="4" t="s">
        <v>10277</v>
      </c>
      <c r="B5175" s="5" t="s">
        <v>10278</v>
      </c>
      <c r="C5175" s="6">
        <v>1000.0</v>
      </c>
      <c r="D5175" s="6">
        <v>5.0</v>
      </c>
      <c r="E5175" s="6">
        <v>2.0</v>
      </c>
    </row>
    <row r="5176">
      <c r="A5176" s="4" t="s">
        <v>10279</v>
      </c>
      <c r="B5176" s="5" t="s">
        <v>10280</v>
      </c>
      <c r="C5176" s="6">
        <v>1000.0</v>
      </c>
      <c r="D5176" s="6">
        <v>3.65</v>
      </c>
      <c r="E5176" s="6">
        <v>20.0</v>
      </c>
    </row>
    <row r="5177">
      <c r="A5177" s="4" t="s">
        <v>10281</v>
      </c>
      <c r="B5177" s="5" t="s">
        <v>10282</v>
      </c>
      <c r="C5177" s="6">
        <v>1000.0</v>
      </c>
      <c r="D5177" s="6">
        <v>5.0</v>
      </c>
      <c r="E5177" s="6">
        <v>3.0</v>
      </c>
    </row>
    <row r="5178">
      <c r="A5178" s="4" t="s">
        <v>10283</v>
      </c>
      <c r="B5178" s="5" t="s">
        <v>10284</v>
      </c>
      <c r="C5178" s="6">
        <v>1000.0</v>
      </c>
      <c r="D5178" s="6">
        <v>4.913934426</v>
      </c>
      <c r="E5178" s="6">
        <v>244.0</v>
      </c>
    </row>
    <row r="5179">
      <c r="A5179" s="4" t="s">
        <v>10285</v>
      </c>
      <c r="B5179" s="5" t="s">
        <v>10286</v>
      </c>
      <c r="C5179" s="6">
        <v>1000.0</v>
      </c>
      <c r="D5179" s="6">
        <v>3.0</v>
      </c>
      <c r="E5179" s="6">
        <v>8.0</v>
      </c>
    </row>
    <row r="5180">
      <c r="A5180" s="4" t="s">
        <v>10287</v>
      </c>
      <c r="B5180" s="5" t="s">
        <v>10288</v>
      </c>
      <c r="C5180" s="6">
        <v>1000.0</v>
      </c>
      <c r="D5180" s="6">
        <v>4.444444444</v>
      </c>
      <c r="E5180" s="6">
        <v>36.0</v>
      </c>
    </row>
    <row r="5181">
      <c r="A5181" s="4" t="s">
        <v>10289</v>
      </c>
      <c r="B5181" s="5" t="s">
        <v>10290</v>
      </c>
      <c r="C5181" s="6">
        <v>1000.0</v>
      </c>
      <c r="D5181" s="6">
        <v>3.361111111</v>
      </c>
      <c r="E5181" s="6">
        <v>36.0</v>
      </c>
    </row>
    <row r="5182">
      <c r="A5182" s="4" t="s">
        <v>10291</v>
      </c>
      <c r="B5182" s="5" t="s">
        <v>10292</v>
      </c>
      <c r="C5182" s="6">
        <v>1000.0</v>
      </c>
      <c r="D5182" s="6">
        <v>4.727272727</v>
      </c>
      <c r="E5182" s="6">
        <v>55.0</v>
      </c>
    </row>
    <row r="5183">
      <c r="A5183" s="4" t="s">
        <v>10293</v>
      </c>
      <c r="B5183" s="5" t="s">
        <v>10294</v>
      </c>
      <c r="C5183" s="6">
        <v>1000.0</v>
      </c>
      <c r="D5183" s="6">
        <v>4.5</v>
      </c>
      <c r="E5183" s="6">
        <v>38.0</v>
      </c>
    </row>
    <row r="5184">
      <c r="A5184" s="4" t="s">
        <v>10295</v>
      </c>
      <c r="B5184" s="5" t="s">
        <v>10296</v>
      </c>
      <c r="C5184" s="6">
        <v>1000.0</v>
      </c>
      <c r="D5184" s="6">
        <v>3.269230769</v>
      </c>
      <c r="E5184" s="6">
        <v>26.0</v>
      </c>
    </row>
    <row r="5185">
      <c r="A5185" s="4" t="s">
        <v>10297</v>
      </c>
      <c r="B5185" s="5" t="s">
        <v>10298</v>
      </c>
      <c r="C5185" s="6">
        <v>1000.0</v>
      </c>
      <c r="D5185" s="6">
        <v>2.833333333</v>
      </c>
      <c r="E5185" s="6">
        <v>6.0</v>
      </c>
    </row>
    <row r="5186">
      <c r="A5186" s="4" t="s">
        <v>10299</v>
      </c>
      <c r="B5186" s="5" t="s">
        <v>10300</v>
      </c>
      <c r="C5186" s="6">
        <v>1000.0</v>
      </c>
      <c r="D5186" s="6">
        <v>3.230769231</v>
      </c>
      <c r="E5186" s="6">
        <v>13.0</v>
      </c>
    </row>
    <row r="5187">
      <c r="A5187" s="4" t="s">
        <v>10301</v>
      </c>
      <c r="B5187" s="5" t="s">
        <v>10302</v>
      </c>
      <c r="C5187" s="6">
        <v>1000.0</v>
      </c>
      <c r="D5187" s="6">
        <v>5.0</v>
      </c>
      <c r="E5187" s="6">
        <v>6.0</v>
      </c>
    </row>
    <row r="5188">
      <c r="A5188" s="4" t="s">
        <v>10303</v>
      </c>
      <c r="B5188" s="5" t="s">
        <v>10304</v>
      </c>
      <c r="C5188" s="6">
        <v>1000.0</v>
      </c>
      <c r="D5188" s="6">
        <v>1.7</v>
      </c>
      <c r="E5188" s="6">
        <v>20.0</v>
      </c>
    </row>
    <row r="5189">
      <c r="A5189" s="4" t="s">
        <v>10305</v>
      </c>
      <c r="B5189" s="5" t="s">
        <v>10306</v>
      </c>
      <c r="C5189" s="6">
        <v>1000.0</v>
      </c>
      <c r="D5189" s="6">
        <v>4.882352941</v>
      </c>
      <c r="E5189" s="6">
        <v>51.0</v>
      </c>
    </row>
    <row r="5190">
      <c r="A5190" s="4" t="s">
        <v>10307</v>
      </c>
      <c r="B5190" s="5" t="s">
        <v>10308</v>
      </c>
      <c r="C5190" s="6">
        <v>1000.0</v>
      </c>
      <c r="D5190" s="6">
        <v>3.857142857</v>
      </c>
      <c r="E5190" s="6">
        <v>21.0</v>
      </c>
    </row>
    <row r="5191">
      <c r="A5191" s="4" t="s">
        <v>10309</v>
      </c>
      <c r="B5191" s="5" t="s">
        <v>10310</v>
      </c>
      <c r="C5191" s="6">
        <v>1000.0</v>
      </c>
      <c r="D5191" s="6">
        <v>4.097560976</v>
      </c>
      <c r="E5191" s="6">
        <v>41.0</v>
      </c>
    </row>
    <row r="5192">
      <c r="A5192" s="4" t="s">
        <v>10311</v>
      </c>
      <c r="B5192" s="5" t="s">
        <v>10312</v>
      </c>
      <c r="C5192" s="6">
        <v>1000.0</v>
      </c>
      <c r="D5192" s="6">
        <v>4.263157895</v>
      </c>
      <c r="E5192" s="6">
        <v>38.0</v>
      </c>
    </row>
    <row r="5193">
      <c r="A5193" s="4" t="s">
        <v>10313</v>
      </c>
      <c r="B5193" s="5" t="s">
        <v>10314</v>
      </c>
      <c r="C5193" s="6">
        <v>1000.0</v>
      </c>
      <c r="D5193" s="6">
        <v>4.5</v>
      </c>
      <c r="E5193" s="6">
        <v>6.0</v>
      </c>
    </row>
    <row r="5194">
      <c r="A5194" s="4" t="s">
        <v>10315</v>
      </c>
      <c r="B5194" s="5" t="s">
        <v>10316</v>
      </c>
      <c r="C5194" s="6">
        <v>1000.0</v>
      </c>
      <c r="D5194" s="6">
        <v>2.142857143</v>
      </c>
      <c r="E5194" s="6">
        <v>7.0</v>
      </c>
    </row>
    <row r="5195">
      <c r="A5195" s="4" t="s">
        <v>10317</v>
      </c>
      <c r="B5195" s="5" t="s">
        <v>10318</v>
      </c>
      <c r="C5195" s="6">
        <v>1000.0</v>
      </c>
      <c r="D5195" s="9"/>
      <c r="E5195" s="9"/>
    </row>
    <row r="5196">
      <c r="A5196" s="4" t="s">
        <v>10319</v>
      </c>
      <c r="B5196" s="5" t="s">
        <v>10320</v>
      </c>
      <c r="C5196" s="6">
        <v>1000.0</v>
      </c>
      <c r="D5196" s="6">
        <v>4.75</v>
      </c>
      <c r="E5196" s="6">
        <v>8.0</v>
      </c>
    </row>
    <row r="5197">
      <c r="A5197" s="4" t="s">
        <v>10321</v>
      </c>
      <c r="B5197" s="5" t="s">
        <v>10322</v>
      </c>
      <c r="C5197" s="6">
        <v>1000.0</v>
      </c>
      <c r="D5197" s="6">
        <v>4.347826087</v>
      </c>
      <c r="E5197" s="6">
        <v>23.0</v>
      </c>
    </row>
    <row r="5198">
      <c r="A5198" s="4" t="s">
        <v>10323</v>
      </c>
      <c r="B5198" s="5" t="s">
        <v>10324</v>
      </c>
      <c r="C5198" s="6">
        <v>1000.0</v>
      </c>
      <c r="D5198" s="6">
        <v>4.454545455</v>
      </c>
      <c r="E5198" s="6">
        <v>11.0</v>
      </c>
    </row>
    <row r="5199">
      <c r="A5199" s="4" t="s">
        <v>10325</v>
      </c>
      <c r="B5199" s="5" t="s">
        <v>10326</v>
      </c>
      <c r="C5199" s="6">
        <v>1000.0</v>
      </c>
      <c r="D5199" s="6">
        <v>3.769230769</v>
      </c>
      <c r="E5199" s="6">
        <v>13.0</v>
      </c>
    </row>
    <row r="5200">
      <c r="A5200" s="4" t="s">
        <v>10327</v>
      </c>
      <c r="B5200" s="5" t="s">
        <v>10328</v>
      </c>
      <c r="C5200" s="6">
        <v>1000.0</v>
      </c>
      <c r="D5200" s="6">
        <v>3.733333333</v>
      </c>
      <c r="E5200" s="6">
        <v>15.0</v>
      </c>
    </row>
    <row r="5201">
      <c r="A5201" s="4" t="s">
        <v>10329</v>
      </c>
      <c r="B5201" s="5" t="s">
        <v>10330</v>
      </c>
      <c r="C5201" s="6">
        <v>1000.0</v>
      </c>
      <c r="D5201" s="6">
        <v>4.72</v>
      </c>
      <c r="E5201" s="6">
        <v>50.0</v>
      </c>
    </row>
    <row r="5202">
      <c r="A5202" s="4" t="s">
        <v>10331</v>
      </c>
      <c r="B5202" s="5" t="s">
        <v>10332</v>
      </c>
      <c r="C5202" s="6">
        <v>1000.0</v>
      </c>
      <c r="D5202" s="6">
        <v>3.571428571</v>
      </c>
      <c r="E5202" s="6">
        <v>7.0</v>
      </c>
    </row>
    <row r="5203">
      <c r="A5203" s="4" t="s">
        <v>10333</v>
      </c>
      <c r="B5203" s="5" t="s">
        <v>10334</v>
      </c>
      <c r="C5203" s="6">
        <v>1000.0</v>
      </c>
      <c r="D5203" s="6">
        <v>4.365591398</v>
      </c>
      <c r="E5203" s="6">
        <v>93.0</v>
      </c>
    </row>
    <row r="5204">
      <c r="A5204" s="4" t="s">
        <v>10335</v>
      </c>
      <c r="B5204" s="5" t="s">
        <v>10336</v>
      </c>
      <c r="C5204" s="6">
        <v>1000.0</v>
      </c>
      <c r="D5204" s="6">
        <v>3.0</v>
      </c>
      <c r="E5204" s="6">
        <v>2.0</v>
      </c>
    </row>
    <row r="5205">
      <c r="A5205" s="4" t="s">
        <v>10337</v>
      </c>
      <c r="B5205" s="5" t="s">
        <v>10338</v>
      </c>
      <c r="C5205" s="6">
        <v>1000.0</v>
      </c>
      <c r="D5205" s="6">
        <v>4.6</v>
      </c>
      <c r="E5205" s="6">
        <v>10.0</v>
      </c>
    </row>
    <row r="5206">
      <c r="A5206" s="4" t="s">
        <v>10339</v>
      </c>
      <c r="B5206" s="5" t="s">
        <v>10340</v>
      </c>
      <c r="C5206" s="6">
        <v>1000.0</v>
      </c>
      <c r="D5206" s="6">
        <v>4.2</v>
      </c>
      <c r="E5206" s="6">
        <v>5.0</v>
      </c>
    </row>
    <row r="5207">
      <c r="A5207" s="4" t="s">
        <v>10341</v>
      </c>
      <c r="B5207" s="5" t="s">
        <v>10342</v>
      </c>
      <c r="C5207" s="6">
        <v>1000.0</v>
      </c>
      <c r="D5207" s="6">
        <v>4.2</v>
      </c>
      <c r="E5207" s="6">
        <v>15.0</v>
      </c>
    </row>
    <row r="5208">
      <c r="A5208" s="4" t="s">
        <v>10343</v>
      </c>
      <c r="B5208" s="5" t="s">
        <v>10344</v>
      </c>
      <c r="C5208" s="6">
        <v>1000.0</v>
      </c>
      <c r="D5208" s="6">
        <v>4.75</v>
      </c>
      <c r="E5208" s="6">
        <v>8.0</v>
      </c>
    </row>
    <row r="5209">
      <c r="A5209" s="4" t="s">
        <v>10345</v>
      </c>
      <c r="B5209" s="5" t="s">
        <v>10346</v>
      </c>
      <c r="C5209" s="6">
        <v>1000.0</v>
      </c>
      <c r="D5209" s="6">
        <v>4.6</v>
      </c>
      <c r="E5209" s="6">
        <v>5.0</v>
      </c>
    </row>
    <row r="5210">
      <c r="A5210" s="4" t="s">
        <v>10347</v>
      </c>
      <c r="B5210" s="5" t="s">
        <v>10348</v>
      </c>
      <c r="C5210" s="6">
        <v>1000.0</v>
      </c>
      <c r="D5210" s="6">
        <v>5.0</v>
      </c>
      <c r="E5210" s="6">
        <v>5.0</v>
      </c>
    </row>
    <row r="5211">
      <c r="A5211" s="4" t="s">
        <v>227</v>
      </c>
      <c r="B5211" s="5" t="s">
        <v>10349</v>
      </c>
      <c r="C5211" s="6">
        <v>1000.0</v>
      </c>
      <c r="D5211" s="6">
        <v>4.3</v>
      </c>
      <c r="E5211" s="6">
        <v>20.0</v>
      </c>
    </row>
    <row r="5212">
      <c r="A5212" s="4" t="s">
        <v>10350</v>
      </c>
      <c r="B5212" s="5" t="s">
        <v>10351</v>
      </c>
      <c r="C5212" s="6">
        <v>1000.0</v>
      </c>
      <c r="D5212" s="6">
        <v>5.0</v>
      </c>
      <c r="E5212" s="6">
        <v>1.0</v>
      </c>
    </row>
    <row r="5213">
      <c r="A5213" s="4" t="s">
        <v>10352</v>
      </c>
      <c r="B5213" s="5" t="s">
        <v>10353</v>
      </c>
      <c r="C5213" s="6">
        <v>1000.0</v>
      </c>
      <c r="D5213" s="6">
        <v>4.2</v>
      </c>
      <c r="E5213" s="6">
        <v>5.0</v>
      </c>
    </row>
    <row r="5214">
      <c r="A5214" s="4" t="s">
        <v>10354</v>
      </c>
      <c r="B5214" s="5" t="s">
        <v>10355</v>
      </c>
      <c r="C5214" s="6">
        <v>1000.0</v>
      </c>
      <c r="D5214" s="6">
        <v>4.0</v>
      </c>
      <c r="E5214" s="6">
        <v>5.0</v>
      </c>
    </row>
    <row r="5215">
      <c r="A5215" s="4" t="s">
        <v>10356</v>
      </c>
      <c r="B5215" s="5" t="s">
        <v>10357</v>
      </c>
      <c r="C5215" s="6">
        <v>1000.0</v>
      </c>
      <c r="D5215" s="6">
        <v>3.1</v>
      </c>
      <c r="E5215" s="6">
        <v>10.0</v>
      </c>
    </row>
    <row r="5216">
      <c r="A5216" s="4" t="s">
        <v>10358</v>
      </c>
      <c r="B5216" s="5" t="s">
        <v>10359</v>
      </c>
      <c r="C5216" s="6">
        <v>1000.0</v>
      </c>
      <c r="D5216" s="6">
        <v>4.095238095</v>
      </c>
      <c r="E5216" s="6">
        <v>21.0</v>
      </c>
    </row>
    <row r="5217">
      <c r="A5217" s="4" t="s">
        <v>10360</v>
      </c>
      <c r="B5217" s="5" t="s">
        <v>10361</v>
      </c>
      <c r="C5217" s="6">
        <v>1000.0</v>
      </c>
      <c r="D5217" s="6">
        <v>5.0</v>
      </c>
      <c r="E5217" s="6">
        <v>2.0</v>
      </c>
    </row>
    <row r="5218">
      <c r="A5218" s="4" t="s">
        <v>10362</v>
      </c>
      <c r="B5218" s="5" t="s">
        <v>10363</v>
      </c>
      <c r="C5218" s="6">
        <v>1000.0</v>
      </c>
      <c r="D5218" s="6">
        <v>3.666666667</v>
      </c>
      <c r="E5218" s="6">
        <v>3.0</v>
      </c>
    </row>
    <row r="5219">
      <c r="A5219" s="4" t="s">
        <v>10364</v>
      </c>
      <c r="B5219" s="5" t="s">
        <v>10365</v>
      </c>
      <c r="C5219" s="6">
        <v>1000.0</v>
      </c>
      <c r="D5219" s="6">
        <v>2.285714286</v>
      </c>
      <c r="E5219" s="6">
        <v>14.0</v>
      </c>
    </row>
    <row r="5220">
      <c r="A5220" s="4" t="s">
        <v>10366</v>
      </c>
      <c r="B5220" s="5" t="s">
        <v>10367</v>
      </c>
      <c r="C5220" s="6">
        <v>1000.0</v>
      </c>
      <c r="D5220" s="6">
        <v>3.470588235</v>
      </c>
      <c r="E5220" s="6">
        <v>17.0</v>
      </c>
    </row>
    <row r="5221">
      <c r="A5221" s="4" t="s">
        <v>10368</v>
      </c>
      <c r="B5221" s="5" t="s">
        <v>10369</v>
      </c>
      <c r="C5221" s="6">
        <v>1000.0</v>
      </c>
      <c r="D5221" s="6">
        <v>4.220588235</v>
      </c>
      <c r="E5221" s="6">
        <v>68.0</v>
      </c>
    </row>
    <row r="5222">
      <c r="A5222" s="4" t="s">
        <v>10370</v>
      </c>
      <c r="B5222" s="5" t="s">
        <v>10371</v>
      </c>
      <c r="C5222" s="6">
        <v>1000.0</v>
      </c>
      <c r="D5222" s="6">
        <v>4.875</v>
      </c>
      <c r="E5222" s="6">
        <v>8.0</v>
      </c>
    </row>
    <row r="5223">
      <c r="A5223" s="4" t="s">
        <v>10372</v>
      </c>
      <c r="B5223" s="5" t="s">
        <v>10373</v>
      </c>
      <c r="C5223" s="6">
        <v>1000.0</v>
      </c>
      <c r="D5223" s="6">
        <v>5.0</v>
      </c>
      <c r="E5223" s="6">
        <v>7.0</v>
      </c>
    </row>
    <row r="5224">
      <c r="A5224" s="4" t="s">
        <v>10374</v>
      </c>
      <c r="B5224" s="5" t="s">
        <v>10375</v>
      </c>
      <c r="C5224" s="6">
        <v>1000.0</v>
      </c>
      <c r="D5224" s="6">
        <v>2.333333333</v>
      </c>
      <c r="E5224" s="6">
        <v>3.0</v>
      </c>
    </row>
    <row r="5225">
      <c r="A5225" s="4" t="s">
        <v>10376</v>
      </c>
      <c r="B5225" s="5" t="s">
        <v>10377</v>
      </c>
      <c r="C5225" s="6">
        <v>1000.0</v>
      </c>
      <c r="D5225" s="6">
        <v>4.357142857</v>
      </c>
      <c r="E5225" s="6">
        <v>14.0</v>
      </c>
    </row>
    <row r="5226">
      <c r="A5226" s="4" t="s">
        <v>10378</v>
      </c>
      <c r="B5226" s="5" t="s">
        <v>10379</v>
      </c>
      <c r="C5226" s="6">
        <v>1000.0</v>
      </c>
      <c r="D5226" s="6">
        <v>4.363636364</v>
      </c>
      <c r="E5226" s="6">
        <v>11.0</v>
      </c>
    </row>
    <row r="5227">
      <c r="A5227" s="4" t="s">
        <v>10380</v>
      </c>
      <c r="B5227" s="5" t="s">
        <v>10381</v>
      </c>
      <c r="C5227" s="6">
        <v>1000.0</v>
      </c>
      <c r="D5227" s="6">
        <v>4.2</v>
      </c>
      <c r="E5227" s="6">
        <v>5.0</v>
      </c>
    </row>
    <row r="5228">
      <c r="A5228" s="4" t="s">
        <v>10382</v>
      </c>
      <c r="B5228" s="5" t="s">
        <v>10383</v>
      </c>
      <c r="C5228" s="6">
        <v>1000.0</v>
      </c>
      <c r="D5228" s="6">
        <v>4.434782609</v>
      </c>
      <c r="E5228" s="6">
        <v>23.0</v>
      </c>
    </row>
    <row r="5229">
      <c r="A5229" s="4" t="s">
        <v>10384</v>
      </c>
      <c r="B5229" s="5" t="s">
        <v>10385</v>
      </c>
      <c r="C5229" s="6">
        <v>1000.0</v>
      </c>
      <c r="D5229" s="6">
        <v>4.416666667</v>
      </c>
      <c r="E5229" s="6">
        <v>12.0</v>
      </c>
    </row>
    <row r="5230">
      <c r="A5230" s="4" t="s">
        <v>10386</v>
      </c>
      <c r="B5230" s="5" t="s">
        <v>10387</v>
      </c>
      <c r="C5230" s="6">
        <v>1000.0</v>
      </c>
      <c r="D5230" s="6">
        <v>4.2</v>
      </c>
      <c r="E5230" s="6">
        <v>10.0</v>
      </c>
    </row>
    <row r="5231">
      <c r="A5231" s="4" t="s">
        <v>10388</v>
      </c>
      <c r="B5231" s="5" t="s">
        <v>10389</v>
      </c>
      <c r="C5231" s="6">
        <v>1000.0</v>
      </c>
      <c r="D5231" s="6">
        <v>5.0</v>
      </c>
      <c r="E5231" s="6">
        <v>4.0</v>
      </c>
    </row>
    <row r="5232">
      <c r="A5232" s="4" t="s">
        <v>10390</v>
      </c>
      <c r="B5232" s="5" t="s">
        <v>10391</v>
      </c>
      <c r="C5232" s="6">
        <v>1000.0</v>
      </c>
      <c r="D5232" s="6">
        <v>1.833333333</v>
      </c>
      <c r="E5232" s="6">
        <v>6.0</v>
      </c>
    </row>
    <row r="5233">
      <c r="A5233" s="4" t="s">
        <v>10392</v>
      </c>
      <c r="B5233" s="5" t="s">
        <v>10393</v>
      </c>
      <c r="C5233" s="6">
        <v>1000.0</v>
      </c>
      <c r="D5233" s="6">
        <v>4.698630137</v>
      </c>
      <c r="E5233" s="6">
        <v>73.0</v>
      </c>
    </row>
    <row r="5234">
      <c r="A5234" s="4" t="s">
        <v>10394</v>
      </c>
      <c r="B5234" s="5" t="s">
        <v>10395</v>
      </c>
      <c r="C5234" s="6">
        <v>1000.0</v>
      </c>
      <c r="D5234" s="6">
        <v>3.571428571</v>
      </c>
      <c r="E5234" s="6">
        <v>7.0</v>
      </c>
    </row>
    <row r="5235">
      <c r="A5235" s="4" t="s">
        <v>10396</v>
      </c>
      <c r="B5235" s="5" t="s">
        <v>10397</v>
      </c>
      <c r="C5235" s="6">
        <v>1000.0</v>
      </c>
      <c r="D5235" s="6">
        <v>3.0</v>
      </c>
      <c r="E5235" s="6">
        <v>1.0</v>
      </c>
    </row>
    <row r="5236">
      <c r="A5236" s="4" t="s">
        <v>10398</v>
      </c>
      <c r="B5236" s="5" t="s">
        <v>10399</v>
      </c>
      <c r="C5236" s="6">
        <v>1000.0</v>
      </c>
      <c r="D5236" s="6">
        <v>4.333333333</v>
      </c>
      <c r="E5236" s="6">
        <v>6.0</v>
      </c>
    </row>
    <row r="5237">
      <c r="A5237" s="4" t="s">
        <v>10400</v>
      </c>
      <c r="B5237" s="5" t="s">
        <v>10401</v>
      </c>
      <c r="C5237" s="6">
        <v>1000.0</v>
      </c>
      <c r="D5237" s="6">
        <v>5.0</v>
      </c>
      <c r="E5237" s="6">
        <v>2.0</v>
      </c>
    </row>
    <row r="5238">
      <c r="A5238" s="4" t="s">
        <v>10402</v>
      </c>
      <c r="B5238" s="5" t="s">
        <v>10403</v>
      </c>
      <c r="C5238" s="6">
        <v>1000.0</v>
      </c>
      <c r="D5238" s="6">
        <v>3.4</v>
      </c>
      <c r="E5238" s="6">
        <v>5.0</v>
      </c>
    </row>
    <row r="5239">
      <c r="A5239" s="4" t="s">
        <v>10404</v>
      </c>
      <c r="B5239" s="5" t="s">
        <v>10405</v>
      </c>
      <c r="C5239" s="6">
        <v>1000.0</v>
      </c>
      <c r="D5239" s="9"/>
      <c r="E5239" s="9"/>
    </row>
    <row r="5240">
      <c r="A5240" s="4" t="s">
        <v>10406</v>
      </c>
      <c r="B5240" s="5" t="s">
        <v>10407</v>
      </c>
      <c r="C5240" s="6">
        <v>1000.0</v>
      </c>
      <c r="D5240" s="6">
        <v>4.4</v>
      </c>
      <c r="E5240" s="6">
        <v>25.0</v>
      </c>
    </row>
    <row r="5241">
      <c r="A5241" s="4" t="s">
        <v>10408</v>
      </c>
      <c r="B5241" s="5" t="s">
        <v>10409</v>
      </c>
      <c r="C5241" s="6">
        <v>1000.0</v>
      </c>
      <c r="D5241" s="6">
        <v>3.595744681</v>
      </c>
      <c r="E5241" s="6">
        <v>47.0</v>
      </c>
    </row>
    <row r="5242">
      <c r="A5242" s="4" t="s">
        <v>10410</v>
      </c>
      <c r="B5242" s="5" t="s">
        <v>10411</v>
      </c>
      <c r="C5242" s="6">
        <v>1000.0</v>
      </c>
      <c r="D5242" s="6">
        <v>4.95</v>
      </c>
      <c r="E5242" s="6">
        <v>60.0</v>
      </c>
    </row>
    <row r="5243">
      <c r="A5243" s="4" t="s">
        <v>10412</v>
      </c>
      <c r="B5243" s="5" t="s">
        <v>10413</v>
      </c>
      <c r="C5243" s="6">
        <v>1000.0</v>
      </c>
      <c r="D5243" s="6">
        <v>4.181818182</v>
      </c>
      <c r="E5243" s="6">
        <v>11.0</v>
      </c>
    </row>
    <row r="5244">
      <c r="A5244" s="4" t="s">
        <v>10414</v>
      </c>
      <c r="B5244" s="5" t="s">
        <v>10415</v>
      </c>
      <c r="C5244" s="6">
        <v>1000.0</v>
      </c>
      <c r="D5244" s="6">
        <v>3.821428571</v>
      </c>
      <c r="E5244" s="6">
        <v>28.0</v>
      </c>
    </row>
    <row r="5245">
      <c r="A5245" s="4" t="s">
        <v>10416</v>
      </c>
      <c r="B5245" s="5" t="s">
        <v>10417</v>
      </c>
      <c r="C5245" s="6">
        <v>1000.0</v>
      </c>
      <c r="D5245" s="6">
        <v>5.0</v>
      </c>
      <c r="E5245" s="6">
        <v>9.0</v>
      </c>
    </row>
    <row r="5246">
      <c r="A5246" s="4" t="s">
        <v>10418</v>
      </c>
      <c r="B5246" s="5" t="s">
        <v>10419</v>
      </c>
      <c r="C5246" s="6">
        <v>1000.0</v>
      </c>
      <c r="D5246" s="6">
        <v>5.0</v>
      </c>
      <c r="E5246" s="6">
        <v>4.0</v>
      </c>
    </row>
    <row r="5247">
      <c r="A5247" s="4" t="s">
        <v>10420</v>
      </c>
      <c r="B5247" s="5" t="s">
        <v>10421</v>
      </c>
      <c r="C5247" s="6">
        <v>1000.0</v>
      </c>
      <c r="D5247" s="6">
        <v>2.916666667</v>
      </c>
      <c r="E5247" s="6">
        <v>12.0</v>
      </c>
    </row>
    <row r="5248">
      <c r="A5248" s="4" t="s">
        <v>10422</v>
      </c>
      <c r="B5248" s="5" t="s">
        <v>10423</v>
      </c>
      <c r="C5248" s="6">
        <v>1000.0</v>
      </c>
      <c r="D5248" s="6">
        <v>4.67961165</v>
      </c>
      <c r="E5248" s="6">
        <v>103.0</v>
      </c>
    </row>
    <row r="5249">
      <c r="A5249" s="4" t="s">
        <v>10424</v>
      </c>
      <c r="B5249" s="5" t="s">
        <v>10425</v>
      </c>
      <c r="C5249" s="6">
        <v>1000.0</v>
      </c>
      <c r="D5249" s="6">
        <v>4.88372093</v>
      </c>
      <c r="E5249" s="6">
        <v>43.0</v>
      </c>
    </row>
    <row r="5250">
      <c r="A5250" s="4" t="s">
        <v>10426</v>
      </c>
      <c r="B5250" s="5" t="s">
        <v>10427</v>
      </c>
      <c r="C5250" s="6">
        <v>1000.0</v>
      </c>
      <c r="D5250" s="6">
        <v>4.222222222</v>
      </c>
      <c r="E5250" s="6">
        <v>9.0</v>
      </c>
    </row>
    <row r="5251">
      <c r="A5251" s="4" t="s">
        <v>10428</v>
      </c>
      <c r="B5251" s="5" t="s">
        <v>10429</v>
      </c>
      <c r="C5251" s="6">
        <v>1000.0</v>
      </c>
      <c r="D5251" s="6">
        <v>2.7</v>
      </c>
      <c r="E5251" s="6">
        <v>10.0</v>
      </c>
    </row>
    <row r="5252">
      <c r="A5252" s="4" t="s">
        <v>10430</v>
      </c>
      <c r="B5252" s="5" t="s">
        <v>10431</v>
      </c>
      <c r="C5252" s="6">
        <v>1000.0</v>
      </c>
      <c r="D5252" s="6">
        <v>5.0</v>
      </c>
      <c r="E5252" s="6">
        <v>2.0</v>
      </c>
    </row>
    <row r="5253">
      <c r="A5253" s="4" t="s">
        <v>10432</v>
      </c>
      <c r="B5253" s="5" t="s">
        <v>10433</v>
      </c>
      <c r="C5253" s="6">
        <v>1000.0</v>
      </c>
      <c r="D5253" s="6">
        <v>2.192307692</v>
      </c>
      <c r="E5253" s="6">
        <v>26.0</v>
      </c>
    </row>
    <row r="5254">
      <c r="A5254" s="4" t="s">
        <v>10434</v>
      </c>
      <c r="B5254" s="5" t="s">
        <v>10435</v>
      </c>
      <c r="C5254" s="6">
        <v>1000.0</v>
      </c>
      <c r="D5254" s="6">
        <v>5.0</v>
      </c>
      <c r="E5254" s="6">
        <v>3.0</v>
      </c>
    </row>
    <row r="5255">
      <c r="A5255" s="4" t="s">
        <v>10436</v>
      </c>
      <c r="B5255" s="5" t="s">
        <v>10437</v>
      </c>
      <c r="C5255" s="6">
        <v>1000.0</v>
      </c>
      <c r="D5255" s="9"/>
      <c r="E5255" s="9"/>
    </row>
    <row r="5256">
      <c r="A5256" s="4" t="s">
        <v>10438</v>
      </c>
      <c r="B5256" s="5" t="s">
        <v>10439</v>
      </c>
      <c r="C5256" s="6">
        <v>1000.0</v>
      </c>
      <c r="D5256" s="6">
        <v>3.642857143</v>
      </c>
      <c r="E5256" s="6">
        <v>14.0</v>
      </c>
    </row>
    <row r="5257">
      <c r="A5257" s="4" t="s">
        <v>10440</v>
      </c>
      <c r="B5257" s="5" t="s">
        <v>10441</v>
      </c>
      <c r="C5257" s="6">
        <v>1000.0</v>
      </c>
      <c r="D5257" s="9"/>
      <c r="E5257" s="9"/>
    </row>
    <row r="5258">
      <c r="A5258" s="4" t="s">
        <v>10442</v>
      </c>
      <c r="B5258" s="5" t="s">
        <v>10443</v>
      </c>
      <c r="C5258" s="6">
        <v>1000.0</v>
      </c>
      <c r="D5258" s="6">
        <v>5.0</v>
      </c>
      <c r="E5258" s="6">
        <v>1.0</v>
      </c>
    </row>
    <row r="5259">
      <c r="A5259" s="4" t="s">
        <v>10444</v>
      </c>
      <c r="B5259" s="5" t="s">
        <v>10445</v>
      </c>
      <c r="C5259" s="6">
        <v>1000.0</v>
      </c>
      <c r="D5259" s="6">
        <v>5.0</v>
      </c>
      <c r="E5259" s="6">
        <v>5.0</v>
      </c>
    </row>
    <row r="5260">
      <c r="A5260" s="4" t="s">
        <v>10446</v>
      </c>
      <c r="B5260" s="5" t="s">
        <v>10447</v>
      </c>
      <c r="C5260" s="6">
        <v>1000.0</v>
      </c>
      <c r="D5260" s="6">
        <v>3.869565217</v>
      </c>
      <c r="E5260" s="6">
        <v>23.0</v>
      </c>
    </row>
    <row r="5261">
      <c r="A5261" s="4" t="s">
        <v>10448</v>
      </c>
      <c r="B5261" s="5" t="s">
        <v>10449</v>
      </c>
      <c r="C5261" s="6">
        <v>1000.0</v>
      </c>
      <c r="D5261" s="6">
        <v>4.290909091</v>
      </c>
      <c r="E5261" s="6">
        <v>55.0</v>
      </c>
    </row>
    <row r="5262">
      <c r="A5262" s="4" t="s">
        <v>10450</v>
      </c>
      <c r="B5262" s="5" t="s">
        <v>10451</v>
      </c>
      <c r="C5262" s="6">
        <v>1000.0</v>
      </c>
      <c r="D5262" s="6">
        <v>5.0</v>
      </c>
      <c r="E5262" s="6">
        <v>6.0</v>
      </c>
    </row>
    <row r="5263">
      <c r="A5263" s="4" t="s">
        <v>10452</v>
      </c>
      <c r="B5263" s="5" t="s">
        <v>10453</v>
      </c>
      <c r="C5263" s="6">
        <v>1000.0</v>
      </c>
      <c r="D5263" s="6">
        <v>4.473684211</v>
      </c>
      <c r="E5263" s="6">
        <v>19.0</v>
      </c>
    </row>
    <row r="5264">
      <c r="A5264" s="4" t="s">
        <v>10454</v>
      </c>
      <c r="B5264" s="5" t="s">
        <v>10455</v>
      </c>
      <c r="C5264" s="6">
        <v>1000.0</v>
      </c>
      <c r="D5264" s="6">
        <v>4.222222222</v>
      </c>
      <c r="E5264" s="6">
        <v>27.0</v>
      </c>
    </row>
    <row r="5265">
      <c r="A5265" s="4" t="s">
        <v>10456</v>
      </c>
      <c r="B5265" s="5" t="s">
        <v>10457</v>
      </c>
      <c r="C5265" s="6">
        <v>1000.0</v>
      </c>
      <c r="D5265" s="6">
        <v>1.0</v>
      </c>
      <c r="E5265" s="6">
        <v>1.0</v>
      </c>
    </row>
    <row r="5266">
      <c r="A5266" s="4" t="s">
        <v>10458</v>
      </c>
      <c r="B5266" s="5" t="s">
        <v>10459</v>
      </c>
      <c r="C5266" s="6">
        <v>1000.0</v>
      </c>
      <c r="D5266" s="6">
        <v>3.166666667</v>
      </c>
      <c r="E5266" s="6">
        <v>12.0</v>
      </c>
    </row>
    <row r="5267">
      <c r="A5267" s="4" t="s">
        <v>10460</v>
      </c>
      <c r="B5267" s="5" t="s">
        <v>10461</v>
      </c>
      <c r="C5267" s="6">
        <v>1000.0</v>
      </c>
      <c r="D5267" s="6">
        <v>5.0</v>
      </c>
      <c r="E5267" s="6">
        <v>24.0</v>
      </c>
    </row>
    <row r="5268">
      <c r="A5268" s="4" t="s">
        <v>10462</v>
      </c>
      <c r="B5268" s="5" t="s">
        <v>10463</v>
      </c>
      <c r="C5268" s="6">
        <v>1000.0</v>
      </c>
      <c r="D5268" s="6">
        <v>2.111111111</v>
      </c>
      <c r="E5268" s="6">
        <v>9.0</v>
      </c>
    </row>
    <row r="5269">
      <c r="A5269" s="4" t="s">
        <v>10464</v>
      </c>
      <c r="B5269" s="5" t="s">
        <v>10465</v>
      </c>
      <c r="C5269" s="6">
        <v>1000.0</v>
      </c>
      <c r="D5269" s="6">
        <v>3.375</v>
      </c>
      <c r="E5269" s="6">
        <v>8.0</v>
      </c>
    </row>
    <row r="5270">
      <c r="A5270" s="4" t="s">
        <v>10466</v>
      </c>
      <c r="B5270" s="5" t="s">
        <v>10467</v>
      </c>
      <c r="C5270" s="6">
        <v>1000.0</v>
      </c>
      <c r="D5270" s="6">
        <v>3.571428571</v>
      </c>
      <c r="E5270" s="6">
        <v>21.0</v>
      </c>
    </row>
    <row r="5271">
      <c r="A5271" s="4" t="s">
        <v>10468</v>
      </c>
      <c r="B5271" s="5" t="s">
        <v>10469</v>
      </c>
      <c r="C5271" s="6">
        <v>1000.0</v>
      </c>
      <c r="D5271" s="6">
        <v>3.5</v>
      </c>
      <c r="E5271" s="6">
        <v>2.0</v>
      </c>
    </row>
    <row r="5272">
      <c r="A5272" s="4" t="s">
        <v>10470</v>
      </c>
      <c r="B5272" s="5" t="s">
        <v>10471</v>
      </c>
      <c r="C5272" s="6">
        <v>1000.0</v>
      </c>
      <c r="D5272" s="6">
        <v>4.310344828</v>
      </c>
      <c r="E5272" s="6">
        <v>29.0</v>
      </c>
    </row>
    <row r="5273">
      <c r="A5273" s="4" t="s">
        <v>10472</v>
      </c>
      <c r="B5273" s="5" t="s">
        <v>10473</v>
      </c>
      <c r="C5273" s="6">
        <v>1000.0</v>
      </c>
      <c r="D5273" s="6">
        <v>4.846153846</v>
      </c>
      <c r="E5273" s="6">
        <v>13.0</v>
      </c>
    </row>
    <row r="5274">
      <c r="A5274" s="4" t="s">
        <v>10474</v>
      </c>
      <c r="B5274" s="5" t="s">
        <v>10475</v>
      </c>
      <c r="C5274" s="6">
        <v>1000.0</v>
      </c>
      <c r="D5274" s="6">
        <v>4.8</v>
      </c>
      <c r="E5274" s="6">
        <v>5.0</v>
      </c>
    </row>
    <row r="5275">
      <c r="A5275" s="4" t="s">
        <v>10476</v>
      </c>
      <c r="B5275" s="5" t="s">
        <v>10477</v>
      </c>
      <c r="C5275" s="6">
        <v>1000.0</v>
      </c>
      <c r="D5275" s="6">
        <v>3.75</v>
      </c>
      <c r="E5275" s="6">
        <v>4.0</v>
      </c>
    </row>
    <row r="5276">
      <c r="A5276" s="4" t="s">
        <v>10478</v>
      </c>
      <c r="B5276" s="5" t="s">
        <v>10479</v>
      </c>
      <c r="C5276" s="6">
        <v>1000.0</v>
      </c>
      <c r="D5276" s="6">
        <v>2.861111111</v>
      </c>
      <c r="E5276" s="6">
        <v>36.0</v>
      </c>
    </row>
    <row r="5277">
      <c r="A5277" s="4" t="s">
        <v>10480</v>
      </c>
      <c r="B5277" s="5" t="s">
        <v>10481</v>
      </c>
      <c r="C5277" s="6">
        <v>1000.0</v>
      </c>
      <c r="D5277" s="6">
        <v>5.0</v>
      </c>
      <c r="E5277" s="6">
        <v>1.0</v>
      </c>
    </row>
    <row r="5278">
      <c r="A5278" s="4" t="s">
        <v>10482</v>
      </c>
      <c r="B5278" s="5" t="s">
        <v>10483</v>
      </c>
      <c r="C5278" s="6">
        <v>1000.0</v>
      </c>
      <c r="D5278" s="6">
        <v>3.676470588</v>
      </c>
      <c r="E5278" s="6">
        <v>34.0</v>
      </c>
    </row>
    <row r="5279">
      <c r="A5279" s="4" t="s">
        <v>10484</v>
      </c>
      <c r="B5279" s="5" t="s">
        <v>10485</v>
      </c>
      <c r="C5279" s="6">
        <v>1000.0</v>
      </c>
      <c r="D5279" s="6">
        <v>4.428571429</v>
      </c>
      <c r="E5279" s="6">
        <v>7.0</v>
      </c>
    </row>
    <row r="5280">
      <c r="A5280" s="4" t="s">
        <v>10486</v>
      </c>
      <c r="B5280" s="5" t="s">
        <v>10487</v>
      </c>
      <c r="C5280" s="6">
        <v>1000.0</v>
      </c>
      <c r="D5280" s="6">
        <v>3.722222222</v>
      </c>
      <c r="E5280" s="6">
        <v>18.0</v>
      </c>
    </row>
    <row r="5281">
      <c r="A5281" s="4" t="s">
        <v>10488</v>
      </c>
      <c r="B5281" s="5" t="s">
        <v>10489</v>
      </c>
      <c r="C5281" s="6">
        <v>1000.0</v>
      </c>
      <c r="D5281" s="6">
        <v>4.0</v>
      </c>
      <c r="E5281" s="6">
        <v>9.0</v>
      </c>
    </row>
    <row r="5282">
      <c r="A5282" s="4" t="s">
        <v>10490</v>
      </c>
      <c r="B5282" s="5" t="s">
        <v>10491</v>
      </c>
      <c r="C5282" s="6">
        <v>1000.0</v>
      </c>
      <c r="D5282" s="6">
        <v>4.0</v>
      </c>
      <c r="E5282" s="6">
        <v>23.0</v>
      </c>
    </row>
    <row r="5283">
      <c r="A5283" s="4" t="s">
        <v>10492</v>
      </c>
      <c r="B5283" s="5" t="s">
        <v>10493</v>
      </c>
      <c r="C5283" s="6">
        <v>1000.0</v>
      </c>
      <c r="D5283" s="6">
        <v>3.642857143</v>
      </c>
      <c r="E5283" s="6">
        <v>14.0</v>
      </c>
    </row>
    <row r="5284">
      <c r="A5284" s="4" t="s">
        <v>10494</v>
      </c>
      <c r="B5284" s="5" t="s">
        <v>10495</v>
      </c>
      <c r="C5284" s="6">
        <v>1000.0</v>
      </c>
      <c r="D5284" s="6">
        <v>4.847826087</v>
      </c>
      <c r="E5284" s="6">
        <v>138.0</v>
      </c>
    </row>
    <row r="5285">
      <c r="A5285" s="4" t="s">
        <v>10496</v>
      </c>
      <c r="B5285" s="5" t="s">
        <v>10497</v>
      </c>
      <c r="C5285" s="6">
        <v>1000.0</v>
      </c>
      <c r="D5285" s="6">
        <v>2.666666667</v>
      </c>
      <c r="E5285" s="6">
        <v>3.0</v>
      </c>
    </row>
    <row r="5286">
      <c r="A5286" s="4" t="s">
        <v>10498</v>
      </c>
      <c r="B5286" s="5" t="s">
        <v>10499</v>
      </c>
      <c r="C5286" s="6">
        <v>1000.0</v>
      </c>
      <c r="D5286" s="6">
        <v>4.078947368</v>
      </c>
      <c r="E5286" s="6">
        <v>38.0</v>
      </c>
    </row>
    <row r="5287">
      <c r="A5287" s="4" t="s">
        <v>10500</v>
      </c>
      <c r="B5287" s="5" t="s">
        <v>10501</v>
      </c>
      <c r="C5287" s="6">
        <v>1000.0</v>
      </c>
      <c r="D5287" s="6">
        <v>3.0</v>
      </c>
      <c r="E5287" s="6">
        <v>4.0</v>
      </c>
    </row>
    <row r="5288">
      <c r="A5288" s="4" t="s">
        <v>10502</v>
      </c>
      <c r="B5288" s="5" t="s">
        <v>10503</v>
      </c>
      <c r="C5288" s="6">
        <v>1000.0</v>
      </c>
      <c r="D5288" s="6">
        <v>3.9</v>
      </c>
      <c r="E5288" s="6">
        <v>10.0</v>
      </c>
    </row>
    <row r="5289">
      <c r="A5289" s="4" t="s">
        <v>10504</v>
      </c>
      <c r="B5289" s="5" t="s">
        <v>10505</v>
      </c>
      <c r="C5289" s="6">
        <v>1000.0</v>
      </c>
      <c r="D5289" s="6">
        <v>4.307692308</v>
      </c>
      <c r="E5289" s="6">
        <v>13.0</v>
      </c>
    </row>
    <row r="5290">
      <c r="A5290" s="4" t="s">
        <v>10506</v>
      </c>
      <c r="B5290" s="5" t="s">
        <v>10507</v>
      </c>
      <c r="C5290" s="6">
        <v>1000.0</v>
      </c>
      <c r="D5290" s="6">
        <v>4.285714286</v>
      </c>
      <c r="E5290" s="6">
        <v>14.0</v>
      </c>
    </row>
    <row r="5291">
      <c r="A5291" s="4" t="s">
        <v>10508</v>
      </c>
      <c r="B5291" s="5" t="s">
        <v>10509</v>
      </c>
      <c r="C5291" s="6">
        <v>1000.0</v>
      </c>
      <c r="D5291" s="6">
        <v>5.0</v>
      </c>
      <c r="E5291" s="6">
        <v>1.0</v>
      </c>
    </row>
    <row r="5292">
      <c r="A5292" s="4" t="s">
        <v>10510</v>
      </c>
      <c r="B5292" s="5" t="s">
        <v>10511</v>
      </c>
      <c r="C5292" s="6">
        <v>1000.0</v>
      </c>
      <c r="D5292" s="6">
        <v>3.5</v>
      </c>
      <c r="E5292" s="6">
        <v>4.0</v>
      </c>
    </row>
    <row r="5293">
      <c r="A5293" s="4" t="s">
        <v>10512</v>
      </c>
      <c r="B5293" s="5" t="s">
        <v>10513</v>
      </c>
      <c r="C5293" s="6">
        <v>1000.0</v>
      </c>
      <c r="D5293" s="6">
        <v>4.428571429</v>
      </c>
      <c r="E5293" s="6">
        <v>7.0</v>
      </c>
    </row>
    <row r="5294">
      <c r="A5294" s="4" t="s">
        <v>10514</v>
      </c>
      <c r="B5294" s="5" t="s">
        <v>10515</v>
      </c>
      <c r="C5294" s="6">
        <v>1000.0</v>
      </c>
      <c r="D5294" s="6">
        <v>2.0</v>
      </c>
      <c r="E5294" s="6">
        <v>4.0</v>
      </c>
    </row>
    <row r="5295">
      <c r="A5295" s="4" t="s">
        <v>10516</v>
      </c>
      <c r="B5295" s="5" t="s">
        <v>10517</v>
      </c>
      <c r="C5295" s="6">
        <v>1000.0</v>
      </c>
      <c r="D5295" s="6">
        <v>4.307692308</v>
      </c>
      <c r="E5295" s="6">
        <v>52.0</v>
      </c>
    </row>
    <row r="5296">
      <c r="A5296" s="4" t="s">
        <v>10518</v>
      </c>
      <c r="B5296" s="5" t="s">
        <v>10519</v>
      </c>
      <c r="C5296" s="6">
        <v>1000.0</v>
      </c>
      <c r="D5296" s="6">
        <v>1.0</v>
      </c>
      <c r="E5296" s="6">
        <v>1.0</v>
      </c>
    </row>
    <row r="5297">
      <c r="A5297" s="4" t="s">
        <v>10520</v>
      </c>
      <c r="B5297" s="5" t="s">
        <v>10521</v>
      </c>
      <c r="C5297" s="6">
        <v>1000.0</v>
      </c>
      <c r="D5297" s="6">
        <v>3.833333333</v>
      </c>
      <c r="E5297" s="6">
        <v>12.0</v>
      </c>
    </row>
    <row r="5298">
      <c r="A5298" s="4" t="s">
        <v>10522</v>
      </c>
      <c r="B5298" s="5" t="s">
        <v>10523</v>
      </c>
      <c r="C5298" s="6">
        <v>1000.0</v>
      </c>
      <c r="D5298" s="6">
        <v>4.6</v>
      </c>
      <c r="E5298" s="6">
        <v>55.0</v>
      </c>
    </row>
    <row r="5299">
      <c r="A5299" s="4" t="s">
        <v>10524</v>
      </c>
      <c r="B5299" s="5" t="s">
        <v>10525</v>
      </c>
      <c r="C5299" s="6">
        <v>1000.0</v>
      </c>
      <c r="D5299" s="6">
        <v>5.0</v>
      </c>
      <c r="E5299" s="6">
        <v>3.0</v>
      </c>
    </row>
    <row r="5300">
      <c r="A5300" s="4" t="s">
        <v>10526</v>
      </c>
      <c r="B5300" s="5" t="s">
        <v>10527</v>
      </c>
      <c r="C5300" s="6">
        <v>1000.0</v>
      </c>
      <c r="D5300" s="6">
        <v>4.333333333</v>
      </c>
      <c r="E5300" s="6">
        <v>9.0</v>
      </c>
    </row>
    <row r="5301">
      <c r="A5301" s="4" t="s">
        <v>10528</v>
      </c>
      <c r="B5301" s="5" t="s">
        <v>10529</v>
      </c>
      <c r="C5301" s="6">
        <v>1000.0</v>
      </c>
      <c r="D5301" s="6">
        <v>4.230769231</v>
      </c>
      <c r="E5301" s="6">
        <v>39.0</v>
      </c>
    </row>
    <row r="5302">
      <c r="A5302" s="4" t="s">
        <v>10530</v>
      </c>
      <c r="B5302" s="5" t="s">
        <v>10531</v>
      </c>
      <c r="C5302" s="6">
        <v>1000.0</v>
      </c>
      <c r="D5302" s="6">
        <v>4.6</v>
      </c>
      <c r="E5302" s="6">
        <v>15.0</v>
      </c>
    </row>
    <row r="5303">
      <c r="A5303" s="4" t="s">
        <v>10532</v>
      </c>
      <c r="B5303" s="5" t="s">
        <v>10533</v>
      </c>
      <c r="C5303" s="6">
        <v>1000.0</v>
      </c>
      <c r="D5303" s="6">
        <v>4.75</v>
      </c>
      <c r="E5303" s="6">
        <v>4.0</v>
      </c>
    </row>
    <row r="5304">
      <c r="A5304" s="4" t="s">
        <v>10534</v>
      </c>
      <c r="B5304" s="5" t="s">
        <v>10535</v>
      </c>
      <c r="C5304" s="6">
        <v>1000.0</v>
      </c>
      <c r="D5304" s="6">
        <v>4.666666667</v>
      </c>
      <c r="E5304" s="6">
        <v>6.0</v>
      </c>
    </row>
    <row r="5305">
      <c r="A5305" s="4" t="s">
        <v>10536</v>
      </c>
      <c r="B5305" s="5" t="s">
        <v>10537</v>
      </c>
      <c r="C5305" s="6">
        <v>1000.0</v>
      </c>
      <c r="D5305" s="6">
        <v>4.0</v>
      </c>
      <c r="E5305" s="6">
        <v>7.0</v>
      </c>
    </row>
    <row r="5306">
      <c r="A5306" s="4" t="s">
        <v>10538</v>
      </c>
      <c r="B5306" s="5" t="s">
        <v>10539</v>
      </c>
      <c r="C5306" s="6">
        <v>1000.0</v>
      </c>
      <c r="D5306" s="6">
        <v>3.428571429</v>
      </c>
      <c r="E5306" s="6">
        <v>7.0</v>
      </c>
    </row>
    <row r="5307">
      <c r="A5307" s="4" t="s">
        <v>10540</v>
      </c>
      <c r="B5307" s="5" t="s">
        <v>10541</v>
      </c>
      <c r="C5307" s="6">
        <v>1000.0</v>
      </c>
      <c r="D5307" s="6">
        <v>3.0</v>
      </c>
      <c r="E5307" s="6">
        <v>2.0</v>
      </c>
    </row>
    <row r="5308">
      <c r="A5308" s="4" t="s">
        <v>10542</v>
      </c>
      <c r="B5308" s="5" t="s">
        <v>10543</v>
      </c>
      <c r="C5308" s="6">
        <v>1000.0</v>
      </c>
      <c r="D5308" s="6">
        <v>5.0</v>
      </c>
      <c r="E5308" s="6">
        <v>3.0</v>
      </c>
    </row>
    <row r="5309">
      <c r="A5309" s="4" t="s">
        <v>10544</v>
      </c>
      <c r="B5309" s="5" t="s">
        <v>10545</v>
      </c>
      <c r="C5309" s="6">
        <v>1000.0</v>
      </c>
      <c r="D5309" s="6">
        <v>3.142857143</v>
      </c>
      <c r="E5309" s="6">
        <v>7.0</v>
      </c>
    </row>
    <row r="5310">
      <c r="A5310" s="4" t="s">
        <v>10546</v>
      </c>
      <c r="B5310" s="5" t="s">
        <v>10547</v>
      </c>
      <c r="C5310" s="6">
        <v>1000.0</v>
      </c>
      <c r="D5310" s="9"/>
      <c r="E5310" s="9"/>
    </row>
    <row r="5311">
      <c r="A5311" s="4" t="s">
        <v>10548</v>
      </c>
      <c r="B5311" s="5" t="s">
        <v>10549</v>
      </c>
      <c r="C5311" s="6">
        <v>1000.0</v>
      </c>
      <c r="D5311" s="6">
        <v>3.125</v>
      </c>
      <c r="E5311" s="6">
        <v>8.0</v>
      </c>
    </row>
    <row r="5312">
      <c r="A5312" s="4" t="s">
        <v>10550</v>
      </c>
      <c r="B5312" s="5" t="s">
        <v>10551</v>
      </c>
      <c r="C5312" s="6">
        <v>1000.0</v>
      </c>
      <c r="D5312" s="6">
        <v>3.666666667</v>
      </c>
      <c r="E5312" s="6">
        <v>3.0</v>
      </c>
    </row>
    <row r="5313">
      <c r="A5313" s="4" t="s">
        <v>10552</v>
      </c>
      <c r="B5313" s="5" t="s">
        <v>10553</v>
      </c>
      <c r="C5313" s="6">
        <v>1000.0</v>
      </c>
      <c r="D5313" s="6">
        <v>2.5</v>
      </c>
      <c r="E5313" s="6">
        <v>16.0</v>
      </c>
    </row>
    <row r="5314">
      <c r="A5314" s="4" t="s">
        <v>10554</v>
      </c>
      <c r="B5314" s="5" t="s">
        <v>10555</v>
      </c>
      <c r="C5314" s="6">
        <v>1000.0</v>
      </c>
      <c r="D5314" s="6">
        <v>3.2</v>
      </c>
      <c r="E5314" s="6">
        <v>10.0</v>
      </c>
    </row>
    <row r="5315">
      <c r="A5315" s="4" t="s">
        <v>10556</v>
      </c>
      <c r="B5315" s="5" t="s">
        <v>10557</v>
      </c>
      <c r="C5315" s="6">
        <v>1000.0</v>
      </c>
      <c r="D5315" s="6">
        <v>4.302325581</v>
      </c>
      <c r="E5315" s="6">
        <v>43.0</v>
      </c>
    </row>
    <row r="5316">
      <c r="A5316" s="4" t="s">
        <v>10558</v>
      </c>
      <c r="B5316" s="5" t="s">
        <v>10559</v>
      </c>
      <c r="C5316" s="6">
        <v>1000.0</v>
      </c>
      <c r="D5316" s="6">
        <v>2.2</v>
      </c>
      <c r="E5316" s="6">
        <v>5.0</v>
      </c>
    </row>
    <row r="5317">
      <c r="A5317" s="4" t="s">
        <v>10560</v>
      </c>
      <c r="B5317" s="5" t="s">
        <v>10561</v>
      </c>
      <c r="C5317" s="6">
        <v>1000.0</v>
      </c>
      <c r="D5317" s="6">
        <v>4.44</v>
      </c>
      <c r="E5317" s="6">
        <v>25.0</v>
      </c>
    </row>
    <row r="5318">
      <c r="A5318" s="4" t="s">
        <v>10562</v>
      </c>
      <c r="B5318" s="5" t="s">
        <v>10563</v>
      </c>
      <c r="C5318" s="6">
        <v>1000.0</v>
      </c>
      <c r="D5318" s="6">
        <v>2.95</v>
      </c>
      <c r="E5318" s="6">
        <v>20.0</v>
      </c>
    </row>
    <row r="5319">
      <c r="A5319" s="4" t="s">
        <v>10564</v>
      </c>
      <c r="B5319" s="5" t="s">
        <v>10565</v>
      </c>
      <c r="C5319" s="6">
        <v>1000.0</v>
      </c>
      <c r="D5319" s="6">
        <v>4.0</v>
      </c>
      <c r="E5319" s="6">
        <v>8.0</v>
      </c>
    </row>
    <row r="5320">
      <c r="A5320" s="4" t="s">
        <v>10566</v>
      </c>
      <c r="B5320" s="5" t="s">
        <v>10567</v>
      </c>
      <c r="C5320" s="6">
        <v>1000.0</v>
      </c>
      <c r="D5320" s="6">
        <v>1.782608696</v>
      </c>
      <c r="E5320" s="6">
        <v>23.0</v>
      </c>
    </row>
    <row r="5321">
      <c r="A5321" s="4" t="s">
        <v>10568</v>
      </c>
      <c r="B5321" s="5" t="s">
        <v>10569</v>
      </c>
      <c r="C5321" s="6">
        <v>1000.0</v>
      </c>
      <c r="D5321" s="6">
        <v>4.285714286</v>
      </c>
      <c r="E5321" s="6">
        <v>28.0</v>
      </c>
    </row>
    <row r="5322">
      <c r="A5322" s="4" t="s">
        <v>10570</v>
      </c>
      <c r="B5322" s="5" t="s">
        <v>10571</v>
      </c>
      <c r="C5322" s="6">
        <v>1000.0</v>
      </c>
      <c r="D5322" s="6">
        <v>3.666666667</v>
      </c>
      <c r="E5322" s="6">
        <v>3.0</v>
      </c>
    </row>
    <row r="5323">
      <c r="A5323" s="4" t="s">
        <v>10572</v>
      </c>
      <c r="B5323" s="5" t="s">
        <v>10573</v>
      </c>
      <c r="C5323" s="6">
        <v>1000.0</v>
      </c>
      <c r="D5323" s="6">
        <v>3.625</v>
      </c>
      <c r="E5323" s="6">
        <v>8.0</v>
      </c>
    </row>
    <row r="5324">
      <c r="A5324" s="4" t="s">
        <v>10574</v>
      </c>
      <c r="B5324" s="5" t="s">
        <v>10575</v>
      </c>
      <c r="C5324" s="6">
        <v>1000.0</v>
      </c>
      <c r="D5324" s="6">
        <v>3.352941176</v>
      </c>
      <c r="E5324" s="6">
        <v>17.0</v>
      </c>
    </row>
    <row r="5325">
      <c r="A5325" s="4" t="s">
        <v>10576</v>
      </c>
      <c r="B5325" s="5" t="s">
        <v>10577</v>
      </c>
      <c r="C5325" s="6">
        <v>1000.0</v>
      </c>
      <c r="D5325" s="6">
        <v>4.272727273</v>
      </c>
      <c r="E5325" s="6">
        <v>11.0</v>
      </c>
    </row>
    <row r="5326">
      <c r="A5326" s="4" t="s">
        <v>10578</v>
      </c>
      <c r="B5326" s="5" t="s">
        <v>10579</v>
      </c>
      <c r="C5326" s="6">
        <v>1000.0</v>
      </c>
      <c r="D5326" s="9"/>
      <c r="E5326" s="9"/>
    </row>
    <row r="5327">
      <c r="A5327" s="4" t="s">
        <v>10580</v>
      </c>
      <c r="B5327" s="5" t="s">
        <v>10581</v>
      </c>
      <c r="C5327" s="6">
        <v>1000.0</v>
      </c>
      <c r="D5327" s="6">
        <v>3.545454545</v>
      </c>
      <c r="E5327" s="6">
        <v>11.0</v>
      </c>
    </row>
    <row r="5328">
      <c r="A5328" s="4" t="s">
        <v>10582</v>
      </c>
      <c r="B5328" s="5" t="s">
        <v>10583</v>
      </c>
      <c r="C5328" s="6">
        <v>1000.0</v>
      </c>
      <c r="D5328" s="6">
        <v>2.0</v>
      </c>
      <c r="E5328" s="6">
        <v>2.0</v>
      </c>
    </row>
    <row r="5329">
      <c r="A5329" s="4" t="s">
        <v>10584</v>
      </c>
      <c r="B5329" s="5" t="s">
        <v>10585</v>
      </c>
      <c r="C5329" s="6">
        <v>1000.0</v>
      </c>
      <c r="D5329" s="6">
        <v>4.441176471</v>
      </c>
      <c r="E5329" s="6">
        <v>34.0</v>
      </c>
    </row>
    <row r="5330">
      <c r="A5330" s="4" t="s">
        <v>10586</v>
      </c>
      <c r="B5330" s="5" t="s">
        <v>10587</v>
      </c>
      <c r="C5330" s="6">
        <v>1000.0</v>
      </c>
      <c r="D5330" s="6">
        <v>3.791666667</v>
      </c>
      <c r="E5330" s="6">
        <v>48.0</v>
      </c>
    </row>
    <row r="5331">
      <c r="A5331" s="4" t="s">
        <v>10588</v>
      </c>
      <c r="B5331" s="5" t="s">
        <v>10589</v>
      </c>
      <c r="C5331" s="6">
        <v>1000.0</v>
      </c>
      <c r="D5331" s="6">
        <v>4.705882353</v>
      </c>
      <c r="E5331" s="6">
        <v>17.0</v>
      </c>
    </row>
    <row r="5332">
      <c r="A5332" s="4" t="s">
        <v>10590</v>
      </c>
      <c r="B5332" s="5" t="s">
        <v>10591</v>
      </c>
      <c r="C5332" s="6">
        <v>1000.0</v>
      </c>
      <c r="D5332" s="6">
        <v>5.0</v>
      </c>
      <c r="E5332" s="6">
        <v>6.0</v>
      </c>
    </row>
    <row r="5333">
      <c r="A5333" s="4" t="s">
        <v>10592</v>
      </c>
      <c r="B5333" s="5" t="s">
        <v>10593</v>
      </c>
      <c r="C5333" s="6">
        <v>1000.0</v>
      </c>
      <c r="D5333" s="6">
        <v>4.555555556</v>
      </c>
      <c r="E5333" s="6">
        <v>9.0</v>
      </c>
    </row>
    <row r="5334">
      <c r="A5334" s="4" t="s">
        <v>10594</v>
      </c>
      <c r="B5334" s="5" t="s">
        <v>10595</v>
      </c>
      <c r="C5334" s="6">
        <v>1000.0</v>
      </c>
      <c r="D5334" s="6">
        <v>4.052631579</v>
      </c>
      <c r="E5334" s="6">
        <v>19.0</v>
      </c>
    </row>
    <row r="5335">
      <c r="A5335" s="4" t="s">
        <v>10596</v>
      </c>
      <c r="B5335" s="5" t="s">
        <v>10597</v>
      </c>
      <c r="C5335" s="6">
        <v>1000.0</v>
      </c>
      <c r="D5335" s="6">
        <v>4.625</v>
      </c>
      <c r="E5335" s="6">
        <v>16.0</v>
      </c>
    </row>
    <row r="5336">
      <c r="A5336" s="4" t="s">
        <v>10598</v>
      </c>
      <c r="B5336" s="5" t="s">
        <v>10599</v>
      </c>
      <c r="C5336" s="6">
        <v>1000.0</v>
      </c>
      <c r="D5336" s="6">
        <v>4.787878788</v>
      </c>
      <c r="E5336" s="6">
        <v>33.0</v>
      </c>
    </row>
    <row r="5337">
      <c r="A5337" s="4" t="s">
        <v>10600</v>
      </c>
      <c r="B5337" s="5" t="s">
        <v>10601</v>
      </c>
      <c r="C5337" s="6">
        <v>1000.0</v>
      </c>
      <c r="D5337" s="6">
        <v>3.181818182</v>
      </c>
      <c r="E5337" s="6">
        <v>22.0</v>
      </c>
    </row>
    <row r="5338">
      <c r="A5338" s="4" t="s">
        <v>10602</v>
      </c>
      <c r="B5338" s="5" t="s">
        <v>10603</v>
      </c>
      <c r="C5338" s="6">
        <v>1000.0</v>
      </c>
      <c r="D5338" s="6">
        <v>4.142857143</v>
      </c>
      <c r="E5338" s="6">
        <v>7.0</v>
      </c>
    </row>
    <row r="5339">
      <c r="A5339" s="4" t="s">
        <v>10604</v>
      </c>
      <c r="B5339" s="5" t="s">
        <v>10605</v>
      </c>
      <c r="C5339" s="6">
        <v>1000.0</v>
      </c>
      <c r="D5339" s="6">
        <v>4.133333333</v>
      </c>
      <c r="E5339" s="6">
        <v>15.0</v>
      </c>
    </row>
    <row r="5340">
      <c r="A5340" s="4" t="s">
        <v>10606</v>
      </c>
      <c r="B5340" s="5" t="s">
        <v>10607</v>
      </c>
      <c r="C5340" s="6">
        <v>1000.0</v>
      </c>
      <c r="D5340" s="6">
        <v>4.244444444</v>
      </c>
      <c r="E5340" s="6">
        <v>45.0</v>
      </c>
    </row>
    <row r="5341">
      <c r="A5341" s="4" t="s">
        <v>10608</v>
      </c>
      <c r="B5341" s="5" t="s">
        <v>10609</v>
      </c>
      <c r="C5341" s="6">
        <v>1000.0</v>
      </c>
      <c r="D5341" s="6">
        <v>4.545454545</v>
      </c>
      <c r="E5341" s="6">
        <v>33.0</v>
      </c>
    </row>
    <row r="5342">
      <c r="A5342" s="4" t="s">
        <v>10610</v>
      </c>
      <c r="B5342" s="5" t="s">
        <v>10611</v>
      </c>
      <c r="C5342" s="6">
        <v>1000.0</v>
      </c>
      <c r="D5342" s="6">
        <v>5.0</v>
      </c>
      <c r="E5342" s="6">
        <v>2.0</v>
      </c>
    </row>
    <row r="5343">
      <c r="A5343" s="4" t="s">
        <v>10612</v>
      </c>
      <c r="B5343" s="5" t="s">
        <v>10613</v>
      </c>
      <c r="C5343" s="6">
        <v>1000.0</v>
      </c>
      <c r="D5343" s="6">
        <v>4.285714286</v>
      </c>
      <c r="E5343" s="6">
        <v>21.0</v>
      </c>
    </row>
    <row r="5344">
      <c r="A5344" s="4" t="s">
        <v>10614</v>
      </c>
      <c r="B5344" s="5" t="s">
        <v>10615</v>
      </c>
      <c r="C5344" s="6">
        <v>1000.0</v>
      </c>
      <c r="D5344" s="6">
        <v>4.304347826</v>
      </c>
      <c r="E5344" s="6">
        <v>23.0</v>
      </c>
    </row>
    <row r="5345">
      <c r="A5345" s="4" t="s">
        <v>10616</v>
      </c>
      <c r="B5345" s="5" t="s">
        <v>10617</v>
      </c>
      <c r="C5345" s="6">
        <v>1000.0</v>
      </c>
      <c r="D5345" s="6">
        <v>3.5</v>
      </c>
      <c r="E5345" s="6">
        <v>6.0</v>
      </c>
    </row>
    <row r="5346">
      <c r="A5346" s="4" t="s">
        <v>10618</v>
      </c>
      <c r="B5346" s="5" t="s">
        <v>10619</v>
      </c>
      <c r="C5346" s="6">
        <v>1000.0</v>
      </c>
      <c r="D5346" s="6">
        <v>2.9375</v>
      </c>
      <c r="E5346" s="6">
        <v>16.0</v>
      </c>
    </row>
    <row r="5347">
      <c r="A5347" s="4" t="s">
        <v>10620</v>
      </c>
      <c r="B5347" s="5" t="s">
        <v>10621</v>
      </c>
      <c r="C5347" s="6">
        <v>1000.0</v>
      </c>
      <c r="D5347" s="6">
        <v>2.785714286</v>
      </c>
      <c r="E5347" s="6">
        <v>14.0</v>
      </c>
    </row>
    <row r="5348">
      <c r="A5348" s="4" t="s">
        <v>10622</v>
      </c>
      <c r="B5348" s="5" t="s">
        <v>10623</v>
      </c>
      <c r="C5348" s="6">
        <v>1000.0</v>
      </c>
      <c r="D5348" s="6">
        <v>4.783783784</v>
      </c>
      <c r="E5348" s="6">
        <v>37.0</v>
      </c>
    </row>
    <row r="5349">
      <c r="A5349" s="4" t="s">
        <v>10624</v>
      </c>
      <c r="B5349" s="5" t="s">
        <v>10625</v>
      </c>
      <c r="C5349" s="6">
        <v>1000.0</v>
      </c>
      <c r="D5349" s="6">
        <v>4.433333333</v>
      </c>
      <c r="E5349" s="6">
        <v>30.0</v>
      </c>
    </row>
    <row r="5350">
      <c r="A5350" s="4" t="s">
        <v>10626</v>
      </c>
      <c r="B5350" s="5" t="s">
        <v>10627</v>
      </c>
      <c r="C5350" s="6">
        <v>1000.0</v>
      </c>
      <c r="D5350" s="6">
        <v>4.5</v>
      </c>
      <c r="E5350" s="6">
        <v>16.0</v>
      </c>
    </row>
    <row r="5351">
      <c r="A5351" s="4" t="s">
        <v>10628</v>
      </c>
      <c r="B5351" s="5" t="s">
        <v>10629</v>
      </c>
      <c r="C5351" s="6">
        <v>1000.0</v>
      </c>
      <c r="D5351" s="6">
        <v>2.9</v>
      </c>
      <c r="E5351" s="6">
        <v>20.0</v>
      </c>
    </row>
    <row r="5352">
      <c r="A5352" s="4" t="s">
        <v>10630</v>
      </c>
      <c r="B5352" s="5" t="s">
        <v>10631</v>
      </c>
      <c r="C5352" s="6">
        <v>1000.0</v>
      </c>
      <c r="D5352" s="9"/>
      <c r="E5352" s="9"/>
    </row>
    <row r="5353">
      <c r="A5353" s="4" t="s">
        <v>10632</v>
      </c>
      <c r="B5353" s="5" t="s">
        <v>10633</v>
      </c>
      <c r="C5353" s="6">
        <v>1000.0</v>
      </c>
      <c r="D5353" s="6">
        <v>4.333333333</v>
      </c>
      <c r="E5353" s="6">
        <v>6.0</v>
      </c>
    </row>
    <row r="5354">
      <c r="A5354" s="4" t="s">
        <v>10634</v>
      </c>
      <c r="B5354" s="5" t="s">
        <v>10635</v>
      </c>
      <c r="C5354" s="6">
        <v>1000.0</v>
      </c>
      <c r="D5354" s="6">
        <v>4.0</v>
      </c>
      <c r="E5354" s="6">
        <v>3.0</v>
      </c>
    </row>
    <row r="5355">
      <c r="A5355" s="4" t="s">
        <v>10636</v>
      </c>
      <c r="B5355" s="5" t="s">
        <v>10637</v>
      </c>
      <c r="C5355" s="6">
        <v>1000.0</v>
      </c>
      <c r="D5355" s="6">
        <v>4.428571429</v>
      </c>
      <c r="E5355" s="6">
        <v>7.0</v>
      </c>
    </row>
    <row r="5356">
      <c r="A5356" s="4" t="s">
        <v>10638</v>
      </c>
      <c r="B5356" s="5" t="s">
        <v>10639</v>
      </c>
      <c r="C5356" s="6">
        <v>1000.0</v>
      </c>
      <c r="D5356" s="6">
        <v>5.0</v>
      </c>
      <c r="E5356" s="6">
        <v>5.0</v>
      </c>
    </row>
    <row r="5357">
      <c r="A5357" s="4" t="s">
        <v>10640</v>
      </c>
      <c r="B5357" s="5" t="s">
        <v>10641</v>
      </c>
      <c r="C5357" s="6">
        <v>1000.0</v>
      </c>
      <c r="D5357" s="6">
        <v>4.692307692</v>
      </c>
      <c r="E5357" s="6">
        <v>26.0</v>
      </c>
    </row>
    <row r="5358">
      <c r="A5358" s="4" t="s">
        <v>10642</v>
      </c>
      <c r="B5358" s="5" t="s">
        <v>10643</v>
      </c>
      <c r="C5358" s="6">
        <v>1000.0</v>
      </c>
      <c r="D5358" s="6">
        <v>1.75</v>
      </c>
      <c r="E5358" s="6">
        <v>8.0</v>
      </c>
    </row>
    <row r="5359">
      <c r="A5359" s="4" t="s">
        <v>10644</v>
      </c>
      <c r="B5359" s="5" t="s">
        <v>10645</v>
      </c>
      <c r="C5359" s="6">
        <v>1000.0</v>
      </c>
      <c r="D5359" s="6">
        <v>3.909090909</v>
      </c>
      <c r="E5359" s="6">
        <v>11.0</v>
      </c>
    </row>
    <row r="5360">
      <c r="A5360" s="4" t="s">
        <v>10646</v>
      </c>
      <c r="B5360" s="5" t="s">
        <v>10647</v>
      </c>
      <c r="C5360" s="6">
        <v>1000.0</v>
      </c>
      <c r="D5360" s="6">
        <v>4.666666667</v>
      </c>
      <c r="E5360" s="6">
        <v>12.0</v>
      </c>
    </row>
    <row r="5361">
      <c r="A5361" s="4" t="s">
        <v>10648</v>
      </c>
      <c r="B5361" s="5" t="s">
        <v>10649</v>
      </c>
      <c r="C5361" s="6">
        <v>1000.0</v>
      </c>
      <c r="D5361" s="6">
        <v>4.545454545</v>
      </c>
      <c r="E5361" s="6">
        <v>11.0</v>
      </c>
    </row>
    <row r="5362">
      <c r="A5362" s="4" t="s">
        <v>10650</v>
      </c>
      <c r="B5362" s="5" t="s">
        <v>10651</v>
      </c>
      <c r="C5362" s="6">
        <v>1000.0</v>
      </c>
      <c r="D5362" s="6">
        <v>3.484848485</v>
      </c>
      <c r="E5362" s="6">
        <v>33.0</v>
      </c>
    </row>
    <row r="5363">
      <c r="A5363" s="4" t="s">
        <v>10652</v>
      </c>
      <c r="B5363" s="5" t="s">
        <v>10653</v>
      </c>
      <c r="C5363" s="6">
        <v>1000.0</v>
      </c>
      <c r="D5363" s="6">
        <v>3.857142857</v>
      </c>
      <c r="E5363" s="6">
        <v>7.0</v>
      </c>
    </row>
    <row r="5364">
      <c r="A5364" s="4" t="s">
        <v>10654</v>
      </c>
      <c r="B5364" s="5" t="s">
        <v>10655</v>
      </c>
      <c r="C5364" s="6">
        <v>1000.0</v>
      </c>
      <c r="D5364" s="9"/>
      <c r="E5364" s="9"/>
    </row>
    <row r="5365">
      <c r="A5365" s="4" t="s">
        <v>10656</v>
      </c>
      <c r="B5365" s="5" t="s">
        <v>10657</v>
      </c>
      <c r="C5365" s="6">
        <v>1000.0</v>
      </c>
      <c r="D5365" s="6">
        <v>3.875</v>
      </c>
      <c r="E5365" s="6">
        <v>8.0</v>
      </c>
    </row>
    <row r="5366">
      <c r="A5366" s="4" t="s">
        <v>10658</v>
      </c>
      <c r="B5366" s="5" t="s">
        <v>10659</v>
      </c>
      <c r="C5366" s="6">
        <v>1000.0</v>
      </c>
      <c r="D5366" s="6">
        <v>3.885416667</v>
      </c>
      <c r="E5366" s="6">
        <v>96.0</v>
      </c>
    </row>
    <row r="5367">
      <c r="A5367" s="4" t="s">
        <v>10660</v>
      </c>
      <c r="B5367" s="5" t="s">
        <v>10661</v>
      </c>
      <c r="C5367" s="6">
        <v>1000.0</v>
      </c>
      <c r="D5367" s="6">
        <v>3.285714286</v>
      </c>
      <c r="E5367" s="6">
        <v>7.0</v>
      </c>
    </row>
    <row r="5368">
      <c r="A5368" s="4" t="s">
        <v>10662</v>
      </c>
      <c r="B5368" s="5" t="s">
        <v>10663</v>
      </c>
      <c r="C5368" s="6">
        <v>1000.0</v>
      </c>
      <c r="D5368" s="6">
        <v>3.186046512</v>
      </c>
      <c r="E5368" s="6">
        <v>43.0</v>
      </c>
    </row>
    <row r="5369">
      <c r="A5369" s="4" t="s">
        <v>10664</v>
      </c>
      <c r="B5369" s="5" t="s">
        <v>10665</v>
      </c>
      <c r="C5369" s="6">
        <v>1000.0</v>
      </c>
      <c r="D5369" s="6">
        <v>1.933333333</v>
      </c>
      <c r="E5369" s="6">
        <v>15.0</v>
      </c>
    </row>
    <row r="5370">
      <c r="A5370" s="4" t="s">
        <v>10666</v>
      </c>
      <c r="B5370" s="5" t="s">
        <v>10667</v>
      </c>
      <c r="C5370" s="6">
        <v>1000.0</v>
      </c>
      <c r="D5370" s="6">
        <v>2.0</v>
      </c>
      <c r="E5370" s="6">
        <v>12.0</v>
      </c>
    </row>
    <row r="5371">
      <c r="A5371" s="4" t="s">
        <v>10668</v>
      </c>
      <c r="B5371" s="5" t="s">
        <v>10669</v>
      </c>
      <c r="C5371" s="6">
        <v>1000.0</v>
      </c>
      <c r="D5371" s="6">
        <v>4.1</v>
      </c>
      <c r="E5371" s="6">
        <v>10.0</v>
      </c>
    </row>
    <row r="5372">
      <c r="A5372" s="4" t="s">
        <v>10670</v>
      </c>
      <c r="B5372" s="5" t="s">
        <v>10671</v>
      </c>
      <c r="C5372" s="6">
        <v>1000.0</v>
      </c>
      <c r="D5372" s="6">
        <v>4.117647059</v>
      </c>
      <c r="E5372" s="6">
        <v>17.0</v>
      </c>
    </row>
    <row r="5373">
      <c r="A5373" s="4" t="s">
        <v>10672</v>
      </c>
      <c r="B5373" s="5" t="s">
        <v>10673</v>
      </c>
      <c r="C5373" s="6">
        <v>1000.0</v>
      </c>
      <c r="D5373" s="6">
        <v>5.0</v>
      </c>
      <c r="E5373" s="6">
        <v>3.0</v>
      </c>
    </row>
    <row r="5374">
      <c r="A5374" s="4" t="s">
        <v>10674</v>
      </c>
      <c r="B5374" s="5" t="s">
        <v>10675</v>
      </c>
      <c r="C5374" s="6">
        <v>1000.0</v>
      </c>
      <c r="D5374" s="6">
        <v>5.0</v>
      </c>
      <c r="E5374" s="6">
        <v>2.0</v>
      </c>
    </row>
    <row r="5375">
      <c r="A5375" s="4" t="s">
        <v>10676</v>
      </c>
      <c r="B5375" s="5" t="s">
        <v>10677</v>
      </c>
      <c r="C5375" s="6">
        <v>1000.0</v>
      </c>
      <c r="D5375" s="6">
        <v>4.875</v>
      </c>
      <c r="E5375" s="6">
        <v>24.0</v>
      </c>
    </row>
    <row r="5376">
      <c r="A5376" s="4" t="s">
        <v>227</v>
      </c>
      <c r="B5376" s="5" t="s">
        <v>10678</v>
      </c>
      <c r="C5376" s="6">
        <v>1000.0</v>
      </c>
      <c r="D5376" s="6">
        <v>4.517241379</v>
      </c>
      <c r="E5376" s="6">
        <v>29.0</v>
      </c>
    </row>
    <row r="5377">
      <c r="A5377" s="4" t="s">
        <v>10679</v>
      </c>
      <c r="B5377" s="5" t="s">
        <v>10680</v>
      </c>
      <c r="C5377" s="6">
        <v>1000.0</v>
      </c>
      <c r="D5377" s="6">
        <v>5.0</v>
      </c>
      <c r="E5377" s="6">
        <v>16.0</v>
      </c>
    </row>
    <row r="5378">
      <c r="A5378" s="4" t="s">
        <v>10681</v>
      </c>
      <c r="B5378" s="5" t="s">
        <v>10682</v>
      </c>
      <c r="C5378" s="6">
        <v>1000.0</v>
      </c>
      <c r="D5378" s="6">
        <v>3.0</v>
      </c>
      <c r="E5378" s="6">
        <v>4.0</v>
      </c>
    </row>
    <row r="5379">
      <c r="A5379" s="4" t="s">
        <v>10683</v>
      </c>
      <c r="B5379" s="5" t="s">
        <v>10684</v>
      </c>
      <c r="C5379" s="6">
        <v>1000.0</v>
      </c>
      <c r="D5379" s="6">
        <v>1.0</v>
      </c>
      <c r="E5379" s="6">
        <v>1.0</v>
      </c>
    </row>
    <row r="5380">
      <c r="A5380" s="4" t="s">
        <v>10685</v>
      </c>
      <c r="B5380" s="5" t="s">
        <v>10686</v>
      </c>
      <c r="C5380" s="6">
        <v>1000.0</v>
      </c>
      <c r="D5380" s="6">
        <v>4.777777778</v>
      </c>
      <c r="E5380" s="6">
        <v>18.0</v>
      </c>
    </row>
    <row r="5381">
      <c r="A5381" s="4" t="s">
        <v>10687</v>
      </c>
      <c r="B5381" s="5" t="s">
        <v>10688</v>
      </c>
      <c r="C5381" s="6">
        <v>1000.0</v>
      </c>
      <c r="D5381" s="6">
        <v>4.285714286</v>
      </c>
      <c r="E5381" s="6">
        <v>7.0</v>
      </c>
    </row>
    <row r="5382">
      <c r="A5382" s="4" t="s">
        <v>10689</v>
      </c>
      <c r="B5382" s="5" t="s">
        <v>10690</v>
      </c>
      <c r="C5382" s="6">
        <v>1000.0</v>
      </c>
      <c r="D5382" s="6">
        <v>4.888888889</v>
      </c>
      <c r="E5382" s="6">
        <v>18.0</v>
      </c>
    </row>
    <row r="5383">
      <c r="A5383" s="4" t="s">
        <v>10691</v>
      </c>
      <c r="B5383" s="5" t="s">
        <v>10692</v>
      </c>
      <c r="C5383" s="6">
        <v>1000.0</v>
      </c>
      <c r="D5383" s="6">
        <v>5.0</v>
      </c>
      <c r="E5383" s="6">
        <v>4.0</v>
      </c>
    </row>
    <row r="5384">
      <c r="A5384" s="4" t="s">
        <v>10693</v>
      </c>
      <c r="B5384" s="5" t="s">
        <v>10694</v>
      </c>
      <c r="C5384" s="6">
        <v>1000.0</v>
      </c>
      <c r="D5384" s="6">
        <v>4.75</v>
      </c>
      <c r="E5384" s="6">
        <v>12.0</v>
      </c>
    </row>
    <row r="5385">
      <c r="A5385" s="4" t="s">
        <v>10695</v>
      </c>
      <c r="B5385" s="5" t="s">
        <v>10696</v>
      </c>
      <c r="C5385" s="6">
        <v>1000.0</v>
      </c>
      <c r="D5385" s="6">
        <v>4.6</v>
      </c>
      <c r="E5385" s="6">
        <v>25.0</v>
      </c>
    </row>
    <row r="5386">
      <c r="A5386" s="4" t="s">
        <v>10697</v>
      </c>
      <c r="B5386" s="5" t="s">
        <v>10698</v>
      </c>
      <c r="C5386" s="6">
        <v>1000.0</v>
      </c>
      <c r="D5386" s="6">
        <v>3.5</v>
      </c>
      <c r="E5386" s="6">
        <v>12.0</v>
      </c>
    </row>
    <row r="5387">
      <c r="A5387" s="4" t="s">
        <v>10699</v>
      </c>
      <c r="B5387" s="5" t="s">
        <v>10700</v>
      </c>
      <c r="C5387" s="6">
        <v>1000.0</v>
      </c>
      <c r="D5387" s="6">
        <v>3.4</v>
      </c>
      <c r="E5387" s="6">
        <v>5.0</v>
      </c>
    </row>
    <row r="5388">
      <c r="A5388" s="4" t="s">
        <v>10701</v>
      </c>
      <c r="B5388" s="5" t="s">
        <v>10702</v>
      </c>
      <c r="C5388" s="6">
        <v>1000.0</v>
      </c>
      <c r="D5388" s="6">
        <v>3.5</v>
      </c>
      <c r="E5388" s="6">
        <v>4.0</v>
      </c>
    </row>
    <row r="5389">
      <c r="A5389" s="4" t="s">
        <v>10703</v>
      </c>
      <c r="B5389" s="5" t="s">
        <v>10704</v>
      </c>
      <c r="C5389" s="6">
        <v>1000.0</v>
      </c>
      <c r="D5389" s="6">
        <v>5.0</v>
      </c>
      <c r="E5389" s="6">
        <v>4.0</v>
      </c>
    </row>
    <row r="5390">
      <c r="A5390" s="5" t="s">
        <v>10705</v>
      </c>
      <c r="B5390" s="5" t="s">
        <v>10706</v>
      </c>
      <c r="C5390" s="6">
        <v>1000.0</v>
      </c>
      <c r="D5390" s="6">
        <v>4.642857143</v>
      </c>
      <c r="E5390" s="6">
        <v>14.0</v>
      </c>
    </row>
    <row r="5391">
      <c r="A5391" s="4" t="s">
        <v>10707</v>
      </c>
      <c r="B5391" s="5" t="s">
        <v>10708</v>
      </c>
      <c r="C5391" s="6">
        <v>1000.0</v>
      </c>
      <c r="D5391" s="6">
        <v>4.7</v>
      </c>
      <c r="E5391" s="6">
        <v>20.0</v>
      </c>
    </row>
    <row r="5392">
      <c r="A5392" s="4" t="s">
        <v>10709</v>
      </c>
      <c r="B5392" s="5" t="s">
        <v>10710</v>
      </c>
      <c r="C5392" s="6">
        <v>1000.0</v>
      </c>
      <c r="D5392" s="6">
        <v>4.5625</v>
      </c>
      <c r="E5392" s="6">
        <v>16.0</v>
      </c>
    </row>
    <row r="5393">
      <c r="A5393" s="4" t="s">
        <v>10711</v>
      </c>
      <c r="B5393" s="5" t="s">
        <v>10712</v>
      </c>
      <c r="C5393" s="6">
        <v>1000.0</v>
      </c>
      <c r="D5393" s="6">
        <v>3.384615385</v>
      </c>
      <c r="E5393" s="6">
        <v>13.0</v>
      </c>
    </row>
    <row r="5394">
      <c r="A5394" s="4" t="s">
        <v>10713</v>
      </c>
      <c r="B5394" s="5" t="s">
        <v>10714</v>
      </c>
      <c r="C5394" s="6">
        <v>1000.0</v>
      </c>
      <c r="D5394" s="6">
        <v>4.357142857</v>
      </c>
      <c r="E5394" s="6">
        <v>14.0</v>
      </c>
    </row>
    <row r="5395">
      <c r="A5395" s="4" t="s">
        <v>10715</v>
      </c>
      <c r="B5395" s="5" t="s">
        <v>10716</v>
      </c>
      <c r="C5395" s="6">
        <v>1000.0</v>
      </c>
      <c r="D5395" s="6">
        <v>4.5</v>
      </c>
      <c r="E5395" s="6">
        <v>8.0</v>
      </c>
    </row>
    <row r="5396">
      <c r="A5396" s="4" t="s">
        <v>10717</v>
      </c>
      <c r="B5396" s="5" t="s">
        <v>10718</v>
      </c>
      <c r="C5396" s="6">
        <v>1000.0</v>
      </c>
      <c r="D5396" s="6">
        <v>3.666666667</v>
      </c>
      <c r="E5396" s="6">
        <v>3.0</v>
      </c>
    </row>
    <row r="5397">
      <c r="A5397" s="4" t="s">
        <v>10719</v>
      </c>
      <c r="B5397" s="5" t="s">
        <v>10720</v>
      </c>
      <c r="C5397" s="6">
        <v>1000.0</v>
      </c>
      <c r="D5397" s="6">
        <v>5.0</v>
      </c>
      <c r="E5397" s="6">
        <v>5.0</v>
      </c>
    </row>
    <row r="5398">
      <c r="A5398" s="4" t="s">
        <v>10721</v>
      </c>
      <c r="B5398" s="5" t="s">
        <v>10722</v>
      </c>
      <c r="C5398" s="6">
        <v>1000.0</v>
      </c>
      <c r="D5398" s="6">
        <v>5.0</v>
      </c>
      <c r="E5398" s="6">
        <v>9.0</v>
      </c>
    </row>
    <row r="5399">
      <c r="A5399" s="4" t="s">
        <v>10723</v>
      </c>
      <c r="B5399" s="5" t="s">
        <v>10724</v>
      </c>
      <c r="C5399" s="6">
        <v>1000.0</v>
      </c>
      <c r="D5399" s="6">
        <v>4.683333333</v>
      </c>
      <c r="E5399" s="6">
        <v>60.0</v>
      </c>
    </row>
    <row r="5400">
      <c r="A5400" s="4" t="s">
        <v>10725</v>
      </c>
      <c r="B5400" s="5" t="s">
        <v>10726</v>
      </c>
      <c r="C5400" s="6">
        <v>1000.0</v>
      </c>
      <c r="D5400" s="6">
        <v>4.428571429</v>
      </c>
      <c r="E5400" s="6">
        <v>7.0</v>
      </c>
    </row>
    <row r="5401">
      <c r="A5401" s="4" t="s">
        <v>10727</v>
      </c>
      <c r="B5401" s="5" t="s">
        <v>10728</v>
      </c>
      <c r="C5401" s="6">
        <v>1000.0</v>
      </c>
      <c r="D5401" s="6">
        <v>4.214285714</v>
      </c>
      <c r="E5401" s="6">
        <v>14.0</v>
      </c>
    </row>
    <row r="5402">
      <c r="A5402" s="4" t="s">
        <v>10729</v>
      </c>
      <c r="B5402" s="5" t="s">
        <v>10730</v>
      </c>
      <c r="C5402" s="6">
        <v>1000.0</v>
      </c>
      <c r="D5402" s="6">
        <v>4.375</v>
      </c>
      <c r="E5402" s="6">
        <v>8.0</v>
      </c>
    </row>
    <row r="5403">
      <c r="A5403" s="4" t="s">
        <v>10731</v>
      </c>
      <c r="B5403" s="5" t="s">
        <v>10732</v>
      </c>
      <c r="C5403" s="6">
        <v>1000.0</v>
      </c>
      <c r="D5403" s="6">
        <v>4.428571429</v>
      </c>
      <c r="E5403" s="6">
        <v>7.0</v>
      </c>
    </row>
    <row r="5404">
      <c r="A5404" s="4" t="s">
        <v>10733</v>
      </c>
      <c r="B5404" s="5" t="s">
        <v>10734</v>
      </c>
      <c r="C5404" s="6">
        <v>1000.0</v>
      </c>
      <c r="D5404" s="6">
        <v>2.8125</v>
      </c>
      <c r="E5404" s="6">
        <v>16.0</v>
      </c>
    </row>
    <row r="5405">
      <c r="A5405" s="4" t="s">
        <v>10735</v>
      </c>
      <c r="B5405" s="5" t="s">
        <v>10736</v>
      </c>
      <c r="C5405" s="6">
        <v>1000.0</v>
      </c>
      <c r="D5405" s="6">
        <v>4.45</v>
      </c>
      <c r="E5405" s="6">
        <v>20.0</v>
      </c>
    </row>
    <row r="5406">
      <c r="A5406" s="4" t="s">
        <v>10737</v>
      </c>
      <c r="B5406" s="5" t="s">
        <v>10738</v>
      </c>
      <c r="C5406" s="6">
        <v>1000.0</v>
      </c>
      <c r="D5406" s="6">
        <v>4.076923077</v>
      </c>
      <c r="E5406" s="6">
        <v>13.0</v>
      </c>
    </row>
    <row r="5407">
      <c r="A5407" s="4" t="s">
        <v>10739</v>
      </c>
      <c r="B5407" s="5" t="s">
        <v>10740</v>
      </c>
      <c r="C5407" s="6">
        <v>1000.0</v>
      </c>
      <c r="D5407" s="6">
        <v>4.444444444</v>
      </c>
      <c r="E5407" s="6">
        <v>9.0</v>
      </c>
    </row>
    <row r="5408">
      <c r="A5408" s="4" t="s">
        <v>10741</v>
      </c>
      <c r="B5408" s="5" t="s">
        <v>10742</v>
      </c>
      <c r="C5408" s="6">
        <v>1000.0</v>
      </c>
      <c r="D5408" s="6">
        <v>4.328571429</v>
      </c>
      <c r="E5408" s="6">
        <v>70.0</v>
      </c>
    </row>
    <row r="5409">
      <c r="A5409" s="4" t="s">
        <v>10743</v>
      </c>
      <c r="B5409" s="5" t="s">
        <v>10744</v>
      </c>
      <c r="C5409" s="6">
        <v>1000.0</v>
      </c>
      <c r="D5409" s="6">
        <v>4.517241379</v>
      </c>
      <c r="E5409" s="6">
        <v>29.0</v>
      </c>
    </row>
    <row r="5410">
      <c r="A5410" s="4" t="s">
        <v>10745</v>
      </c>
      <c r="B5410" s="5" t="s">
        <v>10746</v>
      </c>
      <c r="C5410" s="6">
        <v>1000.0</v>
      </c>
      <c r="D5410" s="6">
        <v>4.888888889</v>
      </c>
      <c r="E5410" s="6">
        <v>18.0</v>
      </c>
    </row>
    <row r="5411">
      <c r="A5411" s="4" t="s">
        <v>10747</v>
      </c>
      <c r="B5411" s="5" t="s">
        <v>10748</v>
      </c>
      <c r="C5411" s="6">
        <v>1000.0</v>
      </c>
      <c r="D5411" s="6">
        <v>5.0</v>
      </c>
      <c r="E5411" s="6">
        <v>1.0</v>
      </c>
    </row>
    <row r="5412">
      <c r="A5412" s="4" t="s">
        <v>10749</v>
      </c>
      <c r="B5412" s="5" t="s">
        <v>10750</v>
      </c>
      <c r="C5412" s="6">
        <v>1000.0</v>
      </c>
      <c r="D5412" s="6">
        <v>3.431034483</v>
      </c>
      <c r="E5412" s="6">
        <v>58.0</v>
      </c>
    </row>
    <row r="5413">
      <c r="A5413" s="4" t="s">
        <v>10751</v>
      </c>
      <c r="B5413" s="5" t="s">
        <v>10752</v>
      </c>
      <c r="C5413" s="6">
        <v>1000.0</v>
      </c>
      <c r="D5413" s="6">
        <v>4.535714286</v>
      </c>
      <c r="E5413" s="6">
        <v>28.0</v>
      </c>
    </row>
    <row r="5414">
      <c r="A5414" s="4" t="s">
        <v>10753</v>
      </c>
      <c r="B5414" s="5" t="s">
        <v>10754</v>
      </c>
      <c r="C5414" s="6">
        <v>1000.0</v>
      </c>
      <c r="D5414" s="6">
        <v>3.928571429</v>
      </c>
      <c r="E5414" s="6">
        <v>14.0</v>
      </c>
    </row>
    <row r="5415">
      <c r="A5415" s="4" t="s">
        <v>10755</v>
      </c>
      <c r="B5415" s="5" t="s">
        <v>10756</v>
      </c>
      <c r="C5415" s="6">
        <v>1000.0</v>
      </c>
      <c r="D5415" s="6">
        <v>4.714285714</v>
      </c>
      <c r="E5415" s="6">
        <v>7.0</v>
      </c>
    </row>
    <row r="5416">
      <c r="A5416" s="4" t="s">
        <v>10757</v>
      </c>
      <c r="B5416" s="5" t="s">
        <v>10758</v>
      </c>
      <c r="C5416" s="6">
        <v>1000.0</v>
      </c>
      <c r="D5416" s="6">
        <v>3.818181818</v>
      </c>
      <c r="E5416" s="6">
        <v>11.0</v>
      </c>
    </row>
    <row r="5417">
      <c r="A5417" s="4" t="s">
        <v>10759</v>
      </c>
      <c r="B5417" s="5" t="s">
        <v>10760</v>
      </c>
      <c r="C5417" s="6">
        <v>1000.0</v>
      </c>
      <c r="D5417" s="6">
        <v>4.272727273</v>
      </c>
      <c r="E5417" s="6">
        <v>11.0</v>
      </c>
    </row>
    <row r="5418">
      <c r="A5418" s="4" t="s">
        <v>10761</v>
      </c>
      <c r="B5418" s="5" t="s">
        <v>10762</v>
      </c>
      <c r="C5418" s="6">
        <v>1000.0</v>
      </c>
      <c r="D5418" s="6">
        <v>2.727272727</v>
      </c>
      <c r="E5418" s="6">
        <v>11.0</v>
      </c>
    </row>
    <row r="5419">
      <c r="A5419" s="4" t="s">
        <v>10763</v>
      </c>
      <c r="B5419" s="5" t="s">
        <v>10764</v>
      </c>
      <c r="C5419" s="6">
        <v>1000.0</v>
      </c>
      <c r="D5419" s="6">
        <v>4.363636364</v>
      </c>
      <c r="E5419" s="6">
        <v>33.0</v>
      </c>
    </row>
    <row r="5420">
      <c r="A5420" s="4" t="s">
        <v>10765</v>
      </c>
      <c r="B5420" s="5" t="s">
        <v>10766</v>
      </c>
      <c r="C5420" s="6">
        <v>1000.0</v>
      </c>
      <c r="D5420" s="6">
        <v>5.0</v>
      </c>
      <c r="E5420" s="6">
        <v>1.0</v>
      </c>
    </row>
    <row r="5421">
      <c r="A5421" s="4" t="s">
        <v>10767</v>
      </c>
      <c r="B5421" s="5" t="s">
        <v>10768</v>
      </c>
      <c r="C5421" s="6">
        <v>1000.0</v>
      </c>
      <c r="D5421" s="6">
        <v>3.916666667</v>
      </c>
      <c r="E5421" s="6">
        <v>12.0</v>
      </c>
    </row>
    <row r="5422">
      <c r="A5422" s="4" t="s">
        <v>10769</v>
      </c>
      <c r="B5422" s="5" t="s">
        <v>10770</v>
      </c>
      <c r="C5422" s="6">
        <v>1000.0</v>
      </c>
      <c r="D5422" s="6">
        <v>3.125</v>
      </c>
      <c r="E5422" s="6">
        <v>8.0</v>
      </c>
    </row>
    <row r="5423">
      <c r="A5423" s="4" t="s">
        <v>10771</v>
      </c>
      <c r="B5423" s="5" t="s">
        <v>10772</v>
      </c>
      <c r="C5423" s="6">
        <v>1000.0</v>
      </c>
      <c r="D5423" s="6">
        <v>3.842105263</v>
      </c>
      <c r="E5423" s="6">
        <v>19.0</v>
      </c>
    </row>
    <row r="5424">
      <c r="A5424" s="4" t="s">
        <v>10773</v>
      </c>
      <c r="B5424" s="5" t="s">
        <v>10774</v>
      </c>
      <c r="C5424" s="6">
        <v>1000.0</v>
      </c>
      <c r="D5424" s="6">
        <v>3.454545455</v>
      </c>
      <c r="E5424" s="6">
        <v>11.0</v>
      </c>
    </row>
    <row r="5425">
      <c r="A5425" s="4" t="s">
        <v>10775</v>
      </c>
      <c r="B5425" s="5" t="s">
        <v>10776</v>
      </c>
      <c r="C5425" s="6">
        <v>1000.0</v>
      </c>
      <c r="D5425" s="6">
        <v>4.6</v>
      </c>
      <c r="E5425" s="6">
        <v>70.0</v>
      </c>
    </row>
    <row r="5426">
      <c r="A5426" s="4" t="s">
        <v>10777</v>
      </c>
      <c r="B5426" s="5" t="s">
        <v>10778</v>
      </c>
      <c r="C5426" s="6">
        <v>1000.0</v>
      </c>
      <c r="D5426" s="6">
        <v>4.095238095</v>
      </c>
      <c r="E5426" s="6">
        <v>21.0</v>
      </c>
    </row>
    <row r="5427">
      <c r="A5427" s="4" t="s">
        <v>10779</v>
      </c>
      <c r="B5427" s="5" t="s">
        <v>10780</v>
      </c>
      <c r="C5427" s="6">
        <v>1000.0</v>
      </c>
      <c r="D5427" s="6">
        <v>4.76056338</v>
      </c>
      <c r="E5427" s="6">
        <v>71.0</v>
      </c>
    </row>
    <row r="5428">
      <c r="A5428" s="4" t="s">
        <v>10781</v>
      </c>
      <c r="B5428" s="5" t="s">
        <v>10782</v>
      </c>
      <c r="C5428" s="6">
        <v>1000.0</v>
      </c>
      <c r="D5428" s="6">
        <v>4.0625</v>
      </c>
      <c r="E5428" s="6">
        <v>16.0</v>
      </c>
    </row>
    <row r="5429">
      <c r="A5429" s="4" t="s">
        <v>10783</v>
      </c>
      <c r="B5429" s="5" t="s">
        <v>10784</v>
      </c>
      <c r="C5429" s="6">
        <v>1000.0</v>
      </c>
      <c r="D5429" s="9"/>
      <c r="E5429" s="9"/>
    </row>
    <row r="5430">
      <c r="A5430" s="4" t="s">
        <v>10785</v>
      </c>
      <c r="B5430" s="5" t="s">
        <v>10786</v>
      </c>
      <c r="C5430" s="6">
        <v>1000.0</v>
      </c>
      <c r="D5430" s="6">
        <v>2.866666667</v>
      </c>
      <c r="E5430" s="6">
        <v>15.0</v>
      </c>
    </row>
    <row r="5431">
      <c r="A5431" s="4" t="s">
        <v>10787</v>
      </c>
      <c r="B5431" s="5" t="s">
        <v>10788</v>
      </c>
      <c r="C5431" s="6">
        <v>1000.0</v>
      </c>
      <c r="D5431" s="6">
        <v>1.0</v>
      </c>
      <c r="E5431" s="6">
        <v>1.0</v>
      </c>
    </row>
    <row r="5432">
      <c r="A5432" s="4" t="s">
        <v>10789</v>
      </c>
      <c r="B5432" s="5" t="s">
        <v>10790</v>
      </c>
      <c r="C5432" s="6">
        <v>1000.0</v>
      </c>
      <c r="D5432" s="6">
        <v>4.5</v>
      </c>
      <c r="E5432" s="6">
        <v>4.0</v>
      </c>
    </row>
    <row r="5433">
      <c r="A5433" s="4" t="s">
        <v>10791</v>
      </c>
      <c r="B5433" s="5" t="s">
        <v>10792</v>
      </c>
      <c r="C5433" s="6">
        <v>1000.0</v>
      </c>
      <c r="D5433" s="6">
        <v>4.55</v>
      </c>
      <c r="E5433" s="6">
        <v>20.0</v>
      </c>
    </row>
    <row r="5434">
      <c r="A5434" s="4" t="s">
        <v>10793</v>
      </c>
      <c r="B5434" s="5" t="s">
        <v>10794</v>
      </c>
      <c r="C5434" s="6">
        <v>1000.0</v>
      </c>
      <c r="D5434" s="6">
        <v>4.395833333</v>
      </c>
      <c r="E5434" s="6">
        <v>48.0</v>
      </c>
    </row>
    <row r="5435">
      <c r="A5435" s="4" t="s">
        <v>10795</v>
      </c>
      <c r="B5435" s="5" t="s">
        <v>10796</v>
      </c>
      <c r="C5435" s="6">
        <v>1000.0</v>
      </c>
      <c r="D5435" s="6">
        <v>4.571428571</v>
      </c>
      <c r="E5435" s="6">
        <v>14.0</v>
      </c>
    </row>
    <row r="5436">
      <c r="A5436" s="4" t="s">
        <v>10797</v>
      </c>
      <c r="B5436" s="5" t="s">
        <v>10798</v>
      </c>
      <c r="C5436" s="6">
        <v>1000.0</v>
      </c>
      <c r="D5436" s="6">
        <v>2.666666667</v>
      </c>
      <c r="E5436" s="6">
        <v>6.0</v>
      </c>
    </row>
    <row r="5437">
      <c r="A5437" s="4" t="s">
        <v>10799</v>
      </c>
      <c r="B5437" s="5" t="s">
        <v>10800</v>
      </c>
      <c r="C5437" s="6">
        <v>1000.0</v>
      </c>
      <c r="D5437" s="6">
        <v>4.1</v>
      </c>
      <c r="E5437" s="6">
        <v>50.0</v>
      </c>
    </row>
    <row r="5438">
      <c r="A5438" s="4" t="s">
        <v>10801</v>
      </c>
      <c r="B5438" s="5" t="s">
        <v>10802</v>
      </c>
      <c r="C5438" s="6">
        <v>1000.0</v>
      </c>
      <c r="D5438" s="6">
        <v>1.333333333</v>
      </c>
      <c r="E5438" s="6">
        <v>3.0</v>
      </c>
    </row>
    <row r="5439">
      <c r="A5439" s="4" t="s">
        <v>10803</v>
      </c>
      <c r="B5439" s="5" t="s">
        <v>10804</v>
      </c>
      <c r="C5439" s="6">
        <v>1000.0</v>
      </c>
      <c r="D5439" s="6">
        <v>5.0</v>
      </c>
      <c r="E5439" s="6">
        <v>1.0</v>
      </c>
    </row>
    <row r="5440">
      <c r="A5440" s="4" t="s">
        <v>10805</v>
      </c>
      <c r="B5440" s="5" t="s">
        <v>10806</v>
      </c>
      <c r="C5440" s="6">
        <v>1000.0</v>
      </c>
      <c r="D5440" s="6">
        <v>4.512195122</v>
      </c>
      <c r="E5440" s="6">
        <v>41.0</v>
      </c>
    </row>
    <row r="5441">
      <c r="A5441" s="4" t="s">
        <v>10807</v>
      </c>
      <c r="B5441" s="5" t="s">
        <v>10808</v>
      </c>
      <c r="C5441" s="6">
        <v>1000.0</v>
      </c>
      <c r="D5441" s="6">
        <v>5.0</v>
      </c>
      <c r="E5441" s="6">
        <v>4.0</v>
      </c>
    </row>
    <row r="5442">
      <c r="A5442" s="4" t="s">
        <v>10809</v>
      </c>
      <c r="B5442" s="5" t="s">
        <v>10810</v>
      </c>
      <c r="C5442" s="6">
        <v>1000.0</v>
      </c>
      <c r="D5442" s="6">
        <v>3.75</v>
      </c>
      <c r="E5442" s="6">
        <v>4.0</v>
      </c>
    </row>
    <row r="5443">
      <c r="A5443" s="4" t="s">
        <v>10811</v>
      </c>
      <c r="B5443" s="5" t="s">
        <v>10812</v>
      </c>
      <c r="C5443" s="6">
        <v>1000.0</v>
      </c>
      <c r="D5443" s="6">
        <v>4.714285714</v>
      </c>
      <c r="E5443" s="6">
        <v>7.0</v>
      </c>
    </row>
    <row r="5444">
      <c r="A5444" s="4" t="s">
        <v>10813</v>
      </c>
      <c r="B5444" s="5" t="s">
        <v>10814</v>
      </c>
      <c r="C5444" s="6">
        <v>1000.0</v>
      </c>
      <c r="D5444" s="6">
        <v>4.705882353</v>
      </c>
      <c r="E5444" s="6">
        <v>17.0</v>
      </c>
    </row>
    <row r="5445">
      <c r="A5445" s="4" t="s">
        <v>10815</v>
      </c>
      <c r="B5445" s="5" t="s">
        <v>10816</v>
      </c>
      <c r="C5445" s="6">
        <v>1000.0</v>
      </c>
      <c r="D5445" s="6">
        <v>4.476190476</v>
      </c>
      <c r="E5445" s="6">
        <v>21.0</v>
      </c>
    </row>
    <row r="5446">
      <c r="A5446" s="4" t="s">
        <v>10817</v>
      </c>
      <c r="B5446" s="5" t="s">
        <v>10818</v>
      </c>
      <c r="C5446" s="6">
        <v>1000.0</v>
      </c>
      <c r="D5446" s="6">
        <v>4.78125</v>
      </c>
      <c r="E5446" s="6">
        <v>64.0</v>
      </c>
    </row>
    <row r="5447">
      <c r="A5447" s="4" t="s">
        <v>10819</v>
      </c>
      <c r="B5447" s="5" t="s">
        <v>10820</v>
      </c>
      <c r="C5447" s="6">
        <v>1000.0</v>
      </c>
      <c r="D5447" s="6">
        <v>4.377358491</v>
      </c>
      <c r="E5447" s="6">
        <v>53.0</v>
      </c>
    </row>
    <row r="5448">
      <c r="A5448" s="4" t="s">
        <v>10821</v>
      </c>
      <c r="B5448" s="5" t="s">
        <v>10822</v>
      </c>
      <c r="C5448" s="6">
        <v>1000.0</v>
      </c>
      <c r="D5448" s="6">
        <v>4.2</v>
      </c>
      <c r="E5448" s="6">
        <v>5.0</v>
      </c>
    </row>
    <row r="5449">
      <c r="A5449" s="4" t="s">
        <v>10823</v>
      </c>
      <c r="B5449" s="5" t="s">
        <v>10824</v>
      </c>
      <c r="C5449" s="6">
        <v>1000.0</v>
      </c>
      <c r="D5449" s="6">
        <v>4.666666667</v>
      </c>
      <c r="E5449" s="6">
        <v>3.0</v>
      </c>
    </row>
    <row r="5450">
      <c r="A5450" s="4" t="s">
        <v>10825</v>
      </c>
      <c r="B5450" s="5" t="s">
        <v>10826</v>
      </c>
      <c r="C5450" s="6">
        <v>1000.0</v>
      </c>
      <c r="D5450" s="6">
        <v>4.680851064</v>
      </c>
      <c r="E5450" s="6">
        <v>47.0</v>
      </c>
    </row>
    <row r="5451">
      <c r="A5451" s="4" t="s">
        <v>10827</v>
      </c>
      <c r="B5451" s="5" t="s">
        <v>10828</v>
      </c>
      <c r="C5451" s="6">
        <v>1000.0</v>
      </c>
      <c r="D5451" s="6">
        <v>4.111111111</v>
      </c>
      <c r="E5451" s="6">
        <v>9.0</v>
      </c>
    </row>
    <row r="5452">
      <c r="A5452" s="4" t="s">
        <v>10829</v>
      </c>
      <c r="B5452" s="5" t="s">
        <v>10830</v>
      </c>
      <c r="C5452" s="6">
        <v>1000.0</v>
      </c>
      <c r="D5452" s="6">
        <v>3.0</v>
      </c>
      <c r="E5452" s="6">
        <v>21.0</v>
      </c>
    </row>
    <row r="5453">
      <c r="A5453" s="4" t="s">
        <v>10831</v>
      </c>
      <c r="B5453" s="5" t="s">
        <v>10832</v>
      </c>
      <c r="C5453" s="6">
        <v>1000.0</v>
      </c>
      <c r="D5453" s="6">
        <v>5.0</v>
      </c>
      <c r="E5453" s="6">
        <v>1.0</v>
      </c>
    </row>
    <row r="5454">
      <c r="A5454" s="4" t="s">
        <v>10833</v>
      </c>
      <c r="B5454" s="5" t="s">
        <v>10834</v>
      </c>
      <c r="C5454" s="6">
        <v>1000.0</v>
      </c>
      <c r="D5454" s="6">
        <v>4.2</v>
      </c>
      <c r="E5454" s="6">
        <v>20.0</v>
      </c>
    </row>
    <row r="5455">
      <c r="A5455" s="4" t="s">
        <v>10835</v>
      </c>
      <c r="B5455" s="5" t="s">
        <v>10836</v>
      </c>
      <c r="C5455" s="6">
        <v>1000.0</v>
      </c>
      <c r="D5455" s="6">
        <v>1.4</v>
      </c>
      <c r="E5455" s="6">
        <v>10.0</v>
      </c>
    </row>
    <row r="5456">
      <c r="A5456" s="4" t="s">
        <v>10837</v>
      </c>
      <c r="B5456" s="5" t="s">
        <v>10838</v>
      </c>
      <c r="C5456" s="6">
        <v>1000.0</v>
      </c>
      <c r="D5456" s="6">
        <v>3.555555556</v>
      </c>
      <c r="E5456" s="6">
        <v>18.0</v>
      </c>
    </row>
    <row r="5457">
      <c r="A5457" s="4" t="s">
        <v>10839</v>
      </c>
      <c r="B5457" s="5" t="s">
        <v>10840</v>
      </c>
      <c r="C5457" s="6">
        <v>1000.0</v>
      </c>
      <c r="D5457" s="6">
        <v>2.636363636</v>
      </c>
      <c r="E5457" s="6">
        <v>11.0</v>
      </c>
    </row>
    <row r="5458">
      <c r="A5458" s="4" t="s">
        <v>10841</v>
      </c>
      <c r="B5458" s="5" t="s">
        <v>10842</v>
      </c>
      <c r="C5458" s="6">
        <v>1000.0</v>
      </c>
      <c r="D5458" s="6">
        <v>4.166666667</v>
      </c>
      <c r="E5458" s="6">
        <v>12.0</v>
      </c>
    </row>
    <row r="5459">
      <c r="A5459" s="4" t="s">
        <v>10843</v>
      </c>
      <c r="B5459" s="5" t="s">
        <v>10844</v>
      </c>
      <c r="C5459" s="6">
        <v>1000.0</v>
      </c>
      <c r="D5459" s="6">
        <v>4.421052632</v>
      </c>
      <c r="E5459" s="6">
        <v>19.0</v>
      </c>
    </row>
    <row r="5460">
      <c r="A5460" s="4" t="s">
        <v>10845</v>
      </c>
      <c r="B5460" s="5" t="s">
        <v>10846</v>
      </c>
      <c r="C5460" s="6">
        <v>1000.0</v>
      </c>
      <c r="D5460" s="6">
        <v>3.185185185</v>
      </c>
      <c r="E5460" s="6">
        <v>27.0</v>
      </c>
    </row>
    <row r="5461">
      <c r="A5461" s="4" t="s">
        <v>10847</v>
      </c>
      <c r="B5461" s="5" t="s">
        <v>10848</v>
      </c>
      <c r="C5461" s="6">
        <v>1000.0</v>
      </c>
      <c r="D5461" s="6">
        <v>1.727272727</v>
      </c>
      <c r="E5461" s="6">
        <v>11.0</v>
      </c>
    </row>
    <row r="5462">
      <c r="A5462" s="4" t="s">
        <v>10849</v>
      </c>
      <c r="B5462" s="5" t="s">
        <v>10850</v>
      </c>
      <c r="C5462" s="6">
        <v>1000.0</v>
      </c>
      <c r="D5462" s="6">
        <v>4.142857143</v>
      </c>
      <c r="E5462" s="6">
        <v>7.0</v>
      </c>
    </row>
    <row r="5463">
      <c r="A5463" s="4" t="s">
        <v>10851</v>
      </c>
      <c r="B5463" s="5" t="s">
        <v>10852</v>
      </c>
      <c r="C5463" s="6">
        <v>1000.0</v>
      </c>
      <c r="D5463" s="6">
        <v>3.733333333</v>
      </c>
      <c r="E5463" s="6">
        <v>15.0</v>
      </c>
    </row>
    <row r="5464">
      <c r="A5464" s="4" t="s">
        <v>10853</v>
      </c>
      <c r="B5464" s="5" t="s">
        <v>10854</v>
      </c>
      <c r="C5464" s="6">
        <v>1000.0</v>
      </c>
      <c r="D5464" s="6">
        <v>3.1</v>
      </c>
      <c r="E5464" s="6">
        <v>10.0</v>
      </c>
    </row>
    <row r="5465">
      <c r="A5465" s="4" t="s">
        <v>10855</v>
      </c>
      <c r="B5465" s="5" t="s">
        <v>10856</v>
      </c>
      <c r="C5465" s="6">
        <v>1000.0</v>
      </c>
      <c r="D5465" s="6">
        <v>4.441176471</v>
      </c>
      <c r="E5465" s="6">
        <v>34.0</v>
      </c>
    </row>
    <row r="5466">
      <c r="A5466" s="4" t="s">
        <v>10857</v>
      </c>
      <c r="B5466" s="5" t="s">
        <v>10858</v>
      </c>
      <c r="C5466" s="6">
        <v>1000.0</v>
      </c>
      <c r="D5466" s="6">
        <v>1.666666667</v>
      </c>
      <c r="E5466" s="6">
        <v>6.0</v>
      </c>
    </row>
    <row r="5467">
      <c r="A5467" s="4" t="s">
        <v>10859</v>
      </c>
      <c r="B5467" s="5" t="s">
        <v>10860</v>
      </c>
      <c r="C5467" s="6">
        <v>1000.0</v>
      </c>
      <c r="D5467" s="9"/>
      <c r="E5467" s="9"/>
    </row>
    <row r="5468">
      <c r="A5468" s="4" t="s">
        <v>10861</v>
      </c>
      <c r="B5468" s="5" t="s">
        <v>10862</v>
      </c>
      <c r="C5468" s="6">
        <v>1000.0</v>
      </c>
      <c r="D5468" s="6">
        <v>4.5</v>
      </c>
      <c r="E5468" s="6">
        <v>8.0</v>
      </c>
    </row>
    <row r="5469">
      <c r="A5469" s="4" t="s">
        <v>10863</v>
      </c>
      <c r="B5469" s="5" t="s">
        <v>10864</v>
      </c>
      <c r="C5469" s="6">
        <v>1000.0</v>
      </c>
      <c r="D5469" s="9"/>
      <c r="E5469" s="9"/>
    </row>
    <row r="5470">
      <c r="A5470" s="4" t="s">
        <v>10865</v>
      </c>
      <c r="B5470" s="5" t="s">
        <v>10866</v>
      </c>
      <c r="C5470" s="6">
        <v>1000.0</v>
      </c>
      <c r="D5470" s="6">
        <v>4.333333333</v>
      </c>
      <c r="E5470" s="6">
        <v>6.0</v>
      </c>
    </row>
    <row r="5471">
      <c r="A5471" s="4" t="s">
        <v>10867</v>
      </c>
      <c r="B5471" s="5" t="s">
        <v>10868</v>
      </c>
      <c r="C5471" s="6">
        <v>1000.0</v>
      </c>
      <c r="D5471" s="6">
        <v>4.75</v>
      </c>
      <c r="E5471" s="6">
        <v>8.0</v>
      </c>
    </row>
    <row r="5472">
      <c r="A5472" s="4" t="s">
        <v>10869</v>
      </c>
      <c r="B5472" s="5" t="s">
        <v>10870</v>
      </c>
      <c r="C5472" s="6">
        <v>1000.0</v>
      </c>
      <c r="D5472" s="6">
        <v>5.0</v>
      </c>
      <c r="E5472" s="6">
        <v>8.0</v>
      </c>
    </row>
    <row r="5473">
      <c r="A5473" s="4" t="s">
        <v>10871</v>
      </c>
      <c r="B5473" s="5" t="s">
        <v>10872</v>
      </c>
      <c r="C5473" s="6">
        <v>1000.0</v>
      </c>
      <c r="D5473" s="6">
        <v>5.0</v>
      </c>
      <c r="E5473" s="6">
        <v>1.0</v>
      </c>
    </row>
    <row r="5474">
      <c r="A5474" s="4" t="s">
        <v>10873</v>
      </c>
      <c r="B5474" s="5" t="s">
        <v>10874</v>
      </c>
      <c r="C5474" s="6">
        <v>1000.0</v>
      </c>
      <c r="D5474" s="6">
        <v>4.129032258</v>
      </c>
      <c r="E5474" s="6">
        <v>31.0</v>
      </c>
    </row>
    <row r="5475">
      <c r="A5475" s="4" t="s">
        <v>10875</v>
      </c>
      <c r="B5475" s="5" t="s">
        <v>10876</v>
      </c>
      <c r="C5475" s="6">
        <v>1000.0</v>
      </c>
      <c r="D5475" s="6">
        <v>3.357142857</v>
      </c>
      <c r="E5475" s="6">
        <v>14.0</v>
      </c>
    </row>
    <row r="5476">
      <c r="A5476" s="4" t="s">
        <v>10877</v>
      </c>
      <c r="B5476" s="5" t="s">
        <v>10878</v>
      </c>
      <c r="C5476" s="6">
        <v>1000.0</v>
      </c>
      <c r="D5476" s="6">
        <v>1.793650794</v>
      </c>
      <c r="E5476" s="6">
        <v>63.0</v>
      </c>
    </row>
    <row r="5477">
      <c r="A5477" s="4" t="s">
        <v>10879</v>
      </c>
      <c r="B5477" s="5" t="s">
        <v>10880</v>
      </c>
      <c r="C5477" s="6">
        <v>1000.0</v>
      </c>
      <c r="D5477" s="6">
        <v>4.428571429</v>
      </c>
      <c r="E5477" s="6">
        <v>14.0</v>
      </c>
    </row>
    <row r="5478">
      <c r="A5478" s="4" t="s">
        <v>10881</v>
      </c>
      <c r="B5478" s="5" t="s">
        <v>10882</v>
      </c>
      <c r="C5478" s="6">
        <v>1000.0</v>
      </c>
      <c r="D5478" s="6">
        <v>3.25</v>
      </c>
      <c r="E5478" s="6">
        <v>8.0</v>
      </c>
    </row>
    <row r="5479">
      <c r="A5479" s="4" t="s">
        <v>10883</v>
      </c>
      <c r="B5479" s="5" t="s">
        <v>10884</v>
      </c>
      <c r="C5479" s="6">
        <v>1000.0</v>
      </c>
      <c r="D5479" s="6">
        <v>5.0</v>
      </c>
      <c r="E5479" s="6">
        <v>10.0</v>
      </c>
    </row>
    <row r="5480">
      <c r="A5480" s="4" t="s">
        <v>10885</v>
      </c>
      <c r="B5480" s="5" t="s">
        <v>10886</v>
      </c>
      <c r="C5480" s="6">
        <v>1000.0</v>
      </c>
      <c r="D5480" s="6">
        <v>4.552631579</v>
      </c>
      <c r="E5480" s="6">
        <v>38.0</v>
      </c>
    </row>
    <row r="5481">
      <c r="A5481" s="4" t="s">
        <v>10887</v>
      </c>
      <c r="B5481" s="5" t="s">
        <v>10888</v>
      </c>
      <c r="C5481" s="6">
        <v>1000.0</v>
      </c>
      <c r="D5481" s="6">
        <v>4.136363636</v>
      </c>
      <c r="E5481" s="6">
        <v>44.0</v>
      </c>
    </row>
    <row r="5482">
      <c r="A5482" s="4" t="s">
        <v>10889</v>
      </c>
      <c r="B5482" s="5" t="s">
        <v>10890</v>
      </c>
      <c r="C5482" s="6">
        <v>1000.0</v>
      </c>
      <c r="D5482" s="6">
        <v>3.666666667</v>
      </c>
      <c r="E5482" s="6">
        <v>3.0</v>
      </c>
    </row>
    <row r="5483">
      <c r="A5483" s="4" t="s">
        <v>10891</v>
      </c>
      <c r="B5483" s="5" t="s">
        <v>10892</v>
      </c>
      <c r="C5483" s="6">
        <v>1000.0</v>
      </c>
      <c r="D5483" s="6">
        <v>3.105263158</v>
      </c>
      <c r="E5483" s="6">
        <v>19.0</v>
      </c>
    </row>
    <row r="5484">
      <c r="A5484" s="4" t="s">
        <v>10893</v>
      </c>
      <c r="B5484" s="5" t="s">
        <v>10894</v>
      </c>
      <c r="C5484" s="6">
        <v>1000.0</v>
      </c>
      <c r="D5484" s="6">
        <v>4.043478261</v>
      </c>
      <c r="E5484" s="6">
        <v>23.0</v>
      </c>
    </row>
    <row r="5485">
      <c r="A5485" s="4" t="s">
        <v>10895</v>
      </c>
      <c r="B5485" s="5" t="s">
        <v>10896</v>
      </c>
      <c r="C5485" s="6">
        <v>1000.0</v>
      </c>
      <c r="D5485" s="6">
        <v>3.538461538</v>
      </c>
      <c r="E5485" s="6">
        <v>26.0</v>
      </c>
    </row>
    <row r="5486">
      <c r="A5486" s="4" t="s">
        <v>10897</v>
      </c>
      <c r="B5486" s="5" t="s">
        <v>10898</v>
      </c>
      <c r="C5486" s="6">
        <v>1000.0</v>
      </c>
      <c r="D5486" s="6">
        <v>4.555555556</v>
      </c>
      <c r="E5486" s="6">
        <v>9.0</v>
      </c>
    </row>
    <row r="5487">
      <c r="A5487" s="4" t="s">
        <v>1187</v>
      </c>
      <c r="B5487" s="5" t="s">
        <v>10899</v>
      </c>
      <c r="C5487" s="6">
        <v>1000.0</v>
      </c>
      <c r="D5487" s="6">
        <v>4.6</v>
      </c>
      <c r="E5487" s="6">
        <v>10.0</v>
      </c>
    </row>
    <row r="5488">
      <c r="A5488" s="4" t="s">
        <v>10900</v>
      </c>
      <c r="B5488" s="5" t="s">
        <v>10901</v>
      </c>
      <c r="C5488" s="6">
        <v>1000.0</v>
      </c>
      <c r="D5488" s="6">
        <v>4.5</v>
      </c>
      <c r="E5488" s="6">
        <v>22.0</v>
      </c>
    </row>
    <row r="5489">
      <c r="A5489" s="4" t="s">
        <v>10902</v>
      </c>
      <c r="B5489" s="5" t="s">
        <v>10903</v>
      </c>
      <c r="C5489" s="6">
        <v>1000.0</v>
      </c>
      <c r="D5489" s="6">
        <v>4.0</v>
      </c>
      <c r="E5489" s="6">
        <v>15.0</v>
      </c>
    </row>
    <row r="5490">
      <c r="A5490" s="5" t="s">
        <v>10904</v>
      </c>
      <c r="B5490" s="5" t="s">
        <v>10905</v>
      </c>
      <c r="C5490" s="6">
        <v>1000.0</v>
      </c>
      <c r="D5490" s="6">
        <v>4.125</v>
      </c>
      <c r="E5490" s="6">
        <v>8.0</v>
      </c>
    </row>
    <row r="5491">
      <c r="A5491" s="4" t="s">
        <v>10906</v>
      </c>
      <c r="B5491" s="5" t="s">
        <v>10907</v>
      </c>
      <c r="C5491" s="6">
        <v>1000.0</v>
      </c>
      <c r="D5491" s="6">
        <v>5.0</v>
      </c>
      <c r="E5491" s="6">
        <v>9.0</v>
      </c>
    </row>
    <row r="5492">
      <c r="A5492" s="4" t="s">
        <v>10908</v>
      </c>
      <c r="B5492" s="5" t="s">
        <v>10909</v>
      </c>
      <c r="C5492" s="6">
        <v>1000.0</v>
      </c>
      <c r="D5492" s="6">
        <v>4.916666667</v>
      </c>
      <c r="E5492" s="6">
        <v>12.0</v>
      </c>
    </row>
    <row r="5493">
      <c r="A5493" s="4" t="s">
        <v>10610</v>
      </c>
      <c r="B5493" s="5" t="s">
        <v>10910</v>
      </c>
      <c r="C5493" s="6">
        <v>1000.0</v>
      </c>
      <c r="D5493" s="6">
        <v>4.625</v>
      </c>
      <c r="E5493" s="6">
        <v>8.0</v>
      </c>
    </row>
    <row r="5494">
      <c r="A5494" s="4" t="s">
        <v>10911</v>
      </c>
      <c r="B5494" s="5" t="s">
        <v>10912</v>
      </c>
      <c r="C5494" s="6">
        <v>1000.0</v>
      </c>
      <c r="D5494" s="6">
        <v>4.333333333</v>
      </c>
      <c r="E5494" s="6">
        <v>24.0</v>
      </c>
    </row>
    <row r="5495">
      <c r="A5495" s="4" t="s">
        <v>10913</v>
      </c>
      <c r="B5495" s="5" t="s">
        <v>10914</v>
      </c>
      <c r="C5495" s="6">
        <v>1000.0</v>
      </c>
      <c r="D5495" s="6">
        <v>3.333333333</v>
      </c>
      <c r="E5495" s="6">
        <v>3.0</v>
      </c>
    </row>
    <row r="5496">
      <c r="A5496" s="4" t="s">
        <v>10915</v>
      </c>
      <c r="B5496" s="5" t="s">
        <v>10916</v>
      </c>
      <c r="C5496" s="6">
        <v>1000.0</v>
      </c>
      <c r="D5496" s="6">
        <v>4.92</v>
      </c>
      <c r="E5496" s="6">
        <v>75.0</v>
      </c>
    </row>
    <row r="5497">
      <c r="A5497" s="4" t="s">
        <v>10917</v>
      </c>
      <c r="B5497" s="5" t="s">
        <v>10918</v>
      </c>
      <c r="C5497" s="6">
        <v>1000.0</v>
      </c>
      <c r="D5497" s="6">
        <v>4.666666667</v>
      </c>
      <c r="E5497" s="6">
        <v>9.0</v>
      </c>
    </row>
    <row r="5498">
      <c r="A5498" s="4" t="s">
        <v>10919</v>
      </c>
      <c r="B5498" s="5" t="s">
        <v>10920</v>
      </c>
      <c r="C5498" s="6">
        <v>1000.0</v>
      </c>
      <c r="D5498" s="6">
        <v>4.8125</v>
      </c>
      <c r="E5498" s="6">
        <v>16.0</v>
      </c>
    </row>
    <row r="5499">
      <c r="A5499" s="4" t="s">
        <v>10921</v>
      </c>
      <c r="B5499" s="5" t="s">
        <v>10922</v>
      </c>
      <c r="C5499" s="6">
        <v>1000.0</v>
      </c>
      <c r="D5499" s="6">
        <v>2.633333333</v>
      </c>
      <c r="E5499" s="6">
        <v>30.0</v>
      </c>
    </row>
    <row r="5500">
      <c r="A5500" s="4" t="s">
        <v>10923</v>
      </c>
      <c r="B5500" s="5" t="s">
        <v>10924</v>
      </c>
      <c r="C5500" s="6">
        <v>1000.0</v>
      </c>
      <c r="D5500" s="6">
        <v>4.222222222</v>
      </c>
      <c r="E5500" s="6">
        <v>9.0</v>
      </c>
    </row>
    <row r="5501">
      <c r="A5501" s="4" t="s">
        <v>10925</v>
      </c>
      <c r="B5501" s="5" t="s">
        <v>10926</v>
      </c>
      <c r="C5501" s="6">
        <v>1000.0</v>
      </c>
      <c r="D5501" s="6">
        <v>3.857142857</v>
      </c>
      <c r="E5501" s="6">
        <v>7.0</v>
      </c>
    </row>
    <row r="5502">
      <c r="A5502" s="4" t="s">
        <v>10927</v>
      </c>
      <c r="B5502" s="5" t="s">
        <v>10928</v>
      </c>
      <c r="C5502" s="6">
        <v>1000.0</v>
      </c>
      <c r="D5502" s="6">
        <v>2.7</v>
      </c>
      <c r="E5502" s="6">
        <v>10.0</v>
      </c>
    </row>
    <row r="5503">
      <c r="A5503" s="4" t="s">
        <v>10929</v>
      </c>
      <c r="B5503" s="5" t="s">
        <v>10930</v>
      </c>
      <c r="C5503" s="6">
        <v>1000.0</v>
      </c>
      <c r="D5503" s="6">
        <v>4.863636364</v>
      </c>
      <c r="E5503" s="6">
        <v>22.0</v>
      </c>
    </row>
    <row r="5504">
      <c r="A5504" s="16" t="str">
        <f>+Roam</f>
        <v>#NAME?</v>
      </c>
      <c r="B5504" s="5" t="s">
        <v>10931</v>
      </c>
      <c r="C5504" s="6">
        <v>1000.0</v>
      </c>
      <c r="D5504" s="6">
        <v>5.0</v>
      </c>
      <c r="E5504" s="6">
        <v>1.0</v>
      </c>
    </row>
    <row r="5505">
      <c r="A5505" s="4" t="s">
        <v>10932</v>
      </c>
      <c r="B5505" s="5" t="s">
        <v>10933</v>
      </c>
      <c r="C5505" s="6">
        <v>1000.0</v>
      </c>
      <c r="D5505" s="6">
        <v>3.863636364</v>
      </c>
      <c r="E5505" s="6">
        <v>22.0</v>
      </c>
    </row>
    <row r="5506">
      <c r="A5506" s="4" t="s">
        <v>10934</v>
      </c>
      <c r="B5506" s="5" t="s">
        <v>10935</v>
      </c>
      <c r="C5506" s="6">
        <v>1000.0</v>
      </c>
      <c r="D5506" s="9"/>
      <c r="E5506" s="9"/>
    </row>
    <row r="5507">
      <c r="A5507" s="4" t="s">
        <v>10936</v>
      </c>
      <c r="B5507" s="5" t="s">
        <v>10937</v>
      </c>
      <c r="C5507" s="6">
        <v>1000.0</v>
      </c>
      <c r="D5507" s="6">
        <v>4.448275862</v>
      </c>
      <c r="E5507" s="6">
        <v>58.0</v>
      </c>
    </row>
    <row r="5508">
      <c r="A5508" s="4" t="s">
        <v>10938</v>
      </c>
      <c r="B5508" s="5" t="s">
        <v>10939</v>
      </c>
      <c r="C5508" s="6">
        <v>1000.0</v>
      </c>
      <c r="D5508" s="6">
        <v>4.1</v>
      </c>
      <c r="E5508" s="6">
        <v>20.0</v>
      </c>
    </row>
    <row r="5509">
      <c r="A5509" s="4" t="s">
        <v>10940</v>
      </c>
      <c r="B5509" s="5" t="s">
        <v>10941</v>
      </c>
      <c r="C5509" s="6">
        <v>1000.0</v>
      </c>
      <c r="D5509" s="6">
        <v>4.1</v>
      </c>
      <c r="E5509" s="6">
        <v>10.0</v>
      </c>
    </row>
    <row r="5510">
      <c r="A5510" s="4" t="s">
        <v>10942</v>
      </c>
      <c r="B5510" s="5" t="s">
        <v>10943</v>
      </c>
      <c r="C5510" s="6">
        <v>1000.0</v>
      </c>
      <c r="D5510" s="6">
        <v>5.0</v>
      </c>
      <c r="E5510" s="6">
        <v>1.0</v>
      </c>
    </row>
    <row r="5511">
      <c r="A5511" s="4" t="s">
        <v>10944</v>
      </c>
      <c r="B5511" s="5" t="s">
        <v>10945</v>
      </c>
      <c r="C5511" s="6">
        <v>1000.0</v>
      </c>
      <c r="D5511" s="6">
        <v>4.125</v>
      </c>
      <c r="E5511" s="6">
        <v>8.0</v>
      </c>
    </row>
    <row r="5512">
      <c r="A5512" s="4" t="s">
        <v>10946</v>
      </c>
      <c r="B5512" s="5" t="s">
        <v>10947</v>
      </c>
      <c r="C5512" s="6">
        <v>1000.0</v>
      </c>
      <c r="D5512" s="6">
        <v>5.0</v>
      </c>
      <c r="E5512" s="6">
        <v>3.0</v>
      </c>
    </row>
    <row r="5513">
      <c r="A5513" s="4" t="s">
        <v>10948</v>
      </c>
      <c r="B5513" s="5" t="s">
        <v>10949</v>
      </c>
      <c r="C5513" s="6">
        <v>1000.0</v>
      </c>
      <c r="D5513" s="6">
        <v>4.870967742</v>
      </c>
      <c r="E5513" s="6">
        <v>31.0</v>
      </c>
    </row>
    <row r="5514">
      <c r="A5514" s="4" t="s">
        <v>10950</v>
      </c>
      <c r="B5514" s="5" t="s">
        <v>10951</v>
      </c>
      <c r="C5514" s="6">
        <v>1000.0</v>
      </c>
      <c r="D5514" s="6">
        <v>4.151898734</v>
      </c>
      <c r="E5514" s="6">
        <v>79.0</v>
      </c>
    </row>
    <row r="5515">
      <c r="A5515" s="4" t="s">
        <v>10952</v>
      </c>
      <c r="B5515" s="5" t="s">
        <v>10953</v>
      </c>
      <c r="C5515" s="6">
        <v>1000.0</v>
      </c>
      <c r="D5515" s="6">
        <v>4.868852459</v>
      </c>
      <c r="E5515" s="6">
        <v>61.0</v>
      </c>
    </row>
    <row r="5516">
      <c r="A5516" s="4" t="s">
        <v>10954</v>
      </c>
      <c r="B5516" s="5" t="s">
        <v>10955</v>
      </c>
      <c r="C5516" s="6">
        <v>1000.0</v>
      </c>
      <c r="D5516" s="6">
        <v>2.909090909</v>
      </c>
      <c r="E5516" s="6">
        <v>11.0</v>
      </c>
    </row>
    <row r="5517">
      <c r="A5517" s="4" t="s">
        <v>10956</v>
      </c>
      <c r="B5517" s="5" t="s">
        <v>10957</v>
      </c>
      <c r="C5517" s="6">
        <v>1000.0</v>
      </c>
      <c r="D5517" s="6">
        <v>5.0</v>
      </c>
      <c r="E5517" s="6">
        <v>7.0</v>
      </c>
    </row>
    <row r="5518">
      <c r="A5518" s="4" t="s">
        <v>10958</v>
      </c>
      <c r="B5518" s="5" t="s">
        <v>10959</v>
      </c>
      <c r="C5518" s="6">
        <v>1000.0</v>
      </c>
      <c r="D5518" s="6">
        <v>4.307692308</v>
      </c>
      <c r="E5518" s="6">
        <v>13.0</v>
      </c>
    </row>
    <row r="5519">
      <c r="A5519" s="5" t="s">
        <v>10960</v>
      </c>
      <c r="B5519" s="5" t="s">
        <v>10961</v>
      </c>
      <c r="C5519" s="6">
        <v>1000.0</v>
      </c>
      <c r="D5519" s="6">
        <v>4.923076923</v>
      </c>
      <c r="E5519" s="6">
        <v>13.0</v>
      </c>
    </row>
    <row r="5520">
      <c r="A5520" s="4" t="s">
        <v>10962</v>
      </c>
      <c r="B5520" s="5" t="s">
        <v>10963</v>
      </c>
      <c r="C5520" s="6">
        <v>1000.0</v>
      </c>
      <c r="D5520" s="6">
        <v>3.515151515</v>
      </c>
      <c r="E5520" s="6">
        <v>33.0</v>
      </c>
    </row>
    <row r="5521">
      <c r="A5521" s="4" t="s">
        <v>10964</v>
      </c>
      <c r="B5521" s="5" t="s">
        <v>10965</v>
      </c>
      <c r="C5521" s="6">
        <v>1000.0</v>
      </c>
      <c r="D5521" s="6">
        <v>3.666666667</v>
      </c>
      <c r="E5521" s="6">
        <v>6.0</v>
      </c>
    </row>
    <row r="5522">
      <c r="A5522" s="4" t="s">
        <v>10966</v>
      </c>
      <c r="B5522" s="5" t="s">
        <v>10967</v>
      </c>
      <c r="C5522" s="6">
        <v>1000.0</v>
      </c>
      <c r="D5522" s="6">
        <v>5.0</v>
      </c>
      <c r="E5522" s="6">
        <v>2.0</v>
      </c>
    </row>
    <row r="5523">
      <c r="A5523" s="4" t="s">
        <v>10968</v>
      </c>
      <c r="B5523" s="5" t="s">
        <v>10969</v>
      </c>
      <c r="C5523" s="6">
        <v>1000.0</v>
      </c>
      <c r="D5523" s="6">
        <v>4.111111111</v>
      </c>
      <c r="E5523" s="6">
        <v>9.0</v>
      </c>
    </row>
    <row r="5524">
      <c r="A5524" s="4" t="s">
        <v>10970</v>
      </c>
      <c r="B5524" s="5" t="s">
        <v>10971</v>
      </c>
      <c r="C5524" s="6">
        <v>1000.0</v>
      </c>
      <c r="D5524" s="6">
        <v>4.333333333</v>
      </c>
      <c r="E5524" s="6">
        <v>3.0</v>
      </c>
    </row>
    <row r="5525">
      <c r="A5525" s="4" t="s">
        <v>10972</v>
      </c>
      <c r="B5525" s="5" t="s">
        <v>10973</v>
      </c>
      <c r="C5525" s="6">
        <v>1000.0</v>
      </c>
      <c r="D5525" s="6">
        <v>5.0</v>
      </c>
      <c r="E5525" s="6">
        <v>1.0</v>
      </c>
    </row>
    <row r="5526">
      <c r="A5526" s="4" t="s">
        <v>10974</v>
      </c>
      <c r="B5526" s="5" t="s">
        <v>10975</v>
      </c>
      <c r="C5526" s="6">
        <v>1000.0</v>
      </c>
      <c r="D5526" s="6">
        <v>5.0</v>
      </c>
      <c r="E5526" s="6">
        <v>8.0</v>
      </c>
    </row>
    <row r="5527">
      <c r="A5527" s="4" t="s">
        <v>10976</v>
      </c>
      <c r="B5527" s="5" t="s">
        <v>10977</v>
      </c>
      <c r="C5527" s="6">
        <v>1000.0</v>
      </c>
      <c r="D5527" s="6">
        <v>2.142857143</v>
      </c>
      <c r="E5527" s="6">
        <v>7.0</v>
      </c>
    </row>
    <row r="5528">
      <c r="A5528" s="4" t="s">
        <v>10978</v>
      </c>
      <c r="B5528" s="5" t="s">
        <v>10979</v>
      </c>
      <c r="C5528" s="6">
        <v>1000.0</v>
      </c>
      <c r="D5528" s="6">
        <v>3.857142857</v>
      </c>
      <c r="E5528" s="6">
        <v>7.0</v>
      </c>
    </row>
    <row r="5529">
      <c r="A5529" s="4" t="s">
        <v>10980</v>
      </c>
      <c r="B5529" s="5" t="s">
        <v>10981</v>
      </c>
      <c r="C5529" s="6">
        <v>1000.0</v>
      </c>
      <c r="D5529" s="6">
        <v>4.0</v>
      </c>
      <c r="E5529" s="6">
        <v>5.0</v>
      </c>
    </row>
    <row r="5530">
      <c r="A5530" s="4" t="s">
        <v>10982</v>
      </c>
      <c r="B5530" s="5" t="s">
        <v>10983</v>
      </c>
      <c r="C5530" s="6">
        <v>1000.0</v>
      </c>
      <c r="D5530" s="6">
        <v>4.333333333</v>
      </c>
      <c r="E5530" s="6">
        <v>6.0</v>
      </c>
    </row>
    <row r="5531">
      <c r="A5531" s="4" t="s">
        <v>10984</v>
      </c>
      <c r="B5531" s="5" t="s">
        <v>10985</v>
      </c>
      <c r="C5531" s="6">
        <v>1000.0</v>
      </c>
      <c r="D5531" s="6">
        <v>5.0</v>
      </c>
      <c r="E5531" s="6">
        <v>3.0</v>
      </c>
    </row>
    <row r="5532">
      <c r="A5532" s="4" t="s">
        <v>10986</v>
      </c>
      <c r="B5532" s="5" t="s">
        <v>10987</v>
      </c>
      <c r="C5532" s="6">
        <v>1000.0</v>
      </c>
      <c r="D5532" s="6">
        <v>4.189189189</v>
      </c>
      <c r="E5532" s="6">
        <v>37.0</v>
      </c>
    </row>
    <row r="5533">
      <c r="A5533" s="4" t="s">
        <v>10988</v>
      </c>
      <c r="B5533" s="5" t="s">
        <v>10989</v>
      </c>
      <c r="C5533" s="6">
        <v>1000.0</v>
      </c>
      <c r="D5533" s="6">
        <v>4.375</v>
      </c>
      <c r="E5533" s="6">
        <v>24.0</v>
      </c>
    </row>
    <row r="5534">
      <c r="A5534" s="4" t="s">
        <v>10990</v>
      </c>
      <c r="B5534" s="5" t="s">
        <v>10991</v>
      </c>
      <c r="C5534" s="6">
        <v>1000.0</v>
      </c>
      <c r="D5534" s="6">
        <v>4.2</v>
      </c>
      <c r="E5534" s="6">
        <v>25.0</v>
      </c>
    </row>
    <row r="5535">
      <c r="A5535" s="4" t="s">
        <v>10992</v>
      </c>
      <c r="B5535" s="5" t="s">
        <v>10993</v>
      </c>
      <c r="C5535" s="6">
        <v>1000.0</v>
      </c>
      <c r="D5535" s="6">
        <v>3.933333333</v>
      </c>
      <c r="E5535" s="6">
        <v>15.0</v>
      </c>
    </row>
    <row r="5536">
      <c r="A5536" s="4" t="s">
        <v>10994</v>
      </c>
      <c r="B5536" s="5" t="s">
        <v>10995</v>
      </c>
      <c r="C5536" s="6">
        <v>1000.0</v>
      </c>
      <c r="D5536" s="6">
        <v>3.346153846</v>
      </c>
      <c r="E5536" s="6">
        <v>26.0</v>
      </c>
    </row>
    <row r="5537">
      <c r="A5537" s="4" t="s">
        <v>10996</v>
      </c>
      <c r="B5537" s="5" t="s">
        <v>10997</v>
      </c>
      <c r="C5537" s="6">
        <v>1000.0</v>
      </c>
      <c r="D5537" s="6">
        <v>4.0</v>
      </c>
      <c r="E5537" s="6">
        <v>4.0</v>
      </c>
    </row>
    <row r="5538">
      <c r="A5538" s="4" t="s">
        <v>10998</v>
      </c>
      <c r="B5538" s="5" t="s">
        <v>10999</v>
      </c>
      <c r="C5538" s="6">
        <v>1000.0</v>
      </c>
      <c r="D5538" s="6">
        <v>3.176470588</v>
      </c>
      <c r="E5538" s="6">
        <v>17.0</v>
      </c>
    </row>
    <row r="5539">
      <c r="A5539" s="4" t="s">
        <v>11000</v>
      </c>
      <c r="B5539" s="5" t="s">
        <v>11001</v>
      </c>
      <c r="C5539" s="6">
        <v>1000.0</v>
      </c>
      <c r="D5539" s="6">
        <v>4.398373984</v>
      </c>
      <c r="E5539" s="6">
        <v>123.0</v>
      </c>
    </row>
    <row r="5540">
      <c r="A5540" s="4" t="s">
        <v>11002</v>
      </c>
      <c r="B5540" s="5" t="s">
        <v>11003</v>
      </c>
      <c r="C5540" s="6">
        <v>1000.0</v>
      </c>
      <c r="D5540" s="6">
        <v>2.727272727</v>
      </c>
      <c r="E5540" s="6">
        <v>33.0</v>
      </c>
    </row>
    <row r="5541">
      <c r="A5541" s="4" t="s">
        <v>11004</v>
      </c>
      <c r="B5541" s="5" t="s">
        <v>11005</v>
      </c>
      <c r="C5541" s="6">
        <v>1000.0</v>
      </c>
      <c r="D5541" s="6">
        <v>5.0</v>
      </c>
      <c r="E5541" s="6">
        <v>17.0</v>
      </c>
    </row>
    <row r="5542">
      <c r="A5542" s="4" t="s">
        <v>11006</v>
      </c>
      <c r="B5542" s="5" t="s">
        <v>11007</v>
      </c>
      <c r="C5542" s="6">
        <v>1000.0</v>
      </c>
      <c r="D5542" s="6">
        <v>4.723076923</v>
      </c>
      <c r="E5542" s="6">
        <v>65.0</v>
      </c>
    </row>
    <row r="5543">
      <c r="A5543" s="4" t="s">
        <v>11008</v>
      </c>
      <c r="B5543" s="5" t="s">
        <v>11009</v>
      </c>
      <c r="C5543" s="6">
        <v>1000.0</v>
      </c>
      <c r="D5543" s="6">
        <v>3.9</v>
      </c>
      <c r="E5543" s="6">
        <v>10.0</v>
      </c>
    </row>
    <row r="5544">
      <c r="A5544" s="4" t="s">
        <v>11010</v>
      </c>
      <c r="B5544" s="5" t="s">
        <v>11011</v>
      </c>
      <c r="C5544" s="6">
        <v>1000.0</v>
      </c>
      <c r="D5544" s="6">
        <v>4.590909091</v>
      </c>
      <c r="E5544" s="6">
        <v>22.0</v>
      </c>
    </row>
    <row r="5545">
      <c r="A5545" s="4" t="s">
        <v>11012</v>
      </c>
      <c r="B5545" s="5" t="s">
        <v>11013</v>
      </c>
      <c r="C5545" s="6">
        <v>1000.0</v>
      </c>
      <c r="D5545" s="6">
        <v>4.4</v>
      </c>
      <c r="E5545" s="6">
        <v>5.0</v>
      </c>
    </row>
    <row r="5546">
      <c r="A5546" s="4" t="s">
        <v>11014</v>
      </c>
      <c r="B5546" s="5" t="s">
        <v>11015</v>
      </c>
      <c r="C5546" s="6">
        <v>1000.0</v>
      </c>
      <c r="D5546" s="6">
        <v>5.0</v>
      </c>
      <c r="E5546" s="6">
        <v>7.0</v>
      </c>
    </row>
    <row r="5547">
      <c r="A5547" s="4" t="s">
        <v>11016</v>
      </c>
      <c r="B5547" s="5" t="s">
        <v>11017</v>
      </c>
      <c r="C5547" s="6">
        <v>1000.0</v>
      </c>
      <c r="D5547" s="6">
        <v>4.0</v>
      </c>
      <c r="E5547" s="6">
        <v>4.0</v>
      </c>
    </row>
    <row r="5548">
      <c r="A5548" s="4" t="s">
        <v>11018</v>
      </c>
      <c r="B5548" s="5" t="s">
        <v>11019</v>
      </c>
      <c r="C5548" s="6">
        <v>1000.0</v>
      </c>
      <c r="D5548" s="6">
        <v>4.833333333</v>
      </c>
      <c r="E5548" s="6">
        <v>6.0</v>
      </c>
    </row>
    <row r="5549">
      <c r="A5549" s="4" t="s">
        <v>11020</v>
      </c>
      <c r="B5549" s="5" t="s">
        <v>11021</v>
      </c>
      <c r="C5549" s="6">
        <v>1000.0</v>
      </c>
      <c r="D5549" s="6">
        <v>4.2</v>
      </c>
      <c r="E5549" s="6">
        <v>5.0</v>
      </c>
    </row>
    <row r="5550">
      <c r="A5550" s="4" t="s">
        <v>11022</v>
      </c>
      <c r="B5550" s="5" t="s">
        <v>11023</v>
      </c>
      <c r="C5550" s="6">
        <v>1000.0</v>
      </c>
      <c r="D5550" s="6">
        <v>4.642857143</v>
      </c>
      <c r="E5550" s="6">
        <v>14.0</v>
      </c>
    </row>
    <row r="5551">
      <c r="A5551" s="4" t="s">
        <v>11024</v>
      </c>
      <c r="B5551" s="5" t="s">
        <v>11025</v>
      </c>
      <c r="C5551" s="6">
        <v>1000.0</v>
      </c>
      <c r="D5551" s="6">
        <v>4.333333333</v>
      </c>
      <c r="E5551" s="6">
        <v>15.0</v>
      </c>
    </row>
    <row r="5552">
      <c r="A5552" s="4" t="s">
        <v>11026</v>
      </c>
      <c r="B5552" s="5" t="s">
        <v>11027</v>
      </c>
      <c r="C5552" s="6">
        <v>1000.0</v>
      </c>
      <c r="D5552" s="6">
        <v>5.0</v>
      </c>
      <c r="E5552" s="6">
        <v>1.0</v>
      </c>
    </row>
    <row r="5553">
      <c r="A5553" s="4" t="s">
        <v>11028</v>
      </c>
      <c r="B5553" s="5" t="s">
        <v>11029</v>
      </c>
      <c r="C5553" s="6">
        <v>1000.0</v>
      </c>
      <c r="D5553" s="6">
        <v>3.0</v>
      </c>
      <c r="E5553" s="6">
        <v>2.0</v>
      </c>
    </row>
    <row r="5554">
      <c r="A5554" s="4" t="s">
        <v>11030</v>
      </c>
      <c r="B5554" s="5" t="s">
        <v>11031</v>
      </c>
      <c r="C5554" s="6">
        <v>1000.0</v>
      </c>
      <c r="D5554" s="6">
        <v>5.0</v>
      </c>
      <c r="E5554" s="6">
        <v>8.0</v>
      </c>
    </row>
    <row r="5555">
      <c r="A5555" s="4" t="s">
        <v>11032</v>
      </c>
      <c r="B5555" s="5" t="s">
        <v>11033</v>
      </c>
      <c r="C5555" s="6">
        <v>1000.0</v>
      </c>
      <c r="D5555" s="6">
        <v>3.285714286</v>
      </c>
      <c r="E5555" s="6">
        <v>7.0</v>
      </c>
    </row>
    <row r="5556">
      <c r="A5556" s="4" t="s">
        <v>11034</v>
      </c>
      <c r="B5556" s="5" t="s">
        <v>11035</v>
      </c>
      <c r="C5556" s="6">
        <v>1000.0</v>
      </c>
      <c r="D5556" s="6">
        <v>4.4</v>
      </c>
      <c r="E5556" s="6">
        <v>5.0</v>
      </c>
    </row>
    <row r="5557">
      <c r="A5557" s="4" t="s">
        <v>11036</v>
      </c>
      <c r="B5557" s="5" t="s">
        <v>11037</v>
      </c>
      <c r="C5557" s="6">
        <v>1000.0</v>
      </c>
      <c r="D5557" s="6">
        <v>4.545454545</v>
      </c>
      <c r="E5557" s="6">
        <v>11.0</v>
      </c>
    </row>
    <row r="5558">
      <c r="A5558" s="4" t="s">
        <v>11038</v>
      </c>
      <c r="B5558" s="5" t="s">
        <v>11039</v>
      </c>
      <c r="C5558" s="6">
        <v>1000.0</v>
      </c>
      <c r="D5558" s="6">
        <v>4.5</v>
      </c>
      <c r="E5558" s="6">
        <v>4.0</v>
      </c>
    </row>
    <row r="5559">
      <c r="A5559" s="4" t="s">
        <v>11040</v>
      </c>
      <c r="B5559" s="5" t="s">
        <v>11041</v>
      </c>
      <c r="C5559" s="6">
        <v>1000.0</v>
      </c>
      <c r="D5559" s="6">
        <v>4.527777778</v>
      </c>
      <c r="E5559" s="6">
        <v>36.0</v>
      </c>
    </row>
    <row r="5560">
      <c r="A5560" s="4" t="s">
        <v>11042</v>
      </c>
      <c r="B5560" s="5" t="s">
        <v>11043</v>
      </c>
      <c r="C5560" s="6">
        <v>1000.0</v>
      </c>
      <c r="D5560" s="6">
        <v>3.875</v>
      </c>
      <c r="E5560" s="6">
        <v>16.0</v>
      </c>
    </row>
    <row r="5561">
      <c r="A5561" s="4" t="s">
        <v>11044</v>
      </c>
      <c r="B5561" s="5" t="s">
        <v>11045</v>
      </c>
      <c r="C5561" s="6">
        <v>1000.0</v>
      </c>
      <c r="D5561" s="6">
        <v>4.4</v>
      </c>
      <c r="E5561" s="6">
        <v>25.0</v>
      </c>
    </row>
    <row r="5562">
      <c r="A5562" s="4" t="s">
        <v>11046</v>
      </c>
      <c r="B5562" s="5" t="s">
        <v>11047</v>
      </c>
      <c r="C5562" s="6">
        <v>1000.0</v>
      </c>
      <c r="D5562" s="6">
        <v>4.4</v>
      </c>
      <c r="E5562" s="6">
        <v>10.0</v>
      </c>
    </row>
    <row r="5563">
      <c r="A5563" s="4" t="s">
        <v>11048</v>
      </c>
      <c r="B5563" s="5" t="s">
        <v>11049</v>
      </c>
      <c r="C5563" s="6">
        <v>1000.0</v>
      </c>
      <c r="D5563" s="6">
        <v>1.0</v>
      </c>
      <c r="E5563" s="6">
        <v>6.0</v>
      </c>
    </row>
    <row r="5564">
      <c r="A5564" s="4" t="s">
        <v>11050</v>
      </c>
      <c r="B5564" s="5" t="s">
        <v>11051</v>
      </c>
      <c r="C5564" s="6">
        <v>1000.0</v>
      </c>
      <c r="D5564" s="6">
        <v>3.0</v>
      </c>
      <c r="E5564" s="6">
        <v>5.0</v>
      </c>
    </row>
    <row r="5565">
      <c r="A5565" s="4" t="s">
        <v>11052</v>
      </c>
      <c r="B5565" s="5" t="s">
        <v>11053</v>
      </c>
      <c r="C5565" s="6">
        <v>1000.0</v>
      </c>
      <c r="D5565" s="6">
        <v>4.2</v>
      </c>
      <c r="E5565" s="6">
        <v>5.0</v>
      </c>
    </row>
    <row r="5566">
      <c r="A5566" s="4" t="s">
        <v>11054</v>
      </c>
      <c r="B5566" s="5" t="s">
        <v>11055</v>
      </c>
      <c r="C5566" s="6">
        <v>1000.0</v>
      </c>
      <c r="D5566" s="6">
        <v>3.933333333</v>
      </c>
      <c r="E5566" s="6">
        <v>15.0</v>
      </c>
    </row>
    <row r="5567">
      <c r="A5567" s="4" t="s">
        <v>11056</v>
      </c>
      <c r="B5567" s="5" t="s">
        <v>11057</v>
      </c>
      <c r="C5567" s="6">
        <v>1000.0</v>
      </c>
      <c r="D5567" s="6">
        <v>4.0</v>
      </c>
      <c r="E5567" s="6">
        <v>12.0</v>
      </c>
    </row>
    <row r="5568">
      <c r="A5568" s="4" t="s">
        <v>11058</v>
      </c>
      <c r="B5568" s="5" t="s">
        <v>11059</v>
      </c>
      <c r="C5568" s="6">
        <v>1000.0</v>
      </c>
      <c r="D5568" s="6">
        <v>4.8125</v>
      </c>
      <c r="E5568" s="6">
        <v>16.0</v>
      </c>
    </row>
    <row r="5569">
      <c r="A5569" s="4" t="s">
        <v>11060</v>
      </c>
      <c r="B5569" s="5" t="s">
        <v>11061</v>
      </c>
      <c r="C5569" s="6">
        <v>1000.0</v>
      </c>
      <c r="D5569" s="6">
        <v>4.0</v>
      </c>
      <c r="E5569" s="6">
        <v>2.0</v>
      </c>
    </row>
    <row r="5570">
      <c r="A5570" s="4" t="s">
        <v>11062</v>
      </c>
      <c r="B5570" s="5" t="s">
        <v>11063</v>
      </c>
      <c r="C5570" s="6">
        <v>1000.0</v>
      </c>
      <c r="D5570" s="6">
        <v>4.818181818</v>
      </c>
      <c r="E5570" s="6">
        <v>33.0</v>
      </c>
    </row>
    <row r="5571">
      <c r="A5571" s="4" t="s">
        <v>11064</v>
      </c>
      <c r="B5571" s="5" t="s">
        <v>11065</v>
      </c>
      <c r="C5571" s="6">
        <v>1000.0</v>
      </c>
      <c r="D5571" s="6">
        <v>3.0</v>
      </c>
      <c r="E5571" s="6">
        <v>18.0</v>
      </c>
    </row>
    <row r="5572">
      <c r="A5572" s="4" t="s">
        <v>11066</v>
      </c>
      <c r="B5572" s="5" t="s">
        <v>11067</v>
      </c>
      <c r="C5572" s="6">
        <v>1000.0</v>
      </c>
      <c r="D5572" s="6">
        <v>4.733333333</v>
      </c>
      <c r="E5572" s="6">
        <v>15.0</v>
      </c>
    </row>
    <row r="5573">
      <c r="A5573" s="4" t="s">
        <v>11068</v>
      </c>
      <c r="B5573" s="5" t="s">
        <v>11069</v>
      </c>
      <c r="C5573" s="6">
        <v>1000.0</v>
      </c>
      <c r="D5573" s="6">
        <v>4.05</v>
      </c>
      <c r="E5573" s="6">
        <v>40.0</v>
      </c>
    </row>
    <row r="5574">
      <c r="A5574" s="4" t="s">
        <v>11070</v>
      </c>
      <c r="B5574" s="5" t="s">
        <v>11071</v>
      </c>
      <c r="C5574" s="6">
        <v>1000.0</v>
      </c>
      <c r="D5574" s="6">
        <v>4.125</v>
      </c>
      <c r="E5574" s="6">
        <v>16.0</v>
      </c>
    </row>
    <row r="5575">
      <c r="A5575" s="4" t="s">
        <v>11072</v>
      </c>
      <c r="B5575" s="5" t="s">
        <v>11073</v>
      </c>
      <c r="C5575" s="6">
        <v>1000.0</v>
      </c>
      <c r="D5575" s="9"/>
      <c r="E5575" s="9"/>
    </row>
    <row r="5576">
      <c r="A5576" s="4" t="s">
        <v>11074</v>
      </c>
      <c r="B5576" s="5" t="s">
        <v>11075</v>
      </c>
      <c r="C5576" s="6">
        <v>1000.0</v>
      </c>
      <c r="D5576" s="6">
        <v>3.421052632</v>
      </c>
      <c r="E5576" s="6">
        <v>19.0</v>
      </c>
    </row>
    <row r="5577">
      <c r="A5577" s="4" t="s">
        <v>11076</v>
      </c>
      <c r="B5577" s="5" t="s">
        <v>11077</v>
      </c>
      <c r="C5577" s="6">
        <v>1000.0</v>
      </c>
      <c r="D5577" s="6">
        <v>4.421052632</v>
      </c>
      <c r="E5577" s="6">
        <v>19.0</v>
      </c>
    </row>
    <row r="5578">
      <c r="A5578" s="4" t="s">
        <v>11078</v>
      </c>
      <c r="B5578" s="5" t="s">
        <v>11079</v>
      </c>
      <c r="C5578" s="6">
        <v>1000.0</v>
      </c>
      <c r="D5578" s="6">
        <v>4.5</v>
      </c>
      <c r="E5578" s="6">
        <v>2.0</v>
      </c>
    </row>
    <row r="5579">
      <c r="A5579" s="4" t="s">
        <v>11080</v>
      </c>
      <c r="B5579" s="5" t="s">
        <v>11081</v>
      </c>
      <c r="C5579" s="6">
        <v>1000.0</v>
      </c>
      <c r="D5579" s="6">
        <v>3.5</v>
      </c>
      <c r="E5579" s="6">
        <v>18.0</v>
      </c>
    </row>
    <row r="5580">
      <c r="A5580" s="4" t="s">
        <v>11082</v>
      </c>
      <c r="B5580" s="5" t="s">
        <v>11083</v>
      </c>
      <c r="C5580" s="6">
        <v>1000.0</v>
      </c>
      <c r="D5580" s="6">
        <v>3.333333333</v>
      </c>
      <c r="E5580" s="6">
        <v>3.0</v>
      </c>
    </row>
    <row r="5581">
      <c r="A5581" s="4" t="s">
        <v>11084</v>
      </c>
      <c r="B5581" s="5" t="s">
        <v>11085</v>
      </c>
      <c r="C5581" s="6">
        <v>1000.0</v>
      </c>
      <c r="D5581" s="6">
        <v>5.0</v>
      </c>
      <c r="E5581" s="6">
        <v>7.0</v>
      </c>
    </row>
    <row r="5582">
      <c r="A5582" s="4" t="s">
        <v>11086</v>
      </c>
      <c r="B5582" s="5" t="s">
        <v>11087</v>
      </c>
      <c r="C5582" s="6">
        <v>1000.0</v>
      </c>
      <c r="D5582" s="6">
        <v>3.0</v>
      </c>
      <c r="E5582" s="6">
        <v>10.0</v>
      </c>
    </row>
    <row r="5583">
      <c r="A5583" s="4" t="s">
        <v>11088</v>
      </c>
      <c r="B5583" s="5" t="s">
        <v>11089</v>
      </c>
      <c r="C5583" s="6">
        <v>1000.0</v>
      </c>
      <c r="D5583" s="6">
        <v>4.605263158</v>
      </c>
      <c r="E5583" s="6">
        <v>38.0</v>
      </c>
    </row>
    <row r="5584">
      <c r="A5584" s="4" t="s">
        <v>11090</v>
      </c>
      <c r="B5584" s="5" t="s">
        <v>11091</v>
      </c>
      <c r="C5584" s="6">
        <v>1000.0</v>
      </c>
      <c r="D5584" s="6">
        <v>4.6</v>
      </c>
      <c r="E5584" s="6">
        <v>5.0</v>
      </c>
    </row>
    <row r="5585">
      <c r="A5585" s="4" t="s">
        <v>11092</v>
      </c>
      <c r="B5585" s="5" t="s">
        <v>11093</v>
      </c>
      <c r="C5585" s="6">
        <v>1000.0</v>
      </c>
      <c r="D5585" s="9"/>
      <c r="E5585" s="9"/>
    </row>
    <row r="5586">
      <c r="A5586" s="4" t="s">
        <v>11094</v>
      </c>
      <c r="B5586" s="5" t="s">
        <v>11095</v>
      </c>
      <c r="C5586" s="6">
        <v>1000.0</v>
      </c>
      <c r="D5586" s="6">
        <v>4.428571429</v>
      </c>
      <c r="E5586" s="6">
        <v>7.0</v>
      </c>
    </row>
    <row r="5587">
      <c r="A5587" s="4" t="s">
        <v>11096</v>
      </c>
      <c r="B5587" s="5" t="s">
        <v>11097</v>
      </c>
      <c r="C5587" s="6">
        <v>1000.0</v>
      </c>
      <c r="D5587" s="6">
        <v>4.76344086</v>
      </c>
      <c r="E5587" s="6">
        <v>93.0</v>
      </c>
    </row>
    <row r="5588">
      <c r="A5588" s="4" t="s">
        <v>11098</v>
      </c>
      <c r="B5588" s="5" t="s">
        <v>11099</v>
      </c>
      <c r="C5588" s="6">
        <v>1000.0</v>
      </c>
      <c r="D5588" s="6">
        <v>1.0</v>
      </c>
      <c r="E5588" s="6">
        <v>1.0</v>
      </c>
    </row>
    <row r="5589">
      <c r="A5589" s="4" t="s">
        <v>11100</v>
      </c>
      <c r="B5589" s="5" t="s">
        <v>11101</v>
      </c>
      <c r="C5589" s="6">
        <v>1000.0</v>
      </c>
      <c r="D5589" s="6">
        <v>3.666666667</v>
      </c>
      <c r="E5589" s="6">
        <v>3.0</v>
      </c>
    </row>
    <row r="5590">
      <c r="A5590" s="4" t="s">
        <v>11102</v>
      </c>
      <c r="B5590" s="5" t="s">
        <v>11103</v>
      </c>
      <c r="C5590" s="6">
        <v>1000.0</v>
      </c>
      <c r="D5590" s="6">
        <v>4.225806452</v>
      </c>
      <c r="E5590" s="6">
        <v>31.0</v>
      </c>
    </row>
    <row r="5591">
      <c r="A5591" s="4" t="s">
        <v>11104</v>
      </c>
      <c r="B5591" s="5" t="s">
        <v>11105</v>
      </c>
      <c r="C5591" s="6">
        <v>1000.0</v>
      </c>
      <c r="D5591" s="6">
        <v>3.723076923</v>
      </c>
      <c r="E5591" s="6">
        <v>65.0</v>
      </c>
    </row>
    <row r="5592">
      <c r="A5592" s="4" t="s">
        <v>11106</v>
      </c>
      <c r="B5592" s="5" t="s">
        <v>11107</v>
      </c>
      <c r="C5592" s="6">
        <v>1000.0</v>
      </c>
      <c r="D5592" s="6">
        <v>4.111111111</v>
      </c>
      <c r="E5592" s="6">
        <v>9.0</v>
      </c>
    </row>
    <row r="5593">
      <c r="A5593" s="4" t="s">
        <v>11108</v>
      </c>
      <c r="B5593" s="5" t="s">
        <v>11109</v>
      </c>
      <c r="C5593" s="6">
        <v>1000.0</v>
      </c>
      <c r="D5593" s="6">
        <v>4.5</v>
      </c>
      <c r="E5593" s="6">
        <v>2.0</v>
      </c>
    </row>
    <row r="5594">
      <c r="A5594" s="4" t="s">
        <v>11110</v>
      </c>
      <c r="B5594" s="5" t="s">
        <v>11111</v>
      </c>
      <c r="C5594" s="6">
        <v>1000.0</v>
      </c>
      <c r="D5594" s="6">
        <v>3.55</v>
      </c>
      <c r="E5594" s="6">
        <v>20.0</v>
      </c>
    </row>
    <row r="5595">
      <c r="A5595" s="4" t="s">
        <v>11112</v>
      </c>
      <c r="B5595" s="5" t="s">
        <v>11113</v>
      </c>
      <c r="C5595" s="6">
        <v>1000.0</v>
      </c>
      <c r="D5595" s="9"/>
      <c r="E5595" s="9"/>
    </row>
    <row r="5596">
      <c r="A5596" s="4" t="s">
        <v>11114</v>
      </c>
      <c r="B5596" s="5" t="s">
        <v>11115</v>
      </c>
      <c r="C5596" s="6">
        <v>1000.0</v>
      </c>
      <c r="D5596" s="6">
        <v>5.0</v>
      </c>
      <c r="E5596" s="6">
        <v>1.0</v>
      </c>
    </row>
    <row r="5597">
      <c r="A5597" s="4" t="s">
        <v>11116</v>
      </c>
      <c r="B5597" s="5" t="s">
        <v>11117</v>
      </c>
      <c r="C5597" s="6">
        <v>1000.0</v>
      </c>
      <c r="D5597" s="6">
        <v>4.684210526</v>
      </c>
      <c r="E5597" s="6">
        <v>19.0</v>
      </c>
    </row>
    <row r="5598">
      <c r="A5598" s="4" t="s">
        <v>11118</v>
      </c>
      <c r="B5598" s="5" t="s">
        <v>11119</v>
      </c>
      <c r="C5598" s="6">
        <v>1000.0</v>
      </c>
      <c r="D5598" s="6">
        <v>3.833333333</v>
      </c>
      <c r="E5598" s="6">
        <v>12.0</v>
      </c>
    </row>
    <row r="5599">
      <c r="A5599" s="4" t="s">
        <v>11120</v>
      </c>
      <c r="B5599" s="5" t="s">
        <v>11121</v>
      </c>
      <c r="C5599" s="6">
        <v>1000.0</v>
      </c>
      <c r="D5599" s="6">
        <v>5.0</v>
      </c>
      <c r="E5599" s="6">
        <v>10.0</v>
      </c>
    </row>
    <row r="5600">
      <c r="A5600" s="4" t="s">
        <v>11122</v>
      </c>
      <c r="B5600" s="5" t="s">
        <v>11123</v>
      </c>
      <c r="C5600" s="6">
        <v>1000.0</v>
      </c>
      <c r="D5600" s="6">
        <v>4.571428571</v>
      </c>
      <c r="E5600" s="6">
        <v>7.0</v>
      </c>
    </row>
    <row r="5601">
      <c r="A5601" s="4" t="s">
        <v>11124</v>
      </c>
      <c r="B5601" s="5" t="s">
        <v>11125</v>
      </c>
      <c r="C5601" s="6">
        <v>1000.0</v>
      </c>
      <c r="D5601" s="6">
        <v>4.058823529</v>
      </c>
      <c r="E5601" s="6">
        <v>17.0</v>
      </c>
    </row>
    <row r="5602">
      <c r="A5602" s="4" t="s">
        <v>11126</v>
      </c>
      <c r="B5602" s="5" t="s">
        <v>11127</v>
      </c>
      <c r="C5602" s="6">
        <v>1000.0</v>
      </c>
      <c r="D5602" s="6">
        <v>4.75</v>
      </c>
      <c r="E5602" s="6">
        <v>24.0</v>
      </c>
    </row>
    <row r="5603">
      <c r="A5603" s="4" t="s">
        <v>11128</v>
      </c>
      <c r="B5603" s="5" t="s">
        <v>11129</v>
      </c>
      <c r="C5603" s="6">
        <v>1000.0</v>
      </c>
      <c r="D5603" s="6">
        <v>4.5</v>
      </c>
      <c r="E5603" s="6">
        <v>16.0</v>
      </c>
    </row>
    <row r="5604">
      <c r="A5604" s="4" t="s">
        <v>11130</v>
      </c>
      <c r="B5604" s="5" t="s">
        <v>11131</v>
      </c>
      <c r="C5604" s="6">
        <v>1000.0</v>
      </c>
      <c r="D5604" s="6">
        <v>4.217391304</v>
      </c>
      <c r="E5604" s="6">
        <v>23.0</v>
      </c>
    </row>
    <row r="5605">
      <c r="A5605" s="4" t="s">
        <v>11132</v>
      </c>
      <c r="B5605" s="5" t="s">
        <v>11133</v>
      </c>
      <c r="C5605" s="6">
        <v>1000.0</v>
      </c>
      <c r="D5605" s="6">
        <v>5.0</v>
      </c>
      <c r="E5605" s="6">
        <v>1.0</v>
      </c>
    </row>
    <row r="5606">
      <c r="A5606" s="4" t="s">
        <v>11134</v>
      </c>
      <c r="B5606" s="5" t="s">
        <v>11135</v>
      </c>
      <c r="C5606" s="6">
        <v>1000.0</v>
      </c>
      <c r="D5606" s="6">
        <v>4.5</v>
      </c>
      <c r="E5606" s="6">
        <v>4.0</v>
      </c>
    </row>
    <row r="5607">
      <c r="A5607" s="4" t="s">
        <v>11136</v>
      </c>
      <c r="B5607" s="5" t="s">
        <v>11137</v>
      </c>
      <c r="C5607" s="6">
        <v>1000.0</v>
      </c>
      <c r="D5607" s="6">
        <v>4.5</v>
      </c>
      <c r="E5607" s="6">
        <v>8.0</v>
      </c>
    </row>
    <row r="5608">
      <c r="A5608" s="4" t="s">
        <v>11138</v>
      </c>
      <c r="B5608" s="5" t="s">
        <v>11139</v>
      </c>
      <c r="C5608" s="6">
        <v>1000.0</v>
      </c>
      <c r="D5608" s="6">
        <v>4.411764706</v>
      </c>
      <c r="E5608" s="6">
        <v>17.0</v>
      </c>
    </row>
    <row r="5609">
      <c r="A5609" s="4" t="s">
        <v>11140</v>
      </c>
      <c r="B5609" s="5" t="s">
        <v>11141</v>
      </c>
      <c r="C5609" s="6">
        <v>1000.0</v>
      </c>
      <c r="D5609" s="6">
        <v>2.620689655</v>
      </c>
      <c r="E5609" s="6">
        <v>29.0</v>
      </c>
    </row>
    <row r="5610">
      <c r="A5610" s="5" t="s">
        <v>11142</v>
      </c>
      <c r="B5610" s="5" t="s">
        <v>11143</v>
      </c>
      <c r="C5610" s="6">
        <v>1000.0</v>
      </c>
      <c r="D5610" s="6">
        <v>4.0</v>
      </c>
      <c r="E5610" s="6">
        <v>4.0</v>
      </c>
    </row>
    <row r="5611">
      <c r="A5611" s="4" t="s">
        <v>11144</v>
      </c>
      <c r="B5611" s="5" t="s">
        <v>11145</v>
      </c>
      <c r="C5611" s="6">
        <v>1000.0</v>
      </c>
      <c r="D5611" s="6">
        <v>4.588235294</v>
      </c>
      <c r="E5611" s="6">
        <v>17.0</v>
      </c>
    </row>
    <row r="5612">
      <c r="A5612" s="4" t="s">
        <v>11146</v>
      </c>
      <c r="B5612" s="5" t="s">
        <v>11147</v>
      </c>
      <c r="C5612" s="6">
        <v>1000.0</v>
      </c>
      <c r="D5612" s="6">
        <v>3.666666667</v>
      </c>
      <c r="E5612" s="6">
        <v>6.0</v>
      </c>
    </row>
    <row r="5613">
      <c r="A5613" s="4" t="s">
        <v>11148</v>
      </c>
      <c r="B5613" s="5" t="s">
        <v>11149</v>
      </c>
      <c r="C5613" s="6">
        <v>1000.0</v>
      </c>
      <c r="D5613" s="6">
        <v>5.0</v>
      </c>
      <c r="E5613" s="6">
        <v>8.0</v>
      </c>
    </row>
    <row r="5614">
      <c r="A5614" s="4" t="s">
        <v>11150</v>
      </c>
      <c r="B5614" s="5" t="s">
        <v>11151</v>
      </c>
      <c r="C5614" s="6">
        <v>1000.0</v>
      </c>
      <c r="D5614" s="6">
        <v>4.2</v>
      </c>
      <c r="E5614" s="6">
        <v>5.0</v>
      </c>
    </row>
    <row r="5615">
      <c r="A5615" s="4" t="s">
        <v>11152</v>
      </c>
      <c r="B5615" s="5" t="s">
        <v>11153</v>
      </c>
      <c r="C5615" s="6">
        <v>1000.0</v>
      </c>
      <c r="D5615" s="6">
        <v>2.333333333</v>
      </c>
      <c r="E5615" s="6">
        <v>3.0</v>
      </c>
    </row>
    <row r="5616">
      <c r="A5616" s="4" t="s">
        <v>11154</v>
      </c>
      <c r="B5616" s="5" t="s">
        <v>11155</v>
      </c>
      <c r="C5616" s="6">
        <v>1000.0</v>
      </c>
      <c r="D5616" s="6">
        <v>4.681818182</v>
      </c>
      <c r="E5616" s="6">
        <v>44.0</v>
      </c>
    </row>
    <row r="5617">
      <c r="A5617" s="4" t="s">
        <v>11156</v>
      </c>
      <c r="B5617" s="5" t="s">
        <v>11157</v>
      </c>
      <c r="C5617" s="6">
        <v>1000.0</v>
      </c>
      <c r="D5617" s="6">
        <v>4.176470588</v>
      </c>
      <c r="E5617" s="6">
        <v>34.0</v>
      </c>
    </row>
    <row r="5618">
      <c r="A5618" s="4" t="s">
        <v>11158</v>
      </c>
      <c r="B5618" s="5" t="s">
        <v>11159</v>
      </c>
      <c r="C5618" s="6">
        <v>1000.0</v>
      </c>
      <c r="D5618" s="6">
        <v>4.652173913</v>
      </c>
      <c r="E5618" s="6">
        <v>23.0</v>
      </c>
    </row>
    <row r="5619">
      <c r="A5619" s="4" t="s">
        <v>11160</v>
      </c>
      <c r="B5619" s="5" t="s">
        <v>11161</v>
      </c>
      <c r="C5619" s="6">
        <v>1000.0</v>
      </c>
      <c r="D5619" s="6">
        <v>4.083333333</v>
      </c>
      <c r="E5619" s="6">
        <v>36.0</v>
      </c>
    </row>
    <row r="5620">
      <c r="A5620" s="4" t="s">
        <v>11162</v>
      </c>
      <c r="B5620" s="5" t="s">
        <v>11163</v>
      </c>
      <c r="C5620" s="6">
        <v>1000.0</v>
      </c>
      <c r="D5620" s="6">
        <v>5.0</v>
      </c>
      <c r="E5620" s="6">
        <v>1.0</v>
      </c>
    </row>
    <row r="5621">
      <c r="A5621" s="4" t="s">
        <v>11164</v>
      </c>
      <c r="B5621" s="5" t="s">
        <v>11165</v>
      </c>
      <c r="C5621" s="6">
        <v>1000.0</v>
      </c>
      <c r="D5621" s="6">
        <v>4.458333333</v>
      </c>
      <c r="E5621" s="6">
        <v>48.0</v>
      </c>
    </row>
    <row r="5622">
      <c r="A5622" s="4" t="s">
        <v>11166</v>
      </c>
      <c r="B5622" s="5" t="s">
        <v>11167</v>
      </c>
      <c r="C5622" s="6">
        <v>1000.0</v>
      </c>
      <c r="D5622" s="6">
        <v>4.058823529</v>
      </c>
      <c r="E5622" s="6">
        <v>17.0</v>
      </c>
    </row>
    <row r="5623">
      <c r="A5623" s="5" t="s">
        <v>11168</v>
      </c>
      <c r="B5623" s="5" t="s">
        <v>11169</v>
      </c>
      <c r="C5623" s="6">
        <v>1000.0</v>
      </c>
      <c r="D5623" s="9"/>
      <c r="E5623" s="9"/>
    </row>
    <row r="5624">
      <c r="A5624" s="4" t="s">
        <v>11170</v>
      </c>
      <c r="B5624" s="5" t="s">
        <v>11171</v>
      </c>
      <c r="C5624" s="6">
        <v>1000.0</v>
      </c>
      <c r="D5624" s="6">
        <v>3.0</v>
      </c>
      <c r="E5624" s="6">
        <v>4.0</v>
      </c>
    </row>
    <row r="5625">
      <c r="A5625" s="4" t="s">
        <v>11172</v>
      </c>
      <c r="B5625" s="5" t="s">
        <v>11173</v>
      </c>
      <c r="C5625" s="6">
        <v>1000.0</v>
      </c>
      <c r="D5625" s="6">
        <v>2.636363636</v>
      </c>
      <c r="E5625" s="6">
        <v>33.0</v>
      </c>
    </row>
    <row r="5626">
      <c r="A5626" s="4" t="s">
        <v>11174</v>
      </c>
      <c r="B5626" s="5" t="s">
        <v>11175</v>
      </c>
      <c r="C5626" s="6">
        <v>1000.0</v>
      </c>
      <c r="D5626" s="6">
        <v>4.529411765</v>
      </c>
      <c r="E5626" s="6">
        <v>17.0</v>
      </c>
    </row>
    <row r="5627">
      <c r="A5627" s="4" t="s">
        <v>11176</v>
      </c>
      <c r="B5627" s="5" t="s">
        <v>11177</v>
      </c>
      <c r="C5627" s="6">
        <v>1000.0</v>
      </c>
      <c r="D5627" s="6">
        <v>3.137931034</v>
      </c>
      <c r="E5627" s="6">
        <v>29.0</v>
      </c>
    </row>
    <row r="5628">
      <c r="A5628" s="4" t="s">
        <v>11178</v>
      </c>
      <c r="B5628" s="5" t="s">
        <v>11179</v>
      </c>
      <c r="C5628" s="6">
        <v>1000.0</v>
      </c>
      <c r="D5628" s="6">
        <v>3.230769231</v>
      </c>
      <c r="E5628" s="6">
        <v>26.0</v>
      </c>
    </row>
    <row r="5629">
      <c r="A5629" s="4" t="s">
        <v>11180</v>
      </c>
      <c r="B5629" s="5" t="s">
        <v>11181</v>
      </c>
      <c r="C5629" s="6">
        <v>1000.0</v>
      </c>
      <c r="D5629" s="6">
        <v>4.428571429</v>
      </c>
      <c r="E5629" s="6">
        <v>14.0</v>
      </c>
    </row>
    <row r="5630">
      <c r="A5630" s="4" t="s">
        <v>11182</v>
      </c>
      <c r="B5630" s="5" t="s">
        <v>11183</v>
      </c>
      <c r="C5630" s="6">
        <v>1000.0</v>
      </c>
      <c r="D5630" s="6">
        <v>4.555555556</v>
      </c>
      <c r="E5630" s="6">
        <v>36.0</v>
      </c>
    </row>
    <row r="5631">
      <c r="A5631" s="4" t="s">
        <v>11184</v>
      </c>
      <c r="B5631" s="5" t="s">
        <v>11185</v>
      </c>
      <c r="C5631" s="6">
        <v>1000.0</v>
      </c>
      <c r="D5631" s="6">
        <v>4.444444444</v>
      </c>
      <c r="E5631" s="6">
        <v>9.0</v>
      </c>
    </row>
    <row r="5632">
      <c r="A5632" s="4" t="s">
        <v>11186</v>
      </c>
      <c r="B5632" s="5" t="s">
        <v>11187</v>
      </c>
      <c r="C5632" s="6">
        <v>1000.0</v>
      </c>
      <c r="D5632" s="6">
        <v>3.290909091</v>
      </c>
      <c r="E5632" s="6">
        <v>55.0</v>
      </c>
    </row>
    <row r="5633">
      <c r="A5633" s="4" t="s">
        <v>11188</v>
      </c>
      <c r="B5633" s="5" t="s">
        <v>11189</v>
      </c>
      <c r="C5633" s="6">
        <v>1000.0</v>
      </c>
      <c r="D5633" s="6">
        <v>4.4</v>
      </c>
      <c r="E5633" s="6">
        <v>20.0</v>
      </c>
    </row>
    <row r="5634">
      <c r="A5634" s="4" t="s">
        <v>11190</v>
      </c>
      <c r="B5634" s="5" t="s">
        <v>11191</v>
      </c>
      <c r="C5634" s="6">
        <v>1000.0</v>
      </c>
      <c r="D5634" s="6">
        <v>4.547169811</v>
      </c>
      <c r="E5634" s="6">
        <v>53.0</v>
      </c>
    </row>
    <row r="5635">
      <c r="A5635" s="4" t="s">
        <v>11192</v>
      </c>
      <c r="B5635" s="5" t="s">
        <v>11193</v>
      </c>
      <c r="C5635" s="6">
        <v>1000.0</v>
      </c>
      <c r="D5635" s="9"/>
      <c r="E5635" s="9"/>
    </row>
    <row r="5636">
      <c r="A5636" s="4" t="s">
        <v>11194</v>
      </c>
      <c r="B5636" s="5" t="s">
        <v>11195</v>
      </c>
      <c r="C5636" s="6">
        <v>1000.0</v>
      </c>
      <c r="D5636" s="6">
        <v>5.0</v>
      </c>
      <c r="E5636" s="6">
        <v>7.0</v>
      </c>
    </row>
    <row r="5637">
      <c r="A5637" s="4" t="s">
        <v>11196</v>
      </c>
      <c r="B5637" s="5" t="s">
        <v>11197</v>
      </c>
      <c r="C5637" s="6">
        <v>1000.0</v>
      </c>
      <c r="D5637" s="6">
        <v>4.846153846</v>
      </c>
      <c r="E5637" s="6">
        <v>26.0</v>
      </c>
    </row>
    <row r="5638">
      <c r="A5638" s="4" t="s">
        <v>11198</v>
      </c>
      <c r="B5638" s="5" t="s">
        <v>11199</v>
      </c>
      <c r="C5638" s="6">
        <v>1000.0</v>
      </c>
      <c r="D5638" s="6">
        <v>4.5</v>
      </c>
      <c r="E5638" s="6">
        <v>2.0</v>
      </c>
    </row>
    <row r="5639">
      <c r="A5639" s="4" t="s">
        <v>11200</v>
      </c>
      <c r="B5639" s="5" t="s">
        <v>11201</v>
      </c>
      <c r="C5639" s="6">
        <v>1000.0</v>
      </c>
      <c r="D5639" s="6">
        <v>2.9</v>
      </c>
      <c r="E5639" s="6">
        <v>10.0</v>
      </c>
    </row>
    <row r="5640">
      <c r="A5640" s="4" t="s">
        <v>11202</v>
      </c>
      <c r="B5640" s="5" t="s">
        <v>11203</v>
      </c>
      <c r="C5640" s="6">
        <v>1000.0</v>
      </c>
      <c r="D5640" s="6">
        <v>5.0</v>
      </c>
      <c r="E5640" s="6">
        <v>1.0</v>
      </c>
    </row>
    <row r="5641">
      <c r="A5641" s="4" t="s">
        <v>11204</v>
      </c>
      <c r="B5641" s="5" t="s">
        <v>11205</v>
      </c>
      <c r="C5641" s="6">
        <v>1000.0</v>
      </c>
      <c r="D5641" s="6">
        <v>4.769230769</v>
      </c>
      <c r="E5641" s="6">
        <v>117.0</v>
      </c>
    </row>
    <row r="5642">
      <c r="A5642" s="4" t="s">
        <v>11206</v>
      </c>
      <c r="B5642" s="5" t="s">
        <v>11207</v>
      </c>
      <c r="C5642" s="6">
        <v>1000.0</v>
      </c>
      <c r="D5642" s="6">
        <v>4.0</v>
      </c>
      <c r="E5642" s="6">
        <v>6.0</v>
      </c>
    </row>
    <row r="5643">
      <c r="A5643" s="4" t="s">
        <v>11208</v>
      </c>
      <c r="B5643" s="5" t="s">
        <v>11209</v>
      </c>
      <c r="C5643" s="6">
        <v>1000.0</v>
      </c>
      <c r="D5643" s="6">
        <v>1.0</v>
      </c>
      <c r="E5643" s="6">
        <v>2.0</v>
      </c>
    </row>
    <row r="5644">
      <c r="A5644" s="4" t="s">
        <v>11210</v>
      </c>
      <c r="B5644" s="5" t="s">
        <v>11211</v>
      </c>
      <c r="C5644" s="6">
        <v>1000.0</v>
      </c>
      <c r="D5644" s="9"/>
      <c r="E5644" s="9"/>
    </row>
    <row r="5645">
      <c r="A5645" s="4" t="s">
        <v>11212</v>
      </c>
      <c r="B5645" s="5" t="s">
        <v>11213</v>
      </c>
      <c r="C5645" s="6">
        <v>1000.0</v>
      </c>
      <c r="D5645" s="6">
        <v>3.714285714</v>
      </c>
      <c r="E5645" s="6">
        <v>21.0</v>
      </c>
    </row>
    <row r="5646">
      <c r="A5646" s="4" t="s">
        <v>11214</v>
      </c>
      <c r="B5646" s="5" t="s">
        <v>11215</v>
      </c>
      <c r="C5646" s="6">
        <v>1000.0</v>
      </c>
      <c r="D5646" s="6">
        <v>4.75</v>
      </c>
      <c r="E5646" s="6">
        <v>16.0</v>
      </c>
    </row>
    <row r="5647">
      <c r="A5647" s="4" t="s">
        <v>11216</v>
      </c>
      <c r="B5647" s="5" t="s">
        <v>11217</v>
      </c>
      <c r="C5647" s="6">
        <v>1000.0</v>
      </c>
      <c r="D5647" s="6">
        <v>3.0</v>
      </c>
      <c r="E5647" s="6">
        <v>2.0</v>
      </c>
    </row>
    <row r="5648">
      <c r="A5648" s="4" t="s">
        <v>11218</v>
      </c>
      <c r="B5648" s="5" t="s">
        <v>11219</v>
      </c>
      <c r="C5648" s="6">
        <v>1000.0</v>
      </c>
      <c r="D5648" s="6">
        <v>4.052631579</v>
      </c>
      <c r="E5648" s="6">
        <v>19.0</v>
      </c>
    </row>
    <row r="5649">
      <c r="A5649" s="4" t="s">
        <v>11220</v>
      </c>
      <c r="B5649" s="5" t="s">
        <v>11221</v>
      </c>
      <c r="C5649" s="6">
        <v>1000.0</v>
      </c>
      <c r="D5649" s="6">
        <v>3.0</v>
      </c>
      <c r="E5649" s="6">
        <v>3.0</v>
      </c>
    </row>
    <row r="5650">
      <c r="A5650" s="4" t="s">
        <v>11222</v>
      </c>
      <c r="B5650" s="5" t="s">
        <v>11223</v>
      </c>
      <c r="C5650" s="6">
        <v>1000.0</v>
      </c>
      <c r="D5650" s="9"/>
      <c r="E5650" s="9"/>
    </row>
    <row r="5651">
      <c r="A5651" s="4" t="s">
        <v>697</v>
      </c>
      <c r="B5651" s="5" t="s">
        <v>11224</v>
      </c>
      <c r="C5651" s="6">
        <v>1000.0</v>
      </c>
      <c r="D5651" s="6">
        <v>3.5</v>
      </c>
      <c r="E5651" s="6">
        <v>2.0</v>
      </c>
    </row>
    <row r="5652">
      <c r="A5652" s="4" t="s">
        <v>11225</v>
      </c>
      <c r="B5652" s="5" t="s">
        <v>11226</v>
      </c>
      <c r="C5652" s="6">
        <v>1000.0</v>
      </c>
      <c r="D5652" s="6">
        <v>4.103448276</v>
      </c>
      <c r="E5652" s="6">
        <v>29.0</v>
      </c>
    </row>
    <row r="5653">
      <c r="A5653" s="4" t="s">
        <v>11227</v>
      </c>
      <c r="B5653" s="5" t="s">
        <v>11228</v>
      </c>
      <c r="C5653" s="6">
        <v>1000.0</v>
      </c>
      <c r="D5653" s="6">
        <v>4.0</v>
      </c>
      <c r="E5653" s="6">
        <v>5.0</v>
      </c>
    </row>
    <row r="5654">
      <c r="A5654" s="4" t="s">
        <v>11229</v>
      </c>
      <c r="B5654" s="5" t="s">
        <v>11230</v>
      </c>
      <c r="C5654" s="6">
        <v>1000.0</v>
      </c>
      <c r="D5654" s="6">
        <v>5.0</v>
      </c>
      <c r="E5654" s="6">
        <v>13.0</v>
      </c>
    </row>
    <row r="5655">
      <c r="A5655" s="4" t="s">
        <v>11231</v>
      </c>
      <c r="B5655" s="5" t="s">
        <v>11232</v>
      </c>
      <c r="C5655" s="6">
        <v>1000.0</v>
      </c>
      <c r="D5655" s="6">
        <v>3.615384615</v>
      </c>
      <c r="E5655" s="6">
        <v>13.0</v>
      </c>
    </row>
    <row r="5656">
      <c r="A5656" s="4" t="s">
        <v>11233</v>
      </c>
      <c r="B5656" s="5" t="s">
        <v>11234</v>
      </c>
      <c r="C5656" s="6">
        <v>1000.0</v>
      </c>
      <c r="D5656" s="6">
        <v>2.651162791</v>
      </c>
      <c r="E5656" s="6">
        <v>43.0</v>
      </c>
    </row>
    <row r="5657">
      <c r="A5657" s="4" t="s">
        <v>11235</v>
      </c>
      <c r="B5657" s="5" t="s">
        <v>11236</v>
      </c>
      <c r="C5657" s="6">
        <v>1000.0</v>
      </c>
      <c r="D5657" s="6">
        <v>4.299492386</v>
      </c>
      <c r="E5657" s="6">
        <v>197.0</v>
      </c>
    </row>
    <row r="5658">
      <c r="A5658" s="4" t="s">
        <v>11237</v>
      </c>
      <c r="B5658" s="5" t="s">
        <v>11238</v>
      </c>
      <c r="C5658" s="6">
        <v>1000.0</v>
      </c>
      <c r="D5658" s="6">
        <v>2.111111111</v>
      </c>
      <c r="E5658" s="6">
        <v>18.0</v>
      </c>
    </row>
    <row r="5659">
      <c r="A5659" s="4" t="s">
        <v>11239</v>
      </c>
      <c r="B5659" s="5" t="s">
        <v>11240</v>
      </c>
      <c r="C5659" s="6">
        <v>1000.0</v>
      </c>
      <c r="D5659" s="6">
        <v>5.0</v>
      </c>
      <c r="E5659" s="6">
        <v>1.0</v>
      </c>
    </row>
    <row r="5660">
      <c r="A5660" s="4" t="s">
        <v>11241</v>
      </c>
      <c r="B5660" s="5" t="s">
        <v>11242</v>
      </c>
      <c r="C5660" s="6">
        <v>1000.0</v>
      </c>
      <c r="D5660" s="6">
        <v>5.0</v>
      </c>
      <c r="E5660" s="6">
        <v>8.0</v>
      </c>
    </row>
    <row r="5661">
      <c r="A5661" s="4" t="s">
        <v>11243</v>
      </c>
      <c r="B5661" s="5" t="s">
        <v>11244</v>
      </c>
      <c r="C5661" s="6">
        <v>1000.0</v>
      </c>
      <c r="D5661" s="6">
        <v>5.0</v>
      </c>
      <c r="E5661" s="6">
        <v>7.0</v>
      </c>
    </row>
    <row r="5662">
      <c r="A5662" s="4" t="s">
        <v>11245</v>
      </c>
      <c r="B5662" s="5" t="s">
        <v>11246</v>
      </c>
      <c r="C5662" s="6">
        <v>1000.0</v>
      </c>
      <c r="D5662" s="6">
        <v>3.641025641</v>
      </c>
      <c r="E5662" s="6">
        <v>39.0</v>
      </c>
    </row>
    <row r="5663">
      <c r="A5663" s="4" t="s">
        <v>11247</v>
      </c>
      <c r="B5663" s="5" t="s">
        <v>11248</v>
      </c>
      <c r="C5663" s="6">
        <v>1000.0</v>
      </c>
      <c r="D5663" s="6">
        <v>2.611111111</v>
      </c>
      <c r="E5663" s="6">
        <v>18.0</v>
      </c>
    </row>
    <row r="5664">
      <c r="A5664" s="4" t="s">
        <v>11249</v>
      </c>
      <c r="B5664" s="5" t="s">
        <v>11250</v>
      </c>
      <c r="C5664" s="6">
        <v>1000.0</v>
      </c>
      <c r="D5664" s="6">
        <v>3.0</v>
      </c>
      <c r="E5664" s="6">
        <v>4.0</v>
      </c>
    </row>
    <row r="5665">
      <c r="A5665" s="4" t="s">
        <v>11251</v>
      </c>
      <c r="B5665" s="5" t="s">
        <v>11252</v>
      </c>
      <c r="C5665" s="6">
        <v>1000.0</v>
      </c>
      <c r="D5665" s="6">
        <v>4.416666667</v>
      </c>
      <c r="E5665" s="6">
        <v>24.0</v>
      </c>
    </row>
    <row r="5666">
      <c r="A5666" s="4" t="s">
        <v>11253</v>
      </c>
      <c r="B5666" s="5" t="s">
        <v>11254</v>
      </c>
      <c r="C5666" s="6">
        <v>1000.0</v>
      </c>
      <c r="D5666" s="6">
        <v>3.36</v>
      </c>
      <c r="E5666" s="6">
        <v>25.0</v>
      </c>
    </row>
    <row r="5667">
      <c r="A5667" s="4" t="s">
        <v>11255</v>
      </c>
      <c r="B5667" s="5" t="s">
        <v>11256</v>
      </c>
      <c r="C5667" s="6">
        <v>1000.0</v>
      </c>
      <c r="D5667" s="6">
        <v>3.564516129</v>
      </c>
      <c r="E5667" s="6">
        <v>62.0</v>
      </c>
    </row>
    <row r="5668">
      <c r="A5668" s="4" t="s">
        <v>11257</v>
      </c>
      <c r="B5668" s="5" t="s">
        <v>11258</v>
      </c>
      <c r="C5668" s="6">
        <v>1000.0</v>
      </c>
      <c r="D5668" s="6">
        <v>5.0</v>
      </c>
      <c r="E5668" s="6">
        <v>4.0</v>
      </c>
    </row>
    <row r="5669">
      <c r="A5669" s="4" t="s">
        <v>11259</v>
      </c>
      <c r="B5669" s="5" t="s">
        <v>11260</v>
      </c>
      <c r="C5669" s="6">
        <v>1000.0</v>
      </c>
      <c r="D5669" s="6">
        <v>4.0</v>
      </c>
      <c r="E5669" s="6">
        <v>11.0</v>
      </c>
    </row>
    <row r="5670">
      <c r="A5670" s="4" t="s">
        <v>11261</v>
      </c>
      <c r="B5670" s="5" t="s">
        <v>11262</v>
      </c>
      <c r="C5670" s="6">
        <v>1000.0</v>
      </c>
      <c r="D5670" s="6">
        <v>5.0</v>
      </c>
      <c r="E5670" s="6">
        <v>13.0</v>
      </c>
    </row>
    <row r="5671">
      <c r="A5671" s="4" t="s">
        <v>11263</v>
      </c>
      <c r="B5671" s="5" t="s">
        <v>11264</v>
      </c>
      <c r="C5671" s="6">
        <v>1000.0</v>
      </c>
      <c r="D5671" s="6">
        <v>4.0</v>
      </c>
      <c r="E5671" s="6">
        <v>8.0</v>
      </c>
    </row>
    <row r="5672">
      <c r="A5672" s="4" t="s">
        <v>11265</v>
      </c>
      <c r="B5672" s="5" t="s">
        <v>11266</v>
      </c>
      <c r="C5672" s="6">
        <v>1000.0</v>
      </c>
      <c r="D5672" s="6">
        <v>3.075</v>
      </c>
      <c r="E5672" s="6">
        <v>40.0</v>
      </c>
    </row>
    <row r="5673">
      <c r="A5673" s="4" t="s">
        <v>11267</v>
      </c>
      <c r="B5673" s="5" t="s">
        <v>11268</v>
      </c>
      <c r="C5673" s="6">
        <v>1000.0</v>
      </c>
      <c r="D5673" s="6">
        <v>5.0</v>
      </c>
      <c r="E5673" s="6">
        <v>3.0</v>
      </c>
    </row>
    <row r="5674">
      <c r="A5674" s="4" t="s">
        <v>11269</v>
      </c>
      <c r="B5674" s="5" t="s">
        <v>11270</v>
      </c>
      <c r="C5674" s="6">
        <v>1000.0</v>
      </c>
      <c r="D5674" s="6">
        <v>4.575</v>
      </c>
      <c r="E5674" s="6">
        <v>40.0</v>
      </c>
    </row>
    <row r="5675">
      <c r="A5675" s="4" t="s">
        <v>11271</v>
      </c>
      <c r="B5675" s="5" t="s">
        <v>11272</v>
      </c>
      <c r="C5675" s="6">
        <v>1000.0</v>
      </c>
      <c r="D5675" s="6">
        <v>5.0</v>
      </c>
      <c r="E5675" s="6">
        <v>4.0</v>
      </c>
    </row>
    <row r="5676">
      <c r="A5676" s="4" t="s">
        <v>11273</v>
      </c>
      <c r="B5676" s="5" t="s">
        <v>11274</v>
      </c>
      <c r="C5676" s="6">
        <v>1000.0</v>
      </c>
      <c r="D5676" s="6">
        <v>3.0</v>
      </c>
      <c r="E5676" s="6">
        <v>3.0</v>
      </c>
    </row>
    <row r="5677">
      <c r="A5677" s="4" t="s">
        <v>11275</v>
      </c>
      <c r="B5677" s="5" t="s">
        <v>11276</v>
      </c>
      <c r="C5677" s="6">
        <v>1000.0</v>
      </c>
      <c r="D5677" s="6">
        <v>3.857142857</v>
      </c>
      <c r="E5677" s="6">
        <v>7.0</v>
      </c>
    </row>
    <row r="5678">
      <c r="A5678" s="4" t="s">
        <v>11277</v>
      </c>
      <c r="B5678" s="5" t="s">
        <v>11278</v>
      </c>
      <c r="C5678" s="6">
        <v>1000.0</v>
      </c>
      <c r="D5678" s="6">
        <v>3.854166667</v>
      </c>
      <c r="E5678" s="6">
        <v>48.0</v>
      </c>
    </row>
    <row r="5679">
      <c r="A5679" s="4" t="s">
        <v>11279</v>
      </c>
      <c r="B5679" s="5" t="s">
        <v>11280</v>
      </c>
      <c r="C5679" s="6">
        <v>1000.0</v>
      </c>
      <c r="D5679" s="6">
        <v>3.0</v>
      </c>
      <c r="E5679" s="6">
        <v>3.0</v>
      </c>
    </row>
    <row r="5680">
      <c r="A5680" s="4" t="s">
        <v>11281</v>
      </c>
      <c r="B5680" s="5" t="s">
        <v>11282</v>
      </c>
      <c r="C5680" s="6">
        <v>1000.0</v>
      </c>
      <c r="D5680" s="6">
        <v>4.676470588</v>
      </c>
      <c r="E5680" s="6">
        <v>34.0</v>
      </c>
    </row>
    <row r="5681">
      <c r="A5681" s="4" t="s">
        <v>5784</v>
      </c>
      <c r="B5681" s="5" t="s">
        <v>11283</v>
      </c>
      <c r="C5681" s="6">
        <v>1000.0</v>
      </c>
      <c r="D5681" s="6">
        <v>4.0</v>
      </c>
      <c r="E5681" s="6">
        <v>3.0</v>
      </c>
    </row>
    <row r="5682">
      <c r="A5682" s="4" t="s">
        <v>11284</v>
      </c>
      <c r="B5682" s="5" t="s">
        <v>11285</v>
      </c>
      <c r="C5682" s="6">
        <v>1000.0</v>
      </c>
      <c r="D5682" s="6">
        <v>4.444444444</v>
      </c>
      <c r="E5682" s="6">
        <v>18.0</v>
      </c>
    </row>
    <row r="5683">
      <c r="A5683" s="4" t="s">
        <v>11286</v>
      </c>
      <c r="B5683" s="5" t="s">
        <v>11287</v>
      </c>
      <c r="C5683" s="6">
        <v>1000.0</v>
      </c>
      <c r="D5683" s="6">
        <v>4.454545455</v>
      </c>
      <c r="E5683" s="6">
        <v>33.0</v>
      </c>
    </row>
    <row r="5684">
      <c r="A5684" s="4" t="s">
        <v>11288</v>
      </c>
      <c r="B5684" s="5" t="s">
        <v>11289</v>
      </c>
      <c r="C5684" s="6">
        <v>1000.0</v>
      </c>
      <c r="D5684" s="6">
        <v>3.964285714</v>
      </c>
      <c r="E5684" s="6">
        <v>28.0</v>
      </c>
    </row>
    <row r="5685">
      <c r="A5685" s="4" t="s">
        <v>11290</v>
      </c>
      <c r="B5685" s="5" t="s">
        <v>11291</v>
      </c>
      <c r="C5685" s="6">
        <v>1000.0</v>
      </c>
      <c r="D5685" s="6">
        <v>3.857142857</v>
      </c>
      <c r="E5685" s="6">
        <v>7.0</v>
      </c>
    </row>
    <row r="5686">
      <c r="A5686" s="4" t="s">
        <v>11292</v>
      </c>
      <c r="B5686" s="5" t="s">
        <v>11293</v>
      </c>
      <c r="C5686" s="6">
        <v>1000.0</v>
      </c>
      <c r="D5686" s="6">
        <v>4.5</v>
      </c>
      <c r="E5686" s="6">
        <v>46.0</v>
      </c>
    </row>
    <row r="5687">
      <c r="A5687" s="4" t="s">
        <v>11294</v>
      </c>
      <c r="B5687" s="5" t="s">
        <v>11295</v>
      </c>
      <c r="C5687" s="6">
        <v>1000.0</v>
      </c>
      <c r="D5687" s="6">
        <v>3.875</v>
      </c>
      <c r="E5687" s="6">
        <v>8.0</v>
      </c>
    </row>
    <row r="5688">
      <c r="A5688" s="4" t="s">
        <v>11296</v>
      </c>
      <c r="B5688" s="5" t="s">
        <v>11297</v>
      </c>
      <c r="C5688" s="6">
        <v>1000.0</v>
      </c>
      <c r="D5688" s="6">
        <v>4.6</v>
      </c>
      <c r="E5688" s="6">
        <v>5.0</v>
      </c>
    </row>
    <row r="5689">
      <c r="A5689" s="4" t="s">
        <v>11298</v>
      </c>
      <c r="B5689" s="5" t="s">
        <v>11299</v>
      </c>
      <c r="C5689" s="6">
        <v>1000.0</v>
      </c>
      <c r="D5689" s="6">
        <v>3.0</v>
      </c>
      <c r="E5689" s="6">
        <v>1.0</v>
      </c>
    </row>
    <row r="5690">
      <c r="A5690" s="4" t="s">
        <v>11300</v>
      </c>
      <c r="B5690" s="5" t="s">
        <v>11301</v>
      </c>
      <c r="C5690" s="6">
        <v>1000.0</v>
      </c>
      <c r="D5690" s="6">
        <v>3.4</v>
      </c>
      <c r="E5690" s="6">
        <v>5.0</v>
      </c>
    </row>
    <row r="5691">
      <c r="A5691" s="4" t="s">
        <v>11302</v>
      </c>
      <c r="B5691" s="5" t="s">
        <v>11303</v>
      </c>
      <c r="C5691" s="6">
        <v>1000.0</v>
      </c>
      <c r="D5691" s="6">
        <v>3.2</v>
      </c>
      <c r="E5691" s="6">
        <v>5.0</v>
      </c>
    </row>
    <row r="5692">
      <c r="A5692" s="4" t="s">
        <v>11304</v>
      </c>
      <c r="B5692" s="5" t="s">
        <v>11305</v>
      </c>
      <c r="C5692" s="6">
        <v>1000.0</v>
      </c>
      <c r="D5692" s="6">
        <v>5.0</v>
      </c>
      <c r="E5692" s="6">
        <v>2.0</v>
      </c>
    </row>
    <row r="5693">
      <c r="A5693" s="4" t="s">
        <v>11306</v>
      </c>
      <c r="B5693" s="5" t="s">
        <v>11307</v>
      </c>
      <c r="C5693" s="6">
        <v>1000.0</v>
      </c>
      <c r="D5693" s="6">
        <v>4.035087719</v>
      </c>
      <c r="E5693" s="6">
        <v>57.0</v>
      </c>
    </row>
    <row r="5694">
      <c r="A5694" s="4" t="s">
        <v>11308</v>
      </c>
      <c r="B5694" s="5" t="s">
        <v>11309</v>
      </c>
      <c r="C5694" s="6">
        <v>1000.0</v>
      </c>
      <c r="D5694" s="6">
        <v>5.0</v>
      </c>
      <c r="E5694" s="6">
        <v>7.0</v>
      </c>
    </row>
    <row r="5695">
      <c r="A5695" s="4" t="s">
        <v>11310</v>
      </c>
      <c r="B5695" s="5" t="s">
        <v>11311</v>
      </c>
      <c r="C5695" s="6">
        <v>1000.0</v>
      </c>
      <c r="D5695" s="6">
        <v>4.875</v>
      </c>
      <c r="E5695" s="6">
        <v>8.0</v>
      </c>
    </row>
    <row r="5696">
      <c r="A5696" s="4" t="s">
        <v>11312</v>
      </c>
      <c r="B5696" s="5" t="s">
        <v>11313</v>
      </c>
      <c r="C5696" s="6">
        <v>1000.0</v>
      </c>
      <c r="D5696" s="6">
        <v>4.3</v>
      </c>
      <c r="E5696" s="6">
        <v>30.0</v>
      </c>
    </row>
    <row r="5697">
      <c r="A5697" s="4" t="s">
        <v>11314</v>
      </c>
      <c r="B5697" s="5" t="s">
        <v>11315</v>
      </c>
      <c r="C5697" s="6">
        <v>1000.0</v>
      </c>
      <c r="D5697" s="6">
        <v>1.538461538</v>
      </c>
      <c r="E5697" s="6">
        <v>13.0</v>
      </c>
    </row>
    <row r="5698">
      <c r="A5698" s="4" t="s">
        <v>11316</v>
      </c>
      <c r="B5698" s="5" t="s">
        <v>11317</v>
      </c>
      <c r="C5698" s="6">
        <v>1000.0</v>
      </c>
      <c r="D5698" s="6">
        <v>1.0</v>
      </c>
      <c r="E5698" s="6">
        <v>1.0</v>
      </c>
    </row>
    <row r="5699">
      <c r="A5699" s="4" t="s">
        <v>11318</v>
      </c>
      <c r="B5699" s="5" t="s">
        <v>11319</v>
      </c>
      <c r="C5699" s="6">
        <v>1000.0</v>
      </c>
      <c r="D5699" s="6">
        <v>4.214285714</v>
      </c>
      <c r="E5699" s="6">
        <v>14.0</v>
      </c>
    </row>
    <row r="5700">
      <c r="A5700" s="4" t="s">
        <v>11320</v>
      </c>
      <c r="B5700" s="5" t="s">
        <v>11321</v>
      </c>
      <c r="C5700" s="6">
        <v>1000.0</v>
      </c>
      <c r="D5700" s="6">
        <v>4.636363636</v>
      </c>
      <c r="E5700" s="6">
        <v>11.0</v>
      </c>
    </row>
    <row r="5701">
      <c r="A5701" s="4" t="s">
        <v>11322</v>
      </c>
      <c r="B5701" s="5" t="s">
        <v>11323</v>
      </c>
      <c r="C5701" s="6">
        <v>1000.0</v>
      </c>
      <c r="D5701" s="6">
        <v>4.193548387</v>
      </c>
      <c r="E5701" s="6">
        <v>31.0</v>
      </c>
    </row>
    <row r="5702">
      <c r="A5702" s="4" t="s">
        <v>11324</v>
      </c>
      <c r="B5702" s="5" t="s">
        <v>11325</v>
      </c>
      <c r="C5702" s="6">
        <v>1000.0</v>
      </c>
      <c r="D5702" s="6">
        <v>4.210526316</v>
      </c>
      <c r="E5702" s="6">
        <v>19.0</v>
      </c>
    </row>
    <row r="5703">
      <c r="A5703" s="4" t="s">
        <v>11326</v>
      </c>
      <c r="B5703" s="5" t="s">
        <v>11327</v>
      </c>
      <c r="C5703" s="6">
        <v>1000.0</v>
      </c>
      <c r="D5703" s="6">
        <v>2.260869565</v>
      </c>
      <c r="E5703" s="6">
        <v>23.0</v>
      </c>
    </row>
    <row r="5704">
      <c r="A5704" s="4" t="s">
        <v>11328</v>
      </c>
      <c r="B5704" s="5" t="s">
        <v>11329</v>
      </c>
      <c r="C5704" s="6">
        <v>1000.0</v>
      </c>
      <c r="D5704" s="6">
        <v>4.2</v>
      </c>
      <c r="E5704" s="6">
        <v>5.0</v>
      </c>
    </row>
    <row r="5705">
      <c r="A5705" s="4" t="s">
        <v>11330</v>
      </c>
      <c r="B5705" s="5" t="s">
        <v>11331</v>
      </c>
      <c r="C5705" s="6">
        <v>1000.0</v>
      </c>
      <c r="D5705" s="6">
        <v>3.5625</v>
      </c>
      <c r="E5705" s="6">
        <v>16.0</v>
      </c>
    </row>
    <row r="5706">
      <c r="A5706" s="4" t="s">
        <v>11332</v>
      </c>
      <c r="B5706" s="5" t="s">
        <v>11333</v>
      </c>
      <c r="C5706" s="6">
        <v>1000.0</v>
      </c>
      <c r="D5706" s="6">
        <v>4.555555556</v>
      </c>
      <c r="E5706" s="6">
        <v>9.0</v>
      </c>
    </row>
    <row r="5707">
      <c r="A5707" s="4" t="s">
        <v>11334</v>
      </c>
      <c r="B5707" s="5" t="s">
        <v>11335</v>
      </c>
      <c r="C5707" s="6">
        <v>1000.0</v>
      </c>
      <c r="D5707" s="6">
        <v>5.0</v>
      </c>
      <c r="E5707" s="6">
        <v>7.0</v>
      </c>
    </row>
    <row r="5708">
      <c r="A5708" s="4" t="s">
        <v>11336</v>
      </c>
      <c r="B5708" s="5" t="s">
        <v>11337</v>
      </c>
      <c r="C5708" s="6">
        <v>1000.0</v>
      </c>
      <c r="D5708" s="6">
        <v>4.555555556</v>
      </c>
      <c r="E5708" s="6">
        <v>36.0</v>
      </c>
    </row>
    <row r="5709">
      <c r="A5709" s="4" t="s">
        <v>11338</v>
      </c>
      <c r="B5709" s="5" t="s">
        <v>11339</v>
      </c>
      <c r="C5709" s="6">
        <v>1000.0</v>
      </c>
      <c r="D5709" s="6">
        <v>4.25</v>
      </c>
      <c r="E5709" s="6">
        <v>12.0</v>
      </c>
    </row>
    <row r="5710">
      <c r="A5710" s="4" t="s">
        <v>11340</v>
      </c>
      <c r="B5710" s="5" t="s">
        <v>11341</v>
      </c>
      <c r="C5710" s="6">
        <v>1000.0</v>
      </c>
      <c r="D5710" s="6">
        <v>4.827586207</v>
      </c>
      <c r="E5710" s="6">
        <v>29.0</v>
      </c>
    </row>
    <row r="5711">
      <c r="A5711" s="4" t="s">
        <v>11342</v>
      </c>
      <c r="B5711" s="5" t="s">
        <v>11343</v>
      </c>
      <c r="C5711" s="6">
        <v>1000.0</v>
      </c>
      <c r="D5711" s="6">
        <v>4.0</v>
      </c>
      <c r="E5711" s="6">
        <v>4.0</v>
      </c>
    </row>
    <row r="5712">
      <c r="A5712" s="4" t="s">
        <v>11344</v>
      </c>
      <c r="B5712" s="5" t="s">
        <v>11345</v>
      </c>
      <c r="C5712" s="6">
        <v>1000.0</v>
      </c>
      <c r="D5712" s="6">
        <v>3.285714286</v>
      </c>
      <c r="E5712" s="6">
        <v>28.0</v>
      </c>
    </row>
    <row r="5713">
      <c r="A5713" s="4" t="s">
        <v>11346</v>
      </c>
      <c r="B5713" s="5" t="s">
        <v>11347</v>
      </c>
      <c r="C5713" s="6">
        <v>1000.0</v>
      </c>
      <c r="D5713" s="6">
        <v>3.666666667</v>
      </c>
      <c r="E5713" s="6">
        <v>3.0</v>
      </c>
    </row>
    <row r="5714">
      <c r="A5714" s="4" t="s">
        <v>11348</v>
      </c>
      <c r="B5714" s="5" t="s">
        <v>11349</v>
      </c>
      <c r="C5714" s="6">
        <v>1000.0</v>
      </c>
      <c r="D5714" s="6">
        <v>5.0</v>
      </c>
      <c r="E5714" s="6">
        <v>1.0</v>
      </c>
    </row>
    <row r="5715">
      <c r="A5715" s="4" t="s">
        <v>11350</v>
      </c>
      <c r="B5715" s="5" t="s">
        <v>11351</v>
      </c>
      <c r="C5715" s="6">
        <v>1000.0</v>
      </c>
      <c r="D5715" s="6">
        <v>3.571428571</v>
      </c>
      <c r="E5715" s="6">
        <v>14.0</v>
      </c>
    </row>
    <row r="5716">
      <c r="A5716" s="4" t="s">
        <v>11352</v>
      </c>
      <c r="B5716" s="5" t="s">
        <v>11353</v>
      </c>
      <c r="C5716" s="6">
        <v>1000.0</v>
      </c>
      <c r="D5716" s="6">
        <v>5.0</v>
      </c>
      <c r="E5716" s="6">
        <v>6.0</v>
      </c>
    </row>
    <row r="5717">
      <c r="A5717" s="4" t="s">
        <v>11354</v>
      </c>
      <c r="B5717" s="5" t="s">
        <v>11355</v>
      </c>
      <c r="C5717" s="6">
        <v>1000.0</v>
      </c>
      <c r="D5717" s="6">
        <v>4.5</v>
      </c>
      <c r="E5717" s="6">
        <v>2.0</v>
      </c>
    </row>
    <row r="5718">
      <c r="A5718" s="4" t="s">
        <v>11356</v>
      </c>
      <c r="B5718" s="5" t="s">
        <v>11357</v>
      </c>
      <c r="C5718" s="6">
        <v>1000.0</v>
      </c>
      <c r="D5718" s="6">
        <v>5.0</v>
      </c>
      <c r="E5718" s="6">
        <v>5.0</v>
      </c>
    </row>
    <row r="5719">
      <c r="A5719" s="4" t="s">
        <v>11358</v>
      </c>
      <c r="B5719" s="5" t="s">
        <v>11359</v>
      </c>
      <c r="C5719" s="6">
        <v>1000.0</v>
      </c>
      <c r="D5719" s="6">
        <v>4.555555556</v>
      </c>
      <c r="E5719" s="6">
        <v>9.0</v>
      </c>
    </row>
    <row r="5720">
      <c r="A5720" s="4" t="s">
        <v>11360</v>
      </c>
      <c r="B5720" s="5" t="s">
        <v>11361</v>
      </c>
      <c r="C5720" s="6">
        <v>1000.0</v>
      </c>
      <c r="D5720" s="6">
        <v>4.928571429</v>
      </c>
      <c r="E5720" s="6">
        <v>14.0</v>
      </c>
    </row>
    <row r="5721">
      <c r="A5721" s="4" t="s">
        <v>11362</v>
      </c>
      <c r="B5721" s="5" t="s">
        <v>11363</v>
      </c>
      <c r="C5721" s="6">
        <v>1000.0</v>
      </c>
      <c r="D5721" s="6">
        <v>4.666666667</v>
      </c>
      <c r="E5721" s="6">
        <v>12.0</v>
      </c>
    </row>
    <row r="5722">
      <c r="A5722" s="4" t="s">
        <v>11364</v>
      </c>
      <c r="B5722" s="5" t="s">
        <v>11365</v>
      </c>
      <c r="C5722" s="6">
        <v>1000.0</v>
      </c>
      <c r="D5722" s="6">
        <v>3.13253012</v>
      </c>
      <c r="E5722" s="6">
        <v>83.0</v>
      </c>
    </row>
    <row r="5723">
      <c r="A5723" s="4" t="s">
        <v>11366</v>
      </c>
      <c r="B5723" s="5" t="s">
        <v>11367</v>
      </c>
      <c r="C5723" s="6">
        <v>1000.0</v>
      </c>
      <c r="D5723" s="9"/>
      <c r="E5723" s="9"/>
    </row>
    <row r="5724">
      <c r="A5724" s="4" t="s">
        <v>11368</v>
      </c>
      <c r="B5724" s="5" t="s">
        <v>11369</v>
      </c>
      <c r="C5724" s="6">
        <v>1000.0</v>
      </c>
      <c r="D5724" s="6">
        <v>4.8</v>
      </c>
      <c r="E5724" s="6">
        <v>5.0</v>
      </c>
    </row>
    <row r="5725">
      <c r="A5725" s="4" t="s">
        <v>11370</v>
      </c>
      <c r="B5725" s="5" t="s">
        <v>11371</v>
      </c>
      <c r="C5725" s="6">
        <v>1000.0</v>
      </c>
      <c r="D5725" s="6">
        <v>4.833333333</v>
      </c>
      <c r="E5725" s="6">
        <v>6.0</v>
      </c>
    </row>
    <row r="5726">
      <c r="A5726" s="4" t="s">
        <v>11372</v>
      </c>
      <c r="B5726" s="5" t="s">
        <v>11373</v>
      </c>
      <c r="C5726" s="6">
        <v>1000.0</v>
      </c>
      <c r="D5726" s="6">
        <v>4.9</v>
      </c>
      <c r="E5726" s="6">
        <v>10.0</v>
      </c>
    </row>
    <row r="5727">
      <c r="A5727" s="4" t="s">
        <v>11374</v>
      </c>
      <c r="B5727" s="5" t="s">
        <v>11375</v>
      </c>
      <c r="C5727" s="6">
        <v>1000.0</v>
      </c>
      <c r="D5727" s="6">
        <v>2.0</v>
      </c>
      <c r="E5727" s="6">
        <v>1.0</v>
      </c>
    </row>
    <row r="5728">
      <c r="A5728" s="4" t="s">
        <v>11376</v>
      </c>
      <c r="B5728" s="5" t="s">
        <v>11377</v>
      </c>
      <c r="C5728" s="6">
        <v>1000.0</v>
      </c>
      <c r="D5728" s="6">
        <v>4.9375</v>
      </c>
      <c r="E5728" s="6">
        <v>16.0</v>
      </c>
    </row>
    <row r="5729">
      <c r="A5729" s="4" t="s">
        <v>11378</v>
      </c>
      <c r="B5729" s="5" t="s">
        <v>11379</v>
      </c>
      <c r="C5729" s="6">
        <v>1000.0</v>
      </c>
      <c r="D5729" s="6">
        <v>4.738095238</v>
      </c>
      <c r="E5729" s="6">
        <v>126.0</v>
      </c>
    </row>
    <row r="5730">
      <c r="A5730" s="4" t="s">
        <v>11380</v>
      </c>
      <c r="B5730" s="5" t="s">
        <v>11381</v>
      </c>
      <c r="C5730" s="6">
        <v>1000.0</v>
      </c>
      <c r="D5730" s="6">
        <v>4.117647059</v>
      </c>
      <c r="E5730" s="6">
        <v>17.0</v>
      </c>
    </row>
    <row r="5731">
      <c r="A5731" s="4" t="s">
        <v>11382</v>
      </c>
      <c r="B5731" s="5" t="s">
        <v>11383</v>
      </c>
      <c r="C5731" s="6">
        <v>1000.0</v>
      </c>
      <c r="D5731" s="6">
        <v>5.0</v>
      </c>
      <c r="E5731" s="6">
        <v>8.0</v>
      </c>
    </row>
    <row r="5732">
      <c r="A5732" s="4" t="s">
        <v>11384</v>
      </c>
      <c r="B5732" s="5" t="s">
        <v>11385</v>
      </c>
      <c r="C5732" s="6">
        <v>1000.0</v>
      </c>
      <c r="D5732" s="6">
        <v>4.315789474</v>
      </c>
      <c r="E5732" s="6">
        <v>19.0</v>
      </c>
    </row>
    <row r="5733">
      <c r="A5733" s="4" t="s">
        <v>11386</v>
      </c>
      <c r="B5733" s="5" t="s">
        <v>11387</v>
      </c>
      <c r="C5733" s="6">
        <v>1000.0</v>
      </c>
      <c r="D5733" s="6">
        <v>4.857142857</v>
      </c>
      <c r="E5733" s="6">
        <v>7.0</v>
      </c>
    </row>
    <row r="5734">
      <c r="A5734" s="4" t="s">
        <v>11388</v>
      </c>
      <c r="B5734" s="5" t="s">
        <v>11389</v>
      </c>
      <c r="C5734" s="6">
        <v>1000.0</v>
      </c>
      <c r="D5734" s="6">
        <v>5.0</v>
      </c>
      <c r="E5734" s="6">
        <v>3.0</v>
      </c>
    </row>
    <row r="5735">
      <c r="A5735" s="4" t="s">
        <v>11390</v>
      </c>
      <c r="B5735" s="5" t="s">
        <v>11391</v>
      </c>
      <c r="C5735" s="6">
        <v>1000.0</v>
      </c>
      <c r="D5735" s="6">
        <v>3.625</v>
      </c>
      <c r="E5735" s="6">
        <v>8.0</v>
      </c>
    </row>
    <row r="5736">
      <c r="A5736" s="4" t="s">
        <v>11392</v>
      </c>
      <c r="B5736" s="5" t="s">
        <v>11393</v>
      </c>
      <c r="C5736" s="6">
        <v>1000.0</v>
      </c>
      <c r="D5736" s="6">
        <v>4.0</v>
      </c>
      <c r="E5736" s="6">
        <v>26.0</v>
      </c>
    </row>
    <row r="5737">
      <c r="A5737" s="4" t="s">
        <v>11394</v>
      </c>
      <c r="B5737" s="5" t="s">
        <v>11395</v>
      </c>
      <c r="C5737" s="6">
        <v>1000.0</v>
      </c>
      <c r="D5737" s="6">
        <v>3.571428571</v>
      </c>
      <c r="E5737" s="6">
        <v>7.0</v>
      </c>
    </row>
    <row r="5738">
      <c r="A5738" s="4" t="s">
        <v>11396</v>
      </c>
      <c r="B5738" s="5" t="s">
        <v>11397</v>
      </c>
      <c r="C5738" s="6">
        <v>1000.0</v>
      </c>
      <c r="D5738" s="6">
        <v>2.166666667</v>
      </c>
      <c r="E5738" s="6">
        <v>18.0</v>
      </c>
    </row>
    <row r="5739">
      <c r="A5739" s="4" t="s">
        <v>11398</v>
      </c>
      <c r="B5739" s="5" t="s">
        <v>11399</v>
      </c>
      <c r="C5739" s="6">
        <v>1000.0</v>
      </c>
      <c r="D5739" s="6">
        <v>4.0</v>
      </c>
      <c r="E5739" s="6">
        <v>2.0</v>
      </c>
    </row>
    <row r="5740">
      <c r="A5740" s="4" t="s">
        <v>11400</v>
      </c>
      <c r="B5740" s="5" t="s">
        <v>11401</v>
      </c>
      <c r="C5740" s="6">
        <v>1000.0</v>
      </c>
      <c r="D5740" s="6">
        <v>1.785714286</v>
      </c>
      <c r="E5740" s="6">
        <v>14.0</v>
      </c>
    </row>
    <row r="5741">
      <c r="A5741" s="4" t="s">
        <v>11402</v>
      </c>
      <c r="B5741" s="5" t="s">
        <v>11403</v>
      </c>
      <c r="C5741" s="6">
        <v>1000.0</v>
      </c>
      <c r="D5741" s="6">
        <v>4.384615385</v>
      </c>
      <c r="E5741" s="6">
        <v>13.0</v>
      </c>
    </row>
    <row r="5742">
      <c r="A5742" s="4" t="s">
        <v>11404</v>
      </c>
      <c r="B5742" s="5" t="s">
        <v>11405</v>
      </c>
      <c r="C5742" s="6">
        <v>1000.0</v>
      </c>
      <c r="D5742" s="6">
        <v>3.0</v>
      </c>
      <c r="E5742" s="6">
        <v>2.0</v>
      </c>
    </row>
    <row r="5743">
      <c r="A5743" s="4" t="s">
        <v>11406</v>
      </c>
      <c r="B5743" s="5" t="s">
        <v>11407</v>
      </c>
      <c r="C5743" s="6">
        <v>1000.0</v>
      </c>
      <c r="D5743" s="6">
        <v>3.378378378</v>
      </c>
      <c r="E5743" s="6">
        <v>37.0</v>
      </c>
    </row>
    <row r="5744">
      <c r="A5744" s="4" t="s">
        <v>11408</v>
      </c>
      <c r="B5744" s="5" t="s">
        <v>11409</v>
      </c>
      <c r="C5744" s="6">
        <v>1000.0</v>
      </c>
      <c r="D5744" s="6">
        <v>3.875</v>
      </c>
      <c r="E5744" s="6">
        <v>8.0</v>
      </c>
    </row>
    <row r="5745">
      <c r="A5745" s="4" t="s">
        <v>11410</v>
      </c>
      <c r="B5745" s="5" t="s">
        <v>11411</v>
      </c>
      <c r="C5745" s="6">
        <v>1000.0</v>
      </c>
      <c r="D5745" s="6">
        <v>4.5625</v>
      </c>
      <c r="E5745" s="6">
        <v>16.0</v>
      </c>
    </row>
    <row r="5746">
      <c r="A5746" s="4" t="s">
        <v>11412</v>
      </c>
      <c r="B5746" s="5" t="s">
        <v>11413</v>
      </c>
      <c r="C5746" s="6">
        <v>1000.0</v>
      </c>
      <c r="D5746" s="6">
        <v>5.0</v>
      </c>
      <c r="E5746" s="6">
        <v>3.0</v>
      </c>
    </row>
    <row r="5747">
      <c r="A5747" s="4" t="s">
        <v>11414</v>
      </c>
      <c r="B5747" s="5" t="s">
        <v>11415</v>
      </c>
      <c r="C5747" s="6">
        <v>1000.0</v>
      </c>
      <c r="D5747" s="6">
        <v>5.0</v>
      </c>
      <c r="E5747" s="6">
        <v>1.0</v>
      </c>
    </row>
    <row r="5748">
      <c r="A5748" s="10" t="s">
        <v>11416</v>
      </c>
      <c r="B5748" s="5" t="s">
        <v>11417</v>
      </c>
      <c r="C5748" s="6">
        <v>1000.0</v>
      </c>
      <c r="D5748" s="6">
        <v>4.846153846</v>
      </c>
      <c r="E5748" s="6">
        <v>13.0</v>
      </c>
    </row>
    <row r="5749">
      <c r="A5749" s="4" t="s">
        <v>11418</v>
      </c>
      <c r="B5749" s="5" t="s">
        <v>11419</v>
      </c>
      <c r="C5749" s="6">
        <v>1000.0</v>
      </c>
      <c r="D5749" s="6">
        <v>5.0</v>
      </c>
      <c r="E5749" s="6">
        <v>5.0</v>
      </c>
    </row>
    <row r="5750">
      <c r="A5750" s="4" t="s">
        <v>11420</v>
      </c>
      <c r="B5750" s="5" t="s">
        <v>11421</v>
      </c>
      <c r="C5750" s="6">
        <v>1000.0</v>
      </c>
      <c r="D5750" s="6">
        <v>4.533333333</v>
      </c>
      <c r="E5750" s="6">
        <v>15.0</v>
      </c>
    </row>
    <row r="5751">
      <c r="A5751" s="4" t="s">
        <v>11422</v>
      </c>
      <c r="B5751" s="5" t="s">
        <v>11423</v>
      </c>
      <c r="C5751" s="6">
        <v>1000.0</v>
      </c>
      <c r="D5751" s="6">
        <v>3.721153846</v>
      </c>
      <c r="E5751" s="6">
        <v>104.0</v>
      </c>
    </row>
    <row r="5752">
      <c r="A5752" s="4" t="s">
        <v>11424</v>
      </c>
      <c r="B5752" s="5" t="s">
        <v>11425</v>
      </c>
      <c r="C5752" s="6">
        <v>1000.0</v>
      </c>
      <c r="D5752" s="6">
        <v>5.0</v>
      </c>
      <c r="E5752" s="6">
        <v>3.0</v>
      </c>
    </row>
    <row r="5753">
      <c r="A5753" s="4" t="s">
        <v>11426</v>
      </c>
      <c r="B5753" s="5" t="s">
        <v>11427</v>
      </c>
      <c r="C5753" s="6">
        <v>1000.0</v>
      </c>
      <c r="D5753" s="6">
        <v>4.54587156</v>
      </c>
      <c r="E5753" s="6">
        <v>218.0</v>
      </c>
    </row>
    <row r="5754">
      <c r="A5754" s="4" t="s">
        <v>11428</v>
      </c>
      <c r="B5754" s="5" t="s">
        <v>11429</v>
      </c>
      <c r="C5754" s="6">
        <v>1000.0</v>
      </c>
      <c r="D5754" s="6">
        <v>4.714285714</v>
      </c>
      <c r="E5754" s="6">
        <v>7.0</v>
      </c>
    </row>
    <row r="5755">
      <c r="A5755" s="4" t="s">
        <v>11430</v>
      </c>
      <c r="B5755" s="5" t="s">
        <v>11431</v>
      </c>
      <c r="C5755" s="6">
        <v>1000.0</v>
      </c>
      <c r="D5755" s="6">
        <v>4.777777778</v>
      </c>
      <c r="E5755" s="6">
        <v>36.0</v>
      </c>
    </row>
    <row r="5756">
      <c r="A5756" s="4" t="s">
        <v>11432</v>
      </c>
      <c r="B5756" s="5" t="s">
        <v>11433</v>
      </c>
      <c r="C5756" s="6">
        <v>1000.0</v>
      </c>
      <c r="D5756" s="6">
        <v>4.764705882</v>
      </c>
      <c r="E5756" s="6">
        <v>17.0</v>
      </c>
    </row>
    <row r="5757">
      <c r="A5757" s="4" t="s">
        <v>11434</v>
      </c>
      <c r="B5757" s="5" t="s">
        <v>11435</v>
      </c>
      <c r="C5757" s="6">
        <v>1000.0</v>
      </c>
      <c r="D5757" s="6">
        <v>3.0</v>
      </c>
      <c r="E5757" s="6">
        <v>7.0</v>
      </c>
    </row>
    <row r="5758">
      <c r="A5758" s="4" t="s">
        <v>11436</v>
      </c>
      <c r="B5758" s="5" t="s">
        <v>11437</v>
      </c>
      <c r="C5758" s="6">
        <v>1000.0</v>
      </c>
      <c r="D5758" s="6">
        <v>2.748878924</v>
      </c>
      <c r="E5758" s="6">
        <v>223.0</v>
      </c>
    </row>
    <row r="5759">
      <c r="A5759" s="4" t="s">
        <v>11438</v>
      </c>
      <c r="B5759" s="5" t="s">
        <v>11439</v>
      </c>
      <c r="C5759" s="6">
        <v>1000.0</v>
      </c>
      <c r="D5759" s="6">
        <v>4.142857143</v>
      </c>
      <c r="E5759" s="6">
        <v>14.0</v>
      </c>
    </row>
    <row r="5760">
      <c r="A5760" s="4" t="s">
        <v>11440</v>
      </c>
      <c r="B5760" s="5" t="s">
        <v>11441</v>
      </c>
      <c r="C5760" s="6">
        <v>1000.0</v>
      </c>
      <c r="D5760" s="6">
        <v>2.0</v>
      </c>
      <c r="E5760" s="6">
        <v>4.0</v>
      </c>
    </row>
    <row r="5761">
      <c r="A5761" s="4" t="s">
        <v>11442</v>
      </c>
      <c r="B5761" s="5" t="s">
        <v>11443</v>
      </c>
      <c r="C5761" s="6">
        <v>1000.0</v>
      </c>
      <c r="D5761" s="6">
        <v>5.0</v>
      </c>
      <c r="E5761" s="6">
        <v>12.0</v>
      </c>
    </row>
    <row r="5762">
      <c r="A5762" s="4" t="s">
        <v>11444</v>
      </c>
      <c r="B5762" s="5" t="s">
        <v>11445</v>
      </c>
      <c r="C5762" s="6">
        <v>1000.0</v>
      </c>
      <c r="D5762" s="6">
        <v>4.636363636</v>
      </c>
      <c r="E5762" s="6">
        <v>11.0</v>
      </c>
    </row>
    <row r="5763">
      <c r="A5763" s="4" t="s">
        <v>11446</v>
      </c>
      <c r="B5763" s="5" t="s">
        <v>11447</v>
      </c>
      <c r="C5763" s="6">
        <v>1000.0</v>
      </c>
      <c r="D5763" s="6">
        <v>4.086956522</v>
      </c>
      <c r="E5763" s="6">
        <v>23.0</v>
      </c>
    </row>
    <row r="5764">
      <c r="A5764" s="4" t="s">
        <v>11448</v>
      </c>
      <c r="B5764" s="5" t="s">
        <v>11449</v>
      </c>
      <c r="C5764" s="6">
        <v>1000.0</v>
      </c>
      <c r="D5764" s="6">
        <v>4.411764706</v>
      </c>
      <c r="E5764" s="6">
        <v>17.0</v>
      </c>
    </row>
    <row r="5765">
      <c r="A5765" s="4" t="s">
        <v>11450</v>
      </c>
      <c r="B5765" s="5" t="s">
        <v>11451</v>
      </c>
      <c r="C5765" s="6">
        <v>1000.0</v>
      </c>
      <c r="D5765" s="6">
        <v>4.743902439</v>
      </c>
      <c r="E5765" s="6">
        <v>82.0</v>
      </c>
    </row>
    <row r="5766">
      <c r="A5766" s="4" t="s">
        <v>11452</v>
      </c>
      <c r="B5766" s="5" t="s">
        <v>11453</v>
      </c>
      <c r="C5766" s="6">
        <v>1000.0</v>
      </c>
      <c r="D5766" s="6">
        <v>3.166666667</v>
      </c>
      <c r="E5766" s="6">
        <v>12.0</v>
      </c>
    </row>
    <row r="5767">
      <c r="A5767" s="4" t="s">
        <v>11454</v>
      </c>
      <c r="B5767" s="5" t="s">
        <v>11455</v>
      </c>
      <c r="C5767" s="6">
        <v>1000.0</v>
      </c>
      <c r="D5767" s="6">
        <v>5.0</v>
      </c>
      <c r="E5767" s="6">
        <v>2.0</v>
      </c>
    </row>
    <row r="5768">
      <c r="A5768" s="4" t="s">
        <v>11456</v>
      </c>
      <c r="B5768" s="5" t="s">
        <v>11457</v>
      </c>
      <c r="C5768" s="6">
        <v>1000.0</v>
      </c>
      <c r="D5768" s="6">
        <v>4.0</v>
      </c>
      <c r="E5768" s="6">
        <v>19.0</v>
      </c>
    </row>
    <row r="5769">
      <c r="A5769" s="4" t="s">
        <v>11458</v>
      </c>
      <c r="B5769" s="5" t="s">
        <v>11459</v>
      </c>
      <c r="C5769" s="6">
        <v>1000.0</v>
      </c>
      <c r="D5769" s="6">
        <v>4.428571429</v>
      </c>
      <c r="E5769" s="6">
        <v>7.0</v>
      </c>
    </row>
    <row r="5770">
      <c r="A5770" s="4" t="s">
        <v>11460</v>
      </c>
      <c r="B5770" s="5" t="s">
        <v>11461</v>
      </c>
      <c r="C5770" s="6">
        <v>1000.0</v>
      </c>
      <c r="D5770" s="6">
        <v>3.25</v>
      </c>
      <c r="E5770" s="6">
        <v>4.0</v>
      </c>
    </row>
    <row r="5771">
      <c r="A5771" s="4" t="s">
        <v>11462</v>
      </c>
      <c r="B5771" s="5" t="s">
        <v>11463</v>
      </c>
      <c r="C5771" s="6">
        <v>1000.0</v>
      </c>
      <c r="D5771" s="6">
        <v>1.0</v>
      </c>
      <c r="E5771" s="6">
        <v>3.0</v>
      </c>
    </row>
    <row r="5772">
      <c r="A5772" s="4" t="s">
        <v>11464</v>
      </c>
      <c r="B5772" s="5" t="s">
        <v>11465</v>
      </c>
      <c r="C5772" s="6">
        <v>1000.0</v>
      </c>
      <c r="D5772" s="6">
        <v>4.125</v>
      </c>
      <c r="E5772" s="6">
        <v>8.0</v>
      </c>
    </row>
    <row r="5773">
      <c r="A5773" s="4" t="s">
        <v>11466</v>
      </c>
      <c r="B5773" s="5" t="s">
        <v>11467</v>
      </c>
      <c r="C5773" s="6">
        <v>1000.0</v>
      </c>
      <c r="D5773" s="9"/>
      <c r="E5773" s="9"/>
    </row>
    <row r="5774">
      <c r="A5774" s="4" t="s">
        <v>11468</v>
      </c>
      <c r="B5774" s="5" t="s">
        <v>11469</v>
      </c>
      <c r="C5774" s="6">
        <v>1000.0</v>
      </c>
      <c r="D5774" s="9"/>
      <c r="E5774" s="9"/>
    </row>
    <row r="5775">
      <c r="A5775" s="4" t="s">
        <v>11470</v>
      </c>
      <c r="B5775" s="5" t="s">
        <v>11471</v>
      </c>
      <c r="C5775" s="6">
        <v>1000.0</v>
      </c>
      <c r="D5775" s="6">
        <v>4.5</v>
      </c>
      <c r="E5775" s="6">
        <v>58.0</v>
      </c>
    </row>
    <row r="5776">
      <c r="A5776" s="4" t="s">
        <v>11472</v>
      </c>
      <c r="B5776" s="5" t="s">
        <v>11473</v>
      </c>
      <c r="C5776" s="6">
        <v>1000.0</v>
      </c>
      <c r="D5776" s="6">
        <v>3.888888889</v>
      </c>
      <c r="E5776" s="6">
        <v>9.0</v>
      </c>
    </row>
    <row r="5777">
      <c r="A5777" s="4" t="s">
        <v>11474</v>
      </c>
      <c r="B5777" s="5" t="s">
        <v>11475</v>
      </c>
      <c r="C5777" s="6">
        <v>1000.0</v>
      </c>
      <c r="D5777" s="6">
        <v>4.666666667</v>
      </c>
      <c r="E5777" s="6">
        <v>3.0</v>
      </c>
    </row>
    <row r="5778">
      <c r="A5778" s="4" t="s">
        <v>11476</v>
      </c>
      <c r="B5778" s="5" t="s">
        <v>11477</v>
      </c>
      <c r="C5778" s="6">
        <v>1000.0</v>
      </c>
      <c r="D5778" s="6">
        <v>3.615384615</v>
      </c>
      <c r="E5778" s="6">
        <v>13.0</v>
      </c>
    </row>
    <row r="5779">
      <c r="A5779" s="4" t="s">
        <v>11478</v>
      </c>
      <c r="B5779" s="5" t="s">
        <v>11479</v>
      </c>
      <c r="C5779" s="6">
        <v>1000.0</v>
      </c>
      <c r="D5779" s="6">
        <v>5.0</v>
      </c>
      <c r="E5779" s="6">
        <v>4.0</v>
      </c>
    </row>
    <row r="5780">
      <c r="A5780" s="4" t="s">
        <v>11480</v>
      </c>
      <c r="B5780" s="5" t="s">
        <v>11481</v>
      </c>
      <c r="C5780" s="6">
        <v>1000.0</v>
      </c>
      <c r="D5780" s="6">
        <v>4.708333333</v>
      </c>
      <c r="E5780" s="6">
        <v>24.0</v>
      </c>
    </row>
    <row r="5781">
      <c r="A5781" s="4" t="s">
        <v>11482</v>
      </c>
      <c r="B5781" s="5" t="s">
        <v>11483</v>
      </c>
      <c r="C5781" s="6">
        <v>1000.0</v>
      </c>
      <c r="D5781" s="6">
        <v>4.457142857</v>
      </c>
      <c r="E5781" s="6">
        <v>35.0</v>
      </c>
    </row>
    <row r="5782">
      <c r="A5782" s="4" t="s">
        <v>11484</v>
      </c>
      <c r="B5782" s="5" t="s">
        <v>11485</v>
      </c>
      <c r="C5782" s="6">
        <v>1000.0</v>
      </c>
      <c r="D5782" s="6">
        <v>4.227272727</v>
      </c>
      <c r="E5782" s="6">
        <v>22.0</v>
      </c>
    </row>
    <row r="5783">
      <c r="A5783" s="4" t="s">
        <v>11486</v>
      </c>
      <c r="B5783" s="5" t="s">
        <v>11487</v>
      </c>
      <c r="C5783" s="6">
        <v>1000.0</v>
      </c>
      <c r="D5783" s="6">
        <v>2.333333333</v>
      </c>
      <c r="E5783" s="6">
        <v>9.0</v>
      </c>
    </row>
    <row r="5784">
      <c r="A5784" s="4" t="s">
        <v>11488</v>
      </c>
      <c r="B5784" s="5" t="s">
        <v>11489</v>
      </c>
      <c r="C5784" s="6">
        <v>1000.0</v>
      </c>
      <c r="D5784" s="6">
        <v>4.870967742</v>
      </c>
      <c r="E5784" s="6">
        <v>31.0</v>
      </c>
    </row>
    <row r="5785">
      <c r="A5785" s="4" t="s">
        <v>11490</v>
      </c>
      <c r="B5785" s="5" t="s">
        <v>11491</v>
      </c>
      <c r="C5785" s="6">
        <v>1000.0</v>
      </c>
      <c r="D5785" s="6">
        <v>5.0</v>
      </c>
      <c r="E5785" s="6">
        <v>6.0</v>
      </c>
    </row>
    <row r="5786">
      <c r="A5786" s="4" t="s">
        <v>11492</v>
      </c>
      <c r="B5786" s="5" t="s">
        <v>11493</v>
      </c>
      <c r="C5786" s="6">
        <v>1000.0</v>
      </c>
      <c r="D5786" s="6">
        <v>1.0</v>
      </c>
      <c r="E5786" s="6">
        <v>1.0</v>
      </c>
    </row>
    <row r="5787">
      <c r="A5787" s="4" t="s">
        <v>11494</v>
      </c>
      <c r="B5787" s="5" t="s">
        <v>11495</v>
      </c>
      <c r="C5787" s="6">
        <v>1000.0</v>
      </c>
      <c r="D5787" s="6">
        <v>4.566666667</v>
      </c>
      <c r="E5787" s="6">
        <v>30.0</v>
      </c>
    </row>
    <row r="5788">
      <c r="A5788" s="4" t="s">
        <v>11496</v>
      </c>
      <c r="B5788" s="5" t="s">
        <v>11497</v>
      </c>
      <c r="C5788" s="6">
        <v>1000.0</v>
      </c>
      <c r="D5788" s="6">
        <v>4.833333333</v>
      </c>
      <c r="E5788" s="6">
        <v>6.0</v>
      </c>
    </row>
    <row r="5789">
      <c r="A5789" s="4" t="s">
        <v>11498</v>
      </c>
      <c r="B5789" s="5" t="s">
        <v>11499</v>
      </c>
      <c r="C5789" s="6">
        <v>1000.0</v>
      </c>
      <c r="D5789" s="6">
        <v>5.0</v>
      </c>
      <c r="E5789" s="6">
        <v>1.0</v>
      </c>
    </row>
    <row r="5790">
      <c r="A5790" s="4" t="s">
        <v>11500</v>
      </c>
      <c r="B5790" s="5" t="s">
        <v>11501</v>
      </c>
      <c r="C5790" s="6">
        <v>1000.0</v>
      </c>
      <c r="D5790" s="6">
        <v>5.0</v>
      </c>
      <c r="E5790" s="6">
        <v>2.0</v>
      </c>
    </row>
    <row r="5791">
      <c r="A5791" s="4" t="s">
        <v>11502</v>
      </c>
      <c r="B5791" s="5" t="s">
        <v>11503</v>
      </c>
      <c r="C5791" s="6">
        <v>1000.0</v>
      </c>
      <c r="D5791" s="6">
        <v>3.5</v>
      </c>
      <c r="E5791" s="6">
        <v>6.0</v>
      </c>
    </row>
    <row r="5792">
      <c r="A5792" s="4" t="s">
        <v>11504</v>
      </c>
      <c r="B5792" s="5" t="s">
        <v>11505</v>
      </c>
      <c r="C5792" s="6">
        <v>1000.0</v>
      </c>
      <c r="D5792" s="6">
        <v>5.0</v>
      </c>
      <c r="E5792" s="6">
        <v>6.0</v>
      </c>
    </row>
    <row r="5793">
      <c r="A5793" s="4" t="s">
        <v>11506</v>
      </c>
      <c r="B5793" s="5" t="s">
        <v>11507</v>
      </c>
      <c r="C5793" s="6">
        <v>1000.0</v>
      </c>
      <c r="D5793" s="6">
        <v>4.0</v>
      </c>
      <c r="E5793" s="6">
        <v>8.0</v>
      </c>
    </row>
    <row r="5794">
      <c r="A5794" s="10" t="s">
        <v>11508</v>
      </c>
      <c r="B5794" s="5" t="s">
        <v>11509</v>
      </c>
      <c r="C5794" s="6">
        <v>1000.0</v>
      </c>
      <c r="D5794" s="6">
        <v>3.583333333</v>
      </c>
      <c r="E5794" s="6">
        <v>12.0</v>
      </c>
    </row>
    <row r="5795">
      <c r="A5795" s="4" t="s">
        <v>11510</v>
      </c>
      <c r="B5795" s="5" t="s">
        <v>11511</v>
      </c>
      <c r="C5795" s="6">
        <v>1000.0</v>
      </c>
      <c r="D5795" s="6">
        <v>3.0</v>
      </c>
      <c r="E5795" s="6">
        <v>3.0</v>
      </c>
    </row>
    <row r="5796">
      <c r="A5796" s="4" t="s">
        <v>11512</v>
      </c>
      <c r="B5796" s="5" t="s">
        <v>11513</v>
      </c>
      <c r="C5796" s="6">
        <v>1000.0</v>
      </c>
      <c r="D5796" s="6">
        <v>2.652173913</v>
      </c>
      <c r="E5796" s="6">
        <v>23.0</v>
      </c>
    </row>
    <row r="5797">
      <c r="A5797" s="4" t="s">
        <v>11514</v>
      </c>
      <c r="B5797" s="5" t="s">
        <v>11515</v>
      </c>
      <c r="C5797" s="6">
        <v>1000.0</v>
      </c>
      <c r="D5797" s="6">
        <v>3.75</v>
      </c>
      <c r="E5797" s="6">
        <v>4.0</v>
      </c>
    </row>
    <row r="5798">
      <c r="A5798" s="4" t="s">
        <v>11516</v>
      </c>
      <c r="B5798" s="5" t="s">
        <v>11517</v>
      </c>
      <c r="C5798" s="6">
        <v>1000.0</v>
      </c>
      <c r="D5798" s="6">
        <v>2.438596491</v>
      </c>
      <c r="E5798" s="6">
        <v>57.0</v>
      </c>
    </row>
    <row r="5799">
      <c r="A5799" s="4" t="s">
        <v>11518</v>
      </c>
      <c r="B5799" s="5" t="s">
        <v>11519</v>
      </c>
      <c r="C5799" s="6">
        <v>1000.0</v>
      </c>
      <c r="D5799" s="6">
        <v>2.857142857</v>
      </c>
      <c r="E5799" s="6">
        <v>7.0</v>
      </c>
    </row>
    <row r="5800">
      <c r="A5800" s="4" t="s">
        <v>11520</v>
      </c>
      <c r="B5800" s="5" t="s">
        <v>11521</v>
      </c>
      <c r="C5800" s="6">
        <v>1000.0</v>
      </c>
      <c r="D5800" s="6">
        <v>5.0</v>
      </c>
      <c r="E5800" s="6">
        <v>2.0</v>
      </c>
    </row>
    <row r="5801">
      <c r="A5801" s="4" t="s">
        <v>11522</v>
      </c>
      <c r="B5801" s="5" t="s">
        <v>11523</v>
      </c>
      <c r="C5801" s="6">
        <v>1000.0</v>
      </c>
      <c r="D5801" s="6">
        <v>5.0</v>
      </c>
      <c r="E5801" s="6">
        <v>11.0</v>
      </c>
    </row>
    <row r="5802">
      <c r="A5802" s="4" t="s">
        <v>11524</v>
      </c>
      <c r="B5802" s="5" t="s">
        <v>11525</v>
      </c>
      <c r="C5802" s="6">
        <v>1000.0</v>
      </c>
      <c r="D5802" s="6">
        <v>3.695652174</v>
      </c>
      <c r="E5802" s="6">
        <v>46.0</v>
      </c>
    </row>
    <row r="5803">
      <c r="A5803" s="4" t="s">
        <v>11526</v>
      </c>
      <c r="B5803" s="5" t="s">
        <v>11527</v>
      </c>
      <c r="C5803" s="6">
        <v>1000.0</v>
      </c>
      <c r="D5803" s="6">
        <v>4.357142857</v>
      </c>
      <c r="E5803" s="6">
        <v>14.0</v>
      </c>
    </row>
    <row r="5804">
      <c r="A5804" s="4" t="s">
        <v>11528</v>
      </c>
      <c r="B5804" s="5" t="s">
        <v>11529</v>
      </c>
      <c r="C5804" s="6">
        <v>1000.0</v>
      </c>
      <c r="D5804" s="6">
        <v>4.0</v>
      </c>
      <c r="E5804" s="6">
        <v>5.0</v>
      </c>
    </row>
    <row r="5805">
      <c r="A5805" s="4" t="s">
        <v>11530</v>
      </c>
      <c r="B5805" s="5" t="s">
        <v>11531</v>
      </c>
      <c r="C5805" s="6">
        <v>1000.0</v>
      </c>
      <c r="D5805" s="6">
        <v>5.0</v>
      </c>
      <c r="E5805" s="6">
        <v>3.0</v>
      </c>
    </row>
    <row r="5806">
      <c r="A5806" s="4" t="s">
        <v>11532</v>
      </c>
      <c r="B5806" s="5" t="s">
        <v>11533</v>
      </c>
      <c r="C5806" s="6">
        <v>1000.0</v>
      </c>
      <c r="D5806" s="6">
        <v>3.2</v>
      </c>
      <c r="E5806" s="6">
        <v>5.0</v>
      </c>
    </row>
    <row r="5807">
      <c r="A5807" s="4" t="s">
        <v>11534</v>
      </c>
      <c r="B5807" s="5" t="s">
        <v>11535</v>
      </c>
      <c r="C5807" s="6">
        <v>1000.0</v>
      </c>
      <c r="D5807" s="9"/>
      <c r="E5807" s="9"/>
    </row>
    <row r="5808">
      <c r="A5808" s="4" t="s">
        <v>11536</v>
      </c>
      <c r="B5808" s="5" t="s">
        <v>11537</v>
      </c>
      <c r="C5808" s="6">
        <v>1000.0</v>
      </c>
      <c r="D5808" s="6">
        <v>4.972222222</v>
      </c>
      <c r="E5808" s="6">
        <v>396.0</v>
      </c>
    </row>
    <row r="5809">
      <c r="A5809" s="4" t="s">
        <v>11538</v>
      </c>
      <c r="B5809" s="5" t="s">
        <v>11539</v>
      </c>
      <c r="C5809" s="6">
        <v>1000.0</v>
      </c>
      <c r="D5809" s="6">
        <v>4.179487179</v>
      </c>
      <c r="E5809" s="6">
        <v>39.0</v>
      </c>
    </row>
    <row r="5810">
      <c r="A5810" s="4" t="s">
        <v>11540</v>
      </c>
      <c r="B5810" s="5" t="s">
        <v>11541</v>
      </c>
      <c r="C5810" s="6">
        <v>1000.0</v>
      </c>
      <c r="D5810" s="6">
        <v>4.0</v>
      </c>
      <c r="E5810" s="6">
        <v>22.0</v>
      </c>
    </row>
    <row r="5811">
      <c r="A5811" s="4" t="s">
        <v>11542</v>
      </c>
      <c r="B5811" s="5" t="s">
        <v>11543</v>
      </c>
      <c r="C5811" s="6">
        <v>1000.0</v>
      </c>
      <c r="D5811" s="6">
        <v>4.333333333</v>
      </c>
      <c r="E5811" s="6">
        <v>9.0</v>
      </c>
    </row>
    <row r="5812">
      <c r="A5812" s="4" t="s">
        <v>11544</v>
      </c>
      <c r="B5812" s="5" t="s">
        <v>11545</v>
      </c>
      <c r="C5812" s="6">
        <v>1000.0</v>
      </c>
      <c r="D5812" s="6">
        <v>3.888888889</v>
      </c>
      <c r="E5812" s="6">
        <v>9.0</v>
      </c>
    </row>
    <row r="5813">
      <c r="A5813" s="4" t="s">
        <v>11546</v>
      </c>
      <c r="B5813" s="5" t="s">
        <v>11547</v>
      </c>
      <c r="C5813" s="6">
        <v>1000.0</v>
      </c>
      <c r="D5813" s="6">
        <v>3.571428571</v>
      </c>
      <c r="E5813" s="6">
        <v>14.0</v>
      </c>
    </row>
    <row r="5814">
      <c r="A5814" s="4" t="s">
        <v>11548</v>
      </c>
      <c r="B5814" s="5" t="s">
        <v>11549</v>
      </c>
      <c r="C5814" s="6">
        <v>1000.0</v>
      </c>
      <c r="D5814" s="6">
        <v>2.333333333</v>
      </c>
      <c r="E5814" s="6">
        <v>3.0</v>
      </c>
    </row>
    <row r="5815">
      <c r="A5815" s="4" t="s">
        <v>11550</v>
      </c>
      <c r="B5815" s="5" t="s">
        <v>11551</v>
      </c>
      <c r="C5815" s="6">
        <v>1000.0</v>
      </c>
      <c r="D5815" s="6">
        <v>4.461538462</v>
      </c>
      <c r="E5815" s="6">
        <v>39.0</v>
      </c>
    </row>
    <row r="5816">
      <c r="A5816" s="4" t="s">
        <v>11552</v>
      </c>
      <c r="B5816" s="5" t="s">
        <v>11553</v>
      </c>
      <c r="C5816" s="6">
        <v>1000.0</v>
      </c>
      <c r="D5816" s="6">
        <v>5.0</v>
      </c>
      <c r="E5816" s="6">
        <v>1.0</v>
      </c>
    </row>
    <row r="5817">
      <c r="A5817" s="4" t="s">
        <v>5064</v>
      </c>
      <c r="B5817" s="5" t="s">
        <v>11554</v>
      </c>
      <c r="C5817" s="6">
        <v>1000.0</v>
      </c>
      <c r="D5817" s="6">
        <v>3.285714286</v>
      </c>
      <c r="E5817" s="6">
        <v>7.0</v>
      </c>
    </row>
    <row r="5818">
      <c r="A5818" s="4" t="s">
        <v>11555</v>
      </c>
      <c r="B5818" s="5" t="s">
        <v>11556</v>
      </c>
      <c r="C5818" s="6">
        <v>1000.0</v>
      </c>
      <c r="D5818" s="6">
        <v>3.230769231</v>
      </c>
      <c r="E5818" s="6">
        <v>13.0</v>
      </c>
    </row>
    <row r="5819">
      <c r="A5819" s="4" t="s">
        <v>11557</v>
      </c>
      <c r="B5819" s="5" t="s">
        <v>11558</v>
      </c>
      <c r="C5819" s="6">
        <v>1000.0</v>
      </c>
      <c r="D5819" s="6">
        <v>4.111111111</v>
      </c>
      <c r="E5819" s="6">
        <v>18.0</v>
      </c>
    </row>
    <row r="5820">
      <c r="A5820" s="4" t="s">
        <v>11559</v>
      </c>
      <c r="B5820" s="5" t="s">
        <v>11560</v>
      </c>
      <c r="C5820" s="6">
        <v>1000.0</v>
      </c>
      <c r="D5820" s="6">
        <v>1.0</v>
      </c>
      <c r="E5820" s="6">
        <v>1.0</v>
      </c>
    </row>
    <row r="5821">
      <c r="A5821" s="4" t="s">
        <v>11561</v>
      </c>
      <c r="B5821" s="5" t="s">
        <v>11562</v>
      </c>
      <c r="C5821" s="6">
        <v>1000.0</v>
      </c>
      <c r="D5821" s="6">
        <v>3.666666667</v>
      </c>
      <c r="E5821" s="6">
        <v>3.0</v>
      </c>
    </row>
    <row r="5822">
      <c r="A5822" s="4" t="s">
        <v>11563</v>
      </c>
      <c r="B5822" s="5" t="s">
        <v>11564</v>
      </c>
      <c r="C5822" s="6">
        <v>1000.0</v>
      </c>
      <c r="D5822" s="6">
        <v>5.0</v>
      </c>
      <c r="E5822" s="6">
        <v>5.0</v>
      </c>
    </row>
    <row r="5823">
      <c r="A5823" s="4" t="s">
        <v>11565</v>
      </c>
      <c r="B5823" s="5" t="s">
        <v>11566</v>
      </c>
      <c r="C5823" s="6">
        <v>1000.0</v>
      </c>
      <c r="D5823" s="6">
        <v>3.5</v>
      </c>
      <c r="E5823" s="6">
        <v>12.0</v>
      </c>
    </row>
    <row r="5824">
      <c r="A5824" s="4" t="s">
        <v>11567</v>
      </c>
      <c r="B5824" s="5" t="s">
        <v>11568</v>
      </c>
      <c r="C5824" s="6">
        <v>1000.0</v>
      </c>
      <c r="D5824" s="6">
        <v>4.0</v>
      </c>
      <c r="E5824" s="6">
        <v>10.0</v>
      </c>
    </row>
    <row r="5825">
      <c r="A5825" s="4" t="s">
        <v>11569</v>
      </c>
      <c r="B5825" s="5" t="s">
        <v>11570</v>
      </c>
      <c r="C5825" s="6">
        <v>1000.0</v>
      </c>
      <c r="D5825" s="6">
        <v>5.0</v>
      </c>
      <c r="E5825" s="6">
        <v>1.0</v>
      </c>
    </row>
    <row r="5826">
      <c r="A5826" s="4" t="s">
        <v>11571</v>
      </c>
      <c r="B5826" s="5" t="s">
        <v>11572</v>
      </c>
      <c r="C5826" s="6">
        <v>1000.0</v>
      </c>
      <c r="D5826" s="6">
        <v>3.637305699</v>
      </c>
      <c r="E5826" s="6">
        <v>193.0</v>
      </c>
    </row>
    <row r="5827">
      <c r="A5827" s="4" t="s">
        <v>11573</v>
      </c>
      <c r="B5827" s="5" t="s">
        <v>11574</v>
      </c>
      <c r="C5827" s="6">
        <v>1000.0</v>
      </c>
      <c r="D5827" s="6">
        <v>3.0</v>
      </c>
      <c r="E5827" s="6">
        <v>2.0</v>
      </c>
    </row>
    <row r="5828">
      <c r="A5828" s="4" t="s">
        <v>11575</v>
      </c>
      <c r="B5828" s="5" t="s">
        <v>11576</v>
      </c>
      <c r="C5828" s="6">
        <v>1000.0</v>
      </c>
      <c r="D5828" s="6">
        <v>3.666666667</v>
      </c>
      <c r="E5828" s="6">
        <v>3.0</v>
      </c>
    </row>
    <row r="5829">
      <c r="A5829" s="4" t="s">
        <v>11577</v>
      </c>
      <c r="B5829" s="5" t="s">
        <v>11578</v>
      </c>
      <c r="C5829" s="6">
        <v>1000.0</v>
      </c>
      <c r="D5829" s="6">
        <v>4.714285714</v>
      </c>
      <c r="E5829" s="6">
        <v>7.0</v>
      </c>
    </row>
    <row r="5830">
      <c r="A5830" s="4" t="s">
        <v>11579</v>
      </c>
      <c r="B5830" s="5" t="s">
        <v>11580</v>
      </c>
      <c r="C5830" s="6">
        <v>1000.0</v>
      </c>
      <c r="D5830" s="6">
        <v>5.0</v>
      </c>
      <c r="E5830" s="6">
        <v>3.0</v>
      </c>
    </row>
    <row r="5831">
      <c r="A5831" s="4" t="s">
        <v>11581</v>
      </c>
      <c r="B5831" s="5" t="s">
        <v>11582</v>
      </c>
      <c r="C5831" s="6">
        <v>1000.0</v>
      </c>
      <c r="D5831" s="6">
        <v>1.0</v>
      </c>
      <c r="E5831" s="6">
        <v>1.0</v>
      </c>
    </row>
    <row r="5832">
      <c r="A5832" s="4" t="s">
        <v>11583</v>
      </c>
      <c r="B5832" s="5" t="s">
        <v>11584</v>
      </c>
      <c r="C5832" s="6">
        <v>1000.0</v>
      </c>
      <c r="D5832" s="6">
        <v>4.428571429</v>
      </c>
      <c r="E5832" s="6">
        <v>7.0</v>
      </c>
    </row>
    <row r="5833">
      <c r="A5833" s="4" t="s">
        <v>11585</v>
      </c>
      <c r="B5833" s="5" t="s">
        <v>11586</v>
      </c>
      <c r="C5833" s="6">
        <v>1000.0</v>
      </c>
      <c r="D5833" s="6">
        <v>3.75</v>
      </c>
      <c r="E5833" s="6">
        <v>4.0</v>
      </c>
    </row>
    <row r="5834">
      <c r="A5834" s="4" t="s">
        <v>11587</v>
      </c>
      <c r="B5834" s="5" t="s">
        <v>11588</v>
      </c>
      <c r="C5834" s="6">
        <v>1000.0</v>
      </c>
      <c r="D5834" s="6">
        <v>4.428571429</v>
      </c>
      <c r="E5834" s="6">
        <v>7.0</v>
      </c>
    </row>
    <row r="5835">
      <c r="A5835" s="4" t="s">
        <v>11589</v>
      </c>
      <c r="B5835" s="5" t="s">
        <v>11590</v>
      </c>
      <c r="C5835" s="6">
        <v>1000.0</v>
      </c>
      <c r="D5835" s="6">
        <v>4.916666667</v>
      </c>
      <c r="E5835" s="6">
        <v>12.0</v>
      </c>
    </row>
    <row r="5836">
      <c r="A5836" s="4" t="s">
        <v>11591</v>
      </c>
      <c r="B5836" s="5" t="s">
        <v>11592</v>
      </c>
      <c r="C5836" s="6">
        <v>1000.0</v>
      </c>
      <c r="D5836" s="6">
        <v>5.0</v>
      </c>
      <c r="E5836" s="6">
        <v>1.0</v>
      </c>
    </row>
    <row r="5837">
      <c r="A5837" s="4" t="s">
        <v>11593</v>
      </c>
      <c r="B5837" s="5" t="s">
        <v>11594</v>
      </c>
      <c r="C5837" s="6">
        <v>1000.0</v>
      </c>
      <c r="D5837" s="6">
        <v>2.0</v>
      </c>
      <c r="E5837" s="6">
        <v>4.0</v>
      </c>
    </row>
    <row r="5838">
      <c r="A5838" s="4" t="s">
        <v>11595</v>
      </c>
      <c r="B5838" s="5" t="s">
        <v>11596</v>
      </c>
      <c r="C5838" s="6">
        <v>1000.0</v>
      </c>
      <c r="D5838" s="6">
        <v>4.0</v>
      </c>
      <c r="E5838" s="6">
        <v>3.0</v>
      </c>
    </row>
    <row r="5839">
      <c r="A5839" s="4" t="s">
        <v>11597</v>
      </c>
      <c r="B5839" s="5" t="s">
        <v>11598</v>
      </c>
      <c r="C5839" s="6">
        <v>1000.0</v>
      </c>
      <c r="D5839" s="6">
        <v>5.0</v>
      </c>
      <c r="E5839" s="6">
        <v>1.0</v>
      </c>
    </row>
    <row r="5840">
      <c r="A5840" s="4" t="s">
        <v>11599</v>
      </c>
      <c r="B5840" s="5" t="s">
        <v>11600</v>
      </c>
      <c r="C5840" s="6">
        <v>1000.0</v>
      </c>
      <c r="D5840" s="6">
        <v>4.156862745</v>
      </c>
      <c r="E5840" s="6">
        <v>51.0</v>
      </c>
    </row>
    <row r="5841">
      <c r="A5841" s="4" t="s">
        <v>11601</v>
      </c>
      <c r="B5841" s="5" t="s">
        <v>11602</v>
      </c>
      <c r="C5841" s="6">
        <v>1000.0</v>
      </c>
      <c r="D5841" s="6">
        <v>3.0</v>
      </c>
      <c r="E5841" s="6">
        <v>2.0</v>
      </c>
    </row>
    <row r="5842">
      <c r="A5842" s="4" t="s">
        <v>11603</v>
      </c>
      <c r="B5842" s="5" t="s">
        <v>11604</v>
      </c>
      <c r="C5842" s="6">
        <v>1000.0</v>
      </c>
      <c r="D5842" s="6">
        <v>4.5</v>
      </c>
      <c r="E5842" s="6">
        <v>2.0</v>
      </c>
    </row>
    <row r="5843">
      <c r="A5843" s="4" t="s">
        <v>11605</v>
      </c>
      <c r="B5843" s="5" t="s">
        <v>11606</v>
      </c>
      <c r="C5843" s="6">
        <v>1000.0</v>
      </c>
      <c r="D5843" s="6">
        <v>2.615384615</v>
      </c>
      <c r="E5843" s="6">
        <v>13.0</v>
      </c>
    </row>
    <row r="5844">
      <c r="A5844" s="4" t="s">
        <v>11607</v>
      </c>
      <c r="B5844" s="5" t="s">
        <v>11608</v>
      </c>
      <c r="C5844" s="6">
        <v>1000.0</v>
      </c>
      <c r="D5844" s="6">
        <v>3.307692308</v>
      </c>
      <c r="E5844" s="6">
        <v>13.0</v>
      </c>
    </row>
    <row r="5845">
      <c r="A5845" s="4" t="s">
        <v>11609</v>
      </c>
      <c r="B5845" s="5" t="s">
        <v>11610</v>
      </c>
      <c r="C5845" s="6">
        <v>1000.0</v>
      </c>
      <c r="D5845" s="6">
        <v>5.0</v>
      </c>
      <c r="E5845" s="6">
        <v>1.0</v>
      </c>
    </row>
    <row r="5846">
      <c r="A5846" s="4" t="s">
        <v>11611</v>
      </c>
      <c r="B5846" s="5" t="s">
        <v>11612</v>
      </c>
      <c r="C5846" s="6">
        <v>1000.0</v>
      </c>
      <c r="D5846" s="6">
        <v>3.25</v>
      </c>
      <c r="E5846" s="6">
        <v>16.0</v>
      </c>
    </row>
    <row r="5847">
      <c r="A5847" s="4" t="s">
        <v>11613</v>
      </c>
      <c r="B5847" s="5" t="s">
        <v>11614</v>
      </c>
      <c r="C5847" s="6">
        <v>1000.0</v>
      </c>
      <c r="D5847" s="6">
        <v>3.0</v>
      </c>
      <c r="E5847" s="6">
        <v>2.0</v>
      </c>
    </row>
    <row r="5848">
      <c r="A5848" s="4" t="s">
        <v>11615</v>
      </c>
      <c r="B5848" s="5" t="s">
        <v>11616</v>
      </c>
      <c r="C5848" s="6">
        <v>1000.0</v>
      </c>
      <c r="D5848" s="6">
        <v>3.0</v>
      </c>
      <c r="E5848" s="6">
        <v>9.0</v>
      </c>
    </row>
    <row r="5849">
      <c r="A5849" s="4" t="s">
        <v>11617</v>
      </c>
      <c r="B5849" s="5" t="s">
        <v>11618</v>
      </c>
      <c r="C5849" s="6">
        <v>1000.0</v>
      </c>
      <c r="D5849" s="6">
        <v>3.461538462</v>
      </c>
      <c r="E5849" s="6">
        <v>13.0</v>
      </c>
    </row>
    <row r="5850">
      <c r="A5850" s="4" t="s">
        <v>11619</v>
      </c>
      <c r="B5850" s="5" t="s">
        <v>11620</v>
      </c>
      <c r="C5850" s="6">
        <v>1000.0</v>
      </c>
      <c r="D5850" s="6">
        <v>4.818181818</v>
      </c>
      <c r="E5850" s="6">
        <v>22.0</v>
      </c>
    </row>
    <row r="5851">
      <c r="A5851" s="4" t="s">
        <v>11621</v>
      </c>
      <c r="B5851" s="5" t="s">
        <v>11622</v>
      </c>
      <c r="C5851" s="6">
        <v>1000.0</v>
      </c>
      <c r="D5851" s="6">
        <v>4.0</v>
      </c>
      <c r="E5851" s="6">
        <v>1.0</v>
      </c>
    </row>
    <row r="5852">
      <c r="A5852" s="4" t="s">
        <v>11623</v>
      </c>
      <c r="B5852" s="5" t="s">
        <v>11624</v>
      </c>
      <c r="C5852" s="6">
        <v>1000.0</v>
      </c>
      <c r="D5852" s="6">
        <v>2.0</v>
      </c>
      <c r="E5852" s="6">
        <v>5.0</v>
      </c>
    </row>
    <row r="5853">
      <c r="A5853" s="4" t="s">
        <v>11625</v>
      </c>
      <c r="B5853" s="5" t="s">
        <v>11626</v>
      </c>
      <c r="C5853" s="6">
        <v>1000.0</v>
      </c>
      <c r="D5853" s="6">
        <v>4.8</v>
      </c>
      <c r="E5853" s="6">
        <v>5.0</v>
      </c>
    </row>
    <row r="5854">
      <c r="A5854" s="4" t="s">
        <v>11627</v>
      </c>
      <c r="B5854" s="5" t="s">
        <v>11628</v>
      </c>
      <c r="C5854" s="6">
        <v>1000.0</v>
      </c>
      <c r="D5854" s="6">
        <v>4.214285714</v>
      </c>
      <c r="E5854" s="6">
        <v>14.0</v>
      </c>
    </row>
    <row r="5855">
      <c r="A5855" s="4" t="s">
        <v>11629</v>
      </c>
      <c r="B5855" s="5" t="s">
        <v>11630</v>
      </c>
      <c r="C5855" s="6">
        <v>1000.0</v>
      </c>
      <c r="D5855" s="6">
        <v>3.0</v>
      </c>
      <c r="E5855" s="6">
        <v>10.0</v>
      </c>
    </row>
    <row r="5856">
      <c r="A5856" s="4" t="s">
        <v>11631</v>
      </c>
      <c r="B5856" s="5" t="s">
        <v>11632</v>
      </c>
      <c r="C5856" s="6">
        <v>1000.0</v>
      </c>
      <c r="D5856" s="6">
        <v>3.0</v>
      </c>
      <c r="E5856" s="6">
        <v>4.0</v>
      </c>
    </row>
    <row r="5857">
      <c r="A5857" s="4" t="s">
        <v>1897</v>
      </c>
      <c r="B5857" s="5" t="s">
        <v>11633</v>
      </c>
      <c r="C5857" s="6">
        <v>1000.0</v>
      </c>
      <c r="D5857" s="6">
        <v>3.571428571</v>
      </c>
      <c r="E5857" s="6">
        <v>14.0</v>
      </c>
    </row>
    <row r="5858">
      <c r="A5858" s="4" t="s">
        <v>11634</v>
      </c>
      <c r="B5858" s="5" t="s">
        <v>11635</v>
      </c>
      <c r="C5858" s="6">
        <v>1000.0</v>
      </c>
      <c r="D5858" s="6">
        <v>4.071428571</v>
      </c>
      <c r="E5858" s="6">
        <v>14.0</v>
      </c>
    </row>
    <row r="5859">
      <c r="A5859" s="4" t="s">
        <v>11636</v>
      </c>
      <c r="B5859" s="5" t="s">
        <v>11637</v>
      </c>
      <c r="C5859" s="6">
        <v>1000.0</v>
      </c>
      <c r="D5859" s="6">
        <v>4.545454545</v>
      </c>
      <c r="E5859" s="6">
        <v>11.0</v>
      </c>
    </row>
    <row r="5860">
      <c r="A5860" s="4" t="s">
        <v>11638</v>
      </c>
      <c r="B5860" s="5" t="s">
        <v>11639</v>
      </c>
      <c r="C5860" s="6">
        <v>1000.0</v>
      </c>
      <c r="D5860" s="6">
        <v>2.571428571</v>
      </c>
      <c r="E5860" s="6">
        <v>7.0</v>
      </c>
    </row>
    <row r="5861">
      <c r="A5861" s="4" t="s">
        <v>11640</v>
      </c>
      <c r="B5861" s="5" t="s">
        <v>11641</v>
      </c>
      <c r="C5861" s="6">
        <v>1000.0</v>
      </c>
      <c r="D5861" s="6">
        <v>4.021052632</v>
      </c>
      <c r="E5861" s="6">
        <v>95.0</v>
      </c>
    </row>
    <row r="5862">
      <c r="A5862" s="4" t="s">
        <v>11642</v>
      </c>
      <c r="B5862" s="5" t="s">
        <v>11643</v>
      </c>
      <c r="C5862" s="6">
        <v>1000.0</v>
      </c>
      <c r="D5862" s="6">
        <v>4.4</v>
      </c>
      <c r="E5862" s="6">
        <v>15.0</v>
      </c>
    </row>
    <row r="5863">
      <c r="A5863" s="4" t="s">
        <v>11644</v>
      </c>
      <c r="B5863" s="5" t="s">
        <v>11645</v>
      </c>
      <c r="C5863" s="6">
        <v>1000.0</v>
      </c>
      <c r="D5863" s="6">
        <v>4.3125</v>
      </c>
      <c r="E5863" s="6">
        <v>32.0</v>
      </c>
    </row>
    <row r="5864">
      <c r="A5864" s="4" t="s">
        <v>11646</v>
      </c>
      <c r="B5864" s="5" t="s">
        <v>11647</v>
      </c>
      <c r="C5864" s="6">
        <v>1000.0</v>
      </c>
      <c r="D5864" s="6">
        <v>3.954545455</v>
      </c>
      <c r="E5864" s="6">
        <v>44.0</v>
      </c>
    </row>
    <row r="5865">
      <c r="A5865" s="4" t="s">
        <v>11648</v>
      </c>
      <c r="B5865" s="5" t="s">
        <v>11649</v>
      </c>
      <c r="C5865" s="6">
        <v>1000.0</v>
      </c>
      <c r="D5865" s="6">
        <v>3.666666667</v>
      </c>
      <c r="E5865" s="6">
        <v>6.0</v>
      </c>
    </row>
    <row r="5866">
      <c r="A5866" s="5" t="s">
        <v>11650</v>
      </c>
      <c r="B5866" s="5" t="s">
        <v>11651</v>
      </c>
      <c r="C5866" s="6">
        <v>1000.0</v>
      </c>
      <c r="D5866" s="6">
        <v>3.933333333</v>
      </c>
      <c r="E5866" s="6">
        <v>60.0</v>
      </c>
    </row>
    <row r="5867">
      <c r="A5867" s="4" t="s">
        <v>11652</v>
      </c>
      <c r="B5867" s="5" t="s">
        <v>11653</v>
      </c>
      <c r="C5867" s="6">
        <v>1000.0</v>
      </c>
      <c r="D5867" s="6">
        <v>3.4</v>
      </c>
      <c r="E5867" s="6">
        <v>20.0</v>
      </c>
    </row>
    <row r="5868">
      <c r="A5868" s="4" t="s">
        <v>11654</v>
      </c>
      <c r="B5868" s="5" t="s">
        <v>11655</v>
      </c>
      <c r="C5868" s="6">
        <v>1000.0</v>
      </c>
      <c r="D5868" s="6">
        <v>4.636363636</v>
      </c>
      <c r="E5868" s="6">
        <v>11.0</v>
      </c>
    </row>
    <row r="5869">
      <c r="A5869" s="4" t="s">
        <v>5866</v>
      </c>
      <c r="B5869" s="5" t="s">
        <v>11656</v>
      </c>
      <c r="C5869" s="6">
        <v>1000.0</v>
      </c>
      <c r="D5869" s="6">
        <v>3.85</v>
      </c>
      <c r="E5869" s="6">
        <v>20.0</v>
      </c>
    </row>
    <row r="5870">
      <c r="A5870" s="4" t="s">
        <v>11657</v>
      </c>
      <c r="B5870" s="5" t="s">
        <v>11658</v>
      </c>
      <c r="C5870" s="6">
        <v>1000.0</v>
      </c>
      <c r="D5870" s="6">
        <v>4.903225806</v>
      </c>
      <c r="E5870" s="6">
        <v>93.0</v>
      </c>
    </row>
    <row r="5871">
      <c r="A5871" s="4" t="s">
        <v>11659</v>
      </c>
      <c r="B5871" s="5" t="s">
        <v>11660</v>
      </c>
      <c r="C5871" s="6">
        <v>1000.0</v>
      </c>
      <c r="D5871" s="6">
        <v>4.28</v>
      </c>
      <c r="E5871" s="6">
        <v>25.0</v>
      </c>
    </row>
    <row r="5872">
      <c r="A5872" s="4" t="s">
        <v>11661</v>
      </c>
      <c r="B5872" s="5" t="s">
        <v>11662</v>
      </c>
      <c r="C5872" s="6">
        <v>1000.0</v>
      </c>
      <c r="D5872" s="6">
        <v>4.166666667</v>
      </c>
      <c r="E5872" s="6">
        <v>6.0</v>
      </c>
    </row>
    <row r="5873">
      <c r="A5873" s="4" t="s">
        <v>11663</v>
      </c>
      <c r="B5873" s="5" t="s">
        <v>11664</v>
      </c>
      <c r="C5873" s="6">
        <v>1000.0</v>
      </c>
      <c r="D5873" s="6">
        <v>5.0</v>
      </c>
      <c r="E5873" s="6">
        <v>1.0</v>
      </c>
    </row>
    <row r="5874">
      <c r="A5874" s="4" t="s">
        <v>11665</v>
      </c>
      <c r="B5874" s="5" t="s">
        <v>11666</v>
      </c>
      <c r="C5874" s="6">
        <v>1000.0</v>
      </c>
      <c r="D5874" s="6">
        <v>3.5</v>
      </c>
      <c r="E5874" s="6">
        <v>8.0</v>
      </c>
    </row>
    <row r="5875">
      <c r="A5875" s="4" t="s">
        <v>11667</v>
      </c>
      <c r="B5875" s="5" t="s">
        <v>11668</v>
      </c>
      <c r="C5875" s="6">
        <v>1000.0</v>
      </c>
      <c r="D5875" s="6">
        <v>4.705882353</v>
      </c>
      <c r="E5875" s="6">
        <v>17.0</v>
      </c>
    </row>
    <row r="5876">
      <c r="A5876" s="4" t="s">
        <v>11669</v>
      </c>
      <c r="B5876" s="5" t="s">
        <v>11670</v>
      </c>
      <c r="C5876" s="6">
        <v>1000.0</v>
      </c>
      <c r="D5876" s="6">
        <v>4.777777778</v>
      </c>
      <c r="E5876" s="6">
        <v>63.0</v>
      </c>
    </row>
    <row r="5877">
      <c r="A5877" s="4" t="s">
        <v>11671</v>
      </c>
      <c r="B5877" s="5" t="s">
        <v>11672</v>
      </c>
      <c r="C5877" s="6">
        <v>1000.0</v>
      </c>
      <c r="D5877" s="6">
        <v>4.2</v>
      </c>
      <c r="E5877" s="6">
        <v>20.0</v>
      </c>
    </row>
    <row r="5878">
      <c r="A5878" s="4" t="s">
        <v>11673</v>
      </c>
      <c r="B5878" s="5" t="s">
        <v>11674</v>
      </c>
      <c r="C5878" s="6">
        <v>1000.0</v>
      </c>
      <c r="D5878" s="6">
        <v>4.347826087</v>
      </c>
      <c r="E5878" s="6">
        <v>23.0</v>
      </c>
    </row>
    <row r="5879">
      <c r="A5879" s="4" t="s">
        <v>11675</v>
      </c>
      <c r="B5879" s="5" t="s">
        <v>11676</v>
      </c>
      <c r="C5879" s="6">
        <v>1000.0</v>
      </c>
      <c r="D5879" s="6">
        <v>4.526315789</v>
      </c>
      <c r="E5879" s="6">
        <v>19.0</v>
      </c>
    </row>
    <row r="5880">
      <c r="A5880" s="4" t="s">
        <v>11677</v>
      </c>
      <c r="B5880" s="5" t="s">
        <v>11678</v>
      </c>
      <c r="C5880" s="6">
        <v>1000.0</v>
      </c>
      <c r="D5880" s="6">
        <v>5.0</v>
      </c>
      <c r="E5880" s="6">
        <v>1.0</v>
      </c>
    </row>
    <row r="5881">
      <c r="A5881" s="4" t="s">
        <v>11679</v>
      </c>
      <c r="B5881" s="5" t="s">
        <v>11680</v>
      </c>
      <c r="C5881" s="6">
        <v>1000.0</v>
      </c>
      <c r="D5881" s="6">
        <v>4.0</v>
      </c>
      <c r="E5881" s="6">
        <v>15.0</v>
      </c>
    </row>
    <row r="5882">
      <c r="A5882" s="4" t="s">
        <v>11681</v>
      </c>
      <c r="B5882" s="5" t="s">
        <v>11682</v>
      </c>
      <c r="C5882" s="6">
        <v>1000.0</v>
      </c>
      <c r="D5882" s="6">
        <v>5.0</v>
      </c>
      <c r="E5882" s="6">
        <v>3.0</v>
      </c>
    </row>
    <row r="5883">
      <c r="A5883" s="4" t="s">
        <v>11683</v>
      </c>
      <c r="B5883" s="5" t="s">
        <v>11684</v>
      </c>
      <c r="C5883" s="6">
        <v>1000.0</v>
      </c>
      <c r="D5883" s="6">
        <v>4.166666667</v>
      </c>
      <c r="E5883" s="6">
        <v>18.0</v>
      </c>
    </row>
    <row r="5884">
      <c r="A5884" s="4" t="s">
        <v>11685</v>
      </c>
      <c r="B5884" s="5" t="s">
        <v>11686</v>
      </c>
      <c r="C5884" s="6">
        <v>1000.0</v>
      </c>
      <c r="D5884" s="6">
        <v>5.0</v>
      </c>
      <c r="E5884" s="6">
        <v>8.0</v>
      </c>
    </row>
    <row r="5885">
      <c r="A5885" s="4" t="s">
        <v>11687</v>
      </c>
      <c r="B5885" s="5" t="s">
        <v>11688</v>
      </c>
      <c r="C5885" s="6">
        <v>1000.0</v>
      </c>
      <c r="D5885" s="6">
        <v>5.0</v>
      </c>
      <c r="E5885" s="6">
        <v>1.0</v>
      </c>
    </row>
    <row r="5886">
      <c r="A5886" s="4" t="s">
        <v>11689</v>
      </c>
      <c r="B5886" s="5" t="s">
        <v>11690</v>
      </c>
      <c r="C5886" s="6">
        <v>1000.0</v>
      </c>
      <c r="D5886" s="9"/>
      <c r="E5886" s="9"/>
    </row>
    <row r="5887">
      <c r="A5887" s="4" t="s">
        <v>11691</v>
      </c>
      <c r="B5887" s="5" t="s">
        <v>11692</v>
      </c>
      <c r="C5887" s="6">
        <v>1000.0</v>
      </c>
      <c r="D5887" s="6">
        <v>2.5</v>
      </c>
      <c r="E5887" s="6">
        <v>2.0</v>
      </c>
    </row>
    <row r="5888">
      <c r="A5888" s="4" t="s">
        <v>11693</v>
      </c>
      <c r="B5888" s="5" t="s">
        <v>11694</v>
      </c>
      <c r="C5888" s="6">
        <v>1000.0</v>
      </c>
      <c r="D5888" s="6">
        <v>1.0</v>
      </c>
      <c r="E5888" s="6">
        <v>1.0</v>
      </c>
    </row>
    <row r="5889">
      <c r="A5889" s="4" t="s">
        <v>2213</v>
      </c>
      <c r="B5889" s="5" t="s">
        <v>11695</v>
      </c>
      <c r="C5889" s="6">
        <v>1000.0</v>
      </c>
      <c r="D5889" s="6">
        <v>4.25</v>
      </c>
      <c r="E5889" s="6">
        <v>12.0</v>
      </c>
    </row>
    <row r="5890">
      <c r="A5890" s="4" t="s">
        <v>11696</v>
      </c>
      <c r="B5890" s="5" t="s">
        <v>11697</v>
      </c>
      <c r="C5890" s="6">
        <v>1000.0</v>
      </c>
      <c r="D5890" s="6">
        <v>5.0</v>
      </c>
      <c r="E5890" s="6">
        <v>7.0</v>
      </c>
    </row>
    <row r="5891">
      <c r="A5891" s="4" t="s">
        <v>11698</v>
      </c>
      <c r="B5891" s="5" t="s">
        <v>11699</v>
      </c>
      <c r="C5891" s="6">
        <v>1000.0</v>
      </c>
      <c r="D5891" s="6">
        <v>4.818181818</v>
      </c>
      <c r="E5891" s="6">
        <v>22.0</v>
      </c>
    </row>
    <row r="5892">
      <c r="A5892" s="4" t="s">
        <v>11700</v>
      </c>
      <c r="B5892" s="5" t="s">
        <v>11701</v>
      </c>
      <c r="C5892" s="6">
        <v>1000.0</v>
      </c>
      <c r="D5892" s="6">
        <v>3.772727273</v>
      </c>
      <c r="E5892" s="6">
        <v>22.0</v>
      </c>
    </row>
    <row r="5893">
      <c r="A5893" s="4" t="s">
        <v>11702</v>
      </c>
      <c r="B5893" s="5" t="s">
        <v>11703</v>
      </c>
      <c r="C5893" s="6">
        <v>1000.0</v>
      </c>
      <c r="D5893" s="6">
        <v>5.0</v>
      </c>
      <c r="E5893" s="6">
        <v>4.0</v>
      </c>
    </row>
    <row r="5894">
      <c r="A5894" s="4" t="s">
        <v>11704</v>
      </c>
      <c r="B5894" s="5" t="s">
        <v>11705</v>
      </c>
      <c r="C5894" s="6">
        <v>1000.0</v>
      </c>
      <c r="D5894" s="6">
        <v>2.862745098</v>
      </c>
      <c r="E5894" s="6">
        <v>51.0</v>
      </c>
    </row>
    <row r="5895">
      <c r="A5895" s="4" t="s">
        <v>11706</v>
      </c>
      <c r="B5895" s="5" t="s">
        <v>11707</v>
      </c>
      <c r="C5895" s="6">
        <v>1000.0</v>
      </c>
      <c r="D5895" s="6">
        <v>5.0</v>
      </c>
      <c r="E5895" s="6">
        <v>4.0</v>
      </c>
    </row>
    <row r="5896">
      <c r="A5896" s="4" t="s">
        <v>11708</v>
      </c>
      <c r="B5896" s="5" t="s">
        <v>11709</v>
      </c>
      <c r="C5896" s="6">
        <v>1000.0</v>
      </c>
      <c r="D5896" s="6">
        <v>4.181818182</v>
      </c>
      <c r="E5896" s="6">
        <v>22.0</v>
      </c>
    </row>
    <row r="5897">
      <c r="A5897" s="4" t="s">
        <v>11710</v>
      </c>
      <c r="B5897" s="5" t="s">
        <v>11711</v>
      </c>
      <c r="C5897" s="6">
        <v>1000.0</v>
      </c>
      <c r="D5897" s="6">
        <v>3.823529412</v>
      </c>
      <c r="E5897" s="6">
        <v>17.0</v>
      </c>
    </row>
    <row r="5898">
      <c r="A5898" s="4" t="s">
        <v>11712</v>
      </c>
      <c r="B5898" s="5" t="s">
        <v>11713</v>
      </c>
      <c r="C5898" s="6">
        <v>1000.0</v>
      </c>
      <c r="D5898" s="6">
        <v>4.333333333</v>
      </c>
      <c r="E5898" s="6">
        <v>60.0</v>
      </c>
    </row>
    <row r="5899">
      <c r="A5899" s="4" t="s">
        <v>11714</v>
      </c>
      <c r="B5899" s="5" t="s">
        <v>11715</v>
      </c>
      <c r="C5899" s="6">
        <v>1000.0</v>
      </c>
      <c r="D5899" s="6">
        <v>5.0</v>
      </c>
      <c r="E5899" s="6">
        <v>1.0</v>
      </c>
    </row>
    <row r="5900">
      <c r="A5900" s="4" t="s">
        <v>11716</v>
      </c>
      <c r="B5900" s="5" t="s">
        <v>11717</v>
      </c>
      <c r="C5900" s="6">
        <v>1000.0</v>
      </c>
      <c r="D5900" s="6">
        <v>5.0</v>
      </c>
      <c r="E5900" s="6">
        <v>17.0</v>
      </c>
    </row>
    <row r="5901">
      <c r="A5901" s="4" t="s">
        <v>11718</v>
      </c>
      <c r="B5901" s="5" t="s">
        <v>11719</v>
      </c>
      <c r="C5901" s="6">
        <v>1000.0</v>
      </c>
      <c r="D5901" s="6">
        <v>4.333333333</v>
      </c>
      <c r="E5901" s="6">
        <v>3.0</v>
      </c>
    </row>
    <row r="5902">
      <c r="A5902" s="4" t="s">
        <v>11720</v>
      </c>
      <c r="B5902" s="5" t="s">
        <v>11721</v>
      </c>
      <c r="C5902" s="6">
        <v>1000.0</v>
      </c>
      <c r="D5902" s="6">
        <v>4.2</v>
      </c>
      <c r="E5902" s="6">
        <v>5.0</v>
      </c>
    </row>
    <row r="5903">
      <c r="A5903" s="4" t="s">
        <v>11722</v>
      </c>
      <c r="B5903" s="5" t="s">
        <v>11723</v>
      </c>
      <c r="C5903" s="6">
        <v>1000.0</v>
      </c>
      <c r="D5903" s="6">
        <v>3.604651163</v>
      </c>
      <c r="E5903" s="6">
        <v>43.0</v>
      </c>
    </row>
    <row r="5904">
      <c r="A5904" s="4" t="s">
        <v>11724</v>
      </c>
      <c r="B5904" s="5" t="s">
        <v>11725</v>
      </c>
      <c r="C5904" s="6">
        <v>1000.0</v>
      </c>
      <c r="D5904" s="6">
        <v>2.666666667</v>
      </c>
      <c r="E5904" s="6">
        <v>9.0</v>
      </c>
    </row>
    <row r="5905">
      <c r="A5905" s="4" t="s">
        <v>11726</v>
      </c>
      <c r="B5905" s="5" t="s">
        <v>11727</v>
      </c>
      <c r="C5905" s="6">
        <v>1000.0</v>
      </c>
      <c r="D5905" s="6">
        <v>1.0</v>
      </c>
      <c r="E5905" s="6">
        <v>4.0</v>
      </c>
    </row>
    <row r="5906">
      <c r="A5906" s="4" t="s">
        <v>11728</v>
      </c>
      <c r="B5906" s="5" t="s">
        <v>11729</v>
      </c>
      <c r="C5906" s="6">
        <v>1000.0</v>
      </c>
      <c r="D5906" s="6">
        <v>5.0</v>
      </c>
      <c r="E5906" s="6">
        <v>3.0</v>
      </c>
    </row>
    <row r="5907">
      <c r="A5907" s="4" t="s">
        <v>11730</v>
      </c>
      <c r="B5907" s="5" t="s">
        <v>11731</v>
      </c>
      <c r="C5907" s="6">
        <v>1000.0</v>
      </c>
      <c r="D5907" s="6">
        <v>5.0</v>
      </c>
      <c r="E5907" s="6">
        <v>2.0</v>
      </c>
    </row>
    <row r="5908">
      <c r="A5908" s="4" t="s">
        <v>11732</v>
      </c>
      <c r="B5908" s="5" t="s">
        <v>11733</v>
      </c>
      <c r="C5908" s="6">
        <v>1000.0</v>
      </c>
      <c r="D5908" s="6">
        <v>5.0</v>
      </c>
      <c r="E5908" s="6">
        <v>5.0</v>
      </c>
    </row>
    <row r="5909">
      <c r="A5909" s="4" t="s">
        <v>11734</v>
      </c>
      <c r="B5909" s="5" t="s">
        <v>11735</v>
      </c>
      <c r="C5909" s="6">
        <v>1000.0</v>
      </c>
      <c r="D5909" s="6">
        <v>3.0</v>
      </c>
      <c r="E5909" s="6">
        <v>4.0</v>
      </c>
    </row>
    <row r="5910">
      <c r="A5910" s="4" t="s">
        <v>11736</v>
      </c>
      <c r="B5910" s="5" t="s">
        <v>11737</v>
      </c>
      <c r="C5910" s="6">
        <v>1000.0</v>
      </c>
      <c r="D5910" s="6">
        <v>3.666666667</v>
      </c>
      <c r="E5910" s="6">
        <v>6.0</v>
      </c>
    </row>
    <row r="5911">
      <c r="A5911" s="4" t="s">
        <v>11738</v>
      </c>
      <c r="B5911" s="5" t="s">
        <v>11739</v>
      </c>
      <c r="C5911" s="6">
        <v>1000.0</v>
      </c>
      <c r="D5911" s="6">
        <v>2.666666667</v>
      </c>
      <c r="E5911" s="6">
        <v>3.0</v>
      </c>
    </row>
    <row r="5912">
      <c r="A5912" s="4" t="s">
        <v>11740</v>
      </c>
      <c r="B5912" s="5" t="s">
        <v>11741</v>
      </c>
      <c r="C5912" s="6">
        <v>1000.0</v>
      </c>
      <c r="D5912" s="6">
        <v>5.0</v>
      </c>
      <c r="E5912" s="6">
        <v>3.0</v>
      </c>
    </row>
    <row r="5913">
      <c r="A5913" s="4" t="s">
        <v>11742</v>
      </c>
      <c r="B5913" s="5" t="s">
        <v>11743</v>
      </c>
      <c r="C5913" s="6">
        <v>1000.0</v>
      </c>
      <c r="D5913" s="6">
        <v>4.083333333</v>
      </c>
      <c r="E5913" s="6">
        <v>24.0</v>
      </c>
    </row>
    <row r="5914">
      <c r="A5914" s="4" t="s">
        <v>11744</v>
      </c>
      <c r="B5914" s="5" t="s">
        <v>11745</v>
      </c>
      <c r="C5914" s="6">
        <v>1000.0</v>
      </c>
      <c r="D5914" s="6">
        <v>3.4</v>
      </c>
      <c r="E5914" s="6">
        <v>5.0</v>
      </c>
    </row>
    <row r="5915">
      <c r="A5915" s="4" t="s">
        <v>11746</v>
      </c>
      <c r="B5915" s="5" t="s">
        <v>11747</v>
      </c>
      <c r="C5915" s="6">
        <v>1000.0</v>
      </c>
      <c r="D5915" s="6">
        <v>2.571428571</v>
      </c>
      <c r="E5915" s="6">
        <v>14.0</v>
      </c>
    </row>
    <row r="5916">
      <c r="A5916" s="4" t="s">
        <v>11748</v>
      </c>
      <c r="B5916" s="5" t="s">
        <v>11749</v>
      </c>
      <c r="C5916" s="6">
        <v>1000.0</v>
      </c>
      <c r="D5916" s="6">
        <v>3.769230769</v>
      </c>
      <c r="E5916" s="6">
        <v>13.0</v>
      </c>
    </row>
    <row r="5917">
      <c r="A5917" s="4" t="s">
        <v>11750</v>
      </c>
      <c r="B5917" s="5" t="s">
        <v>11751</v>
      </c>
      <c r="C5917" s="6">
        <v>1000.0</v>
      </c>
      <c r="D5917" s="6">
        <v>4.5625</v>
      </c>
      <c r="E5917" s="6">
        <v>16.0</v>
      </c>
    </row>
    <row r="5918">
      <c r="A5918" s="4" t="s">
        <v>11752</v>
      </c>
      <c r="B5918" s="5" t="s">
        <v>11753</v>
      </c>
      <c r="C5918" s="6">
        <v>1000.0</v>
      </c>
      <c r="D5918" s="6">
        <v>4.857142857</v>
      </c>
      <c r="E5918" s="6">
        <v>14.0</v>
      </c>
    </row>
    <row r="5919">
      <c r="A5919" s="4" t="s">
        <v>10325</v>
      </c>
      <c r="B5919" s="5" t="s">
        <v>11754</v>
      </c>
      <c r="C5919" s="6">
        <v>1000.0</v>
      </c>
      <c r="D5919" s="6">
        <v>4.0</v>
      </c>
      <c r="E5919" s="6">
        <v>20.0</v>
      </c>
    </row>
    <row r="5920">
      <c r="A5920" s="4" t="s">
        <v>11755</v>
      </c>
      <c r="B5920" s="5" t="s">
        <v>11756</v>
      </c>
      <c r="C5920" s="6">
        <v>1000.0</v>
      </c>
      <c r="D5920" s="6">
        <v>4.6</v>
      </c>
      <c r="E5920" s="6">
        <v>10.0</v>
      </c>
    </row>
    <row r="5921">
      <c r="A5921" s="4" t="s">
        <v>11757</v>
      </c>
      <c r="B5921" s="5" t="s">
        <v>11758</v>
      </c>
      <c r="C5921" s="6">
        <v>1000.0</v>
      </c>
      <c r="D5921" s="6">
        <v>4.166666667</v>
      </c>
      <c r="E5921" s="6">
        <v>6.0</v>
      </c>
    </row>
    <row r="5922">
      <c r="A5922" s="4" t="s">
        <v>11759</v>
      </c>
      <c r="B5922" s="5" t="s">
        <v>11760</v>
      </c>
      <c r="C5922" s="6">
        <v>1000.0</v>
      </c>
      <c r="D5922" s="6">
        <v>4.703703704</v>
      </c>
      <c r="E5922" s="6">
        <v>27.0</v>
      </c>
    </row>
    <row r="5923">
      <c r="A5923" s="4" t="s">
        <v>11761</v>
      </c>
      <c r="B5923" s="5" t="s">
        <v>11762</v>
      </c>
      <c r="C5923" s="6">
        <v>1000.0</v>
      </c>
      <c r="D5923" s="6">
        <v>1.606060606</v>
      </c>
      <c r="E5923" s="6">
        <v>33.0</v>
      </c>
    </row>
    <row r="5924">
      <c r="A5924" s="4" t="s">
        <v>11763</v>
      </c>
      <c r="B5924" s="5" t="s">
        <v>11764</v>
      </c>
      <c r="C5924" s="6">
        <v>1000.0</v>
      </c>
      <c r="D5924" s="6">
        <v>3.086956522</v>
      </c>
      <c r="E5924" s="6">
        <v>23.0</v>
      </c>
    </row>
    <row r="5925">
      <c r="A5925" s="4" t="s">
        <v>11765</v>
      </c>
      <c r="B5925" s="5" t="s">
        <v>11766</v>
      </c>
      <c r="C5925" s="6">
        <v>1000.0</v>
      </c>
      <c r="D5925" s="6">
        <v>4.5</v>
      </c>
      <c r="E5925" s="6">
        <v>2.0</v>
      </c>
    </row>
    <row r="5926">
      <c r="A5926" s="4" t="s">
        <v>11767</v>
      </c>
      <c r="B5926" s="5" t="s">
        <v>11768</v>
      </c>
      <c r="C5926" s="6">
        <v>1000.0</v>
      </c>
      <c r="D5926" s="6">
        <v>3.846153846</v>
      </c>
      <c r="E5926" s="6">
        <v>13.0</v>
      </c>
    </row>
    <row r="5927">
      <c r="A5927" s="4" t="s">
        <v>11769</v>
      </c>
      <c r="B5927" s="5" t="s">
        <v>11770</v>
      </c>
      <c r="C5927" s="6">
        <v>1000.0</v>
      </c>
      <c r="D5927" s="6">
        <v>5.0</v>
      </c>
      <c r="E5927" s="6">
        <v>1.0</v>
      </c>
    </row>
    <row r="5928">
      <c r="A5928" s="4" t="s">
        <v>11771</v>
      </c>
      <c r="B5928" s="5" t="s">
        <v>11772</v>
      </c>
      <c r="C5928" s="6">
        <v>1000.0</v>
      </c>
      <c r="D5928" s="6">
        <v>1.0</v>
      </c>
      <c r="E5928" s="6">
        <v>8.0</v>
      </c>
    </row>
    <row r="5929">
      <c r="A5929" s="4" t="s">
        <v>11773</v>
      </c>
      <c r="B5929" s="5" t="s">
        <v>11774</v>
      </c>
      <c r="C5929" s="6">
        <v>1000.0</v>
      </c>
      <c r="D5929" s="6">
        <v>4.0</v>
      </c>
      <c r="E5929" s="6">
        <v>6.0</v>
      </c>
    </row>
    <row r="5930">
      <c r="A5930" s="4" t="s">
        <v>11775</v>
      </c>
      <c r="B5930" s="5" t="s">
        <v>11776</v>
      </c>
      <c r="C5930" s="6">
        <v>1000.0</v>
      </c>
      <c r="D5930" s="6">
        <v>3.222222222</v>
      </c>
      <c r="E5930" s="6">
        <v>9.0</v>
      </c>
    </row>
    <row r="5931">
      <c r="A5931" s="4" t="s">
        <v>11777</v>
      </c>
      <c r="B5931" s="5" t="s">
        <v>11778</v>
      </c>
      <c r="C5931" s="6">
        <v>1000.0</v>
      </c>
      <c r="D5931" s="6">
        <v>3.625</v>
      </c>
      <c r="E5931" s="6">
        <v>8.0</v>
      </c>
    </row>
    <row r="5932">
      <c r="A5932" s="4" t="s">
        <v>11779</v>
      </c>
      <c r="B5932" s="5" t="s">
        <v>11780</v>
      </c>
      <c r="C5932" s="6">
        <v>1000.0</v>
      </c>
      <c r="D5932" s="6">
        <v>5.0</v>
      </c>
      <c r="E5932" s="6">
        <v>12.0</v>
      </c>
    </row>
    <row r="5933">
      <c r="A5933" s="4" t="s">
        <v>11781</v>
      </c>
      <c r="B5933" s="5" t="s">
        <v>11782</v>
      </c>
      <c r="C5933" s="6">
        <v>1000.0</v>
      </c>
      <c r="D5933" s="6">
        <v>2.5</v>
      </c>
      <c r="E5933" s="6">
        <v>12.0</v>
      </c>
    </row>
    <row r="5934">
      <c r="A5934" s="4" t="s">
        <v>11783</v>
      </c>
      <c r="B5934" s="5" t="s">
        <v>11784</v>
      </c>
      <c r="C5934" s="6">
        <v>1000.0</v>
      </c>
      <c r="D5934" s="6">
        <v>3.857142857</v>
      </c>
      <c r="E5934" s="6">
        <v>7.0</v>
      </c>
    </row>
    <row r="5935">
      <c r="A5935" s="4" t="s">
        <v>11785</v>
      </c>
      <c r="B5935" s="5" t="s">
        <v>11786</v>
      </c>
      <c r="C5935" s="6">
        <v>1000.0</v>
      </c>
      <c r="D5935" s="6">
        <v>5.0</v>
      </c>
      <c r="E5935" s="6">
        <v>3.0</v>
      </c>
    </row>
    <row r="5936">
      <c r="A5936" s="4" t="s">
        <v>11787</v>
      </c>
      <c r="B5936" s="5" t="s">
        <v>11788</v>
      </c>
      <c r="C5936" s="6">
        <v>1000.0</v>
      </c>
      <c r="D5936" s="6">
        <v>3.75</v>
      </c>
      <c r="E5936" s="6">
        <v>4.0</v>
      </c>
    </row>
    <row r="5937">
      <c r="A5937" s="4" t="s">
        <v>11789</v>
      </c>
      <c r="B5937" s="5" t="s">
        <v>11790</v>
      </c>
      <c r="C5937" s="6">
        <v>1000.0</v>
      </c>
      <c r="D5937" s="6">
        <v>4.176470588</v>
      </c>
      <c r="E5937" s="6">
        <v>17.0</v>
      </c>
    </row>
    <row r="5938">
      <c r="A5938" s="4" t="s">
        <v>11791</v>
      </c>
      <c r="B5938" s="5" t="s">
        <v>11792</v>
      </c>
      <c r="C5938" s="6">
        <v>1000.0</v>
      </c>
      <c r="D5938" s="6">
        <v>4.545454545</v>
      </c>
      <c r="E5938" s="6">
        <v>11.0</v>
      </c>
    </row>
    <row r="5939">
      <c r="A5939" s="4" t="s">
        <v>11793</v>
      </c>
      <c r="B5939" s="5" t="s">
        <v>11794</v>
      </c>
      <c r="C5939" s="6">
        <v>1000.0</v>
      </c>
      <c r="D5939" s="6">
        <v>1.75</v>
      </c>
      <c r="E5939" s="6">
        <v>12.0</v>
      </c>
    </row>
    <row r="5940">
      <c r="A5940" s="4" t="s">
        <v>11795</v>
      </c>
      <c r="B5940" s="5" t="s">
        <v>11796</v>
      </c>
      <c r="C5940" s="6">
        <v>1000.0</v>
      </c>
      <c r="D5940" s="6">
        <v>4.3</v>
      </c>
      <c r="E5940" s="6">
        <v>30.0</v>
      </c>
    </row>
    <row r="5941">
      <c r="A5941" s="4" t="s">
        <v>11797</v>
      </c>
      <c r="B5941" s="5" t="s">
        <v>11798</v>
      </c>
      <c r="C5941" s="6">
        <v>1000.0</v>
      </c>
      <c r="D5941" s="6">
        <v>3.824324324</v>
      </c>
      <c r="E5941" s="6">
        <v>74.0</v>
      </c>
    </row>
    <row r="5942">
      <c r="A5942" s="4" t="s">
        <v>11799</v>
      </c>
      <c r="B5942" s="5" t="s">
        <v>11800</v>
      </c>
      <c r="C5942" s="6">
        <v>1000.0</v>
      </c>
      <c r="D5942" s="6">
        <v>4.833333333</v>
      </c>
      <c r="E5942" s="6">
        <v>24.0</v>
      </c>
    </row>
    <row r="5943">
      <c r="A5943" s="4" t="s">
        <v>11801</v>
      </c>
      <c r="B5943" s="5" t="s">
        <v>11802</v>
      </c>
      <c r="C5943" s="6">
        <v>1000.0</v>
      </c>
      <c r="D5943" s="6">
        <v>3.333333333</v>
      </c>
      <c r="E5943" s="6">
        <v>12.0</v>
      </c>
    </row>
    <row r="5944">
      <c r="A5944" s="4" t="s">
        <v>11803</v>
      </c>
      <c r="B5944" s="5" t="s">
        <v>11804</v>
      </c>
      <c r="C5944" s="6">
        <v>1000.0</v>
      </c>
      <c r="D5944" s="6">
        <v>4.2</v>
      </c>
      <c r="E5944" s="6">
        <v>25.0</v>
      </c>
    </row>
    <row r="5945">
      <c r="A5945" s="4" t="s">
        <v>11805</v>
      </c>
      <c r="B5945" s="5" t="s">
        <v>11806</v>
      </c>
      <c r="C5945" s="6">
        <v>1000.0</v>
      </c>
      <c r="D5945" s="6">
        <v>2.823529412</v>
      </c>
      <c r="E5945" s="6">
        <v>17.0</v>
      </c>
    </row>
    <row r="5946">
      <c r="A5946" s="4" t="s">
        <v>11807</v>
      </c>
      <c r="B5946" s="5" t="s">
        <v>11808</v>
      </c>
      <c r="C5946" s="6">
        <v>1000.0</v>
      </c>
      <c r="D5946" s="6">
        <v>3.5</v>
      </c>
      <c r="E5946" s="6">
        <v>10.0</v>
      </c>
    </row>
    <row r="5947">
      <c r="A5947" s="4" t="s">
        <v>11809</v>
      </c>
      <c r="B5947" s="5" t="s">
        <v>11810</v>
      </c>
      <c r="C5947" s="6">
        <v>1000.0</v>
      </c>
      <c r="D5947" s="6">
        <v>4.722891566</v>
      </c>
      <c r="E5947" s="6">
        <v>83.0</v>
      </c>
    </row>
    <row r="5948">
      <c r="A5948" s="4" t="s">
        <v>11811</v>
      </c>
      <c r="B5948" s="5" t="s">
        <v>11812</v>
      </c>
      <c r="C5948" s="6">
        <v>1000.0</v>
      </c>
      <c r="D5948" s="6">
        <v>3.5</v>
      </c>
      <c r="E5948" s="6">
        <v>4.0</v>
      </c>
    </row>
    <row r="5949">
      <c r="A5949" s="4" t="s">
        <v>11813</v>
      </c>
      <c r="B5949" s="5" t="s">
        <v>11814</v>
      </c>
      <c r="C5949" s="6">
        <v>1000.0</v>
      </c>
      <c r="D5949" s="6">
        <v>4.0</v>
      </c>
      <c r="E5949" s="6">
        <v>4.0</v>
      </c>
    </row>
    <row r="5950">
      <c r="A5950" s="4" t="s">
        <v>11815</v>
      </c>
      <c r="B5950" s="5" t="s">
        <v>11816</v>
      </c>
      <c r="C5950" s="6">
        <v>1000.0</v>
      </c>
      <c r="D5950" s="6">
        <v>4.347826087</v>
      </c>
      <c r="E5950" s="6">
        <v>46.0</v>
      </c>
    </row>
    <row r="5951">
      <c r="A5951" s="4" t="s">
        <v>1422</v>
      </c>
      <c r="B5951" s="5" t="s">
        <v>11817</v>
      </c>
      <c r="C5951" s="6">
        <v>1000.0</v>
      </c>
      <c r="D5951" s="6">
        <v>4.214285714</v>
      </c>
      <c r="E5951" s="6">
        <v>14.0</v>
      </c>
    </row>
    <row r="5952">
      <c r="A5952" s="4" t="s">
        <v>11818</v>
      </c>
      <c r="B5952" s="5" t="s">
        <v>11819</v>
      </c>
      <c r="C5952" s="6">
        <v>1000.0</v>
      </c>
      <c r="D5952" s="6">
        <v>1.0</v>
      </c>
      <c r="E5952" s="6">
        <v>1.0</v>
      </c>
    </row>
    <row r="5953">
      <c r="A5953" s="4" t="s">
        <v>11820</v>
      </c>
      <c r="B5953" s="5" t="s">
        <v>11821</v>
      </c>
      <c r="C5953" s="6">
        <v>1000.0</v>
      </c>
      <c r="D5953" s="6">
        <v>4.166666667</v>
      </c>
      <c r="E5953" s="6">
        <v>6.0</v>
      </c>
    </row>
    <row r="5954">
      <c r="A5954" s="4" t="s">
        <v>11822</v>
      </c>
      <c r="B5954" s="5" t="s">
        <v>11823</v>
      </c>
      <c r="C5954" s="6">
        <v>1000.0</v>
      </c>
      <c r="D5954" s="9"/>
      <c r="E5954" s="9"/>
    </row>
    <row r="5955">
      <c r="A5955" s="4" t="s">
        <v>11824</v>
      </c>
      <c r="B5955" s="5" t="s">
        <v>11825</v>
      </c>
      <c r="C5955" s="6">
        <v>1000.0</v>
      </c>
      <c r="D5955" s="6">
        <v>2.564102564</v>
      </c>
      <c r="E5955" s="6">
        <v>39.0</v>
      </c>
    </row>
    <row r="5956">
      <c r="A5956" s="4" t="s">
        <v>11826</v>
      </c>
      <c r="B5956" s="5" t="s">
        <v>11827</v>
      </c>
      <c r="C5956" s="6">
        <v>1000.0</v>
      </c>
      <c r="D5956" s="6">
        <v>1.8</v>
      </c>
      <c r="E5956" s="6">
        <v>5.0</v>
      </c>
    </row>
    <row r="5957">
      <c r="A5957" s="4" t="s">
        <v>11828</v>
      </c>
      <c r="B5957" s="5" t="s">
        <v>11829</v>
      </c>
      <c r="C5957" s="6">
        <v>1000.0</v>
      </c>
      <c r="D5957" s="6">
        <v>4.0</v>
      </c>
      <c r="E5957" s="6">
        <v>1.0</v>
      </c>
    </row>
    <row r="5958">
      <c r="A5958" s="4" t="s">
        <v>11830</v>
      </c>
      <c r="B5958" s="5" t="s">
        <v>11831</v>
      </c>
      <c r="C5958" s="6">
        <v>1000.0</v>
      </c>
      <c r="D5958" s="6">
        <v>3.666666667</v>
      </c>
      <c r="E5958" s="6">
        <v>3.0</v>
      </c>
    </row>
    <row r="5959">
      <c r="A5959" s="4" t="s">
        <v>11832</v>
      </c>
      <c r="B5959" s="5" t="s">
        <v>11833</v>
      </c>
      <c r="C5959" s="6">
        <v>1000.0</v>
      </c>
      <c r="D5959" s="6">
        <v>3.0</v>
      </c>
      <c r="E5959" s="6">
        <v>18.0</v>
      </c>
    </row>
    <row r="5960">
      <c r="A5960" s="4" t="s">
        <v>11834</v>
      </c>
      <c r="B5960" s="5" t="s">
        <v>11835</v>
      </c>
      <c r="C5960" s="6">
        <v>1000.0</v>
      </c>
      <c r="D5960" s="6">
        <v>5.0</v>
      </c>
      <c r="E5960" s="6">
        <v>2.0</v>
      </c>
    </row>
    <row r="5961">
      <c r="A5961" s="4" t="s">
        <v>11836</v>
      </c>
      <c r="B5961" s="5" t="s">
        <v>11837</v>
      </c>
      <c r="C5961" s="6">
        <v>1000.0</v>
      </c>
      <c r="D5961" s="6">
        <v>4.875</v>
      </c>
      <c r="E5961" s="6">
        <v>8.0</v>
      </c>
    </row>
    <row r="5962">
      <c r="A5962" s="4" t="s">
        <v>11838</v>
      </c>
      <c r="B5962" s="5" t="s">
        <v>11839</v>
      </c>
      <c r="C5962" s="6">
        <v>1000.0</v>
      </c>
      <c r="D5962" s="6">
        <v>3.705882353</v>
      </c>
      <c r="E5962" s="6">
        <v>119.0</v>
      </c>
    </row>
    <row r="5963">
      <c r="A5963" s="4" t="s">
        <v>11840</v>
      </c>
      <c r="B5963" s="5" t="s">
        <v>11841</v>
      </c>
      <c r="C5963" s="6">
        <v>1000.0</v>
      </c>
      <c r="D5963" s="9"/>
      <c r="E5963" s="9"/>
    </row>
    <row r="5964">
      <c r="A5964" s="4" t="s">
        <v>11842</v>
      </c>
      <c r="B5964" s="5" t="s">
        <v>11843</v>
      </c>
      <c r="C5964" s="6">
        <v>1000.0</v>
      </c>
      <c r="D5964" s="6">
        <v>5.0</v>
      </c>
      <c r="E5964" s="6">
        <v>8.0</v>
      </c>
    </row>
    <row r="5965">
      <c r="A5965" s="4" t="s">
        <v>11844</v>
      </c>
      <c r="B5965" s="5" t="s">
        <v>11845</v>
      </c>
      <c r="C5965" s="6">
        <v>1000.0</v>
      </c>
      <c r="D5965" s="6">
        <v>3.958333333</v>
      </c>
      <c r="E5965" s="6">
        <v>72.0</v>
      </c>
    </row>
    <row r="5966">
      <c r="A5966" s="4" t="s">
        <v>11846</v>
      </c>
      <c r="B5966" s="5" t="s">
        <v>11847</v>
      </c>
      <c r="C5966" s="6">
        <v>1000.0</v>
      </c>
      <c r="D5966" s="6">
        <v>5.0</v>
      </c>
      <c r="E5966" s="6">
        <v>10.0</v>
      </c>
    </row>
    <row r="5967">
      <c r="A5967" s="4" t="s">
        <v>11848</v>
      </c>
      <c r="B5967" s="5" t="s">
        <v>11849</v>
      </c>
      <c r="C5967" s="6">
        <v>1000.0</v>
      </c>
      <c r="D5967" s="6">
        <v>1.230769231</v>
      </c>
      <c r="E5967" s="6">
        <v>26.0</v>
      </c>
    </row>
    <row r="5968">
      <c r="A5968" s="4" t="s">
        <v>11850</v>
      </c>
      <c r="B5968" s="5" t="s">
        <v>11851</v>
      </c>
      <c r="C5968" s="6">
        <v>1000.0</v>
      </c>
      <c r="D5968" s="6">
        <v>4.5</v>
      </c>
      <c r="E5968" s="6">
        <v>16.0</v>
      </c>
    </row>
    <row r="5969">
      <c r="A5969" s="4" t="s">
        <v>11852</v>
      </c>
      <c r="B5969" s="5" t="s">
        <v>11853</v>
      </c>
      <c r="C5969" s="6">
        <v>1000.0</v>
      </c>
      <c r="D5969" s="6">
        <v>5.0</v>
      </c>
      <c r="E5969" s="6">
        <v>8.0</v>
      </c>
    </row>
    <row r="5970">
      <c r="A5970" s="4" t="s">
        <v>11854</v>
      </c>
      <c r="B5970" s="5" t="s">
        <v>11855</v>
      </c>
      <c r="C5970" s="6">
        <v>1000.0</v>
      </c>
      <c r="D5970" s="6">
        <v>2.6</v>
      </c>
      <c r="E5970" s="6">
        <v>5.0</v>
      </c>
    </row>
    <row r="5971">
      <c r="A5971" s="4" t="s">
        <v>11856</v>
      </c>
      <c r="B5971" s="5" t="s">
        <v>11857</v>
      </c>
      <c r="C5971" s="6">
        <v>1000.0</v>
      </c>
      <c r="D5971" s="6">
        <v>4.235294118</v>
      </c>
      <c r="E5971" s="6">
        <v>51.0</v>
      </c>
    </row>
    <row r="5972">
      <c r="A5972" s="4" t="s">
        <v>11858</v>
      </c>
      <c r="B5972" s="5" t="s">
        <v>11859</v>
      </c>
      <c r="C5972" s="6">
        <v>1000.0</v>
      </c>
      <c r="D5972" s="6">
        <v>4.642857143</v>
      </c>
      <c r="E5972" s="6">
        <v>14.0</v>
      </c>
    </row>
    <row r="5973">
      <c r="A5973" s="4" t="s">
        <v>11860</v>
      </c>
      <c r="B5973" s="5" t="s">
        <v>11861</v>
      </c>
      <c r="C5973" s="6">
        <v>1000.0</v>
      </c>
      <c r="D5973" s="6">
        <v>4.888888889</v>
      </c>
      <c r="E5973" s="6">
        <v>9.0</v>
      </c>
    </row>
    <row r="5974">
      <c r="A5974" s="4" t="s">
        <v>11862</v>
      </c>
      <c r="B5974" s="5" t="s">
        <v>11863</v>
      </c>
      <c r="C5974" s="6">
        <v>1000.0</v>
      </c>
      <c r="D5974" s="6">
        <v>5.0</v>
      </c>
      <c r="E5974" s="6">
        <v>1.0</v>
      </c>
    </row>
    <row r="5975">
      <c r="A5975" s="4" t="s">
        <v>11864</v>
      </c>
      <c r="B5975" s="5" t="s">
        <v>11865</v>
      </c>
      <c r="C5975" s="6">
        <v>1000.0</v>
      </c>
      <c r="D5975" s="6">
        <v>3.5</v>
      </c>
      <c r="E5975" s="6">
        <v>10.0</v>
      </c>
    </row>
    <row r="5976">
      <c r="A5976" s="4" t="s">
        <v>11866</v>
      </c>
      <c r="B5976" s="5" t="s">
        <v>11867</v>
      </c>
      <c r="C5976" s="6">
        <v>1000.0</v>
      </c>
      <c r="D5976" s="6">
        <v>4.0</v>
      </c>
      <c r="E5976" s="6">
        <v>9.0</v>
      </c>
    </row>
    <row r="5977">
      <c r="A5977" s="4" t="s">
        <v>11868</v>
      </c>
      <c r="B5977" s="5" t="s">
        <v>11869</v>
      </c>
      <c r="C5977" s="6">
        <v>1000.0</v>
      </c>
      <c r="D5977" s="6">
        <v>4.5</v>
      </c>
      <c r="E5977" s="6">
        <v>18.0</v>
      </c>
    </row>
    <row r="5978">
      <c r="A5978" s="4" t="s">
        <v>435</v>
      </c>
      <c r="B5978" s="5" t="s">
        <v>11870</v>
      </c>
      <c r="C5978" s="6">
        <v>1000.0</v>
      </c>
      <c r="D5978" s="6">
        <v>3.736842105</v>
      </c>
      <c r="E5978" s="6">
        <v>19.0</v>
      </c>
    </row>
    <row r="5979">
      <c r="A5979" s="4" t="s">
        <v>11871</v>
      </c>
      <c r="B5979" s="5" t="s">
        <v>11872</v>
      </c>
      <c r="C5979" s="6">
        <v>1000.0</v>
      </c>
      <c r="D5979" s="6">
        <v>4.846153846</v>
      </c>
      <c r="E5979" s="6">
        <v>13.0</v>
      </c>
    </row>
    <row r="5980">
      <c r="A5980" s="4" t="s">
        <v>11873</v>
      </c>
      <c r="B5980" s="5" t="s">
        <v>11874</v>
      </c>
      <c r="C5980" s="6">
        <v>1000.0</v>
      </c>
      <c r="D5980" s="6">
        <v>4.166666667</v>
      </c>
      <c r="E5980" s="6">
        <v>6.0</v>
      </c>
    </row>
    <row r="5981">
      <c r="A5981" s="4" t="s">
        <v>11875</v>
      </c>
      <c r="B5981" s="5" t="s">
        <v>11876</v>
      </c>
      <c r="C5981" s="6">
        <v>1000.0</v>
      </c>
      <c r="D5981" s="6">
        <v>4.076923077</v>
      </c>
      <c r="E5981" s="6">
        <v>13.0</v>
      </c>
    </row>
    <row r="5982">
      <c r="A5982" s="4" t="s">
        <v>11877</v>
      </c>
      <c r="B5982" s="5" t="s">
        <v>11878</v>
      </c>
      <c r="C5982" s="6">
        <v>1000.0</v>
      </c>
      <c r="D5982" s="6">
        <v>4.8</v>
      </c>
      <c r="E5982" s="6">
        <v>5.0</v>
      </c>
    </row>
    <row r="5983">
      <c r="A5983" s="4" t="s">
        <v>11879</v>
      </c>
      <c r="B5983" s="5" t="s">
        <v>11880</v>
      </c>
      <c r="C5983" s="6">
        <v>1000.0</v>
      </c>
      <c r="D5983" s="6">
        <v>3.454545455</v>
      </c>
      <c r="E5983" s="6">
        <v>33.0</v>
      </c>
    </row>
    <row r="5984">
      <c r="A5984" s="4" t="s">
        <v>11881</v>
      </c>
      <c r="B5984" s="5" t="s">
        <v>11882</v>
      </c>
      <c r="C5984" s="6">
        <v>1000.0</v>
      </c>
      <c r="D5984" s="9"/>
      <c r="E5984" s="9"/>
    </row>
    <row r="5985">
      <c r="A5985" s="4" t="s">
        <v>11883</v>
      </c>
      <c r="B5985" s="5" t="s">
        <v>11884</v>
      </c>
      <c r="C5985" s="6">
        <v>1000.0</v>
      </c>
      <c r="D5985" s="6">
        <v>4.916666667</v>
      </c>
      <c r="E5985" s="6">
        <v>12.0</v>
      </c>
    </row>
    <row r="5986">
      <c r="A5986" s="4" t="s">
        <v>11885</v>
      </c>
      <c r="B5986" s="5" t="s">
        <v>11886</v>
      </c>
      <c r="C5986" s="6">
        <v>1000.0</v>
      </c>
      <c r="D5986" s="6">
        <v>5.0</v>
      </c>
      <c r="E5986" s="6">
        <v>1.0</v>
      </c>
    </row>
    <row r="5987">
      <c r="A5987" s="4" t="s">
        <v>11887</v>
      </c>
      <c r="B5987" s="5" t="s">
        <v>11888</v>
      </c>
      <c r="C5987" s="6">
        <v>1000.0</v>
      </c>
      <c r="D5987" s="6">
        <v>3.774193548</v>
      </c>
      <c r="E5987" s="6">
        <v>31.0</v>
      </c>
    </row>
    <row r="5988">
      <c r="A5988" s="4" t="s">
        <v>11889</v>
      </c>
      <c r="B5988" s="5" t="s">
        <v>11890</v>
      </c>
      <c r="C5988" s="6">
        <v>1000.0</v>
      </c>
      <c r="D5988" s="6">
        <v>2.6</v>
      </c>
      <c r="E5988" s="6">
        <v>5.0</v>
      </c>
    </row>
    <row r="5989">
      <c r="A5989" s="4" t="s">
        <v>11891</v>
      </c>
      <c r="B5989" s="5" t="s">
        <v>11892</v>
      </c>
      <c r="C5989" s="6">
        <v>1000.0</v>
      </c>
      <c r="D5989" s="6">
        <v>4.333333333</v>
      </c>
      <c r="E5989" s="6">
        <v>3.0</v>
      </c>
    </row>
    <row r="5990">
      <c r="A5990" s="4" t="s">
        <v>11893</v>
      </c>
      <c r="B5990" s="5" t="s">
        <v>11894</v>
      </c>
      <c r="C5990" s="6">
        <v>1000.0</v>
      </c>
      <c r="D5990" s="6">
        <v>5.0</v>
      </c>
      <c r="E5990" s="6">
        <v>6.0</v>
      </c>
    </row>
    <row r="5991">
      <c r="A5991" s="4" t="s">
        <v>11895</v>
      </c>
      <c r="B5991" s="5" t="s">
        <v>11896</v>
      </c>
      <c r="C5991" s="6">
        <v>1000.0</v>
      </c>
      <c r="D5991" s="6">
        <v>4.666666667</v>
      </c>
      <c r="E5991" s="6">
        <v>27.0</v>
      </c>
    </row>
    <row r="5992">
      <c r="A5992" s="4" t="s">
        <v>11897</v>
      </c>
      <c r="B5992" s="5" t="s">
        <v>11898</v>
      </c>
      <c r="C5992" s="6">
        <v>1000.0</v>
      </c>
      <c r="D5992" s="6">
        <v>2.333333333</v>
      </c>
      <c r="E5992" s="6">
        <v>3.0</v>
      </c>
    </row>
    <row r="5993">
      <c r="A5993" s="4" t="s">
        <v>11899</v>
      </c>
      <c r="B5993" s="5" t="s">
        <v>11900</v>
      </c>
      <c r="C5993" s="6">
        <v>1000.0</v>
      </c>
      <c r="D5993" s="9"/>
      <c r="E5993" s="9"/>
    </row>
    <row r="5994">
      <c r="A5994" s="4" t="s">
        <v>11901</v>
      </c>
      <c r="B5994" s="5" t="s">
        <v>11902</v>
      </c>
      <c r="C5994" s="6">
        <v>1000.0</v>
      </c>
      <c r="D5994" s="6">
        <v>2.553191489</v>
      </c>
      <c r="E5994" s="6">
        <v>47.0</v>
      </c>
    </row>
    <row r="5995">
      <c r="A5995" s="4" t="s">
        <v>11903</v>
      </c>
      <c r="B5995" s="5" t="s">
        <v>11904</v>
      </c>
      <c r="C5995" s="6">
        <v>1000.0</v>
      </c>
      <c r="D5995" s="9"/>
      <c r="E5995" s="9"/>
    </row>
    <row r="5996">
      <c r="A5996" s="4" t="s">
        <v>11905</v>
      </c>
      <c r="B5996" s="5" t="s">
        <v>11906</v>
      </c>
      <c r="C5996" s="6">
        <v>1000.0</v>
      </c>
      <c r="D5996" s="6">
        <v>4.666666667</v>
      </c>
      <c r="E5996" s="6">
        <v>9.0</v>
      </c>
    </row>
    <row r="5997">
      <c r="A5997" s="4" t="s">
        <v>11907</v>
      </c>
      <c r="B5997" s="5" t="s">
        <v>11908</v>
      </c>
      <c r="C5997" s="6">
        <v>1000.0</v>
      </c>
      <c r="D5997" s="6">
        <v>4.944444444</v>
      </c>
      <c r="E5997" s="6">
        <v>18.0</v>
      </c>
    </row>
    <row r="5998">
      <c r="A5998" s="4" t="s">
        <v>11909</v>
      </c>
      <c r="B5998" s="5" t="s">
        <v>11910</v>
      </c>
      <c r="C5998" s="6">
        <v>1000.0</v>
      </c>
      <c r="D5998" s="6">
        <v>4.5</v>
      </c>
      <c r="E5998" s="6">
        <v>8.0</v>
      </c>
    </row>
    <row r="5999">
      <c r="A5999" s="4" t="s">
        <v>11911</v>
      </c>
      <c r="B5999" s="5" t="s">
        <v>11912</v>
      </c>
      <c r="C5999" s="6">
        <v>1000.0</v>
      </c>
      <c r="D5999" s="6">
        <v>4.0</v>
      </c>
      <c r="E5999" s="6">
        <v>1.0</v>
      </c>
    </row>
    <row r="6000">
      <c r="A6000" s="4" t="s">
        <v>11913</v>
      </c>
      <c r="B6000" s="5" t="s">
        <v>11914</v>
      </c>
      <c r="C6000" s="6">
        <v>1000.0</v>
      </c>
      <c r="D6000" s="6">
        <v>4.0</v>
      </c>
      <c r="E6000" s="6">
        <v>6.0</v>
      </c>
    </row>
    <row r="6001">
      <c r="A6001" s="4" t="s">
        <v>11915</v>
      </c>
      <c r="B6001" s="5" t="s">
        <v>11916</v>
      </c>
      <c r="C6001" s="6">
        <v>1000.0</v>
      </c>
      <c r="D6001" s="6">
        <v>4.263157895</v>
      </c>
      <c r="E6001" s="6">
        <v>19.0</v>
      </c>
    </row>
    <row r="6002">
      <c r="A6002" s="4" t="s">
        <v>11917</v>
      </c>
      <c r="B6002" s="5" t="s">
        <v>11918</v>
      </c>
      <c r="C6002" s="6">
        <v>1000.0</v>
      </c>
      <c r="D6002" s="6">
        <v>4.666666667</v>
      </c>
      <c r="E6002" s="6">
        <v>12.0</v>
      </c>
    </row>
    <row r="6003">
      <c r="A6003" s="4" t="s">
        <v>11919</v>
      </c>
      <c r="B6003" s="5" t="s">
        <v>11920</v>
      </c>
      <c r="C6003" s="6">
        <v>1000.0</v>
      </c>
      <c r="D6003" s="6">
        <v>3.4</v>
      </c>
      <c r="E6003" s="6">
        <v>10.0</v>
      </c>
    </row>
    <row r="6004">
      <c r="A6004" s="4" t="s">
        <v>11921</v>
      </c>
      <c r="B6004" s="5" t="s">
        <v>11922</v>
      </c>
      <c r="C6004" s="6">
        <v>1000.0</v>
      </c>
      <c r="D6004" s="6">
        <v>3.083333333</v>
      </c>
      <c r="E6004" s="6">
        <v>12.0</v>
      </c>
    </row>
    <row r="6005">
      <c r="A6005" s="4" t="s">
        <v>11923</v>
      </c>
      <c r="B6005" s="5" t="s">
        <v>11924</v>
      </c>
      <c r="C6005" s="6">
        <v>1000.0</v>
      </c>
      <c r="D6005" s="6">
        <v>4.166666667</v>
      </c>
      <c r="E6005" s="6">
        <v>6.0</v>
      </c>
    </row>
    <row r="6006">
      <c r="A6006" s="4" t="s">
        <v>11925</v>
      </c>
      <c r="B6006" s="5" t="s">
        <v>11926</v>
      </c>
      <c r="C6006" s="6">
        <v>1000.0</v>
      </c>
      <c r="D6006" s="6">
        <v>4.6</v>
      </c>
      <c r="E6006" s="6">
        <v>5.0</v>
      </c>
    </row>
    <row r="6007">
      <c r="A6007" s="4" t="s">
        <v>11927</v>
      </c>
      <c r="B6007" s="5" t="s">
        <v>11928</v>
      </c>
      <c r="C6007" s="6">
        <v>1000.0</v>
      </c>
      <c r="D6007" s="6">
        <v>4.636363636</v>
      </c>
      <c r="E6007" s="6">
        <v>11.0</v>
      </c>
    </row>
    <row r="6008">
      <c r="A6008" s="4" t="s">
        <v>11929</v>
      </c>
      <c r="B6008" s="5" t="s">
        <v>11930</v>
      </c>
      <c r="C6008" s="6">
        <v>1000.0</v>
      </c>
      <c r="D6008" s="6">
        <v>3.857142857</v>
      </c>
      <c r="E6008" s="6">
        <v>7.0</v>
      </c>
    </row>
    <row r="6009">
      <c r="A6009" s="4" t="s">
        <v>11931</v>
      </c>
      <c r="B6009" s="5" t="s">
        <v>11932</v>
      </c>
      <c r="C6009" s="6">
        <v>1000.0</v>
      </c>
      <c r="D6009" s="6">
        <v>4.431034483</v>
      </c>
      <c r="E6009" s="6">
        <v>58.0</v>
      </c>
    </row>
    <row r="6010">
      <c r="A6010" s="4" t="s">
        <v>11933</v>
      </c>
      <c r="B6010" s="5" t="s">
        <v>11934</v>
      </c>
      <c r="C6010" s="6">
        <v>1000.0</v>
      </c>
      <c r="D6010" s="6">
        <v>1.181818182</v>
      </c>
      <c r="E6010" s="6">
        <v>22.0</v>
      </c>
    </row>
    <row r="6011">
      <c r="A6011" s="4" t="s">
        <v>11935</v>
      </c>
      <c r="B6011" s="12" t="s">
        <v>11936</v>
      </c>
      <c r="C6011" s="7">
        <v>1000.0</v>
      </c>
      <c r="D6011" s="6">
        <v>2.8</v>
      </c>
      <c r="E6011" s="6">
        <v>153.0</v>
      </c>
    </row>
    <row r="6012">
      <c r="A6012" s="4" t="s">
        <v>11937</v>
      </c>
      <c r="B6012" s="5" t="s">
        <v>11938</v>
      </c>
      <c r="C6012" s="6">
        <v>1000.0</v>
      </c>
      <c r="D6012" s="6">
        <v>4.47826087</v>
      </c>
      <c r="E6012" s="6">
        <v>23.0</v>
      </c>
    </row>
    <row r="6013">
      <c r="A6013" s="4" t="s">
        <v>11939</v>
      </c>
      <c r="B6013" s="5" t="s">
        <v>11940</v>
      </c>
      <c r="C6013" s="6">
        <v>1000.0</v>
      </c>
      <c r="D6013" s="6">
        <v>4.869565217</v>
      </c>
      <c r="E6013" s="6">
        <v>46.0</v>
      </c>
    </row>
    <row r="6014">
      <c r="A6014" s="4" t="s">
        <v>11941</v>
      </c>
      <c r="B6014" s="5" t="s">
        <v>11942</v>
      </c>
      <c r="C6014" s="6">
        <v>1000.0</v>
      </c>
      <c r="D6014" s="6">
        <v>5.0</v>
      </c>
      <c r="E6014" s="6">
        <v>2.0</v>
      </c>
    </row>
    <row r="6015">
      <c r="A6015" s="4" t="s">
        <v>11943</v>
      </c>
      <c r="B6015" s="5" t="s">
        <v>11944</v>
      </c>
      <c r="C6015" s="6">
        <v>1000.0</v>
      </c>
      <c r="D6015" s="6">
        <v>4.4</v>
      </c>
      <c r="E6015" s="6">
        <v>5.0</v>
      </c>
    </row>
    <row r="6016">
      <c r="A6016" s="4" t="s">
        <v>11945</v>
      </c>
      <c r="B6016" s="5" t="s">
        <v>11946</v>
      </c>
      <c r="C6016" s="6">
        <v>1000.0</v>
      </c>
      <c r="D6016" s="6">
        <v>3.428571429</v>
      </c>
      <c r="E6016" s="6">
        <v>14.0</v>
      </c>
    </row>
    <row r="6017">
      <c r="A6017" s="4" t="s">
        <v>11947</v>
      </c>
      <c r="B6017" s="5" t="s">
        <v>11948</v>
      </c>
      <c r="C6017" s="6">
        <v>1000.0</v>
      </c>
      <c r="D6017" s="6">
        <v>4.5</v>
      </c>
      <c r="E6017" s="6">
        <v>24.0</v>
      </c>
    </row>
    <row r="6018">
      <c r="A6018" s="4" t="s">
        <v>11949</v>
      </c>
      <c r="B6018" s="5" t="s">
        <v>11950</v>
      </c>
      <c r="C6018" s="6">
        <v>1000.0</v>
      </c>
      <c r="D6018" s="6">
        <v>4.566666667</v>
      </c>
      <c r="E6018" s="6">
        <v>30.0</v>
      </c>
    </row>
    <row r="6019">
      <c r="A6019" s="4" t="s">
        <v>11951</v>
      </c>
      <c r="B6019" s="5" t="s">
        <v>11952</v>
      </c>
      <c r="C6019" s="6">
        <v>1000.0</v>
      </c>
      <c r="D6019" s="6">
        <v>4.75</v>
      </c>
      <c r="E6019" s="6">
        <v>8.0</v>
      </c>
    </row>
    <row r="6020">
      <c r="A6020" s="4" t="s">
        <v>11953</v>
      </c>
      <c r="B6020" s="5" t="s">
        <v>11954</v>
      </c>
      <c r="C6020" s="6">
        <v>1000.0</v>
      </c>
      <c r="D6020" s="6">
        <v>5.0</v>
      </c>
      <c r="E6020" s="6">
        <v>15.0</v>
      </c>
    </row>
    <row r="6021">
      <c r="A6021" s="4" t="s">
        <v>11955</v>
      </c>
      <c r="B6021" s="5" t="s">
        <v>11956</v>
      </c>
      <c r="C6021" s="6">
        <v>1000.0</v>
      </c>
      <c r="D6021" s="6">
        <v>4.636363636</v>
      </c>
      <c r="E6021" s="6">
        <v>11.0</v>
      </c>
    </row>
    <row r="6022">
      <c r="A6022" s="4" t="s">
        <v>11957</v>
      </c>
      <c r="B6022" s="5" t="s">
        <v>11958</v>
      </c>
      <c r="C6022" s="6">
        <v>1000.0</v>
      </c>
      <c r="D6022" s="6">
        <v>4.0</v>
      </c>
      <c r="E6022" s="6">
        <v>4.0</v>
      </c>
    </row>
    <row r="6023">
      <c r="A6023" s="4" t="s">
        <v>11959</v>
      </c>
      <c r="B6023" s="5" t="s">
        <v>11960</v>
      </c>
      <c r="C6023" s="6">
        <v>1000.0</v>
      </c>
      <c r="D6023" s="6">
        <v>5.0</v>
      </c>
      <c r="E6023" s="6">
        <v>3.0</v>
      </c>
    </row>
    <row r="6024">
      <c r="A6024" s="4" t="s">
        <v>11961</v>
      </c>
      <c r="B6024" s="5" t="s">
        <v>11962</v>
      </c>
      <c r="C6024" s="6">
        <v>1000.0</v>
      </c>
      <c r="D6024" s="6">
        <v>4.857142857</v>
      </c>
      <c r="E6024" s="6">
        <v>35.0</v>
      </c>
    </row>
    <row r="6025">
      <c r="A6025" s="4" t="s">
        <v>11963</v>
      </c>
      <c r="B6025" s="5" t="s">
        <v>11964</v>
      </c>
      <c r="C6025" s="6">
        <v>1000.0</v>
      </c>
      <c r="D6025" s="6">
        <v>4.085106383</v>
      </c>
      <c r="E6025" s="6">
        <v>47.0</v>
      </c>
    </row>
    <row r="6026">
      <c r="A6026" s="4" t="s">
        <v>11965</v>
      </c>
      <c r="B6026" s="5" t="s">
        <v>11966</v>
      </c>
      <c r="C6026" s="6">
        <v>1000.0</v>
      </c>
      <c r="D6026" s="6">
        <v>5.0</v>
      </c>
      <c r="E6026" s="6">
        <v>2.0</v>
      </c>
    </row>
    <row r="6027">
      <c r="A6027" s="4" t="s">
        <v>11967</v>
      </c>
      <c r="B6027" s="5" t="s">
        <v>11968</v>
      </c>
      <c r="C6027" s="6">
        <v>1000.0</v>
      </c>
      <c r="D6027" s="6">
        <v>1.571428571</v>
      </c>
      <c r="E6027" s="6">
        <v>7.0</v>
      </c>
    </row>
    <row r="6028">
      <c r="A6028" s="4" t="s">
        <v>11969</v>
      </c>
      <c r="B6028" s="5" t="s">
        <v>11970</v>
      </c>
      <c r="C6028" s="6">
        <v>1000.0</v>
      </c>
      <c r="D6028" s="6">
        <v>3.666666667</v>
      </c>
      <c r="E6028" s="6">
        <v>6.0</v>
      </c>
    </row>
    <row r="6029">
      <c r="A6029" s="4" t="s">
        <v>11971</v>
      </c>
      <c r="B6029" s="5" t="s">
        <v>11972</v>
      </c>
      <c r="C6029" s="6">
        <v>1000.0</v>
      </c>
      <c r="D6029" s="6">
        <v>5.0</v>
      </c>
      <c r="E6029" s="6">
        <v>7.0</v>
      </c>
    </row>
    <row r="6030">
      <c r="A6030" s="4" t="s">
        <v>11973</v>
      </c>
      <c r="B6030" s="5" t="s">
        <v>11974</v>
      </c>
      <c r="C6030" s="6">
        <v>1000.0</v>
      </c>
      <c r="D6030" s="6">
        <v>5.0</v>
      </c>
      <c r="E6030" s="6">
        <v>2.0</v>
      </c>
    </row>
    <row r="6031">
      <c r="A6031" s="4" t="s">
        <v>11975</v>
      </c>
      <c r="B6031" s="5" t="s">
        <v>11976</v>
      </c>
      <c r="C6031" s="6">
        <v>1000.0</v>
      </c>
      <c r="D6031" s="6">
        <v>4.125</v>
      </c>
      <c r="E6031" s="6">
        <v>8.0</v>
      </c>
    </row>
    <row r="6032">
      <c r="A6032" s="4" t="s">
        <v>11977</v>
      </c>
      <c r="B6032" s="5" t="s">
        <v>11978</v>
      </c>
      <c r="C6032" s="6">
        <v>1000.0</v>
      </c>
      <c r="D6032" s="6">
        <v>4.571428571</v>
      </c>
      <c r="E6032" s="6">
        <v>7.0</v>
      </c>
    </row>
    <row r="6033">
      <c r="A6033" s="4" t="s">
        <v>11979</v>
      </c>
      <c r="B6033" s="5" t="s">
        <v>11980</v>
      </c>
      <c r="C6033" s="6">
        <v>1000.0</v>
      </c>
      <c r="D6033" s="6">
        <v>3.461538462</v>
      </c>
      <c r="E6033" s="6">
        <v>13.0</v>
      </c>
    </row>
    <row r="6034">
      <c r="A6034" s="4" t="s">
        <v>11981</v>
      </c>
      <c r="B6034" s="5" t="s">
        <v>11982</v>
      </c>
      <c r="C6034" s="6">
        <v>1000.0</v>
      </c>
      <c r="D6034" s="6">
        <v>4.416666667</v>
      </c>
      <c r="E6034" s="6">
        <v>12.0</v>
      </c>
    </row>
    <row r="6035">
      <c r="A6035" s="4" t="s">
        <v>11983</v>
      </c>
      <c r="B6035" s="5" t="s">
        <v>11984</v>
      </c>
      <c r="C6035" s="6">
        <v>1000.0</v>
      </c>
      <c r="D6035" s="6">
        <v>5.0</v>
      </c>
      <c r="E6035" s="6">
        <v>8.0</v>
      </c>
    </row>
    <row r="6036">
      <c r="A6036" s="4" t="s">
        <v>11985</v>
      </c>
      <c r="B6036" s="5" t="s">
        <v>11986</v>
      </c>
      <c r="C6036" s="6">
        <v>1000.0</v>
      </c>
      <c r="D6036" s="6">
        <v>5.0</v>
      </c>
      <c r="E6036" s="6">
        <v>2.0</v>
      </c>
    </row>
    <row r="6037">
      <c r="A6037" s="4" t="s">
        <v>11987</v>
      </c>
      <c r="B6037" s="5" t="s">
        <v>11988</v>
      </c>
      <c r="C6037" s="6">
        <v>1000.0</v>
      </c>
      <c r="D6037" s="6">
        <v>5.0</v>
      </c>
      <c r="E6037" s="6">
        <v>11.0</v>
      </c>
    </row>
    <row r="6038">
      <c r="A6038" s="4" t="s">
        <v>11989</v>
      </c>
      <c r="B6038" s="5" t="s">
        <v>11990</v>
      </c>
      <c r="C6038" s="6">
        <v>1000.0</v>
      </c>
      <c r="D6038" s="6">
        <v>5.0</v>
      </c>
      <c r="E6038" s="6">
        <v>4.0</v>
      </c>
    </row>
    <row r="6039">
      <c r="A6039" s="4" t="s">
        <v>11991</v>
      </c>
      <c r="B6039" s="5" t="s">
        <v>11992</v>
      </c>
      <c r="C6039" s="6">
        <v>1000.0</v>
      </c>
      <c r="D6039" s="6">
        <v>4.523255814</v>
      </c>
      <c r="E6039" s="6">
        <v>86.0</v>
      </c>
    </row>
    <row r="6040">
      <c r="A6040" s="4" t="s">
        <v>11993</v>
      </c>
      <c r="B6040" s="5" t="s">
        <v>11994</v>
      </c>
      <c r="C6040" s="6">
        <v>1000.0</v>
      </c>
      <c r="D6040" s="6">
        <v>4.5</v>
      </c>
      <c r="E6040" s="6">
        <v>8.0</v>
      </c>
    </row>
    <row r="6041">
      <c r="A6041" s="4" t="s">
        <v>11995</v>
      </c>
      <c r="B6041" s="5" t="s">
        <v>11996</v>
      </c>
      <c r="C6041" s="6">
        <v>1000.0</v>
      </c>
      <c r="D6041" s="6">
        <v>4.178861789</v>
      </c>
      <c r="E6041" s="6">
        <v>123.0</v>
      </c>
    </row>
    <row r="6042">
      <c r="A6042" s="4" t="s">
        <v>11997</v>
      </c>
      <c r="B6042" s="5" t="s">
        <v>11998</v>
      </c>
      <c r="C6042" s="6">
        <v>1000.0</v>
      </c>
      <c r="D6042" s="6">
        <v>5.0</v>
      </c>
      <c r="E6042" s="6">
        <v>5.0</v>
      </c>
    </row>
    <row r="6043">
      <c r="A6043" s="4" t="s">
        <v>11999</v>
      </c>
      <c r="B6043" s="5" t="s">
        <v>12000</v>
      </c>
      <c r="C6043" s="6">
        <v>1000.0</v>
      </c>
      <c r="D6043" s="6">
        <v>5.0</v>
      </c>
      <c r="E6043" s="6">
        <v>2.0</v>
      </c>
    </row>
    <row r="6044">
      <c r="A6044" s="4" t="s">
        <v>12001</v>
      </c>
      <c r="B6044" s="5" t="s">
        <v>12002</v>
      </c>
      <c r="C6044" s="6">
        <v>1000.0</v>
      </c>
      <c r="D6044" s="6">
        <v>4.625</v>
      </c>
      <c r="E6044" s="6">
        <v>8.0</v>
      </c>
    </row>
    <row r="6045">
      <c r="A6045" s="4" t="s">
        <v>12003</v>
      </c>
      <c r="B6045" s="5" t="s">
        <v>12004</v>
      </c>
      <c r="C6045" s="6">
        <v>1000.0</v>
      </c>
      <c r="D6045" s="6">
        <v>5.0</v>
      </c>
      <c r="E6045" s="6">
        <v>1.0</v>
      </c>
    </row>
    <row r="6046">
      <c r="A6046" s="4" t="s">
        <v>12005</v>
      </c>
      <c r="B6046" s="5" t="s">
        <v>12006</v>
      </c>
      <c r="C6046" s="6">
        <v>1000.0</v>
      </c>
      <c r="D6046" s="6">
        <v>2.631578947</v>
      </c>
      <c r="E6046" s="6">
        <v>76.0</v>
      </c>
    </row>
    <row r="6047">
      <c r="A6047" s="4" t="s">
        <v>12007</v>
      </c>
      <c r="B6047" s="5" t="s">
        <v>12008</v>
      </c>
      <c r="C6047" s="6">
        <v>1000.0</v>
      </c>
      <c r="D6047" s="6">
        <v>3.647058824</v>
      </c>
      <c r="E6047" s="6">
        <v>34.0</v>
      </c>
    </row>
    <row r="6048">
      <c r="A6048" s="4" t="s">
        <v>12009</v>
      </c>
      <c r="B6048" s="5" t="s">
        <v>12010</v>
      </c>
      <c r="C6048" s="6">
        <v>1000.0</v>
      </c>
      <c r="D6048" s="6">
        <v>4.75</v>
      </c>
      <c r="E6048" s="6">
        <v>4.0</v>
      </c>
    </row>
    <row r="6049">
      <c r="A6049" s="4" t="s">
        <v>12011</v>
      </c>
      <c r="B6049" s="5" t="s">
        <v>12012</v>
      </c>
      <c r="C6049" s="6">
        <v>1000.0</v>
      </c>
      <c r="D6049" s="6">
        <v>2.709677419</v>
      </c>
      <c r="E6049" s="6">
        <v>31.0</v>
      </c>
    </row>
    <row r="6050">
      <c r="A6050" s="4" t="s">
        <v>12013</v>
      </c>
      <c r="B6050" s="5" t="s">
        <v>12014</v>
      </c>
      <c r="C6050" s="6">
        <v>1000.0</v>
      </c>
      <c r="D6050" s="6">
        <v>4.84</v>
      </c>
      <c r="E6050" s="6">
        <v>25.0</v>
      </c>
    </row>
    <row r="6051">
      <c r="A6051" s="4" t="s">
        <v>12015</v>
      </c>
      <c r="B6051" s="5" t="s">
        <v>12016</v>
      </c>
      <c r="C6051" s="6">
        <v>1000.0</v>
      </c>
      <c r="D6051" s="6">
        <v>5.0</v>
      </c>
      <c r="E6051" s="6">
        <v>3.0</v>
      </c>
    </row>
    <row r="6052">
      <c r="A6052" s="4" t="s">
        <v>12017</v>
      </c>
      <c r="B6052" s="5" t="s">
        <v>12018</v>
      </c>
      <c r="C6052" s="6">
        <v>1000.0</v>
      </c>
      <c r="D6052" s="6">
        <v>3.777777778</v>
      </c>
      <c r="E6052" s="6">
        <v>18.0</v>
      </c>
    </row>
    <row r="6053">
      <c r="A6053" s="4" t="s">
        <v>12019</v>
      </c>
      <c r="B6053" s="5" t="s">
        <v>12020</v>
      </c>
      <c r="C6053" s="6">
        <v>1000.0</v>
      </c>
      <c r="D6053" s="6">
        <v>2.72972973</v>
      </c>
      <c r="E6053" s="6">
        <v>37.0</v>
      </c>
    </row>
    <row r="6054">
      <c r="A6054" s="4" t="s">
        <v>227</v>
      </c>
      <c r="B6054" s="5" t="s">
        <v>12021</v>
      </c>
      <c r="C6054" s="6">
        <v>1000.0</v>
      </c>
      <c r="D6054" s="6">
        <v>5.0</v>
      </c>
      <c r="E6054" s="6">
        <v>7.0</v>
      </c>
    </row>
    <row r="6055">
      <c r="A6055" s="4" t="s">
        <v>12022</v>
      </c>
      <c r="B6055" s="5" t="s">
        <v>12023</v>
      </c>
      <c r="C6055" s="6">
        <v>1000.0</v>
      </c>
      <c r="D6055" s="6">
        <v>3.5</v>
      </c>
      <c r="E6055" s="6">
        <v>2.0</v>
      </c>
    </row>
    <row r="6056">
      <c r="A6056" s="4" t="s">
        <v>12024</v>
      </c>
      <c r="B6056" s="5" t="s">
        <v>12025</v>
      </c>
      <c r="C6056" s="6">
        <v>1000.0</v>
      </c>
      <c r="D6056" s="6">
        <v>4.2</v>
      </c>
      <c r="E6056" s="6">
        <v>10.0</v>
      </c>
    </row>
    <row r="6057">
      <c r="A6057" s="4" t="s">
        <v>12026</v>
      </c>
      <c r="B6057" s="5" t="s">
        <v>12027</v>
      </c>
      <c r="C6057" s="6">
        <v>1000.0</v>
      </c>
      <c r="D6057" s="6">
        <v>1.5</v>
      </c>
      <c r="E6057" s="6">
        <v>10.0</v>
      </c>
    </row>
    <row r="6058">
      <c r="A6058" s="4" t="s">
        <v>12028</v>
      </c>
      <c r="B6058" s="5" t="s">
        <v>12029</v>
      </c>
      <c r="C6058" s="6">
        <v>1000.0</v>
      </c>
      <c r="D6058" s="6">
        <v>3.653846154</v>
      </c>
      <c r="E6058" s="6">
        <v>26.0</v>
      </c>
    </row>
    <row r="6059">
      <c r="A6059" s="4" t="s">
        <v>12030</v>
      </c>
      <c r="B6059" s="5" t="s">
        <v>12031</v>
      </c>
      <c r="C6059" s="6">
        <v>1000.0</v>
      </c>
      <c r="D6059" s="6">
        <v>5.0</v>
      </c>
      <c r="E6059" s="6">
        <v>1.0</v>
      </c>
    </row>
    <row r="6060">
      <c r="A6060" s="4" t="s">
        <v>12032</v>
      </c>
      <c r="B6060" s="5" t="s">
        <v>12033</v>
      </c>
      <c r="C6060" s="6">
        <v>1000.0</v>
      </c>
      <c r="D6060" s="6">
        <v>4.5</v>
      </c>
      <c r="E6060" s="6">
        <v>6.0</v>
      </c>
    </row>
    <row r="6061">
      <c r="A6061" s="4" t="s">
        <v>12034</v>
      </c>
      <c r="B6061" s="5" t="s">
        <v>12035</v>
      </c>
      <c r="C6061" s="6">
        <v>1000.0</v>
      </c>
      <c r="D6061" s="6">
        <v>5.0</v>
      </c>
      <c r="E6061" s="6">
        <v>1.0</v>
      </c>
    </row>
    <row r="6062">
      <c r="A6062" s="4" t="s">
        <v>227</v>
      </c>
      <c r="B6062" s="5" t="s">
        <v>12036</v>
      </c>
      <c r="C6062" s="6">
        <v>1000.0</v>
      </c>
      <c r="D6062" s="6">
        <v>5.0</v>
      </c>
      <c r="E6062" s="6">
        <v>8.0</v>
      </c>
    </row>
    <row r="6063">
      <c r="A6063" s="4" t="s">
        <v>12037</v>
      </c>
      <c r="B6063" s="5" t="s">
        <v>12038</v>
      </c>
      <c r="C6063" s="6">
        <v>1000.0</v>
      </c>
      <c r="D6063" s="6">
        <v>5.0</v>
      </c>
      <c r="E6063" s="6">
        <v>1.0</v>
      </c>
    </row>
    <row r="6064">
      <c r="A6064" s="4" t="s">
        <v>12039</v>
      </c>
      <c r="B6064" s="5" t="s">
        <v>12040</v>
      </c>
      <c r="C6064" s="6">
        <v>1000.0</v>
      </c>
      <c r="D6064" s="6">
        <v>4.222222222</v>
      </c>
      <c r="E6064" s="6">
        <v>9.0</v>
      </c>
    </row>
    <row r="6065">
      <c r="A6065" s="4" t="s">
        <v>12041</v>
      </c>
      <c r="B6065" s="5" t="s">
        <v>12042</v>
      </c>
      <c r="C6065" s="6">
        <v>1000.0</v>
      </c>
      <c r="D6065" s="6">
        <v>4.385714286</v>
      </c>
      <c r="E6065" s="6">
        <v>140.0</v>
      </c>
    </row>
    <row r="6066">
      <c r="A6066" s="4" t="s">
        <v>12043</v>
      </c>
      <c r="B6066" s="5" t="s">
        <v>12044</v>
      </c>
      <c r="C6066" s="6">
        <v>1000.0</v>
      </c>
      <c r="D6066" s="6">
        <v>5.0</v>
      </c>
      <c r="E6066" s="6">
        <v>1.0</v>
      </c>
    </row>
    <row r="6067">
      <c r="A6067" s="4" t="s">
        <v>12045</v>
      </c>
      <c r="B6067" s="5" t="s">
        <v>12046</v>
      </c>
      <c r="C6067" s="6">
        <v>1000.0</v>
      </c>
      <c r="D6067" s="6">
        <v>4.666666667</v>
      </c>
      <c r="E6067" s="6">
        <v>3.0</v>
      </c>
    </row>
    <row r="6068">
      <c r="A6068" s="4" t="s">
        <v>12047</v>
      </c>
      <c r="B6068" s="5" t="s">
        <v>12048</v>
      </c>
      <c r="C6068" s="6">
        <v>1000.0</v>
      </c>
      <c r="D6068" s="6">
        <v>4.333333333</v>
      </c>
      <c r="E6068" s="6">
        <v>6.0</v>
      </c>
    </row>
    <row r="6069">
      <c r="A6069" s="4" t="s">
        <v>12049</v>
      </c>
      <c r="B6069" s="5" t="s">
        <v>12050</v>
      </c>
      <c r="C6069" s="6">
        <v>1000.0</v>
      </c>
      <c r="D6069" s="6">
        <v>3.444444444</v>
      </c>
      <c r="E6069" s="6">
        <v>18.0</v>
      </c>
    </row>
    <row r="6070">
      <c r="A6070" s="4" t="s">
        <v>12051</v>
      </c>
      <c r="B6070" s="5" t="s">
        <v>12052</v>
      </c>
      <c r="C6070" s="6">
        <v>1000.0</v>
      </c>
      <c r="D6070" s="6">
        <v>5.0</v>
      </c>
      <c r="E6070" s="6">
        <v>5.0</v>
      </c>
    </row>
    <row r="6071">
      <c r="A6071" s="4" t="s">
        <v>12053</v>
      </c>
      <c r="B6071" s="5" t="s">
        <v>12054</v>
      </c>
      <c r="C6071" s="6">
        <v>1000.0</v>
      </c>
      <c r="D6071" s="6">
        <v>4.2</v>
      </c>
      <c r="E6071" s="6">
        <v>10.0</v>
      </c>
    </row>
    <row r="6072">
      <c r="A6072" s="4" t="s">
        <v>12055</v>
      </c>
      <c r="B6072" s="5" t="s">
        <v>12056</v>
      </c>
      <c r="C6072" s="6">
        <v>1000.0</v>
      </c>
      <c r="D6072" s="6">
        <v>4.0</v>
      </c>
      <c r="E6072" s="6">
        <v>7.0</v>
      </c>
    </row>
    <row r="6073">
      <c r="A6073" s="4" t="s">
        <v>12057</v>
      </c>
      <c r="B6073" s="5" t="s">
        <v>12058</v>
      </c>
      <c r="C6073" s="6">
        <v>1000.0</v>
      </c>
      <c r="D6073" s="6">
        <v>3.0</v>
      </c>
      <c r="E6073" s="6">
        <v>1.0</v>
      </c>
    </row>
    <row r="6074">
      <c r="A6074" s="4" t="s">
        <v>12059</v>
      </c>
      <c r="B6074" s="5" t="s">
        <v>12060</v>
      </c>
      <c r="C6074" s="6">
        <v>1000.0</v>
      </c>
      <c r="D6074" s="6">
        <v>4.4</v>
      </c>
      <c r="E6074" s="6">
        <v>10.0</v>
      </c>
    </row>
    <row r="6075">
      <c r="A6075" s="4" t="s">
        <v>12061</v>
      </c>
      <c r="B6075" s="5" t="s">
        <v>12062</v>
      </c>
      <c r="C6075" s="6">
        <v>1000.0</v>
      </c>
      <c r="D6075" s="6">
        <v>3.777777778</v>
      </c>
      <c r="E6075" s="6">
        <v>9.0</v>
      </c>
    </row>
    <row r="6076">
      <c r="A6076" s="4" t="s">
        <v>12063</v>
      </c>
      <c r="B6076" s="5" t="s">
        <v>12064</v>
      </c>
      <c r="C6076" s="6">
        <v>1000.0</v>
      </c>
      <c r="D6076" s="6">
        <v>5.0</v>
      </c>
      <c r="E6076" s="6">
        <v>3.0</v>
      </c>
    </row>
    <row r="6077">
      <c r="A6077" s="4" t="s">
        <v>12065</v>
      </c>
      <c r="B6077" s="5" t="s">
        <v>12066</v>
      </c>
      <c r="C6077" s="6">
        <v>1000.0</v>
      </c>
      <c r="D6077" s="6">
        <v>5.0</v>
      </c>
      <c r="E6077" s="6">
        <v>5.0</v>
      </c>
    </row>
    <row r="6078">
      <c r="A6078" s="4" t="s">
        <v>12067</v>
      </c>
      <c r="B6078" s="5" t="s">
        <v>12068</v>
      </c>
      <c r="C6078" s="6">
        <v>1000.0</v>
      </c>
      <c r="D6078" s="6">
        <v>3.137931034</v>
      </c>
      <c r="E6078" s="6">
        <v>29.0</v>
      </c>
    </row>
    <row r="6079">
      <c r="A6079" s="4" t="s">
        <v>12069</v>
      </c>
      <c r="B6079" s="5" t="s">
        <v>12070</v>
      </c>
      <c r="C6079" s="6">
        <v>1000.0</v>
      </c>
      <c r="D6079" s="6">
        <v>4.333333333</v>
      </c>
      <c r="E6079" s="6">
        <v>6.0</v>
      </c>
    </row>
    <row r="6080">
      <c r="A6080" s="4" t="s">
        <v>12071</v>
      </c>
      <c r="B6080" s="5" t="s">
        <v>12072</v>
      </c>
      <c r="C6080" s="6">
        <v>1000.0</v>
      </c>
      <c r="D6080" s="6">
        <v>4.0</v>
      </c>
      <c r="E6080" s="6">
        <v>4.0</v>
      </c>
    </row>
    <row r="6081">
      <c r="A6081" s="4" t="s">
        <v>12073</v>
      </c>
      <c r="B6081" s="5" t="s">
        <v>12074</v>
      </c>
      <c r="C6081" s="6">
        <v>1000.0</v>
      </c>
      <c r="D6081" s="6">
        <v>4.0</v>
      </c>
      <c r="E6081" s="6">
        <v>10.0</v>
      </c>
    </row>
    <row r="6082">
      <c r="A6082" s="4" t="s">
        <v>12075</v>
      </c>
      <c r="B6082" s="5" t="s">
        <v>12076</v>
      </c>
      <c r="C6082" s="6">
        <v>1000.0</v>
      </c>
      <c r="D6082" s="6">
        <v>4.65</v>
      </c>
      <c r="E6082" s="6">
        <v>20.0</v>
      </c>
    </row>
    <row r="6083">
      <c r="A6083" s="4" t="s">
        <v>12077</v>
      </c>
      <c r="B6083" s="5" t="s">
        <v>12078</v>
      </c>
      <c r="C6083" s="6">
        <v>1000.0</v>
      </c>
      <c r="D6083" s="6">
        <v>3.235294118</v>
      </c>
      <c r="E6083" s="6">
        <v>17.0</v>
      </c>
    </row>
    <row r="6084">
      <c r="A6084" s="4" t="s">
        <v>12079</v>
      </c>
      <c r="B6084" s="5" t="s">
        <v>12080</v>
      </c>
      <c r="C6084" s="6">
        <v>1000.0</v>
      </c>
      <c r="D6084" s="6">
        <v>5.0</v>
      </c>
      <c r="E6084" s="6">
        <v>3.0</v>
      </c>
    </row>
    <row r="6085">
      <c r="A6085" s="4" t="s">
        <v>12081</v>
      </c>
      <c r="B6085" s="5" t="s">
        <v>12082</v>
      </c>
      <c r="C6085" s="6">
        <v>1000.0</v>
      </c>
      <c r="D6085" s="6">
        <v>4.760869565</v>
      </c>
      <c r="E6085" s="6">
        <v>46.0</v>
      </c>
    </row>
    <row r="6086">
      <c r="A6086" s="4" t="s">
        <v>12083</v>
      </c>
      <c r="B6086" s="5" t="s">
        <v>12084</v>
      </c>
      <c r="C6086" s="6">
        <v>1000.0</v>
      </c>
      <c r="D6086" s="6">
        <v>3.25</v>
      </c>
      <c r="E6086" s="6">
        <v>56.0</v>
      </c>
    </row>
    <row r="6087">
      <c r="A6087" s="4" t="s">
        <v>12085</v>
      </c>
      <c r="B6087" s="5" t="s">
        <v>12086</v>
      </c>
      <c r="C6087" s="6">
        <v>1000.0</v>
      </c>
      <c r="D6087" s="6">
        <v>3.416666667</v>
      </c>
      <c r="E6087" s="6">
        <v>12.0</v>
      </c>
    </row>
    <row r="6088">
      <c r="A6088" s="4" t="s">
        <v>12087</v>
      </c>
      <c r="B6088" s="5" t="s">
        <v>12088</v>
      </c>
      <c r="C6088" s="6">
        <v>1000.0</v>
      </c>
      <c r="D6088" s="6">
        <v>5.0</v>
      </c>
      <c r="E6088" s="6">
        <v>12.0</v>
      </c>
    </row>
    <row r="6089">
      <c r="A6089" s="4" t="s">
        <v>12089</v>
      </c>
      <c r="B6089" s="5" t="s">
        <v>12090</v>
      </c>
      <c r="C6089" s="6">
        <v>1000.0</v>
      </c>
      <c r="D6089" s="6">
        <v>4.5</v>
      </c>
      <c r="E6089" s="6">
        <v>4.0</v>
      </c>
    </row>
    <row r="6090">
      <c r="A6090" s="4" t="s">
        <v>12091</v>
      </c>
      <c r="B6090" s="5" t="s">
        <v>12092</v>
      </c>
      <c r="C6090" s="6">
        <v>1000.0</v>
      </c>
      <c r="D6090" s="6">
        <v>4.0625</v>
      </c>
      <c r="E6090" s="6">
        <v>16.0</v>
      </c>
    </row>
    <row r="6091">
      <c r="A6091" s="4" t="s">
        <v>12093</v>
      </c>
      <c r="B6091" s="5" t="s">
        <v>12094</v>
      </c>
      <c r="C6091" s="6">
        <v>1000.0</v>
      </c>
      <c r="D6091" s="6">
        <v>4.472222222</v>
      </c>
      <c r="E6091" s="6">
        <v>108.0</v>
      </c>
    </row>
    <row r="6092">
      <c r="A6092" s="4" t="s">
        <v>12095</v>
      </c>
      <c r="B6092" s="5" t="s">
        <v>12096</v>
      </c>
      <c r="C6092" s="6">
        <v>1000.0</v>
      </c>
      <c r="D6092" s="6">
        <v>4.111111111</v>
      </c>
      <c r="E6092" s="6">
        <v>9.0</v>
      </c>
    </row>
    <row r="6093">
      <c r="A6093" s="4" t="s">
        <v>12097</v>
      </c>
      <c r="B6093" s="5" t="s">
        <v>12098</v>
      </c>
      <c r="C6093" s="6">
        <v>1000.0</v>
      </c>
      <c r="D6093" s="6">
        <v>4.245283019</v>
      </c>
      <c r="E6093" s="6">
        <v>53.0</v>
      </c>
    </row>
    <row r="6094">
      <c r="A6094" s="4" t="s">
        <v>12099</v>
      </c>
      <c r="B6094" s="5" t="s">
        <v>12100</v>
      </c>
      <c r="C6094" s="6">
        <v>1000.0</v>
      </c>
      <c r="D6094" s="6">
        <v>2.333333333</v>
      </c>
      <c r="E6094" s="6">
        <v>6.0</v>
      </c>
    </row>
    <row r="6095">
      <c r="A6095" s="4" t="s">
        <v>12101</v>
      </c>
      <c r="B6095" s="5" t="s">
        <v>12102</v>
      </c>
      <c r="C6095" s="6">
        <v>1000.0</v>
      </c>
      <c r="D6095" s="6">
        <v>4.026666667</v>
      </c>
      <c r="E6095" s="6">
        <v>75.0</v>
      </c>
    </row>
    <row r="6096">
      <c r="A6096" s="4" t="s">
        <v>12103</v>
      </c>
      <c r="B6096" s="5" t="s">
        <v>12104</v>
      </c>
      <c r="C6096" s="6">
        <v>1000.0</v>
      </c>
      <c r="D6096" s="6">
        <v>3.837837838</v>
      </c>
      <c r="E6096" s="6">
        <v>37.0</v>
      </c>
    </row>
    <row r="6097">
      <c r="A6097" s="4" t="s">
        <v>12105</v>
      </c>
      <c r="B6097" s="5" t="s">
        <v>12106</v>
      </c>
      <c r="C6097" s="6">
        <v>1000.0</v>
      </c>
      <c r="D6097" s="6">
        <v>3.416666667</v>
      </c>
      <c r="E6097" s="6">
        <v>12.0</v>
      </c>
    </row>
    <row r="6098">
      <c r="A6098" s="4" t="s">
        <v>12107</v>
      </c>
      <c r="B6098" s="5" t="s">
        <v>12108</v>
      </c>
      <c r="C6098" s="6">
        <v>1000.0</v>
      </c>
      <c r="D6098" s="6">
        <v>3.963636364</v>
      </c>
      <c r="E6098" s="6">
        <v>55.0</v>
      </c>
    </row>
    <row r="6099">
      <c r="A6099" s="4" t="s">
        <v>12109</v>
      </c>
      <c r="B6099" s="5" t="s">
        <v>12110</v>
      </c>
      <c r="C6099" s="6">
        <v>1000.0</v>
      </c>
      <c r="D6099" s="6">
        <v>4.1875</v>
      </c>
      <c r="E6099" s="6">
        <v>16.0</v>
      </c>
    </row>
    <row r="6100">
      <c r="A6100" s="4" t="s">
        <v>12111</v>
      </c>
      <c r="B6100" s="5" t="s">
        <v>12112</v>
      </c>
      <c r="C6100" s="6">
        <v>1000.0</v>
      </c>
      <c r="D6100" s="6">
        <v>5.0</v>
      </c>
      <c r="E6100" s="6">
        <v>4.0</v>
      </c>
    </row>
    <row r="6101">
      <c r="A6101" s="4" t="s">
        <v>12113</v>
      </c>
      <c r="B6101" s="5" t="s">
        <v>12114</v>
      </c>
      <c r="C6101" s="6">
        <v>1000.0</v>
      </c>
      <c r="D6101" s="6">
        <v>5.0</v>
      </c>
      <c r="E6101" s="6">
        <v>6.0</v>
      </c>
    </row>
    <row r="6102">
      <c r="A6102" s="4" t="s">
        <v>12115</v>
      </c>
      <c r="B6102" s="5" t="s">
        <v>12116</v>
      </c>
      <c r="C6102" s="6">
        <v>1000.0</v>
      </c>
      <c r="D6102" s="6">
        <v>3.19047619</v>
      </c>
      <c r="E6102" s="6">
        <v>21.0</v>
      </c>
    </row>
    <row r="6103">
      <c r="A6103" s="4" t="s">
        <v>12117</v>
      </c>
      <c r="B6103" s="5" t="s">
        <v>12118</v>
      </c>
      <c r="C6103" s="6">
        <v>1000.0</v>
      </c>
      <c r="D6103" s="6">
        <v>3.142857143</v>
      </c>
      <c r="E6103" s="6">
        <v>7.0</v>
      </c>
    </row>
    <row r="6104">
      <c r="A6104" s="4" t="s">
        <v>12119</v>
      </c>
      <c r="B6104" s="5" t="s">
        <v>12120</v>
      </c>
      <c r="C6104" s="6">
        <v>1000.0</v>
      </c>
      <c r="D6104" s="6">
        <v>5.0</v>
      </c>
      <c r="E6104" s="6">
        <v>7.0</v>
      </c>
    </row>
    <row r="6105">
      <c r="A6105" s="4" t="s">
        <v>12121</v>
      </c>
      <c r="B6105" s="5" t="s">
        <v>12122</v>
      </c>
      <c r="C6105" s="6">
        <v>1000.0</v>
      </c>
      <c r="D6105" s="6">
        <v>3.5</v>
      </c>
      <c r="E6105" s="6">
        <v>2.0</v>
      </c>
    </row>
    <row r="6106">
      <c r="A6106" s="4" t="s">
        <v>12123</v>
      </c>
      <c r="B6106" s="5" t="s">
        <v>12124</v>
      </c>
      <c r="C6106" s="6">
        <v>1000.0</v>
      </c>
      <c r="D6106" s="6">
        <v>4.166666667</v>
      </c>
      <c r="E6106" s="6">
        <v>6.0</v>
      </c>
    </row>
    <row r="6107">
      <c r="A6107" s="4" t="s">
        <v>12125</v>
      </c>
      <c r="B6107" s="5" t="s">
        <v>12126</v>
      </c>
      <c r="C6107" s="6">
        <v>1000.0</v>
      </c>
      <c r="D6107" s="6">
        <v>4.6</v>
      </c>
      <c r="E6107" s="6">
        <v>10.0</v>
      </c>
    </row>
    <row r="6108">
      <c r="A6108" s="4" t="s">
        <v>12127</v>
      </c>
      <c r="B6108" s="5" t="s">
        <v>12128</v>
      </c>
      <c r="C6108" s="6">
        <v>1000.0</v>
      </c>
      <c r="D6108" s="6">
        <v>4.722222222</v>
      </c>
      <c r="E6108" s="6">
        <v>18.0</v>
      </c>
    </row>
    <row r="6109">
      <c r="A6109" s="4" t="s">
        <v>12129</v>
      </c>
      <c r="B6109" s="5" t="s">
        <v>12130</v>
      </c>
      <c r="C6109" s="6">
        <v>1000.0</v>
      </c>
      <c r="D6109" s="6">
        <v>4.964028777</v>
      </c>
      <c r="E6109" s="6">
        <v>139.0</v>
      </c>
    </row>
    <row r="6110">
      <c r="A6110" s="4" t="s">
        <v>12131</v>
      </c>
      <c r="B6110" s="5" t="s">
        <v>12132</v>
      </c>
      <c r="C6110" s="6">
        <v>1000.0</v>
      </c>
      <c r="D6110" s="6">
        <v>4.733333333</v>
      </c>
      <c r="E6110" s="6">
        <v>15.0</v>
      </c>
    </row>
    <row r="6111">
      <c r="A6111" s="4" t="s">
        <v>12133</v>
      </c>
      <c r="B6111" s="5" t="s">
        <v>12134</v>
      </c>
      <c r="C6111" s="6">
        <v>1000.0</v>
      </c>
      <c r="D6111" s="6">
        <v>5.0</v>
      </c>
      <c r="E6111" s="6">
        <v>2.0</v>
      </c>
    </row>
    <row r="6112">
      <c r="A6112" s="4" t="s">
        <v>12135</v>
      </c>
      <c r="B6112" s="5" t="s">
        <v>12136</v>
      </c>
      <c r="C6112" s="6">
        <v>1000.0</v>
      </c>
      <c r="D6112" s="6">
        <v>4.0</v>
      </c>
      <c r="E6112" s="6">
        <v>25.0</v>
      </c>
    </row>
    <row r="6113">
      <c r="A6113" s="4" t="s">
        <v>12137</v>
      </c>
      <c r="B6113" s="5" t="s">
        <v>12138</v>
      </c>
      <c r="C6113" s="6">
        <v>1000.0</v>
      </c>
      <c r="D6113" s="6">
        <v>5.0</v>
      </c>
      <c r="E6113" s="6">
        <v>3.0</v>
      </c>
    </row>
    <row r="6114">
      <c r="A6114" s="4" t="s">
        <v>12139</v>
      </c>
      <c r="B6114" s="5" t="s">
        <v>12140</v>
      </c>
      <c r="C6114" s="6">
        <v>1000.0</v>
      </c>
      <c r="D6114" s="6">
        <v>4.0</v>
      </c>
      <c r="E6114" s="6">
        <v>4.0</v>
      </c>
    </row>
    <row r="6115">
      <c r="A6115" s="4" t="s">
        <v>12141</v>
      </c>
      <c r="B6115" s="5" t="s">
        <v>12142</v>
      </c>
      <c r="C6115" s="6">
        <v>1000.0</v>
      </c>
      <c r="D6115" s="6">
        <v>2.533333333</v>
      </c>
      <c r="E6115" s="6">
        <v>15.0</v>
      </c>
    </row>
    <row r="6116">
      <c r="A6116" s="4" t="s">
        <v>12143</v>
      </c>
      <c r="B6116" s="5" t="s">
        <v>12144</v>
      </c>
      <c r="C6116" s="6">
        <v>1000.0</v>
      </c>
      <c r="D6116" s="6">
        <v>3.52173913</v>
      </c>
      <c r="E6116" s="6">
        <v>23.0</v>
      </c>
    </row>
    <row r="6117">
      <c r="A6117" s="4" t="s">
        <v>12145</v>
      </c>
      <c r="B6117" s="5" t="s">
        <v>12146</v>
      </c>
      <c r="C6117" s="6">
        <v>1000.0</v>
      </c>
      <c r="D6117" s="6">
        <v>2.533333333</v>
      </c>
      <c r="E6117" s="6">
        <v>15.0</v>
      </c>
    </row>
    <row r="6118">
      <c r="A6118" s="4" t="s">
        <v>12147</v>
      </c>
      <c r="B6118" s="5" t="s">
        <v>12148</v>
      </c>
      <c r="C6118" s="6">
        <v>1000.0</v>
      </c>
      <c r="D6118" s="6">
        <v>4.333333333</v>
      </c>
      <c r="E6118" s="6">
        <v>6.0</v>
      </c>
    </row>
    <row r="6119">
      <c r="A6119" s="4" t="s">
        <v>12149</v>
      </c>
      <c r="B6119" s="5" t="s">
        <v>12150</v>
      </c>
      <c r="C6119" s="6">
        <v>1000.0</v>
      </c>
      <c r="D6119" s="6">
        <v>4.434782609</v>
      </c>
      <c r="E6119" s="6">
        <v>23.0</v>
      </c>
    </row>
    <row r="6120">
      <c r="A6120" s="4" t="s">
        <v>12151</v>
      </c>
      <c r="B6120" s="5" t="s">
        <v>12152</v>
      </c>
      <c r="C6120" s="6">
        <v>1000.0</v>
      </c>
      <c r="D6120" s="6">
        <v>5.0</v>
      </c>
      <c r="E6120" s="6">
        <v>2.0</v>
      </c>
    </row>
    <row r="6121">
      <c r="A6121" s="4" t="s">
        <v>12153</v>
      </c>
      <c r="B6121" s="5" t="s">
        <v>12154</v>
      </c>
      <c r="C6121" s="6">
        <v>1000.0</v>
      </c>
      <c r="D6121" s="6">
        <v>4.666666667</v>
      </c>
      <c r="E6121" s="6">
        <v>27.0</v>
      </c>
    </row>
    <row r="6122">
      <c r="A6122" s="4" t="s">
        <v>12155</v>
      </c>
      <c r="B6122" s="5" t="s">
        <v>12156</v>
      </c>
      <c r="C6122" s="6">
        <v>1000.0</v>
      </c>
      <c r="D6122" s="6">
        <v>1.0</v>
      </c>
      <c r="E6122" s="6">
        <v>1.0</v>
      </c>
    </row>
    <row r="6123">
      <c r="A6123" s="4" t="s">
        <v>12157</v>
      </c>
      <c r="B6123" s="5" t="s">
        <v>12158</v>
      </c>
      <c r="C6123" s="6">
        <v>1000.0</v>
      </c>
      <c r="D6123" s="6">
        <v>3.0</v>
      </c>
      <c r="E6123" s="6">
        <v>1.0</v>
      </c>
    </row>
    <row r="6124">
      <c r="A6124" s="4" t="s">
        <v>12159</v>
      </c>
      <c r="B6124" s="5" t="s">
        <v>12160</v>
      </c>
      <c r="C6124" s="6">
        <v>1000.0</v>
      </c>
      <c r="D6124" s="6">
        <v>5.0</v>
      </c>
      <c r="E6124" s="6">
        <v>7.0</v>
      </c>
    </row>
    <row r="6125">
      <c r="A6125" s="4" t="s">
        <v>12161</v>
      </c>
      <c r="B6125" s="5" t="s">
        <v>12162</v>
      </c>
      <c r="C6125" s="6">
        <v>1000.0</v>
      </c>
      <c r="D6125" s="6">
        <v>4.722222222</v>
      </c>
      <c r="E6125" s="6">
        <v>18.0</v>
      </c>
    </row>
    <row r="6126">
      <c r="A6126" s="5" t="s">
        <v>12163</v>
      </c>
      <c r="B6126" s="5" t="s">
        <v>12164</v>
      </c>
      <c r="C6126" s="6">
        <v>1000.0</v>
      </c>
      <c r="D6126" s="6">
        <v>5.0</v>
      </c>
      <c r="E6126" s="6">
        <v>1.0</v>
      </c>
    </row>
    <row r="6127">
      <c r="A6127" s="4" t="s">
        <v>12165</v>
      </c>
      <c r="B6127" s="5" t="s">
        <v>12166</v>
      </c>
      <c r="C6127" s="6">
        <v>1000.0</v>
      </c>
      <c r="D6127" s="6">
        <v>4.0</v>
      </c>
      <c r="E6127" s="6">
        <v>3.0</v>
      </c>
    </row>
    <row r="6128">
      <c r="A6128" s="4" t="s">
        <v>12167</v>
      </c>
      <c r="B6128" s="5" t="s">
        <v>12168</v>
      </c>
      <c r="C6128" s="6">
        <v>1000.0</v>
      </c>
      <c r="D6128" s="6">
        <v>3.0</v>
      </c>
      <c r="E6128" s="6">
        <v>2.0</v>
      </c>
    </row>
    <row r="6129">
      <c r="A6129" s="4" t="s">
        <v>12169</v>
      </c>
      <c r="B6129" s="5" t="s">
        <v>12170</v>
      </c>
      <c r="C6129" s="6">
        <v>1000.0</v>
      </c>
      <c r="D6129" s="6">
        <v>5.0</v>
      </c>
      <c r="E6129" s="6">
        <v>9.0</v>
      </c>
    </row>
    <row r="6130">
      <c r="A6130" s="4" t="s">
        <v>12171</v>
      </c>
      <c r="B6130" s="5" t="s">
        <v>12172</v>
      </c>
      <c r="C6130" s="6">
        <v>1000.0</v>
      </c>
      <c r="D6130" s="6">
        <v>4.533333333</v>
      </c>
      <c r="E6130" s="6">
        <v>15.0</v>
      </c>
    </row>
    <row r="6131">
      <c r="A6131" s="4" t="s">
        <v>12173</v>
      </c>
      <c r="B6131" s="5" t="s">
        <v>12174</v>
      </c>
      <c r="C6131" s="6">
        <v>1000.0</v>
      </c>
      <c r="D6131" s="6">
        <v>3.25</v>
      </c>
      <c r="E6131" s="6">
        <v>12.0</v>
      </c>
    </row>
    <row r="6132">
      <c r="A6132" s="4" t="s">
        <v>12175</v>
      </c>
      <c r="B6132" s="5" t="s">
        <v>12176</v>
      </c>
      <c r="C6132" s="6">
        <v>1000.0</v>
      </c>
      <c r="D6132" s="6">
        <v>3.454545455</v>
      </c>
      <c r="E6132" s="6">
        <v>11.0</v>
      </c>
    </row>
    <row r="6133">
      <c r="A6133" s="4" t="s">
        <v>12177</v>
      </c>
      <c r="B6133" s="5" t="s">
        <v>12178</v>
      </c>
      <c r="C6133" s="6">
        <v>1000.0</v>
      </c>
      <c r="D6133" s="6">
        <v>4.0</v>
      </c>
      <c r="E6133" s="6">
        <v>1.0</v>
      </c>
    </row>
    <row r="6134">
      <c r="A6134" s="4" t="s">
        <v>12179</v>
      </c>
      <c r="B6134" s="5" t="s">
        <v>12180</v>
      </c>
      <c r="C6134" s="6">
        <v>1000.0</v>
      </c>
      <c r="D6134" s="6">
        <v>4.305555556</v>
      </c>
      <c r="E6134" s="6">
        <v>36.0</v>
      </c>
    </row>
    <row r="6135">
      <c r="A6135" s="4" t="s">
        <v>12181</v>
      </c>
      <c r="B6135" s="5" t="s">
        <v>12182</v>
      </c>
      <c r="C6135" s="6">
        <v>1000.0</v>
      </c>
      <c r="D6135" s="6">
        <v>3.884615385</v>
      </c>
      <c r="E6135" s="6">
        <v>26.0</v>
      </c>
    </row>
    <row r="6136">
      <c r="A6136" s="4" t="s">
        <v>12183</v>
      </c>
      <c r="B6136" s="5" t="s">
        <v>12184</v>
      </c>
      <c r="C6136" s="6">
        <v>1000.0</v>
      </c>
      <c r="D6136" s="6">
        <v>2.818181818</v>
      </c>
      <c r="E6136" s="6">
        <v>11.0</v>
      </c>
    </row>
    <row r="6137">
      <c r="A6137" s="4" t="s">
        <v>12185</v>
      </c>
      <c r="B6137" s="5" t="s">
        <v>12186</v>
      </c>
      <c r="C6137" s="6">
        <v>1000.0</v>
      </c>
      <c r="D6137" s="6">
        <v>2.0</v>
      </c>
      <c r="E6137" s="6">
        <v>1.0</v>
      </c>
    </row>
    <row r="6138">
      <c r="A6138" s="4" t="s">
        <v>12187</v>
      </c>
      <c r="B6138" s="5" t="s">
        <v>12188</v>
      </c>
      <c r="C6138" s="6">
        <v>1000.0</v>
      </c>
      <c r="D6138" s="6">
        <v>5.0</v>
      </c>
      <c r="E6138" s="6">
        <v>4.0</v>
      </c>
    </row>
    <row r="6139">
      <c r="A6139" s="4" t="s">
        <v>12189</v>
      </c>
      <c r="B6139" s="5" t="s">
        <v>12190</v>
      </c>
      <c r="C6139" s="6">
        <v>1000.0</v>
      </c>
      <c r="D6139" s="6">
        <v>4.714285714</v>
      </c>
      <c r="E6139" s="6">
        <v>14.0</v>
      </c>
    </row>
    <row r="6140">
      <c r="A6140" s="4" t="s">
        <v>12191</v>
      </c>
      <c r="B6140" s="5" t="s">
        <v>12192</v>
      </c>
      <c r="C6140" s="6">
        <v>1000.0</v>
      </c>
      <c r="D6140" s="6">
        <v>2.678571429</v>
      </c>
      <c r="E6140" s="6">
        <v>28.0</v>
      </c>
    </row>
    <row r="6141">
      <c r="A6141" s="10" t="s">
        <v>12193</v>
      </c>
      <c r="B6141" s="5" t="s">
        <v>12194</v>
      </c>
      <c r="C6141" s="6">
        <v>1000.0</v>
      </c>
      <c r="D6141" s="6">
        <v>4.666666667</v>
      </c>
      <c r="E6141" s="6">
        <v>33.0</v>
      </c>
    </row>
    <row r="6142">
      <c r="A6142" s="4" t="s">
        <v>12195</v>
      </c>
      <c r="B6142" s="5" t="s">
        <v>12196</v>
      </c>
      <c r="C6142" s="6">
        <v>1000.0</v>
      </c>
      <c r="D6142" s="9"/>
      <c r="E6142" s="9"/>
    </row>
    <row r="6143">
      <c r="A6143" s="4" t="s">
        <v>12197</v>
      </c>
      <c r="B6143" s="5" t="s">
        <v>12198</v>
      </c>
      <c r="C6143" s="6">
        <v>1000.0</v>
      </c>
      <c r="D6143" s="6">
        <v>4.75</v>
      </c>
      <c r="E6143" s="6">
        <v>4.0</v>
      </c>
    </row>
    <row r="6144">
      <c r="A6144" s="4" t="s">
        <v>12199</v>
      </c>
      <c r="B6144" s="5" t="s">
        <v>12200</v>
      </c>
      <c r="C6144" s="6">
        <v>1000.0</v>
      </c>
      <c r="D6144" s="6">
        <v>4.692307692</v>
      </c>
      <c r="E6144" s="6">
        <v>13.0</v>
      </c>
    </row>
    <row r="6145">
      <c r="A6145" s="4" t="s">
        <v>12201</v>
      </c>
      <c r="B6145" s="5" t="s">
        <v>12202</v>
      </c>
      <c r="C6145" s="6">
        <v>1000.0</v>
      </c>
      <c r="D6145" s="6">
        <v>4.375</v>
      </c>
      <c r="E6145" s="6">
        <v>8.0</v>
      </c>
    </row>
    <row r="6146">
      <c r="A6146" s="4" t="s">
        <v>12203</v>
      </c>
      <c r="B6146" s="5" t="s">
        <v>12204</v>
      </c>
      <c r="C6146" s="6">
        <v>1000.0</v>
      </c>
      <c r="D6146" s="6">
        <v>4.055555556</v>
      </c>
      <c r="E6146" s="6">
        <v>18.0</v>
      </c>
    </row>
    <row r="6147">
      <c r="A6147" s="4" t="s">
        <v>12205</v>
      </c>
      <c r="B6147" s="5" t="s">
        <v>12206</v>
      </c>
      <c r="C6147" s="6">
        <v>1000.0</v>
      </c>
      <c r="D6147" s="6">
        <v>3.333333333</v>
      </c>
      <c r="E6147" s="6">
        <v>15.0</v>
      </c>
    </row>
    <row r="6148">
      <c r="A6148" s="4" t="s">
        <v>12207</v>
      </c>
      <c r="B6148" s="5" t="s">
        <v>12208</v>
      </c>
      <c r="C6148" s="6">
        <v>1000.0</v>
      </c>
      <c r="D6148" s="6">
        <v>4.507936508</v>
      </c>
      <c r="E6148" s="6">
        <v>63.0</v>
      </c>
    </row>
    <row r="6149">
      <c r="A6149" s="4" t="s">
        <v>12209</v>
      </c>
      <c r="B6149" s="5" t="s">
        <v>12210</v>
      </c>
      <c r="C6149" s="6">
        <v>1000.0</v>
      </c>
      <c r="D6149" s="6">
        <v>4.68</v>
      </c>
      <c r="E6149" s="6">
        <v>25.0</v>
      </c>
    </row>
    <row r="6150">
      <c r="A6150" s="4" t="s">
        <v>12211</v>
      </c>
      <c r="B6150" s="5" t="s">
        <v>12212</v>
      </c>
      <c r="C6150" s="6">
        <v>1000.0</v>
      </c>
      <c r="D6150" s="6">
        <v>4.777777778</v>
      </c>
      <c r="E6150" s="6">
        <v>9.0</v>
      </c>
    </row>
    <row r="6151">
      <c r="A6151" s="4" t="s">
        <v>12213</v>
      </c>
      <c r="B6151" s="5" t="s">
        <v>12214</v>
      </c>
      <c r="C6151" s="6">
        <v>1000.0</v>
      </c>
      <c r="D6151" s="6">
        <v>3.5</v>
      </c>
      <c r="E6151" s="6">
        <v>8.0</v>
      </c>
    </row>
    <row r="6152">
      <c r="A6152" s="4" t="s">
        <v>12215</v>
      </c>
      <c r="B6152" s="5" t="s">
        <v>12216</v>
      </c>
      <c r="C6152" s="6">
        <v>1000.0</v>
      </c>
      <c r="D6152" s="6">
        <v>4.733333333</v>
      </c>
      <c r="E6152" s="6">
        <v>15.0</v>
      </c>
    </row>
    <row r="6153">
      <c r="A6153" s="4" t="s">
        <v>1442</v>
      </c>
      <c r="B6153" s="5" t="s">
        <v>12217</v>
      </c>
      <c r="C6153" s="6">
        <v>1000.0</v>
      </c>
      <c r="D6153" s="6">
        <v>2.916666667</v>
      </c>
      <c r="E6153" s="6">
        <v>12.0</v>
      </c>
    </row>
    <row r="6154">
      <c r="A6154" s="4" t="s">
        <v>12218</v>
      </c>
      <c r="B6154" s="5" t="s">
        <v>12219</v>
      </c>
      <c r="C6154" s="6">
        <v>1000.0</v>
      </c>
      <c r="D6154" s="9"/>
      <c r="E6154" s="9"/>
    </row>
    <row r="6155">
      <c r="A6155" s="4" t="s">
        <v>12220</v>
      </c>
      <c r="B6155" s="5" t="s">
        <v>12221</v>
      </c>
      <c r="C6155" s="6">
        <v>1000.0</v>
      </c>
      <c r="D6155" s="6">
        <v>4.583333333</v>
      </c>
      <c r="E6155" s="6">
        <v>12.0</v>
      </c>
    </row>
    <row r="6156">
      <c r="A6156" s="4" t="s">
        <v>8549</v>
      </c>
      <c r="B6156" s="5" t="s">
        <v>12222</v>
      </c>
      <c r="C6156" s="6">
        <v>1000.0</v>
      </c>
      <c r="D6156" s="6">
        <v>4.573529412</v>
      </c>
      <c r="E6156" s="6">
        <v>68.0</v>
      </c>
    </row>
    <row r="6157">
      <c r="A6157" s="4" t="s">
        <v>12223</v>
      </c>
      <c r="B6157" s="5" t="s">
        <v>12224</v>
      </c>
      <c r="C6157" s="6">
        <v>1000.0</v>
      </c>
      <c r="D6157" s="6">
        <v>4.375</v>
      </c>
      <c r="E6157" s="6">
        <v>8.0</v>
      </c>
    </row>
    <row r="6158">
      <c r="A6158" s="4" t="s">
        <v>12225</v>
      </c>
      <c r="B6158" s="5" t="s">
        <v>12226</v>
      </c>
      <c r="C6158" s="6">
        <v>1000.0</v>
      </c>
      <c r="D6158" s="6">
        <v>3.166666667</v>
      </c>
      <c r="E6158" s="6">
        <v>6.0</v>
      </c>
    </row>
    <row r="6159">
      <c r="A6159" s="4" t="s">
        <v>12227</v>
      </c>
      <c r="B6159" s="5" t="s">
        <v>12228</v>
      </c>
      <c r="C6159" s="6">
        <v>1000.0</v>
      </c>
      <c r="D6159" s="6">
        <v>4.9</v>
      </c>
      <c r="E6159" s="6">
        <v>10.0</v>
      </c>
    </row>
    <row r="6160">
      <c r="A6160" s="4" t="s">
        <v>12229</v>
      </c>
      <c r="B6160" s="5" t="s">
        <v>12230</v>
      </c>
      <c r="C6160" s="6">
        <v>1000.0</v>
      </c>
      <c r="D6160" s="6">
        <v>4.2</v>
      </c>
      <c r="E6160" s="6">
        <v>5.0</v>
      </c>
    </row>
    <row r="6161">
      <c r="A6161" s="4" t="s">
        <v>12231</v>
      </c>
      <c r="B6161" s="5" t="s">
        <v>12232</v>
      </c>
      <c r="C6161" s="6">
        <v>1000.0</v>
      </c>
      <c r="D6161" s="6">
        <v>5.0</v>
      </c>
      <c r="E6161" s="6">
        <v>3.0</v>
      </c>
    </row>
    <row r="6162">
      <c r="A6162" s="4" t="s">
        <v>12233</v>
      </c>
      <c r="B6162" s="5" t="s">
        <v>12234</v>
      </c>
      <c r="C6162" s="6">
        <v>1000.0</v>
      </c>
      <c r="D6162" s="6">
        <v>3.333333333</v>
      </c>
      <c r="E6162" s="6">
        <v>3.0</v>
      </c>
    </row>
    <row r="6163">
      <c r="A6163" s="4" t="s">
        <v>12235</v>
      </c>
      <c r="B6163" s="5" t="s">
        <v>12236</v>
      </c>
      <c r="C6163" s="6">
        <v>1000.0</v>
      </c>
      <c r="D6163" s="6">
        <v>3.666666667</v>
      </c>
      <c r="E6163" s="6">
        <v>15.0</v>
      </c>
    </row>
    <row r="6164">
      <c r="A6164" s="4" t="s">
        <v>12237</v>
      </c>
      <c r="B6164" s="5" t="s">
        <v>12238</v>
      </c>
      <c r="C6164" s="6">
        <v>1000.0</v>
      </c>
      <c r="D6164" s="6">
        <v>1.461538462</v>
      </c>
      <c r="E6164" s="6">
        <v>26.0</v>
      </c>
    </row>
    <row r="6165">
      <c r="A6165" s="4" t="s">
        <v>12239</v>
      </c>
      <c r="B6165" s="5" t="s">
        <v>12240</v>
      </c>
      <c r="C6165" s="6">
        <v>1000.0</v>
      </c>
      <c r="D6165" s="6">
        <v>1.947368421</v>
      </c>
      <c r="E6165" s="6">
        <v>19.0</v>
      </c>
    </row>
    <row r="6166">
      <c r="A6166" s="4" t="s">
        <v>12241</v>
      </c>
      <c r="B6166" s="5" t="s">
        <v>12242</v>
      </c>
      <c r="C6166" s="6">
        <v>1000.0</v>
      </c>
      <c r="D6166" s="6">
        <v>5.0</v>
      </c>
      <c r="E6166" s="6">
        <v>3.0</v>
      </c>
    </row>
    <row r="6167">
      <c r="A6167" s="4" t="s">
        <v>12243</v>
      </c>
      <c r="B6167" s="5" t="s">
        <v>12244</v>
      </c>
      <c r="C6167" s="6">
        <v>1000.0</v>
      </c>
      <c r="D6167" s="6">
        <v>3.743243243</v>
      </c>
      <c r="E6167" s="6">
        <v>74.0</v>
      </c>
    </row>
    <row r="6168">
      <c r="A6168" s="4" t="s">
        <v>12245</v>
      </c>
      <c r="B6168" s="5" t="s">
        <v>12246</v>
      </c>
      <c r="C6168" s="6">
        <v>1000.0</v>
      </c>
      <c r="D6168" s="6">
        <v>4.8</v>
      </c>
      <c r="E6168" s="6">
        <v>5.0</v>
      </c>
    </row>
    <row r="6169">
      <c r="A6169" s="4" t="s">
        <v>12247</v>
      </c>
      <c r="B6169" s="5" t="s">
        <v>12248</v>
      </c>
      <c r="C6169" s="6">
        <v>1000.0</v>
      </c>
      <c r="D6169" s="6">
        <v>4.5</v>
      </c>
      <c r="E6169" s="6">
        <v>6.0</v>
      </c>
    </row>
    <row r="6170">
      <c r="A6170" s="4" t="s">
        <v>12249</v>
      </c>
      <c r="B6170" s="5" t="s">
        <v>12250</v>
      </c>
      <c r="C6170" s="6">
        <v>1000.0</v>
      </c>
      <c r="D6170" s="6">
        <v>4.6</v>
      </c>
      <c r="E6170" s="6">
        <v>5.0</v>
      </c>
    </row>
    <row r="6171">
      <c r="A6171" s="4" t="s">
        <v>12251</v>
      </c>
      <c r="B6171" s="5" t="s">
        <v>12252</v>
      </c>
      <c r="C6171" s="6">
        <v>1000.0</v>
      </c>
      <c r="D6171" s="6">
        <v>5.0</v>
      </c>
      <c r="E6171" s="6">
        <v>7.0</v>
      </c>
    </row>
    <row r="6172">
      <c r="A6172" s="4" t="s">
        <v>12253</v>
      </c>
      <c r="B6172" s="5" t="s">
        <v>12254</v>
      </c>
      <c r="C6172" s="6">
        <v>1000.0</v>
      </c>
      <c r="D6172" s="6">
        <v>4.666666667</v>
      </c>
      <c r="E6172" s="6">
        <v>15.0</v>
      </c>
    </row>
    <row r="6173">
      <c r="A6173" s="4" t="s">
        <v>12255</v>
      </c>
      <c r="B6173" s="5" t="s">
        <v>12256</v>
      </c>
      <c r="C6173" s="6">
        <v>1000.0</v>
      </c>
      <c r="D6173" s="9"/>
      <c r="E6173" s="9"/>
    </row>
    <row r="6174">
      <c r="A6174" s="4" t="s">
        <v>12257</v>
      </c>
      <c r="B6174" s="5" t="s">
        <v>12258</v>
      </c>
      <c r="C6174" s="6">
        <v>1000.0</v>
      </c>
      <c r="D6174" s="6">
        <v>5.0</v>
      </c>
      <c r="E6174" s="6">
        <v>1.0</v>
      </c>
    </row>
    <row r="6175">
      <c r="A6175" s="4" t="s">
        <v>12259</v>
      </c>
      <c r="B6175" s="5" t="s">
        <v>12260</v>
      </c>
      <c r="C6175" s="6">
        <v>1000.0</v>
      </c>
      <c r="D6175" s="6">
        <v>1.571428571</v>
      </c>
      <c r="E6175" s="6">
        <v>7.0</v>
      </c>
    </row>
    <row r="6176">
      <c r="A6176" s="4" t="s">
        <v>12261</v>
      </c>
      <c r="B6176" s="5" t="s">
        <v>12262</v>
      </c>
      <c r="C6176" s="6">
        <v>1000.0</v>
      </c>
      <c r="D6176" s="6">
        <v>4.719512195</v>
      </c>
      <c r="E6176" s="6">
        <v>164.0</v>
      </c>
    </row>
    <row r="6177">
      <c r="A6177" s="4" t="s">
        <v>12263</v>
      </c>
      <c r="B6177" s="5" t="s">
        <v>12264</v>
      </c>
      <c r="C6177" s="6">
        <v>1000.0</v>
      </c>
      <c r="D6177" s="6">
        <v>5.0</v>
      </c>
      <c r="E6177" s="6">
        <v>4.0</v>
      </c>
    </row>
    <row r="6178">
      <c r="A6178" s="4" t="s">
        <v>12265</v>
      </c>
      <c r="B6178" s="5" t="s">
        <v>12266</v>
      </c>
      <c r="C6178" s="6">
        <v>1000.0</v>
      </c>
      <c r="D6178" s="6">
        <v>4.0</v>
      </c>
      <c r="E6178" s="6">
        <v>2.0</v>
      </c>
    </row>
    <row r="6179">
      <c r="A6179" s="4" t="s">
        <v>12267</v>
      </c>
      <c r="B6179" s="5" t="s">
        <v>12268</v>
      </c>
      <c r="C6179" s="6">
        <v>1000.0</v>
      </c>
      <c r="D6179" s="6">
        <v>5.0</v>
      </c>
      <c r="E6179" s="6">
        <v>4.0</v>
      </c>
    </row>
    <row r="6180">
      <c r="A6180" s="4" t="s">
        <v>12269</v>
      </c>
      <c r="B6180" s="5" t="s">
        <v>12270</v>
      </c>
      <c r="C6180" s="6">
        <v>1000.0</v>
      </c>
      <c r="D6180" s="6">
        <v>4.035714286</v>
      </c>
      <c r="E6180" s="6">
        <v>28.0</v>
      </c>
    </row>
    <row r="6181">
      <c r="A6181" s="4" t="s">
        <v>12271</v>
      </c>
      <c r="B6181" s="5" t="s">
        <v>12272</v>
      </c>
      <c r="C6181" s="6">
        <v>1000.0</v>
      </c>
      <c r="D6181" s="6">
        <v>4.333333333</v>
      </c>
      <c r="E6181" s="6">
        <v>6.0</v>
      </c>
    </row>
    <row r="6182">
      <c r="A6182" s="4" t="s">
        <v>12273</v>
      </c>
      <c r="B6182" s="5" t="s">
        <v>12274</v>
      </c>
      <c r="C6182" s="6">
        <v>1000.0</v>
      </c>
      <c r="D6182" s="6">
        <v>3.123076923</v>
      </c>
      <c r="E6182" s="6">
        <v>65.0</v>
      </c>
    </row>
    <row r="6183">
      <c r="A6183" s="4" t="s">
        <v>12275</v>
      </c>
      <c r="B6183" s="5" t="s">
        <v>12276</v>
      </c>
      <c r="C6183" s="6">
        <v>1000.0</v>
      </c>
      <c r="D6183" s="6">
        <v>4.666666667</v>
      </c>
      <c r="E6183" s="6">
        <v>3.0</v>
      </c>
    </row>
    <row r="6184">
      <c r="A6184" s="4" t="s">
        <v>12277</v>
      </c>
      <c r="B6184" s="5" t="s">
        <v>12278</v>
      </c>
      <c r="C6184" s="6">
        <v>1000.0</v>
      </c>
      <c r="D6184" s="6">
        <v>2.444444444</v>
      </c>
      <c r="E6184" s="6">
        <v>9.0</v>
      </c>
    </row>
    <row r="6185">
      <c r="A6185" s="4" t="s">
        <v>12279</v>
      </c>
      <c r="B6185" s="5" t="s">
        <v>12280</v>
      </c>
      <c r="C6185" s="6">
        <v>1000.0</v>
      </c>
      <c r="D6185" s="6">
        <v>4.333333333</v>
      </c>
      <c r="E6185" s="6">
        <v>3.0</v>
      </c>
    </row>
    <row r="6186">
      <c r="A6186" s="4" t="s">
        <v>12281</v>
      </c>
      <c r="B6186" s="5" t="s">
        <v>12282</v>
      </c>
      <c r="C6186" s="6">
        <v>1000.0</v>
      </c>
      <c r="D6186" s="6">
        <v>2.666666667</v>
      </c>
      <c r="E6186" s="6">
        <v>12.0</v>
      </c>
    </row>
    <row r="6187">
      <c r="A6187" s="4" t="s">
        <v>12283</v>
      </c>
      <c r="B6187" s="5" t="s">
        <v>12284</v>
      </c>
      <c r="C6187" s="6">
        <v>1000.0</v>
      </c>
      <c r="D6187" s="6">
        <v>4.2</v>
      </c>
      <c r="E6187" s="6">
        <v>5.0</v>
      </c>
    </row>
    <row r="6188">
      <c r="A6188" s="4" t="s">
        <v>12285</v>
      </c>
      <c r="B6188" s="5" t="s">
        <v>12286</v>
      </c>
      <c r="C6188" s="6">
        <v>1000.0</v>
      </c>
      <c r="D6188" s="9"/>
      <c r="E6188" s="9"/>
    </row>
    <row r="6189">
      <c r="A6189" s="4" t="s">
        <v>12287</v>
      </c>
      <c r="B6189" s="5" t="s">
        <v>12288</v>
      </c>
      <c r="C6189" s="6">
        <v>1000.0</v>
      </c>
      <c r="D6189" s="6">
        <v>4.888235294</v>
      </c>
      <c r="E6189" s="6">
        <v>170.0</v>
      </c>
    </row>
    <row r="6190">
      <c r="A6190" s="4" t="s">
        <v>12289</v>
      </c>
      <c r="B6190" s="5" t="s">
        <v>12290</v>
      </c>
      <c r="C6190" s="6">
        <v>1000.0</v>
      </c>
      <c r="D6190" s="6">
        <v>5.0</v>
      </c>
      <c r="E6190" s="6">
        <v>3.0</v>
      </c>
    </row>
    <row r="6191">
      <c r="A6191" s="4" t="s">
        <v>12291</v>
      </c>
      <c r="B6191" s="5" t="s">
        <v>12292</v>
      </c>
      <c r="C6191" s="6">
        <v>1000.0</v>
      </c>
      <c r="D6191" s="6">
        <v>5.0</v>
      </c>
      <c r="E6191" s="6">
        <v>1.0</v>
      </c>
    </row>
    <row r="6192">
      <c r="A6192" s="4" t="s">
        <v>12293</v>
      </c>
      <c r="B6192" s="12" t="s">
        <v>12294</v>
      </c>
      <c r="C6192" s="6">
        <v>1000.0</v>
      </c>
      <c r="D6192" s="6">
        <v>2.5</v>
      </c>
      <c r="E6192" s="6">
        <v>30.0</v>
      </c>
    </row>
    <row r="6193">
      <c r="A6193" s="4" t="s">
        <v>12295</v>
      </c>
      <c r="B6193" s="5" t="s">
        <v>12296</v>
      </c>
      <c r="C6193" s="6">
        <v>1000.0</v>
      </c>
      <c r="D6193" s="6">
        <v>4.642857143</v>
      </c>
      <c r="E6193" s="6">
        <v>14.0</v>
      </c>
    </row>
    <row r="6194">
      <c r="A6194" s="4" t="s">
        <v>12297</v>
      </c>
      <c r="B6194" s="5" t="s">
        <v>12298</v>
      </c>
      <c r="C6194" s="6">
        <v>1000.0</v>
      </c>
      <c r="D6194" s="6">
        <v>5.0</v>
      </c>
      <c r="E6194" s="6">
        <v>3.0</v>
      </c>
    </row>
    <row r="6195">
      <c r="A6195" s="4" t="s">
        <v>12299</v>
      </c>
      <c r="B6195" s="5" t="s">
        <v>12300</v>
      </c>
      <c r="C6195" s="6">
        <v>1000.0</v>
      </c>
      <c r="D6195" s="9"/>
      <c r="E6195" s="9"/>
    </row>
    <row r="6196">
      <c r="A6196" s="4" t="s">
        <v>12301</v>
      </c>
      <c r="B6196" s="5" t="s">
        <v>12302</v>
      </c>
      <c r="C6196" s="6">
        <v>1000.0</v>
      </c>
      <c r="D6196" s="6">
        <v>4.653846154</v>
      </c>
      <c r="E6196" s="6">
        <v>26.0</v>
      </c>
    </row>
    <row r="6197">
      <c r="A6197" s="4" t="s">
        <v>12303</v>
      </c>
      <c r="B6197" s="5" t="s">
        <v>12304</v>
      </c>
      <c r="C6197" s="6">
        <v>1000.0</v>
      </c>
      <c r="D6197" s="6">
        <v>4.333333333</v>
      </c>
      <c r="E6197" s="6">
        <v>12.0</v>
      </c>
    </row>
    <row r="6198">
      <c r="A6198" s="4" t="s">
        <v>12305</v>
      </c>
      <c r="B6198" s="5" t="s">
        <v>12306</v>
      </c>
      <c r="C6198" s="6">
        <v>1000.0</v>
      </c>
      <c r="D6198" s="9"/>
      <c r="E6198" s="9"/>
    </row>
    <row r="6199">
      <c r="A6199" s="4" t="s">
        <v>12307</v>
      </c>
      <c r="B6199" s="5" t="s">
        <v>12308</v>
      </c>
      <c r="C6199" s="6">
        <v>1000.0</v>
      </c>
      <c r="D6199" s="6">
        <v>5.0</v>
      </c>
      <c r="E6199" s="6">
        <v>9.0</v>
      </c>
    </row>
    <row r="6200">
      <c r="A6200" s="4" t="s">
        <v>12309</v>
      </c>
      <c r="B6200" s="5" t="s">
        <v>12310</v>
      </c>
      <c r="C6200" s="6">
        <v>1000.0</v>
      </c>
      <c r="D6200" s="6">
        <v>4.166666667</v>
      </c>
      <c r="E6200" s="6">
        <v>6.0</v>
      </c>
    </row>
    <row r="6201">
      <c r="A6201" s="4" t="s">
        <v>12311</v>
      </c>
      <c r="B6201" s="5" t="s">
        <v>12312</v>
      </c>
      <c r="C6201" s="6">
        <v>1000.0</v>
      </c>
      <c r="D6201" s="6">
        <v>2.875</v>
      </c>
      <c r="E6201" s="6">
        <v>16.0</v>
      </c>
    </row>
    <row r="6202">
      <c r="A6202" s="4" t="s">
        <v>12313</v>
      </c>
      <c r="B6202" s="5" t="s">
        <v>12314</v>
      </c>
      <c r="C6202" s="6">
        <v>1000.0</v>
      </c>
      <c r="D6202" s="6">
        <v>4.363636364</v>
      </c>
      <c r="E6202" s="6">
        <v>11.0</v>
      </c>
    </row>
    <row r="6203">
      <c r="A6203" s="4" t="s">
        <v>12315</v>
      </c>
      <c r="B6203" s="5" t="s">
        <v>12316</v>
      </c>
      <c r="C6203" s="6">
        <v>1000.0</v>
      </c>
      <c r="D6203" s="6">
        <v>2.666666667</v>
      </c>
      <c r="E6203" s="6">
        <v>6.0</v>
      </c>
    </row>
    <row r="6204">
      <c r="A6204" s="4" t="s">
        <v>12317</v>
      </c>
      <c r="B6204" s="5" t="s">
        <v>12318</v>
      </c>
      <c r="C6204" s="6">
        <v>1000.0</v>
      </c>
      <c r="D6204" s="6">
        <v>3.666666667</v>
      </c>
      <c r="E6204" s="6">
        <v>9.0</v>
      </c>
    </row>
    <row r="6205">
      <c r="A6205" s="4" t="s">
        <v>12319</v>
      </c>
      <c r="B6205" s="5" t="s">
        <v>12320</v>
      </c>
      <c r="C6205" s="6">
        <v>1000.0</v>
      </c>
      <c r="D6205" s="6">
        <v>3.5</v>
      </c>
      <c r="E6205" s="6">
        <v>14.0</v>
      </c>
    </row>
    <row r="6206">
      <c r="A6206" s="4" t="s">
        <v>12321</v>
      </c>
      <c r="B6206" s="5" t="s">
        <v>12322</v>
      </c>
      <c r="C6206" s="6">
        <v>1000.0</v>
      </c>
      <c r="D6206" s="6">
        <v>2.142857143</v>
      </c>
      <c r="E6206" s="6">
        <v>7.0</v>
      </c>
    </row>
    <row r="6207">
      <c r="A6207" s="4" t="s">
        <v>12323</v>
      </c>
      <c r="B6207" s="5" t="s">
        <v>12324</v>
      </c>
      <c r="C6207" s="6">
        <v>1000.0</v>
      </c>
      <c r="D6207" s="6">
        <v>2.843137255</v>
      </c>
      <c r="E6207" s="6">
        <v>51.0</v>
      </c>
    </row>
    <row r="6208">
      <c r="A6208" s="4" t="s">
        <v>12325</v>
      </c>
      <c r="B6208" s="5" t="s">
        <v>12326</v>
      </c>
      <c r="C6208" s="6">
        <v>1000.0</v>
      </c>
      <c r="D6208" s="6">
        <v>4.818181818</v>
      </c>
      <c r="E6208" s="6">
        <v>11.0</v>
      </c>
    </row>
    <row r="6209">
      <c r="A6209" s="4" t="s">
        <v>12327</v>
      </c>
      <c r="B6209" s="5" t="s">
        <v>12328</v>
      </c>
      <c r="C6209" s="6">
        <v>1000.0</v>
      </c>
      <c r="D6209" s="6">
        <v>4.633333333</v>
      </c>
      <c r="E6209" s="6">
        <v>30.0</v>
      </c>
    </row>
    <row r="6210">
      <c r="A6210" s="4" t="s">
        <v>12329</v>
      </c>
      <c r="B6210" s="5" t="s">
        <v>12330</v>
      </c>
      <c r="C6210" s="6">
        <v>1000.0</v>
      </c>
      <c r="D6210" s="6">
        <v>4.0</v>
      </c>
      <c r="E6210" s="6">
        <v>4.0</v>
      </c>
    </row>
    <row r="6211">
      <c r="A6211" s="4" t="s">
        <v>12331</v>
      </c>
      <c r="B6211" s="5" t="s">
        <v>12332</v>
      </c>
      <c r="C6211" s="6">
        <v>1000.0</v>
      </c>
      <c r="D6211" s="6">
        <v>2.192307692</v>
      </c>
      <c r="E6211" s="6">
        <v>26.0</v>
      </c>
    </row>
    <row r="6212">
      <c r="A6212" s="4" t="s">
        <v>12333</v>
      </c>
      <c r="B6212" s="5" t="s">
        <v>12334</v>
      </c>
      <c r="C6212" s="6">
        <v>1000.0</v>
      </c>
      <c r="D6212" s="6">
        <v>3.363636364</v>
      </c>
      <c r="E6212" s="6">
        <v>33.0</v>
      </c>
    </row>
    <row r="6213">
      <c r="A6213" s="4" t="s">
        <v>12335</v>
      </c>
      <c r="B6213" s="5" t="s">
        <v>12336</v>
      </c>
      <c r="C6213" s="6">
        <v>1000.0</v>
      </c>
      <c r="D6213" s="6">
        <v>4.788381743</v>
      </c>
      <c r="E6213" s="6">
        <v>241.0</v>
      </c>
    </row>
    <row r="6214">
      <c r="A6214" s="4" t="s">
        <v>12337</v>
      </c>
      <c r="B6214" s="5" t="s">
        <v>12338</v>
      </c>
      <c r="C6214" s="6">
        <v>1000.0</v>
      </c>
      <c r="D6214" s="6">
        <v>3.214285714</v>
      </c>
      <c r="E6214" s="6">
        <v>14.0</v>
      </c>
    </row>
    <row r="6215">
      <c r="A6215" s="4" t="s">
        <v>12339</v>
      </c>
      <c r="B6215" s="5" t="s">
        <v>12340</v>
      </c>
      <c r="C6215" s="6">
        <v>1000.0</v>
      </c>
      <c r="D6215" s="6">
        <v>4.933333333</v>
      </c>
      <c r="E6215" s="6">
        <v>15.0</v>
      </c>
    </row>
    <row r="6216">
      <c r="A6216" s="4" t="s">
        <v>12341</v>
      </c>
      <c r="B6216" s="5" t="s">
        <v>12342</v>
      </c>
      <c r="C6216" s="6">
        <v>1000.0</v>
      </c>
      <c r="D6216" s="6">
        <v>5.0</v>
      </c>
      <c r="E6216" s="6">
        <v>3.0</v>
      </c>
    </row>
    <row r="6217">
      <c r="A6217" s="4" t="s">
        <v>12343</v>
      </c>
      <c r="B6217" s="5" t="s">
        <v>12344</v>
      </c>
      <c r="C6217" s="6">
        <v>1000.0</v>
      </c>
      <c r="D6217" s="6">
        <v>3.555555556</v>
      </c>
      <c r="E6217" s="6">
        <v>9.0</v>
      </c>
    </row>
    <row r="6218">
      <c r="A6218" s="4" t="s">
        <v>12345</v>
      </c>
      <c r="B6218" s="5" t="s">
        <v>12346</v>
      </c>
      <c r="C6218" s="6">
        <v>1000.0</v>
      </c>
      <c r="D6218" s="6">
        <v>4.4</v>
      </c>
      <c r="E6218" s="6">
        <v>5.0</v>
      </c>
    </row>
    <row r="6219">
      <c r="A6219" s="4" t="s">
        <v>12347</v>
      </c>
      <c r="B6219" s="5" t="s">
        <v>12348</v>
      </c>
      <c r="C6219" s="6">
        <v>1000.0</v>
      </c>
      <c r="D6219" s="6">
        <v>4.25</v>
      </c>
      <c r="E6219" s="6">
        <v>12.0</v>
      </c>
    </row>
    <row r="6220">
      <c r="A6220" s="4" t="s">
        <v>12349</v>
      </c>
      <c r="B6220" s="5" t="s">
        <v>12350</v>
      </c>
      <c r="C6220" s="6">
        <v>1000.0</v>
      </c>
      <c r="D6220" s="6">
        <v>3.8</v>
      </c>
      <c r="E6220" s="6">
        <v>10.0</v>
      </c>
    </row>
    <row r="6221">
      <c r="A6221" s="4" t="s">
        <v>12351</v>
      </c>
      <c r="B6221" s="5" t="s">
        <v>12352</v>
      </c>
      <c r="C6221" s="6">
        <v>1000.0</v>
      </c>
      <c r="D6221" s="9"/>
      <c r="E6221" s="9"/>
    </row>
    <row r="6222">
      <c r="A6222" s="4" t="s">
        <v>12353</v>
      </c>
      <c r="B6222" s="5" t="s">
        <v>12354</v>
      </c>
      <c r="C6222" s="6">
        <v>1000.0</v>
      </c>
      <c r="D6222" s="6">
        <v>4.2</v>
      </c>
      <c r="E6222" s="6">
        <v>5.0</v>
      </c>
    </row>
    <row r="6223">
      <c r="A6223" s="4" t="s">
        <v>12355</v>
      </c>
      <c r="B6223" s="5" t="s">
        <v>12356</v>
      </c>
      <c r="C6223" s="6">
        <v>1000.0</v>
      </c>
      <c r="D6223" s="6">
        <v>5.0</v>
      </c>
      <c r="E6223" s="6">
        <v>4.0</v>
      </c>
    </row>
    <row r="6224">
      <c r="A6224" s="4" t="s">
        <v>12357</v>
      </c>
      <c r="B6224" s="5" t="s">
        <v>12358</v>
      </c>
      <c r="C6224" s="6">
        <v>1000.0</v>
      </c>
      <c r="D6224" s="6">
        <v>4.625</v>
      </c>
      <c r="E6224" s="6">
        <v>8.0</v>
      </c>
    </row>
    <row r="6225">
      <c r="A6225" s="4" t="s">
        <v>12359</v>
      </c>
      <c r="B6225" s="5" t="s">
        <v>12360</v>
      </c>
      <c r="C6225" s="6">
        <v>1000.0</v>
      </c>
      <c r="D6225" s="6">
        <v>4.0</v>
      </c>
      <c r="E6225" s="6">
        <v>2.0</v>
      </c>
    </row>
    <row r="6226">
      <c r="A6226" s="4" t="s">
        <v>12361</v>
      </c>
      <c r="B6226" s="5" t="s">
        <v>12362</v>
      </c>
      <c r="C6226" s="6">
        <v>1000.0</v>
      </c>
      <c r="D6226" s="6">
        <v>3.545454545</v>
      </c>
      <c r="E6226" s="6">
        <v>11.0</v>
      </c>
    </row>
    <row r="6227">
      <c r="A6227" s="5" t="s">
        <v>12363</v>
      </c>
      <c r="B6227" s="5" t="s">
        <v>12364</v>
      </c>
      <c r="C6227" s="6">
        <v>1000.0</v>
      </c>
      <c r="D6227" s="6">
        <v>3.888888889</v>
      </c>
      <c r="E6227" s="6">
        <v>9.0</v>
      </c>
    </row>
    <row r="6228">
      <c r="A6228" s="4" t="s">
        <v>12365</v>
      </c>
      <c r="B6228" s="5" t="s">
        <v>12366</v>
      </c>
      <c r="C6228" s="6">
        <v>1000.0</v>
      </c>
      <c r="D6228" s="6">
        <v>4.8</v>
      </c>
      <c r="E6228" s="6">
        <v>5.0</v>
      </c>
    </row>
    <row r="6229">
      <c r="A6229" s="4" t="s">
        <v>12367</v>
      </c>
      <c r="B6229" s="5" t="s">
        <v>12368</v>
      </c>
      <c r="C6229" s="6">
        <v>1000.0</v>
      </c>
      <c r="D6229" s="6">
        <v>4.142857143</v>
      </c>
      <c r="E6229" s="6">
        <v>7.0</v>
      </c>
    </row>
    <row r="6230">
      <c r="A6230" s="4" t="s">
        <v>12369</v>
      </c>
      <c r="B6230" s="5" t="s">
        <v>12370</v>
      </c>
      <c r="C6230" s="6">
        <v>1000.0</v>
      </c>
      <c r="D6230" s="6">
        <v>4.375</v>
      </c>
      <c r="E6230" s="6">
        <v>16.0</v>
      </c>
    </row>
    <row r="6231">
      <c r="A6231" s="4" t="s">
        <v>12371</v>
      </c>
      <c r="B6231" s="5" t="s">
        <v>12372</v>
      </c>
      <c r="C6231" s="6">
        <v>1000.0</v>
      </c>
      <c r="D6231" s="6">
        <v>4.357142857</v>
      </c>
      <c r="E6231" s="6">
        <v>28.0</v>
      </c>
    </row>
    <row r="6232">
      <c r="A6232" s="4" t="s">
        <v>12373</v>
      </c>
      <c r="B6232" s="5" t="s">
        <v>12374</v>
      </c>
      <c r="C6232" s="6">
        <v>1000.0</v>
      </c>
      <c r="D6232" s="6">
        <v>3.6</v>
      </c>
      <c r="E6232" s="6">
        <v>10.0</v>
      </c>
    </row>
    <row r="6233">
      <c r="A6233" s="4" t="s">
        <v>12375</v>
      </c>
      <c r="B6233" s="5" t="s">
        <v>12376</v>
      </c>
      <c r="C6233" s="6">
        <v>1000.0</v>
      </c>
      <c r="D6233" s="6">
        <v>4.142857143</v>
      </c>
      <c r="E6233" s="6">
        <v>7.0</v>
      </c>
    </row>
    <row r="6234">
      <c r="A6234" s="4" t="s">
        <v>12377</v>
      </c>
      <c r="B6234" s="5" t="s">
        <v>12378</v>
      </c>
      <c r="C6234" s="6">
        <v>1000.0</v>
      </c>
      <c r="D6234" s="6">
        <v>3.076923077</v>
      </c>
      <c r="E6234" s="6">
        <v>13.0</v>
      </c>
    </row>
    <row r="6235">
      <c r="A6235" s="4" t="s">
        <v>1139</v>
      </c>
      <c r="B6235" s="5" t="s">
        <v>12379</v>
      </c>
      <c r="C6235" s="6">
        <v>1000.0</v>
      </c>
      <c r="D6235" s="6">
        <v>3.333333333</v>
      </c>
      <c r="E6235" s="6">
        <v>12.0</v>
      </c>
    </row>
    <row r="6236">
      <c r="A6236" s="4" t="s">
        <v>12380</v>
      </c>
      <c r="B6236" s="5" t="s">
        <v>12381</v>
      </c>
      <c r="C6236" s="6">
        <v>1000.0</v>
      </c>
      <c r="D6236" s="6">
        <v>3.285714286</v>
      </c>
      <c r="E6236" s="6">
        <v>7.0</v>
      </c>
    </row>
    <row r="6237">
      <c r="A6237" s="4" t="s">
        <v>12382</v>
      </c>
      <c r="B6237" s="5" t="s">
        <v>12383</v>
      </c>
      <c r="C6237" s="6">
        <v>1000.0</v>
      </c>
      <c r="D6237" s="6">
        <v>4.1875</v>
      </c>
      <c r="E6237" s="6">
        <v>16.0</v>
      </c>
    </row>
    <row r="6238">
      <c r="A6238" s="4" t="s">
        <v>12384</v>
      </c>
      <c r="B6238" s="5" t="s">
        <v>12385</v>
      </c>
      <c r="C6238" s="6">
        <v>1000.0</v>
      </c>
      <c r="D6238" s="6">
        <v>4.277777778</v>
      </c>
      <c r="E6238" s="6">
        <v>18.0</v>
      </c>
    </row>
    <row r="6239">
      <c r="A6239" s="4" t="s">
        <v>12386</v>
      </c>
      <c r="B6239" s="5" t="s">
        <v>12387</v>
      </c>
      <c r="C6239" s="6">
        <v>1000.0</v>
      </c>
      <c r="D6239" s="6">
        <v>5.0</v>
      </c>
      <c r="E6239" s="6">
        <v>1.0</v>
      </c>
    </row>
    <row r="6240">
      <c r="A6240" s="4" t="s">
        <v>12388</v>
      </c>
      <c r="B6240" s="5" t="s">
        <v>12389</v>
      </c>
      <c r="C6240" s="6">
        <v>1000.0</v>
      </c>
      <c r="D6240" s="6">
        <v>4.888888889</v>
      </c>
      <c r="E6240" s="6">
        <v>9.0</v>
      </c>
    </row>
    <row r="6241">
      <c r="A6241" s="4" t="s">
        <v>12390</v>
      </c>
      <c r="B6241" s="5" t="s">
        <v>12391</v>
      </c>
      <c r="C6241" s="6">
        <v>1000.0</v>
      </c>
      <c r="D6241" s="6">
        <v>4.75</v>
      </c>
      <c r="E6241" s="6">
        <v>20.0</v>
      </c>
    </row>
    <row r="6242">
      <c r="A6242" s="4" t="s">
        <v>12392</v>
      </c>
      <c r="B6242" s="5" t="s">
        <v>12393</v>
      </c>
      <c r="C6242" s="6">
        <v>1000.0</v>
      </c>
      <c r="D6242" s="6">
        <v>3.913043478</v>
      </c>
      <c r="E6242" s="6">
        <v>23.0</v>
      </c>
    </row>
    <row r="6243">
      <c r="A6243" s="4" t="s">
        <v>12394</v>
      </c>
      <c r="B6243" s="5" t="s">
        <v>12395</v>
      </c>
      <c r="C6243" s="6">
        <v>1000.0</v>
      </c>
      <c r="D6243" s="6">
        <v>4.964285714</v>
      </c>
      <c r="E6243" s="6">
        <v>28.0</v>
      </c>
    </row>
    <row r="6244">
      <c r="A6244" s="4" t="s">
        <v>12396</v>
      </c>
      <c r="B6244" s="5" t="s">
        <v>12397</v>
      </c>
      <c r="C6244" s="6">
        <v>1000.0</v>
      </c>
      <c r="D6244" s="6">
        <v>4.4</v>
      </c>
      <c r="E6244" s="6">
        <v>5.0</v>
      </c>
    </row>
    <row r="6245">
      <c r="A6245" s="4" t="s">
        <v>12398</v>
      </c>
      <c r="B6245" s="5" t="s">
        <v>12399</v>
      </c>
      <c r="C6245" s="6">
        <v>1000.0</v>
      </c>
      <c r="D6245" s="6">
        <v>4.8</v>
      </c>
      <c r="E6245" s="6">
        <v>10.0</v>
      </c>
    </row>
    <row r="6246">
      <c r="A6246" s="4" t="s">
        <v>12400</v>
      </c>
      <c r="B6246" s="5" t="s">
        <v>12401</v>
      </c>
      <c r="C6246" s="6">
        <v>1000.0</v>
      </c>
      <c r="D6246" s="6">
        <v>3.285714286</v>
      </c>
      <c r="E6246" s="6">
        <v>14.0</v>
      </c>
    </row>
    <row r="6247">
      <c r="A6247" s="4" t="s">
        <v>12402</v>
      </c>
      <c r="B6247" s="5" t="s">
        <v>12403</v>
      </c>
      <c r="C6247" s="6">
        <v>1000.0</v>
      </c>
      <c r="D6247" s="6">
        <v>4.0</v>
      </c>
      <c r="E6247" s="6">
        <v>6.0</v>
      </c>
    </row>
    <row r="6248">
      <c r="A6248" s="4" t="s">
        <v>12404</v>
      </c>
      <c r="B6248" s="5" t="s">
        <v>12405</v>
      </c>
      <c r="C6248" s="6">
        <v>1000.0</v>
      </c>
      <c r="D6248" s="6">
        <v>3.75</v>
      </c>
      <c r="E6248" s="6">
        <v>8.0</v>
      </c>
    </row>
    <row r="6249">
      <c r="A6249" s="4" t="s">
        <v>12406</v>
      </c>
      <c r="B6249" s="5" t="s">
        <v>12407</v>
      </c>
      <c r="C6249" s="6">
        <v>1000.0</v>
      </c>
      <c r="D6249" s="6">
        <v>5.0</v>
      </c>
      <c r="E6249" s="6">
        <v>3.0</v>
      </c>
    </row>
    <row r="6250">
      <c r="A6250" s="4" t="s">
        <v>12408</v>
      </c>
      <c r="B6250" s="5" t="s">
        <v>12409</v>
      </c>
      <c r="C6250" s="6">
        <v>1000.0</v>
      </c>
      <c r="D6250" s="6">
        <v>3.444444444</v>
      </c>
      <c r="E6250" s="6">
        <v>9.0</v>
      </c>
    </row>
    <row r="6251">
      <c r="A6251" s="4" t="s">
        <v>12410</v>
      </c>
      <c r="B6251" s="5" t="s">
        <v>12411</v>
      </c>
      <c r="C6251" s="6">
        <v>1000.0</v>
      </c>
      <c r="D6251" s="6">
        <v>4.6</v>
      </c>
      <c r="E6251" s="6">
        <v>20.0</v>
      </c>
    </row>
    <row r="6252">
      <c r="A6252" s="4" t="s">
        <v>12412</v>
      </c>
      <c r="B6252" s="5" t="s">
        <v>12413</v>
      </c>
      <c r="C6252" s="6">
        <v>1000.0</v>
      </c>
      <c r="D6252" s="6">
        <v>4.357142857</v>
      </c>
      <c r="E6252" s="6">
        <v>14.0</v>
      </c>
    </row>
    <row r="6253">
      <c r="A6253" s="4" t="s">
        <v>12414</v>
      </c>
      <c r="B6253" s="5" t="s">
        <v>12415</v>
      </c>
      <c r="C6253" s="6">
        <v>1000.0</v>
      </c>
      <c r="D6253" s="6">
        <v>4.666666667</v>
      </c>
      <c r="E6253" s="6">
        <v>9.0</v>
      </c>
    </row>
    <row r="6254">
      <c r="A6254" s="4" t="s">
        <v>12416</v>
      </c>
      <c r="B6254" s="5" t="s">
        <v>12417</v>
      </c>
      <c r="C6254" s="6">
        <v>1000.0</v>
      </c>
      <c r="D6254" s="6">
        <v>3.714285714</v>
      </c>
      <c r="E6254" s="6">
        <v>7.0</v>
      </c>
    </row>
    <row r="6255">
      <c r="A6255" s="4" t="s">
        <v>12418</v>
      </c>
      <c r="B6255" s="5" t="s">
        <v>12419</v>
      </c>
      <c r="C6255" s="6">
        <v>1000.0</v>
      </c>
      <c r="D6255" s="6">
        <v>4.2</v>
      </c>
      <c r="E6255" s="6">
        <v>5.0</v>
      </c>
    </row>
    <row r="6256">
      <c r="A6256" s="4" t="s">
        <v>12420</v>
      </c>
      <c r="B6256" s="5" t="s">
        <v>12421</v>
      </c>
      <c r="C6256" s="6">
        <v>1000.0</v>
      </c>
      <c r="D6256" s="6">
        <v>5.0</v>
      </c>
      <c r="E6256" s="6">
        <v>3.0</v>
      </c>
    </row>
    <row r="6257">
      <c r="A6257" s="4" t="s">
        <v>12422</v>
      </c>
      <c r="B6257" s="5" t="s">
        <v>12423</v>
      </c>
      <c r="C6257" s="6">
        <v>1000.0</v>
      </c>
      <c r="D6257" s="6">
        <v>4.75</v>
      </c>
      <c r="E6257" s="6">
        <v>8.0</v>
      </c>
    </row>
    <row r="6258">
      <c r="A6258" s="4" t="s">
        <v>12424</v>
      </c>
      <c r="B6258" s="5" t="s">
        <v>12425</v>
      </c>
      <c r="C6258" s="6">
        <v>1000.0</v>
      </c>
      <c r="D6258" s="6">
        <v>3.647058824</v>
      </c>
      <c r="E6258" s="6">
        <v>17.0</v>
      </c>
    </row>
    <row r="6259">
      <c r="A6259" s="4" t="s">
        <v>12426</v>
      </c>
      <c r="B6259" s="5" t="s">
        <v>12427</v>
      </c>
      <c r="C6259" s="6">
        <v>1000.0</v>
      </c>
      <c r="D6259" s="6">
        <v>4.367088608</v>
      </c>
      <c r="E6259" s="6">
        <v>79.0</v>
      </c>
    </row>
    <row r="6260">
      <c r="A6260" s="4" t="s">
        <v>12428</v>
      </c>
      <c r="B6260" s="5" t="s">
        <v>12429</v>
      </c>
      <c r="C6260" s="6">
        <v>1000.0</v>
      </c>
      <c r="D6260" s="6">
        <v>4.666666667</v>
      </c>
      <c r="E6260" s="6">
        <v>3.0</v>
      </c>
    </row>
    <row r="6261">
      <c r="A6261" s="4" t="s">
        <v>12430</v>
      </c>
      <c r="B6261" s="5" t="s">
        <v>12431</v>
      </c>
      <c r="C6261" s="6">
        <v>1000.0</v>
      </c>
      <c r="D6261" s="6">
        <v>5.0</v>
      </c>
      <c r="E6261" s="6">
        <v>3.0</v>
      </c>
    </row>
    <row r="6262">
      <c r="A6262" s="4" t="s">
        <v>12432</v>
      </c>
      <c r="B6262" s="5" t="s">
        <v>12433</v>
      </c>
      <c r="C6262" s="6">
        <v>1000.0</v>
      </c>
      <c r="D6262" s="6">
        <v>5.0</v>
      </c>
      <c r="E6262" s="6">
        <v>4.0</v>
      </c>
    </row>
    <row r="6263">
      <c r="A6263" s="4" t="s">
        <v>12434</v>
      </c>
      <c r="B6263" s="5" t="s">
        <v>12435</v>
      </c>
      <c r="C6263" s="6">
        <v>1000.0</v>
      </c>
      <c r="D6263" s="6">
        <v>5.0</v>
      </c>
      <c r="E6263" s="6">
        <v>3.0</v>
      </c>
    </row>
    <row r="6264">
      <c r="A6264" s="4" t="s">
        <v>12436</v>
      </c>
      <c r="B6264" s="5" t="s">
        <v>12437</v>
      </c>
      <c r="C6264" s="6">
        <v>1000.0</v>
      </c>
      <c r="D6264" s="6">
        <v>4.571428571</v>
      </c>
      <c r="E6264" s="6">
        <v>7.0</v>
      </c>
    </row>
    <row r="6265">
      <c r="A6265" s="4" t="s">
        <v>12438</v>
      </c>
      <c r="B6265" s="5" t="s">
        <v>12439</v>
      </c>
      <c r="C6265" s="6">
        <v>1000.0</v>
      </c>
      <c r="D6265" s="6">
        <v>4.222222222</v>
      </c>
      <c r="E6265" s="6">
        <v>9.0</v>
      </c>
    </row>
    <row r="6266">
      <c r="A6266" s="4" t="s">
        <v>12440</v>
      </c>
      <c r="B6266" s="5" t="s">
        <v>12441</v>
      </c>
      <c r="C6266" s="6">
        <v>1000.0</v>
      </c>
      <c r="D6266" s="6">
        <v>4.5</v>
      </c>
      <c r="E6266" s="6">
        <v>2.0</v>
      </c>
    </row>
    <row r="6267">
      <c r="A6267" s="4" t="s">
        <v>12442</v>
      </c>
      <c r="B6267" s="5" t="s">
        <v>12443</v>
      </c>
      <c r="C6267" s="6">
        <v>1000.0</v>
      </c>
      <c r="D6267" s="6">
        <v>4.315789474</v>
      </c>
      <c r="E6267" s="6">
        <v>19.0</v>
      </c>
    </row>
    <row r="6268">
      <c r="A6268" s="4" t="s">
        <v>12444</v>
      </c>
      <c r="B6268" s="5" t="s">
        <v>12445</v>
      </c>
      <c r="C6268" s="6">
        <v>1000.0</v>
      </c>
      <c r="D6268" s="6">
        <v>3.692307692</v>
      </c>
      <c r="E6268" s="6">
        <v>13.0</v>
      </c>
    </row>
    <row r="6269">
      <c r="A6269" s="4" t="s">
        <v>12446</v>
      </c>
      <c r="B6269" s="5" t="s">
        <v>12447</v>
      </c>
      <c r="C6269" s="6">
        <v>1000.0</v>
      </c>
      <c r="D6269" s="6">
        <v>2.5</v>
      </c>
      <c r="E6269" s="6">
        <v>2.0</v>
      </c>
    </row>
    <row r="6270">
      <c r="A6270" s="4" t="s">
        <v>12448</v>
      </c>
      <c r="B6270" s="5" t="s">
        <v>12449</v>
      </c>
      <c r="C6270" s="6">
        <v>1000.0</v>
      </c>
      <c r="D6270" s="6">
        <v>5.0</v>
      </c>
      <c r="E6270" s="6">
        <v>4.0</v>
      </c>
    </row>
    <row r="6271">
      <c r="A6271" s="4" t="s">
        <v>12450</v>
      </c>
      <c r="B6271" s="5" t="s">
        <v>12451</v>
      </c>
      <c r="C6271" s="6">
        <v>1000.0</v>
      </c>
      <c r="D6271" s="6">
        <v>4.555555556</v>
      </c>
      <c r="E6271" s="6">
        <v>9.0</v>
      </c>
    </row>
    <row r="6272">
      <c r="A6272" s="4" t="s">
        <v>12452</v>
      </c>
      <c r="B6272" s="5" t="s">
        <v>12453</v>
      </c>
      <c r="C6272" s="6">
        <v>1000.0</v>
      </c>
      <c r="D6272" s="6">
        <v>4.153846154</v>
      </c>
      <c r="E6272" s="6">
        <v>13.0</v>
      </c>
    </row>
    <row r="6273">
      <c r="A6273" s="4" t="s">
        <v>12454</v>
      </c>
      <c r="B6273" s="5" t="s">
        <v>12455</v>
      </c>
      <c r="C6273" s="6">
        <v>1000.0</v>
      </c>
      <c r="D6273" s="6">
        <v>3.461538462</v>
      </c>
      <c r="E6273" s="6">
        <v>39.0</v>
      </c>
    </row>
    <row r="6274">
      <c r="A6274" s="4" t="s">
        <v>12456</v>
      </c>
      <c r="B6274" s="12" t="s">
        <v>12457</v>
      </c>
      <c r="C6274" s="7">
        <v>1000.0</v>
      </c>
      <c r="D6274" s="6">
        <v>4.1</v>
      </c>
      <c r="E6274" s="6">
        <v>103.0</v>
      </c>
    </row>
    <row r="6275">
      <c r="A6275" s="4" t="s">
        <v>12458</v>
      </c>
      <c r="B6275" s="5" t="s">
        <v>12459</v>
      </c>
      <c r="C6275" s="6">
        <v>1000.0</v>
      </c>
      <c r="D6275" s="6">
        <v>4.75</v>
      </c>
      <c r="E6275" s="6">
        <v>4.0</v>
      </c>
    </row>
    <row r="6276">
      <c r="A6276" s="4" t="s">
        <v>12460</v>
      </c>
      <c r="B6276" s="5" t="s">
        <v>12461</v>
      </c>
      <c r="C6276" s="6">
        <v>1000.0</v>
      </c>
      <c r="D6276" s="6">
        <v>3.941176471</v>
      </c>
      <c r="E6276" s="6">
        <v>17.0</v>
      </c>
    </row>
    <row r="6277">
      <c r="A6277" s="4" t="s">
        <v>12462</v>
      </c>
      <c r="B6277" s="5" t="s">
        <v>12463</v>
      </c>
      <c r="C6277" s="6">
        <v>1000.0</v>
      </c>
      <c r="D6277" s="6">
        <v>5.0</v>
      </c>
      <c r="E6277" s="6">
        <v>5.0</v>
      </c>
    </row>
    <row r="6278">
      <c r="A6278" s="4" t="s">
        <v>12464</v>
      </c>
      <c r="B6278" s="5" t="s">
        <v>12465</v>
      </c>
      <c r="C6278" s="6">
        <v>1000.0</v>
      </c>
      <c r="D6278" s="6">
        <v>4.904761905</v>
      </c>
      <c r="E6278" s="6">
        <v>21.0</v>
      </c>
    </row>
    <row r="6279">
      <c r="A6279" s="4" t="s">
        <v>12466</v>
      </c>
      <c r="B6279" s="5" t="s">
        <v>12467</v>
      </c>
      <c r="C6279" s="6">
        <v>1000.0</v>
      </c>
      <c r="D6279" s="6">
        <v>5.0</v>
      </c>
      <c r="E6279" s="6">
        <v>8.0</v>
      </c>
    </row>
    <row r="6280">
      <c r="A6280" s="4" t="s">
        <v>12468</v>
      </c>
      <c r="B6280" s="5" t="s">
        <v>12469</v>
      </c>
      <c r="C6280" s="6">
        <v>1000.0</v>
      </c>
      <c r="D6280" s="6">
        <v>2.0</v>
      </c>
      <c r="E6280" s="6">
        <v>1.0</v>
      </c>
    </row>
    <row r="6281">
      <c r="A6281" s="4" t="s">
        <v>12470</v>
      </c>
      <c r="B6281" s="5" t="s">
        <v>12471</v>
      </c>
      <c r="C6281" s="6">
        <v>1000.0</v>
      </c>
      <c r="D6281" s="6">
        <v>4.045454545</v>
      </c>
      <c r="E6281" s="6">
        <v>22.0</v>
      </c>
    </row>
    <row r="6282">
      <c r="A6282" s="4" t="s">
        <v>12472</v>
      </c>
      <c r="B6282" s="5" t="s">
        <v>12473</v>
      </c>
      <c r="C6282" s="6">
        <v>1000.0</v>
      </c>
      <c r="D6282" s="6">
        <v>4.0</v>
      </c>
      <c r="E6282" s="6">
        <v>2.0</v>
      </c>
    </row>
    <row r="6283">
      <c r="A6283" s="4" t="s">
        <v>12474</v>
      </c>
      <c r="B6283" s="5" t="s">
        <v>12475</v>
      </c>
      <c r="C6283" s="6">
        <v>1000.0</v>
      </c>
      <c r="D6283" s="9"/>
      <c r="E6283" s="9"/>
    </row>
    <row r="6284">
      <c r="A6284" s="4" t="s">
        <v>12476</v>
      </c>
      <c r="B6284" s="5" t="s">
        <v>12477</v>
      </c>
      <c r="C6284" s="6">
        <v>1000.0</v>
      </c>
      <c r="D6284" s="6">
        <v>4.916666667</v>
      </c>
      <c r="E6284" s="6">
        <v>12.0</v>
      </c>
    </row>
    <row r="6285">
      <c r="A6285" s="10" t="s">
        <v>12478</v>
      </c>
      <c r="B6285" s="5" t="s">
        <v>12479</v>
      </c>
      <c r="C6285" s="6">
        <v>1000.0</v>
      </c>
      <c r="D6285" s="9"/>
      <c r="E6285" s="9"/>
    </row>
    <row r="6286">
      <c r="A6286" s="4" t="s">
        <v>12480</v>
      </c>
      <c r="B6286" s="5" t="s">
        <v>12481</v>
      </c>
      <c r="C6286" s="6">
        <v>1000.0</v>
      </c>
      <c r="D6286" s="6">
        <v>4.142857143</v>
      </c>
      <c r="E6286" s="6">
        <v>7.0</v>
      </c>
    </row>
    <row r="6287">
      <c r="A6287" s="4" t="s">
        <v>12482</v>
      </c>
      <c r="B6287" s="5" t="s">
        <v>12483</v>
      </c>
      <c r="C6287" s="6">
        <v>1000.0</v>
      </c>
      <c r="D6287" s="6">
        <v>4.25</v>
      </c>
      <c r="E6287" s="6">
        <v>8.0</v>
      </c>
    </row>
    <row r="6288">
      <c r="A6288" s="4" t="s">
        <v>12484</v>
      </c>
      <c r="B6288" s="5" t="s">
        <v>12485</v>
      </c>
      <c r="C6288" s="6">
        <v>1000.0</v>
      </c>
      <c r="D6288" s="6">
        <v>2.517241379</v>
      </c>
      <c r="E6288" s="6">
        <v>58.0</v>
      </c>
    </row>
    <row r="6289">
      <c r="A6289" s="4" t="s">
        <v>12486</v>
      </c>
      <c r="B6289" s="5" t="s">
        <v>12487</v>
      </c>
      <c r="C6289" s="6">
        <v>1000.0</v>
      </c>
      <c r="D6289" s="6">
        <v>2.5</v>
      </c>
      <c r="E6289" s="6">
        <v>4.0</v>
      </c>
    </row>
    <row r="6290">
      <c r="A6290" s="4" t="s">
        <v>12488</v>
      </c>
      <c r="B6290" s="5" t="s">
        <v>12489</v>
      </c>
      <c r="C6290" s="6">
        <v>1000.0</v>
      </c>
      <c r="D6290" s="6">
        <v>5.0</v>
      </c>
      <c r="E6290" s="6">
        <v>6.0</v>
      </c>
    </row>
    <row r="6291">
      <c r="A6291" s="4" t="s">
        <v>12490</v>
      </c>
      <c r="B6291" s="5" t="s">
        <v>12491</v>
      </c>
      <c r="C6291" s="6">
        <v>1000.0</v>
      </c>
      <c r="D6291" s="6">
        <v>5.0</v>
      </c>
      <c r="E6291" s="6">
        <v>4.0</v>
      </c>
    </row>
    <row r="6292">
      <c r="A6292" s="4" t="s">
        <v>12492</v>
      </c>
      <c r="B6292" s="5" t="s">
        <v>12493</v>
      </c>
      <c r="C6292" s="6">
        <v>1000.0</v>
      </c>
      <c r="D6292" s="6">
        <v>3.0</v>
      </c>
      <c r="E6292" s="6">
        <v>2.0</v>
      </c>
    </row>
    <row r="6293">
      <c r="A6293" s="4" t="s">
        <v>12494</v>
      </c>
      <c r="B6293" s="5" t="s">
        <v>12495</v>
      </c>
      <c r="C6293" s="6">
        <v>1000.0</v>
      </c>
      <c r="D6293" s="6">
        <v>4.679245283</v>
      </c>
      <c r="E6293" s="6">
        <v>53.0</v>
      </c>
    </row>
    <row r="6294">
      <c r="A6294" s="4" t="s">
        <v>12496</v>
      </c>
      <c r="B6294" s="5" t="s">
        <v>12497</v>
      </c>
      <c r="C6294" s="6">
        <v>1000.0</v>
      </c>
      <c r="D6294" s="6">
        <v>4.35483871</v>
      </c>
      <c r="E6294" s="6">
        <v>31.0</v>
      </c>
    </row>
    <row r="6295">
      <c r="A6295" s="4" t="s">
        <v>12498</v>
      </c>
      <c r="B6295" s="5" t="s">
        <v>12499</v>
      </c>
      <c r="C6295" s="6">
        <v>1000.0</v>
      </c>
      <c r="D6295" s="9"/>
      <c r="E6295" s="9"/>
    </row>
    <row r="6296">
      <c r="A6296" s="4" t="s">
        <v>12500</v>
      </c>
      <c r="B6296" s="5" t="s">
        <v>12501</v>
      </c>
      <c r="C6296" s="6">
        <v>1000.0</v>
      </c>
      <c r="D6296" s="6">
        <v>4.142857143</v>
      </c>
      <c r="E6296" s="6">
        <v>14.0</v>
      </c>
    </row>
    <row r="6297">
      <c r="A6297" s="4" t="s">
        <v>12502</v>
      </c>
      <c r="B6297" s="5" t="s">
        <v>12503</v>
      </c>
      <c r="C6297" s="6">
        <v>1000.0</v>
      </c>
      <c r="D6297" s="6">
        <v>4.5</v>
      </c>
      <c r="E6297" s="6">
        <v>6.0</v>
      </c>
    </row>
    <row r="6298">
      <c r="A6298" s="4" t="s">
        <v>12504</v>
      </c>
      <c r="B6298" s="5" t="s">
        <v>12505</v>
      </c>
      <c r="C6298" s="6">
        <v>1000.0</v>
      </c>
      <c r="D6298" s="6">
        <v>4.235294118</v>
      </c>
      <c r="E6298" s="6">
        <v>17.0</v>
      </c>
    </row>
    <row r="6299">
      <c r="A6299" s="4" t="s">
        <v>12506</v>
      </c>
      <c r="B6299" s="5" t="s">
        <v>12507</v>
      </c>
      <c r="C6299" s="6">
        <v>1000.0</v>
      </c>
      <c r="D6299" s="6">
        <v>2.677419355</v>
      </c>
      <c r="E6299" s="6">
        <v>62.0</v>
      </c>
    </row>
    <row r="6300">
      <c r="A6300" s="10" t="s">
        <v>12508</v>
      </c>
      <c r="B6300" s="5" t="s">
        <v>12509</v>
      </c>
      <c r="C6300" s="6">
        <v>1000.0</v>
      </c>
      <c r="D6300" s="9"/>
      <c r="E6300" s="9"/>
    </row>
    <row r="6301">
      <c r="A6301" s="4" t="s">
        <v>12510</v>
      </c>
      <c r="B6301" s="5" t="s">
        <v>12511</v>
      </c>
      <c r="C6301" s="6">
        <v>1000.0</v>
      </c>
      <c r="D6301" s="6">
        <v>5.0</v>
      </c>
      <c r="E6301" s="6">
        <v>1.0</v>
      </c>
    </row>
    <row r="6302">
      <c r="A6302" s="4" t="s">
        <v>12512</v>
      </c>
      <c r="B6302" s="5" t="s">
        <v>12513</v>
      </c>
      <c r="C6302" s="6">
        <v>1000.0</v>
      </c>
      <c r="D6302" s="6">
        <v>4.333333333</v>
      </c>
      <c r="E6302" s="6">
        <v>6.0</v>
      </c>
    </row>
    <row r="6303">
      <c r="A6303" s="4" t="s">
        <v>12514</v>
      </c>
      <c r="B6303" s="5" t="s">
        <v>12515</v>
      </c>
      <c r="C6303" s="6">
        <v>1000.0</v>
      </c>
      <c r="D6303" s="6">
        <v>4.043478261</v>
      </c>
      <c r="E6303" s="6">
        <v>46.0</v>
      </c>
    </row>
    <row r="6304">
      <c r="A6304" s="4" t="s">
        <v>12516</v>
      </c>
      <c r="B6304" s="5" t="s">
        <v>12517</v>
      </c>
      <c r="C6304" s="6">
        <v>1000.0</v>
      </c>
      <c r="D6304" s="6">
        <v>4.166666667</v>
      </c>
      <c r="E6304" s="6">
        <v>6.0</v>
      </c>
    </row>
    <row r="6305">
      <c r="A6305" s="4" t="s">
        <v>12518</v>
      </c>
      <c r="B6305" s="5" t="s">
        <v>12519</v>
      </c>
      <c r="C6305" s="6">
        <v>1000.0</v>
      </c>
      <c r="D6305" s="6">
        <v>5.0</v>
      </c>
      <c r="E6305" s="6">
        <v>10.0</v>
      </c>
    </row>
    <row r="6306">
      <c r="A6306" s="4" t="s">
        <v>12520</v>
      </c>
      <c r="B6306" s="5" t="s">
        <v>12521</v>
      </c>
      <c r="C6306" s="6">
        <v>1000.0</v>
      </c>
      <c r="D6306" s="6">
        <v>4.7</v>
      </c>
      <c r="E6306" s="6">
        <v>10.0</v>
      </c>
    </row>
    <row r="6307">
      <c r="A6307" s="4" t="s">
        <v>12522</v>
      </c>
      <c r="B6307" s="5" t="s">
        <v>12523</v>
      </c>
      <c r="C6307" s="6">
        <v>1000.0</v>
      </c>
      <c r="D6307" s="6">
        <v>3.411764706</v>
      </c>
      <c r="E6307" s="6">
        <v>51.0</v>
      </c>
    </row>
    <row r="6308">
      <c r="A6308" s="4" t="s">
        <v>12524</v>
      </c>
      <c r="B6308" s="5" t="s">
        <v>12525</v>
      </c>
      <c r="C6308" s="6">
        <v>1000.0</v>
      </c>
      <c r="D6308" s="6">
        <v>4.363636364</v>
      </c>
      <c r="E6308" s="6">
        <v>33.0</v>
      </c>
    </row>
    <row r="6309">
      <c r="A6309" s="4" t="s">
        <v>12526</v>
      </c>
      <c r="B6309" s="5" t="s">
        <v>12527</v>
      </c>
      <c r="C6309" s="6">
        <v>1000.0</v>
      </c>
      <c r="D6309" s="6">
        <v>2.714285714</v>
      </c>
      <c r="E6309" s="6">
        <v>7.0</v>
      </c>
    </row>
    <row r="6310">
      <c r="A6310" s="4" t="s">
        <v>12528</v>
      </c>
      <c r="B6310" s="5" t="s">
        <v>12529</v>
      </c>
      <c r="C6310" s="6">
        <v>1000.0</v>
      </c>
      <c r="D6310" s="6">
        <v>4.076923077</v>
      </c>
      <c r="E6310" s="6">
        <v>13.0</v>
      </c>
    </row>
    <row r="6311">
      <c r="A6311" s="4" t="s">
        <v>12530</v>
      </c>
      <c r="B6311" s="5" t="s">
        <v>12531</v>
      </c>
      <c r="C6311" s="6">
        <v>1000.0</v>
      </c>
      <c r="D6311" s="6">
        <v>4.333333333</v>
      </c>
      <c r="E6311" s="6">
        <v>6.0</v>
      </c>
    </row>
    <row r="6312">
      <c r="A6312" s="10" t="s">
        <v>12532</v>
      </c>
      <c r="B6312" s="5" t="s">
        <v>12533</v>
      </c>
      <c r="C6312" s="6">
        <v>1000.0</v>
      </c>
      <c r="D6312" s="6">
        <v>4.605263158</v>
      </c>
      <c r="E6312" s="6">
        <v>38.0</v>
      </c>
    </row>
    <row r="6313">
      <c r="A6313" s="4" t="s">
        <v>12534</v>
      </c>
      <c r="B6313" s="5" t="s">
        <v>12535</v>
      </c>
      <c r="C6313" s="6">
        <v>1000.0</v>
      </c>
      <c r="D6313" s="6">
        <v>2.0</v>
      </c>
      <c r="E6313" s="6">
        <v>1.0</v>
      </c>
    </row>
    <row r="6314">
      <c r="A6314" s="4" t="s">
        <v>12536</v>
      </c>
      <c r="B6314" s="5" t="s">
        <v>12537</v>
      </c>
      <c r="C6314" s="6">
        <v>1000.0</v>
      </c>
      <c r="D6314" s="6">
        <v>5.0</v>
      </c>
      <c r="E6314" s="6">
        <v>2.0</v>
      </c>
    </row>
    <row r="6315">
      <c r="A6315" s="4" t="s">
        <v>12538</v>
      </c>
      <c r="B6315" s="5" t="s">
        <v>12539</v>
      </c>
      <c r="C6315" s="6">
        <v>1000.0</v>
      </c>
      <c r="D6315" s="6">
        <v>5.0</v>
      </c>
      <c r="E6315" s="6">
        <v>1.0</v>
      </c>
    </row>
    <row r="6316">
      <c r="A6316" s="4" t="s">
        <v>12540</v>
      </c>
      <c r="B6316" s="5" t="s">
        <v>12541</v>
      </c>
      <c r="C6316" s="6">
        <v>1000.0</v>
      </c>
      <c r="D6316" s="6">
        <v>4.739130435</v>
      </c>
      <c r="E6316" s="6">
        <v>23.0</v>
      </c>
    </row>
    <row r="6317">
      <c r="A6317" s="4" t="s">
        <v>12542</v>
      </c>
      <c r="B6317" s="5" t="s">
        <v>12543</v>
      </c>
      <c r="C6317" s="6">
        <v>1000.0</v>
      </c>
      <c r="D6317" s="6">
        <v>3.55</v>
      </c>
      <c r="E6317" s="6">
        <v>20.0</v>
      </c>
    </row>
    <row r="6318">
      <c r="A6318" s="4" t="s">
        <v>12544</v>
      </c>
      <c r="B6318" s="5" t="s">
        <v>12545</v>
      </c>
      <c r="C6318" s="6">
        <v>1000.0</v>
      </c>
      <c r="D6318" s="6">
        <v>1.642857143</v>
      </c>
      <c r="E6318" s="6">
        <v>14.0</v>
      </c>
    </row>
    <row r="6319">
      <c r="A6319" s="4" t="s">
        <v>12546</v>
      </c>
      <c r="B6319" s="5" t="s">
        <v>12547</v>
      </c>
      <c r="C6319" s="6">
        <v>1000.0</v>
      </c>
      <c r="D6319" s="6">
        <v>4.866666667</v>
      </c>
      <c r="E6319" s="6">
        <v>15.0</v>
      </c>
    </row>
    <row r="6320">
      <c r="A6320" s="4" t="s">
        <v>12548</v>
      </c>
      <c r="B6320" s="5" t="s">
        <v>12549</v>
      </c>
      <c r="C6320" s="6">
        <v>1000.0</v>
      </c>
      <c r="D6320" s="6">
        <v>3.363636364</v>
      </c>
      <c r="E6320" s="6">
        <v>11.0</v>
      </c>
    </row>
    <row r="6321">
      <c r="A6321" s="4" t="s">
        <v>12550</v>
      </c>
      <c r="B6321" s="5" t="s">
        <v>12551</v>
      </c>
      <c r="C6321" s="6">
        <v>1000.0</v>
      </c>
      <c r="D6321" s="6">
        <v>5.0</v>
      </c>
      <c r="E6321" s="6">
        <v>10.0</v>
      </c>
    </row>
    <row r="6322">
      <c r="A6322" s="4" t="s">
        <v>12552</v>
      </c>
      <c r="B6322" s="5" t="s">
        <v>12553</v>
      </c>
      <c r="C6322" s="6">
        <v>1000.0</v>
      </c>
      <c r="D6322" s="6">
        <v>3.785714286</v>
      </c>
      <c r="E6322" s="6">
        <v>28.0</v>
      </c>
    </row>
    <row r="6323">
      <c r="A6323" s="4" t="s">
        <v>12554</v>
      </c>
      <c r="B6323" s="5" t="s">
        <v>12555</v>
      </c>
      <c r="C6323" s="6">
        <v>1000.0</v>
      </c>
      <c r="D6323" s="6">
        <v>4.777777778</v>
      </c>
      <c r="E6323" s="6">
        <v>18.0</v>
      </c>
    </row>
    <row r="6324">
      <c r="A6324" s="4" t="s">
        <v>12556</v>
      </c>
      <c r="B6324" s="5" t="s">
        <v>12557</v>
      </c>
      <c r="C6324" s="6">
        <v>1000.0</v>
      </c>
      <c r="D6324" s="6">
        <v>5.0</v>
      </c>
      <c r="E6324" s="6">
        <v>4.0</v>
      </c>
    </row>
    <row r="6325">
      <c r="A6325" s="4" t="s">
        <v>12558</v>
      </c>
      <c r="B6325" s="5" t="s">
        <v>12559</v>
      </c>
      <c r="C6325" s="6">
        <v>1000.0</v>
      </c>
      <c r="D6325" s="6">
        <v>4.0</v>
      </c>
      <c r="E6325" s="6">
        <v>23.0</v>
      </c>
    </row>
    <row r="6326">
      <c r="A6326" s="4" t="s">
        <v>12560</v>
      </c>
      <c r="B6326" s="5" t="s">
        <v>12561</v>
      </c>
      <c r="C6326" s="6">
        <v>1000.0</v>
      </c>
      <c r="D6326" s="6">
        <v>1.4</v>
      </c>
      <c r="E6326" s="6">
        <v>10.0</v>
      </c>
    </row>
    <row r="6327">
      <c r="A6327" s="4" t="s">
        <v>12562</v>
      </c>
      <c r="B6327" s="5" t="s">
        <v>12563</v>
      </c>
      <c r="C6327" s="6">
        <v>1000.0</v>
      </c>
      <c r="D6327" s="6">
        <v>4.571428571</v>
      </c>
      <c r="E6327" s="6">
        <v>7.0</v>
      </c>
    </row>
    <row r="6328">
      <c r="A6328" s="4" t="s">
        <v>12564</v>
      </c>
      <c r="B6328" s="5" t="s">
        <v>12565</v>
      </c>
      <c r="C6328" s="6">
        <v>1000.0</v>
      </c>
      <c r="D6328" s="6">
        <v>4.595238095</v>
      </c>
      <c r="E6328" s="6">
        <v>42.0</v>
      </c>
    </row>
    <row r="6329">
      <c r="A6329" s="4" t="s">
        <v>12566</v>
      </c>
      <c r="B6329" s="5" t="s">
        <v>12567</v>
      </c>
      <c r="C6329" s="6">
        <v>1000.0</v>
      </c>
      <c r="D6329" s="6">
        <v>2.142857143</v>
      </c>
      <c r="E6329" s="6">
        <v>7.0</v>
      </c>
    </row>
    <row r="6330">
      <c r="A6330" s="4" t="s">
        <v>12568</v>
      </c>
      <c r="B6330" s="5" t="s">
        <v>12569</v>
      </c>
      <c r="C6330" s="6">
        <v>1000.0</v>
      </c>
      <c r="D6330" s="6">
        <v>5.0</v>
      </c>
      <c r="E6330" s="6">
        <v>2.0</v>
      </c>
    </row>
    <row r="6331">
      <c r="A6331" s="4" t="s">
        <v>12570</v>
      </c>
      <c r="B6331" s="5" t="s">
        <v>12571</v>
      </c>
      <c r="C6331" s="6">
        <v>1000.0</v>
      </c>
      <c r="D6331" s="6">
        <v>2.863636364</v>
      </c>
      <c r="E6331" s="6">
        <v>22.0</v>
      </c>
    </row>
    <row r="6332">
      <c r="A6332" s="4" t="s">
        <v>12572</v>
      </c>
      <c r="B6332" s="5" t="s">
        <v>12573</v>
      </c>
      <c r="C6332" s="6">
        <v>1000.0</v>
      </c>
      <c r="D6332" s="6">
        <v>4.325581395</v>
      </c>
      <c r="E6332" s="6">
        <v>43.0</v>
      </c>
    </row>
    <row r="6333">
      <c r="A6333" s="4" t="s">
        <v>12574</v>
      </c>
      <c r="B6333" s="5" t="s">
        <v>12575</v>
      </c>
      <c r="C6333" s="6">
        <v>1000.0</v>
      </c>
      <c r="D6333" s="6">
        <v>4.5</v>
      </c>
      <c r="E6333" s="6">
        <v>4.0</v>
      </c>
    </row>
    <row r="6334">
      <c r="A6334" s="4" t="s">
        <v>12576</v>
      </c>
      <c r="B6334" s="5" t="s">
        <v>12577</v>
      </c>
      <c r="C6334" s="6">
        <v>1000.0</v>
      </c>
      <c r="D6334" s="6">
        <v>4.342465753</v>
      </c>
      <c r="E6334" s="6">
        <v>73.0</v>
      </c>
    </row>
    <row r="6335">
      <c r="A6335" s="4" t="s">
        <v>12578</v>
      </c>
      <c r="B6335" s="5" t="s">
        <v>12579</v>
      </c>
      <c r="C6335" s="6">
        <v>1000.0</v>
      </c>
      <c r="D6335" s="6">
        <v>3.428571429</v>
      </c>
      <c r="E6335" s="6">
        <v>14.0</v>
      </c>
    </row>
    <row r="6336">
      <c r="A6336" s="4" t="s">
        <v>12580</v>
      </c>
      <c r="B6336" s="5" t="s">
        <v>12581</v>
      </c>
      <c r="C6336" s="6">
        <v>1000.0</v>
      </c>
      <c r="D6336" s="6">
        <v>3.9</v>
      </c>
      <c r="E6336" s="6">
        <v>10.0</v>
      </c>
    </row>
    <row r="6337">
      <c r="A6337" s="4" t="s">
        <v>12582</v>
      </c>
      <c r="B6337" s="5" t="s">
        <v>12583</v>
      </c>
      <c r="C6337" s="6">
        <v>1000.0</v>
      </c>
      <c r="D6337" s="6">
        <v>4.692307692</v>
      </c>
      <c r="E6337" s="6">
        <v>13.0</v>
      </c>
    </row>
    <row r="6338">
      <c r="A6338" s="4" t="s">
        <v>12584</v>
      </c>
      <c r="B6338" s="5" t="s">
        <v>12585</v>
      </c>
      <c r="C6338" s="6">
        <v>1000.0</v>
      </c>
      <c r="D6338" s="6">
        <v>5.0</v>
      </c>
      <c r="E6338" s="6">
        <v>3.0</v>
      </c>
    </row>
    <row r="6339">
      <c r="A6339" s="4" t="s">
        <v>12586</v>
      </c>
      <c r="B6339" s="5" t="s">
        <v>12587</v>
      </c>
      <c r="C6339" s="6">
        <v>1000.0</v>
      </c>
      <c r="D6339" s="6">
        <v>4.84375</v>
      </c>
      <c r="E6339" s="6">
        <v>32.0</v>
      </c>
    </row>
    <row r="6340">
      <c r="A6340" s="4" t="s">
        <v>12588</v>
      </c>
      <c r="B6340" s="5" t="s">
        <v>12589</v>
      </c>
      <c r="C6340" s="6">
        <v>1000.0</v>
      </c>
      <c r="D6340" s="6">
        <v>3.307692308</v>
      </c>
      <c r="E6340" s="6">
        <v>13.0</v>
      </c>
    </row>
    <row r="6341">
      <c r="A6341" s="4" t="s">
        <v>12590</v>
      </c>
      <c r="B6341" s="5" t="s">
        <v>12591</v>
      </c>
      <c r="C6341" s="6">
        <v>1000.0</v>
      </c>
      <c r="D6341" s="6">
        <v>4.909090909</v>
      </c>
      <c r="E6341" s="6">
        <v>11.0</v>
      </c>
    </row>
    <row r="6342">
      <c r="A6342" s="4" t="s">
        <v>12592</v>
      </c>
      <c r="B6342" s="5" t="s">
        <v>12593</v>
      </c>
      <c r="C6342" s="6">
        <v>1000.0</v>
      </c>
      <c r="D6342" s="6">
        <v>4.173913043</v>
      </c>
      <c r="E6342" s="6">
        <v>23.0</v>
      </c>
    </row>
    <row r="6343">
      <c r="A6343" s="4" t="s">
        <v>12594</v>
      </c>
      <c r="B6343" s="5" t="s">
        <v>12595</v>
      </c>
      <c r="C6343" s="6">
        <v>1000.0</v>
      </c>
      <c r="D6343" s="6">
        <v>4.777777778</v>
      </c>
      <c r="E6343" s="6">
        <v>9.0</v>
      </c>
    </row>
    <row r="6344">
      <c r="A6344" s="4" t="s">
        <v>12596</v>
      </c>
      <c r="B6344" s="5" t="s">
        <v>12597</v>
      </c>
      <c r="C6344" s="6">
        <v>1000.0</v>
      </c>
      <c r="D6344" s="6">
        <v>2.852941176</v>
      </c>
      <c r="E6344" s="6">
        <v>34.0</v>
      </c>
    </row>
    <row r="6345">
      <c r="A6345" s="4" t="s">
        <v>12598</v>
      </c>
      <c r="B6345" s="5" t="s">
        <v>12599</v>
      </c>
      <c r="C6345" s="6">
        <v>1000.0</v>
      </c>
      <c r="D6345" s="6">
        <v>3.951219512</v>
      </c>
      <c r="E6345" s="6">
        <v>41.0</v>
      </c>
    </row>
    <row r="6346">
      <c r="A6346" s="4" t="s">
        <v>12600</v>
      </c>
      <c r="B6346" s="5" t="s">
        <v>12601</v>
      </c>
      <c r="C6346" s="6">
        <v>1000.0</v>
      </c>
      <c r="D6346" s="6">
        <v>4.4</v>
      </c>
      <c r="E6346" s="6">
        <v>15.0</v>
      </c>
    </row>
    <row r="6347">
      <c r="A6347" s="4" t="s">
        <v>12602</v>
      </c>
      <c r="B6347" s="5" t="s">
        <v>12603</v>
      </c>
      <c r="C6347" s="6">
        <v>1000.0</v>
      </c>
      <c r="D6347" s="6">
        <v>4.52173913</v>
      </c>
      <c r="E6347" s="6">
        <v>23.0</v>
      </c>
    </row>
    <row r="6348">
      <c r="A6348" s="4" t="s">
        <v>12604</v>
      </c>
      <c r="B6348" s="5" t="s">
        <v>12605</v>
      </c>
      <c r="C6348" s="6">
        <v>1000.0</v>
      </c>
      <c r="D6348" s="6">
        <v>4.545454545</v>
      </c>
      <c r="E6348" s="6">
        <v>11.0</v>
      </c>
    </row>
    <row r="6349">
      <c r="A6349" s="4" t="s">
        <v>12606</v>
      </c>
      <c r="B6349" s="5" t="s">
        <v>12607</v>
      </c>
      <c r="C6349" s="6">
        <v>1000.0</v>
      </c>
      <c r="D6349" s="6">
        <v>3.7</v>
      </c>
      <c r="E6349" s="6">
        <v>10.0</v>
      </c>
    </row>
    <row r="6350">
      <c r="A6350" s="4" t="s">
        <v>12608</v>
      </c>
      <c r="B6350" s="5" t="s">
        <v>12609</v>
      </c>
      <c r="C6350" s="6">
        <v>1000.0</v>
      </c>
      <c r="D6350" s="6">
        <v>4.105263158</v>
      </c>
      <c r="E6350" s="6">
        <v>19.0</v>
      </c>
    </row>
    <row r="6351">
      <c r="A6351" s="4" t="s">
        <v>12610</v>
      </c>
      <c r="B6351" s="5" t="s">
        <v>12611</v>
      </c>
      <c r="C6351" s="6">
        <v>1000.0</v>
      </c>
      <c r="D6351" s="6">
        <v>4.285714286</v>
      </c>
      <c r="E6351" s="6">
        <v>14.0</v>
      </c>
    </row>
    <row r="6352">
      <c r="A6352" s="4" t="s">
        <v>12612</v>
      </c>
      <c r="B6352" s="5" t="s">
        <v>12613</v>
      </c>
      <c r="C6352" s="6">
        <v>1000.0</v>
      </c>
      <c r="D6352" s="6">
        <v>2.4</v>
      </c>
      <c r="E6352" s="6">
        <v>5.0</v>
      </c>
    </row>
    <row r="6353">
      <c r="A6353" s="4" t="s">
        <v>12614</v>
      </c>
      <c r="B6353" s="5" t="s">
        <v>12615</v>
      </c>
      <c r="C6353" s="6">
        <v>1000.0</v>
      </c>
      <c r="D6353" s="6">
        <v>3.0</v>
      </c>
      <c r="E6353" s="6">
        <v>2.0</v>
      </c>
    </row>
    <row r="6354">
      <c r="A6354" s="4" t="s">
        <v>12616</v>
      </c>
      <c r="B6354" s="5" t="s">
        <v>12617</v>
      </c>
      <c r="C6354" s="6">
        <v>1000.0</v>
      </c>
      <c r="D6354" s="6">
        <v>4.666666667</v>
      </c>
      <c r="E6354" s="6">
        <v>27.0</v>
      </c>
    </row>
    <row r="6355">
      <c r="A6355" s="4" t="s">
        <v>12618</v>
      </c>
      <c r="B6355" s="5" t="s">
        <v>12619</v>
      </c>
      <c r="C6355" s="6">
        <v>1000.0</v>
      </c>
      <c r="D6355" s="6">
        <v>4.5</v>
      </c>
      <c r="E6355" s="6">
        <v>8.0</v>
      </c>
    </row>
    <row r="6356">
      <c r="A6356" s="4" t="s">
        <v>12620</v>
      </c>
      <c r="B6356" s="5" t="s">
        <v>12621</v>
      </c>
      <c r="C6356" s="6">
        <v>1000.0</v>
      </c>
      <c r="D6356" s="6">
        <v>4.75</v>
      </c>
      <c r="E6356" s="6">
        <v>4.0</v>
      </c>
    </row>
    <row r="6357">
      <c r="A6357" s="4" t="s">
        <v>12622</v>
      </c>
      <c r="B6357" s="5" t="s">
        <v>12623</v>
      </c>
      <c r="C6357" s="6">
        <v>1000.0</v>
      </c>
      <c r="D6357" s="6">
        <v>1.0</v>
      </c>
      <c r="E6357" s="6">
        <v>1.0</v>
      </c>
    </row>
    <row r="6358">
      <c r="A6358" s="4" t="s">
        <v>12624</v>
      </c>
      <c r="B6358" s="5" t="s">
        <v>12625</v>
      </c>
      <c r="C6358" s="6">
        <v>1000.0</v>
      </c>
      <c r="D6358" s="6">
        <v>1.8</v>
      </c>
      <c r="E6358" s="6">
        <v>5.0</v>
      </c>
    </row>
    <row r="6359">
      <c r="A6359" s="4" t="s">
        <v>12626</v>
      </c>
      <c r="B6359" s="5" t="s">
        <v>12627</v>
      </c>
      <c r="C6359" s="6">
        <v>1000.0</v>
      </c>
      <c r="D6359" s="6">
        <v>5.0</v>
      </c>
      <c r="E6359" s="6">
        <v>1.0</v>
      </c>
    </row>
    <row r="6360">
      <c r="A6360" s="4" t="s">
        <v>12628</v>
      </c>
      <c r="B6360" s="5" t="s">
        <v>12629</v>
      </c>
      <c r="C6360" s="6">
        <v>1000.0</v>
      </c>
      <c r="D6360" s="6">
        <v>5.0</v>
      </c>
      <c r="E6360" s="6">
        <v>6.0</v>
      </c>
    </row>
    <row r="6361">
      <c r="A6361" s="4" t="s">
        <v>12630</v>
      </c>
      <c r="B6361" s="5" t="s">
        <v>12631</v>
      </c>
      <c r="C6361" s="6">
        <v>1000.0</v>
      </c>
      <c r="D6361" s="6">
        <v>5.0</v>
      </c>
      <c r="E6361" s="6">
        <v>1.0</v>
      </c>
    </row>
    <row r="6362">
      <c r="A6362" s="4" t="s">
        <v>12632</v>
      </c>
      <c r="B6362" s="5" t="s">
        <v>12633</v>
      </c>
      <c r="C6362" s="6">
        <v>1000.0</v>
      </c>
      <c r="D6362" s="6">
        <v>4.31372549</v>
      </c>
      <c r="E6362" s="6">
        <v>51.0</v>
      </c>
    </row>
    <row r="6363">
      <c r="A6363" s="4" t="s">
        <v>12634</v>
      </c>
      <c r="B6363" s="5" t="s">
        <v>12635</v>
      </c>
      <c r="C6363" s="6">
        <v>1000.0</v>
      </c>
      <c r="D6363" s="6">
        <v>4.833333333</v>
      </c>
      <c r="E6363" s="6">
        <v>6.0</v>
      </c>
    </row>
    <row r="6364">
      <c r="A6364" s="4" t="s">
        <v>12636</v>
      </c>
      <c r="B6364" s="5" t="s">
        <v>12637</v>
      </c>
      <c r="C6364" s="6">
        <v>1000.0</v>
      </c>
      <c r="D6364" s="6">
        <v>4.288888889</v>
      </c>
      <c r="E6364" s="6">
        <v>45.0</v>
      </c>
    </row>
    <row r="6365">
      <c r="A6365" s="4" t="s">
        <v>12638</v>
      </c>
      <c r="B6365" s="5" t="s">
        <v>12639</v>
      </c>
      <c r="C6365" s="6">
        <v>1000.0</v>
      </c>
      <c r="D6365" s="6">
        <v>2.0</v>
      </c>
      <c r="E6365" s="6">
        <v>8.0</v>
      </c>
    </row>
    <row r="6366">
      <c r="A6366" s="4" t="s">
        <v>12640</v>
      </c>
      <c r="B6366" s="5" t="s">
        <v>12641</v>
      </c>
      <c r="C6366" s="6">
        <v>1000.0</v>
      </c>
      <c r="D6366" s="6">
        <v>4.470588235</v>
      </c>
      <c r="E6366" s="6">
        <v>17.0</v>
      </c>
    </row>
    <row r="6367">
      <c r="A6367" s="4" t="s">
        <v>12642</v>
      </c>
      <c r="B6367" s="5" t="s">
        <v>12643</v>
      </c>
      <c r="C6367" s="6">
        <v>1000.0</v>
      </c>
      <c r="D6367" s="6">
        <v>4.7</v>
      </c>
      <c r="E6367" s="6">
        <v>10.0</v>
      </c>
    </row>
    <row r="6368">
      <c r="A6368" s="4" t="s">
        <v>12644</v>
      </c>
      <c r="B6368" s="5" t="s">
        <v>12645</v>
      </c>
      <c r="C6368" s="6">
        <v>1000.0</v>
      </c>
      <c r="D6368" s="6">
        <v>2.818181818</v>
      </c>
      <c r="E6368" s="6">
        <v>11.0</v>
      </c>
    </row>
    <row r="6369">
      <c r="A6369" s="4" t="s">
        <v>12646</v>
      </c>
      <c r="B6369" s="5" t="s">
        <v>12647</v>
      </c>
      <c r="C6369" s="6">
        <v>1000.0</v>
      </c>
      <c r="D6369" s="6">
        <v>4.6</v>
      </c>
      <c r="E6369" s="6">
        <v>10.0</v>
      </c>
    </row>
    <row r="6370">
      <c r="A6370" s="4" t="s">
        <v>12648</v>
      </c>
      <c r="B6370" s="5" t="s">
        <v>12649</v>
      </c>
      <c r="C6370" s="6">
        <v>1000.0</v>
      </c>
      <c r="D6370" s="6">
        <v>5.0</v>
      </c>
      <c r="E6370" s="6">
        <v>3.0</v>
      </c>
    </row>
    <row r="6371">
      <c r="A6371" s="4" t="s">
        <v>12650</v>
      </c>
      <c r="B6371" s="5" t="s">
        <v>12651</v>
      </c>
      <c r="C6371" s="6">
        <v>1000.0</v>
      </c>
      <c r="D6371" s="6">
        <v>2.75</v>
      </c>
      <c r="E6371" s="6">
        <v>4.0</v>
      </c>
    </row>
    <row r="6372">
      <c r="A6372" s="4" t="s">
        <v>12652</v>
      </c>
      <c r="B6372" s="5" t="s">
        <v>12653</v>
      </c>
      <c r="C6372" s="6">
        <v>1000.0</v>
      </c>
      <c r="D6372" s="6">
        <v>4.428571429</v>
      </c>
      <c r="E6372" s="6">
        <v>35.0</v>
      </c>
    </row>
    <row r="6373">
      <c r="A6373" s="4" t="s">
        <v>12654</v>
      </c>
      <c r="B6373" s="5" t="s">
        <v>12655</v>
      </c>
      <c r="C6373" s="6">
        <v>1000.0</v>
      </c>
      <c r="D6373" s="6">
        <v>5.0</v>
      </c>
      <c r="E6373" s="6">
        <v>6.0</v>
      </c>
    </row>
    <row r="6374">
      <c r="A6374" s="4" t="s">
        <v>12656</v>
      </c>
      <c r="B6374" s="5" t="s">
        <v>12657</v>
      </c>
      <c r="C6374" s="6">
        <v>1000.0</v>
      </c>
      <c r="D6374" s="6">
        <v>4.636363636</v>
      </c>
      <c r="E6374" s="6">
        <v>11.0</v>
      </c>
    </row>
    <row r="6375">
      <c r="A6375" s="4" t="s">
        <v>12658</v>
      </c>
      <c r="B6375" s="5" t="s">
        <v>12659</v>
      </c>
      <c r="C6375" s="6">
        <v>1000.0</v>
      </c>
      <c r="D6375" s="6">
        <v>4.294117647</v>
      </c>
      <c r="E6375" s="6">
        <v>17.0</v>
      </c>
    </row>
    <row r="6376">
      <c r="A6376" s="4" t="s">
        <v>12660</v>
      </c>
      <c r="B6376" s="5" t="s">
        <v>12661</v>
      </c>
      <c r="C6376" s="6">
        <v>1000.0</v>
      </c>
      <c r="D6376" s="6">
        <v>3.5</v>
      </c>
      <c r="E6376" s="6">
        <v>6.0</v>
      </c>
    </row>
    <row r="6377">
      <c r="A6377" s="4" t="s">
        <v>12662</v>
      </c>
      <c r="B6377" s="5" t="s">
        <v>12663</v>
      </c>
      <c r="C6377" s="6">
        <v>1000.0</v>
      </c>
      <c r="D6377" s="6">
        <v>4.642857143</v>
      </c>
      <c r="E6377" s="6">
        <v>14.0</v>
      </c>
    </row>
    <row r="6378">
      <c r="A6378" s="4" t="s">
        <v>12664</v>
      </c>
      <c r="B6378" s="5" t="s">
        <v>12665</v>
      </c>
      <c r="C6378" s="6">
        <v>1000.0</v>
      </c>
      <c r="D6378" s="6">
        <v>5.0</v>
      </c>
      <c r="E6378" s="6">
        <v>1.0</v>
      </c>
    </row>
    <row r="6379">
      <c r="A6379" s="4" t="s">
        <v>12666</v>
      </c>
      <c r="B6379" s="5" t="s">
        <v>12667</v>
      </c>
      <c r="C6379" s="6">
        <v>1000.0</v>
      </c>
      <c r="D6379" s="6">
        <v>3.952380952</v>
      </c>
      <c r="E6379" s="6">
        <v>21.0</v>
      </c>
    </row>
    <row r="6380">
      <c r="A6380" s="4" t="s">
        <v>8709</v>
      </c>
      <c r="B6380" s="5" t="s">
        <v>12668</v>
      </c>
      <c r="C6380" s="6">
        <v>1000.0</v>
      </c>
      <c r="D6380" s="6">
        <v>2.785714286</v>
      </c>
      <c r="E6380" s="6">
        <v>42.0</v>
      </c>
    </row>
    <row r="6381">
      <c r="A6381" s="4" t="s">
        <v>12669</v>
      </c>
      <c r="B6381" s="5" t="s">
        <v>12670</v>
      </c>
      <c r="C6381" s="6">
        <v>1000.0</v>
      </c>
      <c r="D6381" s="6">
        <v>5.0</v>
      </c>
      <c r="E6381" s="6">
        <v>2.0</v>
      </c>
    </row>
    <row r="6382">
      <c r="A6382" s="4" t="s">
        <v>12671</v>
      </c>
      <c r="B6382" s="5" t="s">
        <v>12672</v>
      </c>
      <c r="C6382" s="6">
        <v>1000.0</v>
      </c>
      <c r="D6382" s="6">
        <v>4.5</v>
      </c>
      <c r="E6382" s="6">
        <v>2.0</v>
      </c>
    </row>
    <row r="6383">
      <c r="A6383" s="4" t="s">
        <v>12673</v>
      </c>
      <c r="B6383" s="5" t="s">
        <v>12674</v>
      </c>
      <c r="C6383" s="6">
        <v>1000.0</v>
      </c>
      <c r="D6383" s="6">
        <v>4.533333333</v>
      </c>
      <c r="E6383" s="6">
        <v>15.0</v>
      </c>
    </row>
    <row r="6384">
      <c r="A6384" s="4" t="s">
        <v>12675</v>
      </c>
      <c r="B6384" s="5" t="s">
        <v>12676</v>
      </c>
      <c r="C6384" s="6">
        <v>1000.0</v>
      </c>
      <c r="D6384" s="6">
        <v>4.75</v>
      </c>
      <c r="E6384" s="6">
        <v>16.0</v>
      </c>
    </row>
    <row r="6385">
      <c r="A6385" s="4" t="s">
        <v>12677</v>
      </c>
      <c r="B6385" s="5" t="s">
        <v>12678</v>
      </c>
      <c r="C6385" s="6">
        <v>1000.0</v>
      </c>
      <c r="D6385" s="6">
        <v>4.857142857</v>
      </c>
      <c r="E6385" s="6">
        <v>7.0</v>
      </c>
    </row>
    <row r="6386">
      <c r="A6386" s="4" t="s">
        <v>12679</v>
      </c>
      <c r="B6386" s="5" t="s">
        <v>12680</v>
      </c>
      <c r="C6386" s="6">
        <v>1000.0</v>
      </c>
      <c r="D6386" s="6">
        <v>4.5</v>
      </c>
      <c r="E6386" s="6">
        <v>4.0</v>
      </c>
    </row>
    <row r="6387">
      <c r="A6387" s="4" t="s">
        <v>12681</v>
      </c>
      <c r="B6387" s="5" t="s">
        <v>12682</v>
      </c>
      <c r="C6387" s="6">
        <v>1000.0</v>
      </c>
      <c r="D6387" s="9"/>
      <c r="E6387" s="9"/>
    </row>
    <row r="6388">
      <c r="A6388" s="4" t="s">
        <v>12683</v>
      </c>
      <c r="B6388" s="5" t="s">
        <v>12684</v>
      </c>
      <c r="C6388" s="6">
        <v>1000.0</v>
      </c>
      <c r="D6388" s="6">
        <v>3.444444444</v>
      </c>
      <c r="E6388" s="6">
        <v>9.0</v>
      </c>
    </row>
    <row r="6389">
      <c r="A6389" s="4" t="s">
        <v>12685</v>
      </c>
      <c r="B6389" s="5" t="s">
        <v>12686</v>
      </c>
      <c r="C6389" s="6">
        <v>1000.0</v>
      </c>
      <c r="D6389" s="6">
        <v>5.0</v>
      </c>
      <c r="E6389" s="6">
        <v>4.0</v>
      </c>
    </row>
    <row r="6390">
      <c r="A6390" s="4" t="s">
        <v>12687</v>
      </c>
      <c r="B6390" s="5" t="s">
        <v>12688</v>
      </c>
      <c r="C6390" s="6">
        <v>1000.0</v>
      </c>
      <c r="D6390" s="6">
        <v>5.0</v>
      </c>
      <c r="E6390" s="6">
        <v>1.0</v>
      </c>
    </row>
    <row r="6391">
      <c r="A6391" s="4" t="s">
        <v>12689</v>
      </c>
      <c r="B6391" s="5" t="s">
        <v>12690</v>
      </c>
      <c r="C6391" s="6">
        <v>1000.0</v>
      </c>
      <c r="D6391" s="6">
        <v>2.090909091</v>
      </c>
      <c r="E6391" s="6">
        <v>11.0</v>
      </c>
    </row>
    <row r="6392">
      <c r="A6392" s="4" t="s">
        <v>12691</v>
      </c>
      <c r="B6392" s="5" t="s">
        <v>12692</v>
      </c>
      <c r="C6392" s="6">
        <v>1000.0</v>
      </c>
      <c r="D6392" s="6">
        <v>4.5</v>
      </c>
      <c r="E6392" s="6">
        <v>8.0</v>
      </c>
    </row>
    <row r="6393">
      <c r="A6393" s="4" t="s">
        <v>12693</v>
      </c>
      <c r="B6393" s="5" t="s">
        <v>12694</v>
      </c>
      <c r="C6393" s="6">
        <v>1000.0</v>
      </c>
      <c r="D6393" s="6">
        <v>4.942857143</v>
      </c>
      <c r="E6393" s="6">
        <v>35.0</v>
      </c>
    </row>
    <row r="6394">
      <c r="A6394" s="4" t="s">
        <v>12695</v>
      </c>
      <c r="B6394" s="5" t="s">
        <v>12696</v>
      </c>
      <c r="C6394" s="6">
        <v>1000.0</v>
      </c>
      <c r="D6394" s="6">
        <v>4.833333333</v>
      </c>
      <c r="E6394" s="6">
        <v>6.0</v>
      </c>
    </row>
    <row r="6395">
      <c r="A6395" s="4" t="s">
        <v>12697</v>
      </c>
      <c r="B6395" s="5" t="s">
        <v>12698</v>
      </c>
      <c r="C6395" s="6">
        <v>1000.0</v>
      </c>
      <c r="D6395" s="6">
        <v>4.333333333</v>
      </c>
      <c r="E6395" s="6">
        <v>6.0</v>
      </c>
    </row>
    <row r="6396">
      <c r="A6396" s="4" t="s">
        <v>12699</v>
      </c>
      <c r="B6396" s="5" t="s">
        <v>12700</v>
      </c>
      <c r="C6396" s="6">
        <v>1000.0</v>
      </c>
      <c r="D6396" s="6">
        <v>4.888888889</v>
      </c>
      <c r="E6396" s="6">
        <v>9.0</v>
      </c>
    </row>
    <row r="6397">
      <c r="A6397" s="4" t="s">
        <v>12701</v>
      </c>
      <c r="B6397" s="5" t="s">
        <v>12702</v>
      </c>
      <c r="C6397" s="6">
        <v>1000.0</v>
      </c>
      <c r="D6397" s="6">
        <v>4.956521739</v>
      </c>
      <c r="E6397" s="6">
        <v>46.0</v>
      </c>
    </row>
    <row r="6398">
      <c r="A6398" s="4" t="s">
        <v>12703</v>
      </c>
      <c r="B6398" s="5" t="s">
        <v>12704</v>
      </c>
      <c r="C6398" s="6">
        <v>1000.0</v>
      </c>
      <c r="D6398" s="6">
        <v>4.046511628</v>
      </c>
      <c r="E6398" s="6">
        <v>43.0</v>
      </c>
    </row>
    <row r="6399">
      <c r="A6399" s="4" t="s">
        <v>12705</v>
      </c>
      <c r="B6399" s="5" t="s">
        <v>12706</v>
      </c>
      <c r="C6399" s="6">
        <v>1000.0</v>
      </c>
      <c r="D6399" s="6">
        <v>5.0</v>
      </c>
      <c r="E6399" s="6">
        <v>2.0</v>
      </c>
    </row>
    <row r="6400">
      <c r="A6400" s="4" t="s">
        <v>12707</v>
      </c>
      <c r="B6400" s="5" t="s">
        <v>12708</v>
      </c>
      <c r="C6400" s="6">
        <v>1000.0</v>
      </c>
      <c r="D6400" s="6">
        <v>5.0</v>
      </c>
      <c r="E6400" s="6">
        <v>2.0</v>
      </c>
    </row>
    <row r="6401">
      <c r="A6401" s="4" t="s">
        <v>12709</v>
      </c>
      <c r="B6401" s="5" t="s">
        <v>12710</v>
      </c>
      <c r="C6401" s="6">
        <v>1000.0</v>
      </c>
      <c r="D6401" s="6">
        <v>4.4</v>
      </c>
      <c r="E6401" s="6">
        <v>5.0</v>
      </c>
    </row>
    <row r="6402">
      <c r="A6402" s="4" t="s">
        <v>12711</v>
      </c>
      <c r="B6402" s="5" t="s">
        <v>12712</v>
      </c>
      <c r="C6402" s="6">
        <v>1000.0</v>
      </c>
      <c r="D6402" s="6">
        <v>5.0</v>
      </c>
      <c r="E6402" s="6">
        <v>1.0</v>
      </c>
    </row>
    <row r="6403">
      <c r="A6403" s="4" t="s">
        <v>12713</v>
      </c>
      <c r="B6403" s="5" t="s">
        <v>12714</v>
      </c>
      <c r="C6403" s="6">
        <v>1000.0</v>
      </c>
      <c r="D6403" s="6">
        <v>4.871794872</v>
      </c>
      <c r="E6403" s="6">
        <v>39.0</v>
      </c>
    </row>
    <row r="6404">
      <c r="A6404" s="4" t="s">
        <v>12715</v>
      </c>
      <c r="B6404" s="5" t="s">
        <v>12716</v>
      </c>
      <c r="C6404" s="6">
        <v>1000.0</v>
      </c>
      <c r="D6404" s="6">
        <v>3.555555556</v>
      </c>
      <c r="E6404" s="6">
        <v>9.0</v>
      </c>
    </row>
    <row r="6405">
      <c r="A6405" s="4" t="s">
        <v>12717</v>
      </c>
      <c r="B6405" s="5" t="s">
        <v>12718</v>
      </c>
      <c r="C6405" s="6">
        <v>1000.0</v>
      </c>
      <c r="D6405" s="6">
        <v>3.818181818</v>
      </c>
      <c r="E6405" s="6">
        <v>11.0</v>
      </c>
    </row>
    <row r="6406">
      <c r="A6406" s="4" t="s">
        <v>12719</v>
      </c>
      <c r="B6406" s="5" t="s">
        <v>12720</v>
      </c>
      <c r="C6406" s="6">
        <v>1000.0</v>
      </c>
      <c r="D6406" s="6">
        <v>3.533333333</v>
      </c>
      <c r="E6406" s="6">
        <v>45.0</v>
      </c>
    </row>
    <row r="6407">
      <c r="A6407" s="4" t="s">
        <v>12721</v>
      </c>
      <c r="B6407" s="5" t="s">
        <v>12722</v>
      </c>
      <c r="C6407" s="6">
        <v>1000.0</v>
      </c>
      <c r="D6407" s="6">
        <v>4.736842105</v>
      </c>
      <c r="E6407" s="6">
        <v>19.0</v>
      </c>
    </row>
    <row r="6408">
      <c r="A6408" s="4" t="s">
        <v>12723</v>
      </c>
      <c r="B6408" s="5" t="s">
        <v>12724</v>
      </c>
      <c r="C6408" s="6">
        <v>1000.0</v>
      </c>
      <c r="D6408" s="6">
        <v>4.285714286</v>
      </c>
      <c r="E6408" s="6">
        <v>14.0</v>
      </c>
    </row>
    <row r="6409">
      <c r="A6409" s="4" t="s">
        <v>12725</v>
      </c>
      <c r="B6409" s="5" t="s">
        <v>12726</v>
      </c>
      <c r="C6409" s="6">
        <v>1000.0</v>
      </c>
      <c r="D6409" s="6">
        <v>4.153846154</v>
      </c>
      <c r="E6409" s="6">
        <v>13.0</v>
      </c>
    </row>
    <row r="6410">
      <c r="A6410" s="4" t="s">
        <v>12727</v>
      </c>
      <c r="B6410" s="5" t="s">
        <v>12728</v>
      </c>
      <c r="C6410" s="6">
        <v>1000.0</v>
      </c>
      <c r="D6410" s="6">
        <v>5.0</v>
      </c>
      <c r="E6410" s="6">
        <v>3.0</v>
      </c>
    </row>
    <row r="6411">
      <c r="A6411" s="4" t="s">
        <v>12729</v>
      </c>
      <c r="B6411" s="5" t="s">
        <v>12730</v>
      </c>
      <c r="C6411" s="6">
        <v>1000.0</v>
      </c>
      <c r="D6411" s="6">
        <v>4.6</v>
      </c>
      <c r="E6411" s="6">
        <v>5.0</v>
      </c>
    </row>
    <row r="6412">
      <c r="A6412" s="4" t="s">
        <v>12731</v>
      </c>
      <c r="B6412" s="5" t="s">
        <v>12732</v>
      </c>
      <c r="C6412" s="6">
        <v>1000.0</v>
      </c>
      <c r="D6412" s="6">
        <v>2.7</v>
      </c>
      <c r="E6412" s="6">
        <v>10.0</v>
      </c>
    </row>
    <row r="6413">
      <c r="A6413" s="4" t="s">
        <v>12733</v>
      </c>
      <c r="B6413" s="5" t="s">
        <v>12734</v>
      </c>
      <c r="C6413" s="6">
        <v>1000.0</v>
      </c>
      <c r="D6413" s="6">
        <v>5.0</v>
      </c>
      <c r="E6413" s="6">
        <v>1.0</v>
      </c>
    </row>
    <row r="6414">
      <c r="A6414" s="4" t="s">
        <v>12735</v>
      </c>
      <c r="B6414" s="5" t="s">
        <v>12736</v>
      </c>
      <c r="C6414" s="6">
        <v>1000.0</v>
      </c>
      <c r="D6414" s="6">
        <v>3.547619048</v>
      </c>
      <c r="E6414" s="6">
        <v>42.0</v>
      </c>
    </row>
    <row r="6415">
      <c r="A6415" s="4" t="s">
        <v>12737</v>
      </c>
      <c r="B6415" s="5" t="s">
        <v>12738</v>
      </c>
      <c r="C6415" s="6">
        <v>1000.0</v>
      </c>
      <c r="D6415" s="6">
        <v>4.054054054</v>
      </c>
      <c r="E6415" s="6">
        <v>37.0</v>
      </c>
    </row>
    <row r="6416">
      <c r="A6416" s="4" t="s">
        <v>12739</v>
      </c>
      <c r="B6416" s="5" t="s">
        <v>12740</v>
      </c>
      <c r="C6416" s="6">
        <v>1000.0</v>
      </c>
      <c r="D6416" s="6">
        <v>5.0</v>
      </c>
      <c r="E6416" s="6">
        <v>47.0</v>
      </c>
    </row>
    <row r="6417">
      <c r="A6417" s="4" t="s">
        <v>12741</v>
      </c>
      <c r="B6417" s="5" t="s">
        <v>12742</v>
      </c>
      <c r="C6417" s="6">
        <v>1000.0</v>
      </c>
      <c r="D6417" s="6">
        <v>3.5</v>
      </c>
      <c r="E6417" s="6">
        <v>6.0</v>
      </c>
    </row>
    <row r="6418">
      <c r="A6418" s="4" t="s">
        <v>12743</v>
      </c>
      <c r="B6418" s="5" t="s">
        <v>12744</v>
      </c>
      <c r="C6418" s="6">
        <v>1000.0</v>
      </c>
      <c r="D6418" s="6">
        <v>4.0</v>
      </c>
      <c r="E6418" s="6">
        <v>6.0</v>
      </c>
    </row>
    <row r="6419">
      <c r="A6419" s="4" t="s">
        <v>12745</v>
      </c>
      <c r="B6419" s="5" t="s">
        <v>12746</v>
      </c>
      <c r="C6419" s="6">
        <v>1000.0</v>
      </c>
      <c r="D6419" s="6">
        <v>4.095238095</v>
      </c>
      <c r="E6419" s="6">
        <v>21.0</v>
      </c>
    </row>
    <row r="6420">
      <c r="A6420" s="4" t="s">
        <v>12747</v>
      </c>
      <c r="B6420" s="5" t="s">
        <v>12748</v>
      </c>
      <c r="C6420" s="6">
        <v>1000.0</v>
      </c>
      <c r="D6420" s="6">
        <v>4.5</v>
      </c>
      <c r="E6420" s="6">
        <v>6.0</v>
      </c>
    </row>
    <row r="6421">
      <c r="A6421" s="4" t="s">
        <v>12749</v>
      </c>
      <c r="B6421" s="5" t="s">
        <v>12750</v>
      </c>
      <c r="C6421" s="6">
        <v>1000.0</v>
      </c>
      <c r="D6421" s="6">
        <v>1.0</v>
      </c>
      <c r="E6421" s="6">
        <v>1.0</v>
      </c>
    </row>
    <row r="6422">
      <c r="A6422" s="4" t="s">
        <v>12751</v>
      </c>
      <c r="B6422" s="5" t="s">
        <v>12752</v>
      </c>
      <c r="C6422" s="6">
        <v>1000.0</v>
      </c>
      <c r="D6422" s="6">
        <v>4.5625</v>
      </c>
      <c r="E6422" s="6">
        <v>16.0</v>
      </c>
    </row>
    <row r="6423">
      <c r="A6423" s="4" t="s">
        <v>12753</v>
      </c>
      <c r="B6423" s="5" t="s">
        <v>12754</v>
      </c>
      <c r="C6423" s="6">
        <v>1000.0</v>
      </c>
      <c r="D6423" s="6">
        <v>4.0</v>
      </c>
      <c r="E6423" s="6">
        <v>4.0</v>
      </c>
    </row>
    <row r="6424">
      <c r="A6424" s="4" t="s">
        <v>12755</v>
      </c>
      <c r="B6424" s="5" t="s">
        <v>12756</v>
      </c>
      <c r="C6424" s="6">
        <v>1000.0</v>
      </c>
      <c r="D6424" s="6">
        <v>4.647058824</v>
      </c>
      <c r="E6424" s="6">
        <v>17.0</v>
      </c>
    </row>
    <row r="6425">
      <c r="A6425" s="4" t="s">
        <v>12757</v>
      </c>
      <c r="B6425" s="5" t="s">
        <v>12758</v>
      </c>
      <c r="C6425" s="6">
        <v>1000.0</v>
      </c>
      <c r="D6425" s="6">
        <v>4.444444444</v>
      </c>
      <c r="E6425" s="6">
        <v>9.0</v>
      </c>
    </row>
    <row r="6426">
      <c r="A6426" s="4" t="s">
        <v>12759</v>
      </c>
      <c r="B6426" s="5" t="s">
        <v>12760</v>
      </c>
      <c r="C6426" s="6">
        <v>1000.0</v>
      </c>
      <c r="D6426" s="6">
        <v>2.833333333</v>
      </c>
      <c r="E6426" s="6">
        <v>6.0</v>
      </c>
    </row>
    <row r="6427">
      <c r="A6427" s="4" t="s">
        <v>12761</v>
      </c>
      <c r="B6427" s="5" t="s">
        <v>12762</v>
      </c>
      <c r="C6427" s="6">
        <v>1000.0</v>
      </c>
      <c r="D6427" s="6">
        <v>4.4</v>
      </c>
      <c r="E6427" s="6">
        <v>10.0</v>
      </c>
    </row>
    <row r="6428">
      <c r="A6428" s="4" t="s">
        <v>12763</v>
      </c>
      <c r="B6428" s="5" t="s">
        <v>12764</v>
      </c>
      <c r="C6428" s="6">
        <v>1000.0</v>
      </c>
      <c r="D6428" s="9"/>
      <c r="E6428" s="9"/>
    </row>
    <row r="6429">
      <c r="A6429" s="4" t="s">
        <v>12765</v>
      </c>
      <c r="B6429" s="5" t="s">
        <v>12766</v>
      </c>
      <c r="C6429" s="6">
        <v>1000.0</v>
      </c>
      <c r="D6429" s="6">
        <v>5.0</v>
      </c>
      <c r="E6429" s="6">
        <v>2.0</v>
      </c>
    </row>
    <row r="6430">
      <c r="A6430" s="4" t="s">
        <v>12767</v>
      </c>
      <c r="B6430" s="5" t="s">
        <v>12768</v>
      </c>
      <c r="C6430" s="6">
        <v>1000.0</v>
      </c>
      <c r="D6430" s="6">
        <v>3.5</v>
      </c>
      <c r="E6430" s="6">
        <v>2.0</v>
      </c>
    </row>
    <row r="6431">
      <c r="A6431" s="4" t="s">
        <v>12769</v>
      </c>
      <c r="B6431" s="5" t="s">
        <v>12770</v>
      </c>
      <c r="C6431" s="6">
        <v>1000.0</v>
      </c>
      <c r="D6431" s="6">
        <v>4.181818182</v>
      </c>
      <c r="E6431" s="6">
        <v>11.0</v>
      </c>
    </row>
    <row r="6432">
      <c r="A6432" s="4" t="s">
        <v>12771</v>
      </c>
      <c r="B6432" s="5" t="s">
        <v>12772</v>
      </c>
      <c r="C6432" s="6">
        <v>1000.0</v>
      </c>
      <c r="D6432" s="6">
        <v>3.285714286</v>
      </c>
      <c r="E6432" s="6">
        <v>14.0</v>
      </c>
    </row>
    <row r="6433">
      <c r="A6433" s="4" t="s">
        <v>12773</v>
      </c>
      <c r="B6433" s="5" t="s">
        <v>12774</v>
      </c>
      <c r="C6433" s="6">
        <v>1000.0</v>
      </c>
      <c r="D6433" s="6">
        <v>3.0</v>
      </c>
      <c r="E6433" s="6">
        <v>2.0</v>
      </c>
    </row>
    <row r="6434">
      <c r="A6434" s="4" t="s">
        <v>12775</v>
      </c>
      <c r="B6434" s="5" t="s">
        <v>12776</v>
      </c>
      <c r="C6434" s="6">
        <v>1000.0</v>
      </c>
      <c r="D6434" s="6">
        <v>3.888888889</v>
      </c>
      <c r="E6434" s="6">
        <v>36.0</v>
      </c>
    </row>
    <row r="6435">
      <c r="A6435" s="4" t="s">
        <v>12777</v>
      </c>
      <c r="B6435" s="5" t="s">
        <v>12778</v>
      </c>
      <c r="C6435" s="6">
        <v>1000.0</v>
      </c>
      <c r="D6435" s="6">
        <v>3.6</v>
      </c>
      <c r="E6435" s="6">
        <v>5.0</v>
      </c>
    </row>
    <row r="6436">
      <c r="A6436" s="4" t="s">
        <v>12779</v>
      </c>
      <c r="B6436" s="5" t="s">
        <v>12780</v>
      </c>
      <c r="C6436" s="6">
        <v>1000.0</v>
      </c>
      <c r="D6436" s="6">
        <v>5.0</v>
      </c>
      <c r="E6436" s="6">
        <v>8.0</v>
      </c>
    </row>
    <row r="6437">
      <c r="A6437" s="4" t="s">
        <v>12781</v>
      </c>
      <c r="B6437" s="5" t="s">
        <v>12782</v>
      </c>
      <c r="C6437" s="6">
        <v>1000.0</v>
      </c>
      <c r="D6437" s="6">
        <v>3.906976744</v>
      </c>
      <c r="E6437" s="6">
        <v>43.0</v>
      </c>
    </row>
    <row r="6438">
      <c r="A6438" s="4" t="s">
        <v>12783</v>
      </c>
      <c r="B6438" s="5" t="s">
        <v>12784</v>
      </c>
      <c r="C6438" s="6">
        <v>1000.0</v>
      </c>
      <c r="D6438" s="6">
        <v>5.0</v>
      </c>
      <c r="E6438" s="6">
        <v>4.0</v>
      </c>
    </row>
    <row r="6439">
      <c r="A6439" s="4" t="s">
        <v>12785</v>
      </c>
      <c r="B6439" s="5" t="s">
        <v>12786</v>
      </c>
      <c r="C6439" s="6">
        <v>1000.0</v>
      </c>
      <c r="D6439" s="6">
        <v>4.6</v>
      </c>
      <c r="E6439" s="6">
        <v>10.0</v>
      </c>
    </row>
    <row r="6440">
      <c r="A6440" s="4" t="s">
        <v>12787</v>
      </c>
      <c r="B6440" s="5" t="s">
        <v>12788</v>
      </c>
      <c r="C6440" s="6">
        <v>1000.0</v>
      </c>
      <c r="D6440" s="6">
        <v>4.722222222</v>
      </c>
      <c r="E6440" s="6">
        <v>18.0</v>
      </c>
    </row>
    <row r="6441">
      <c r="A6441" s="4" t="s">
        <v>8229</v>
      </c>
      <c r="B6441" s="5" t="s">
        <v>12789</v>
      </c>
      <c r="C6441" s="6">
        <v>1000.0</v>
      </c>
      <c r="D6441" s="6">
        <v>3.666666667</v>
      </c>
      <c r="E6441" s="6">
        <v>27.0</v>
      </c>
    </row>
    <row r="6442">
      <c r="A6442" s="4" t="s">
        <v>12790</v>
      </c>
      <c r="B6442" s="5" t="s">
        <v>12791</v>
      </c>
      <c r="C6442" s="6">
        <v>1000.0</v>
      </c>
      <c r="D6442" s="6">
        <v>4.0</v>
      </c>
      <c r="E6442" s="6">
        <v>5.0</v>
      </c>
    </row>
    <row r="6443">
      <c r="A6443" s="4" t="s">
        <v>12792</v>
      </c>
      <c r="B6443" s="5" t="s">
        <v>12793</v>
      </c>
      <c r="C6443" s="6">
        <v>1000.0</v>
      </c>
      <c r="D6443" s="6">
        <v>4.555555556</v>
      </c>
      <c r="E6443" s="6">
        <v>9.0</v>
      </c>
    </row>
    <row r="6444">
      <c r="A6444" s="4" t="s">
        <v>12794</v>
      </c>
      <c r="B6444" s="5" t="s">
        <v>12795</v>
      </c>
      <c r="C6444" s="6">
        <v>1000.0</v>
      </c>
      <c r="D6444" s="6">
        <v>4.454545455</v>
      </c>
      <c r="E6444" s="6">
        <v>11.0</v>
      </c>
    </row>
    <row r="6445">
      <c r="A6445" s="4" t="s">
        <v>12796</v>
      </c>
      <c r="B6445" s="5" t="s">
        <v>12797</v>
      </c>
      <c r="C6445" s="6">
        <v>1000.0</v>
      </c>
      <c r="D6445" s="6">
        <v>4.0</v>
      </c>
      <c r="E6445" s="6">
        <v>33.0</v>
      </c>
    </row>
    <row r="6446">
      <c r="A6446" s="4" t="s">
        <v>12798</v>
      </c>
      <c r="B6446" s="5" t="s">
        <v>12799</v>
      </c>
      <c r="C6446" s="6">
        <v>1000.0</v>
      </c>
      <c r="D6446" s="6">
        <v>4.430769231</v>
      </c>
      <c r="E6446" s="6">
        <v>65.0</v>
      </c>
    </row>
    <row r="6447">
      <c r="A6447" s="4" t="s">
        <v>12800</v>
      </c>
      <c r="B6447" s="5" t="s">
        <v>12801</v>
      </c>
      <c r="C6447" s="6">
        <v>1000.0</v>
      </c>
      <c r="D6447" s="6">
        <v>4.303030303</v>
      </c>
      <c r="E6447" s="6">
        <v>33.0</v>
      </c>
    </row>
    <row r="6448">
      <c r="A6448" s="4" t="s">
        <v>12802</v>
      </c>
      <c r="B6448" s="5" t="s">
        <v>12803</v>
      </c>
      <c r="C6448" s="6">
        <v>1000.0</v>
      </c>
      <c r="D6448" s="6">
        <v>4.823529412</v>
      </c>
      <c r="E6448" s="6">
        <v>17.0</v>
      </c>
    </row>
    <row r="6449">
      <c r="A6449" s="4" t="s">
        <v>12804</v>
      </c>
      <c r="B6449" s="5" t="s">
        <v>12805</v>
      </c>
      <c r="C6449" s="6">
        <v>1000.0</v>
      </c>
      <c r="D6449" s="6">
        <v>4.230769231</v>
      </c>
      <c r="E6449" s="6">
        <v>13.0</v>
      </c>
    </row>
    <row r="6450">
      <c r="A6450" s="4" t="s">
        <v>12806</v>
      </c>
      <c r="B6450" s="5" t="s">
        <v>12807</v>
      </c>
      <c r="C6450" s="6">
        <v>1000.0</v>
      </c>
      <c r="D6450" s="6">
        <v>5.0</v>
      </c>
      <c r="E6450" s="6">
        <v>5.0</v>
      </c>
    </row>
    <row r="6451">
      <c r="A6451" s="4" t="s">
        <v>12808</v>
      </c>
      <c r="B6451" s="5" t="s">
        <v>12809</v>
      </c>
      <c r="C6451" s="6">
        <v>1000.0</v>
      </c>
      <c r="D6451" s="9"/>
      <c r="E6451" s="9"/>
    </row>
    <row r="6452">
      <c r="A6452" s="4" t="s">
        <v>12810</v>
      </c>
      <c r="B6452" s="5" t="s">
        <v>12811</v>
      </c>
      <c r="C6452" s="6">
        <v>1000.0</v>
      </c>
      <c r="D6452" s="6">
        <v>5.0</v>
      </c>
      <c r="E6452" s="6">
        <v>1.0</v>
      </c>
    </row>
    <row r="6453">
      <c r="A6453" s="4" t="s">
        <v>12812</v>
      </c>
      <c r="B6453" s="5" t="s">
        <v>12813</v>
      </c>
      <c r="C6453" s="6">
        <v>1000.0</v>
      </c>
      <c r="D6453" s="6">
        <v>4.277777778</v>
      </c>
      <c r="E6453" s="6">
        <v>18.0</v>
      </c>
    </row>
    <row r="6454">
      <c r="A6454" s="4" t="s">
        <v>12814</v>
      </c>
      <c r="B6454" s="5" t="s">
        <v>12815</v>
      </c>
      <c r="C6454" s="6">
        <v>1000.0</v>
      </c>
      <c r="D6454" s="9"/>
      <c r="E6454" s="9"/>
    </row>
    <row r="6455">
      <c r="A6455" s="4" t="s">
        <v>12816</v>
      </c>
      <c r="B6455" s="5" t="s">
        <v>12817</v>
      </c>
      <c r="C6455" s="6">
        <v>1000.0</v>
      </c>
      <c r="D6455" s="6">
        <v>3.944444444</v>
      </c>
      <c r="E6455" s="6">
        <v>18.0</v>
      </c>
    </row>
    <row r="6456">
      <c r="A6456" s="4" t="s">
        <v>12818</v>
      </c>
      <c r="B6456" s="5" t="s">
        <v>12819</v>
      </c>
      <c r="C6456" s="6">
        <v>1000.0</v>
      </c>
      <c r="D6456" s="6">
        <v>5.0</v>
      </c>
      <c r="E6456" s="6">
        <v>1.0</v>
      </c>
    </row>
    <row r="6457">
      <c r="A6457" s="4" t="s">
        <v>12820</v>
      </c>
      <c r="B6457" s="5" t="s">
        <v>12821</v>
      </c>
      <c r="C6457" s="6">
        <v>1000.0</v>
      </c>
      <c r="D6457" s="6">
        <v>3.857142857</v>
      </c>
      <c r="E6457" s="6">
        <v>35.0</v>
      </c>
    </row>
    <row r="6458">
      <c r="A6458" s="4" t="s">
        <v>12822</v>
      </c>
      <c r="B6458" s="5" t="s">
        <v>12823</v>
      </c>
      <c r="C6458" s="6">
        <v>1000.0</v>
      </c>
      <c r="D6458" s="6">
        <v>4.5625</v>
      </c>
      <c r="E6458" s="6">
        <v>32.0</v>
      </c>
    </row>
    <row r="6459">
      <c r="A6459" s="4" t="s">
        <v>12824</v>
      </c>
      <c r="B6459" s="5" t="s">
        <v>12825</v>
      </c>
      <c r="C6459" s="6">
        <v>1000.0</v>
      </c>
      <c r="D6459" s="6">
        <v>3.739130435</v>
      </c>
      <c r="E6459" s="6">
        <v>23.0</v>
      </c>
    </row>
    <row r="6460">
      <c r="A6460" s="4" t="s">
        <v>12826</v>
      </c>
      <c r="B6460" s="5" t="s">
        <v>12827</v>
      </c>
      <c r="C6460" s="6">
        <v>1000.0</v>
      </c>
      <c r="D6460" s="6">
        <v>4.6</v>
      </c>
      <c r="E6460" s="6">
        <v>5.0</v>
      </c>
    </row>
    <row r="6461">
      <c r="A6461" s="4" t="s">
        <v>12828</v>
      </c>
      <c r="B6461" s="5" t="s">
        <v>12829</v>
      </c>
      <c r="C6461" s="6">
        <v>1000.0</v>
      </c>
      <c r="D6461" s="6">
        <v>4.5</v>
      </c>
      <c r="E6461" s="6">
        <v>2.0</v>
      </c>
    </row>
    <row r="6462">
      <c r="A6462" s="4" t="s">
        <v>12830</v>
      </c>
      <c r="B6462" s="5" t="s">
        <v>12831</v>
      </c>
      <c r="C6462" s="6">
        <v>1000.0</v>
      </c>
      <c r="D6462" s="6">
        <v>4.8</v>
      </c>
      <c r="E6462" s="6">
        <v>10.0</v>
      </c>
    </row>
    <row r="6463">
      <c r="A6463" s="4" t="s">
        <v>12832</v>
      </c>
      <c r="B6463" s="5" t="s">
        <v>12833</v>
      </c>
      <c r="C6463" s="6">
        <v>1000.0</v>
      </c>
      <c r="D6463" s="6">
        <v>2.666666667</v>
      </c>
      <c r="E6463" s="6">
        <v>6.0</v>
      </c>
    </row>
    <row r="6464">
      <c r="A6464" s="4" t="s">
        <v>12834</v>
      </c>
      <c r="B6464" s="5" t="s">
        <v>12835</v>
      </c>
      <c r="C6464" s="6">
        <v>1000.0</v>
      </c>
      <c r="D6464" s="6">
        <v>3.0</v>
      </c>
      <c r="E6464" s="6">
        <v>2.0</v>
      </c>
    </row>
    <row r="6465">
      <c r="A6465" s="4" t="s">
        <v>12836</v>
      </c>
      <c r="B6465" s="5" t="s">
        <v>12837</v>
      </c>
      <c r="C6465" s="6">
        <v>1000.0</v>
      </c>
      <c r="D6465" s="6">
        <v>4.158333333</v>
      </c>
      <c r="E6465" s="6">
        <v>120.0</v>
      </c>
    </row>
    <row r="6466">
      <c r="A6466" s="4" t="s">
        <v>12838</v>
      </c>
      <c r="B6466" s="5" t="s">
        <v>12839</v>
      </c>
      <c r="C6466" s="6">
        <v>1000.0</v>
      </c>
      <c r="D6466" s="6">
        <v>4.17721519</v>
      </c>
      <c r="E6466" s="6">
        <v>79.0</v>
      </c>
    </row>
    <row r="6467">
      <c r="A6467" s="4" t="s">
        <v>12840</v>
      </c>
      <c r="B6467" s="5" t="s">
        <v>12841</v>
      </c>
      <c r="C6467" s="6">
        <v>1000.0</v>
      </c>
      <c r="D6467" s="6">
        <v>4.615384615</v>
      </c>
      <c r="E6467" s="6">
        <v>13.0</v>
      </c>
    </row>
    <row r="6468">
      <c r="A6468" s="4" t="s">
        <v>12842</v>
      </c>
      <c r="B6468" s="5" t="s">
        <v>12843</v>
      </c>
      <c r="C6468" s="6">
        <v>1000.0</v>
      </c>
      <c r="D6468" s="6">
        <v>2.375</v>
      </c>
      <c r="E6468" s="6">
        <v>24.0</v>
      </c>
    </row>
    <row r="6469">
      <c r="A6469" s="4" t="s">
        <v>12844</v>
      </c>
      <c r="B6469" s="5" t="s">
        <v>12845</v>
      </c>
      <c r="C6469" s="6">
        <v>1000.0</v>
      </c>
      <c r="D6469" s="6">
        <v>4.6</v>
      </c>
      <c r="E6469" s="6">
        <v>10.0</v>
      </c>
    </row>
    <row r="6470">
      <c r="A6470" s="4" t="s">
        <v>12846</v>
      </c>
      <c r="B6470" s="5" t="s">
        <v>12847</v>
      </c>
      <c r="C6470" s="6">
        <v>1000.0</v>
      </c>
      <c r="D6470" s="6">
        <v>4.15625</v>
      </c>
      <c r="E6470" s="6">
        <v>32.0</v>
      </c>
    </row>
    <row r="6471">
      <c r="A6471" s="4" t="s">
        <v>12848</v>
      </c>
      <c r="B6471" s="5" t="s">
        <v>12849</v>
      </c>
      <c r="C6471" s="6">
        <v>1000.0</v>
      </c>
      <c r="D6471" s="6">
        <v>5.0</v>
      </c>
      <c r="E6471" s="6">
        <v>1.0</v>
      </c>
    </row>
    <row r="6472">
      <c r="A6472" s="4" t="s">
        <v>12850</v>
      </c>
      <c r="B6472" s="5" t="s">
        <v>12851</v>
      </c>
      <c r="C6472" s="6">
        <v>1000.0</v>
      </c>
      <c r="D6472" s="6">
        <v>4.25</v>
      </c>
      <c r="E6472" s="6">
        <v>4.0</v>
      </c>
    </row>
    <row r="6473">
      <c r="A6473" s="4" t="s">
        <v>12852</v>
      </c>
      <c r="B6473" s="5" t="s">
        <v>12853</v>
      </c>
      <c r="C6473" s="6">
        <v>1000.0</v>
      </c>
      <c r="D6473" s="6">
        <v>3.333333333</v>
      </c>
      <c r="E6473" s="6">
        <v>6.0</v>
      </c>
    </row>
    <row r="6474">
      <c r="A6474" s="4" t="s">
        <v>12854</v>
      </c>
      <c r="B6474" s="5" t="s">
        <v>12855</v>
      </c>
      <c r="C6474" s="6">
        <v>1000.0</v>
      </c>
      <c r="D6474" s="6">
        <v>5.0</v>
      </c>
      <c r="E6474" s="6">
        <v>15.0</v>
      </c>
    </row>
    <row r="6475">
      <c r="A6475" s="4" t="s">
        <v>12856</v>
      </c>
      <c r="B6475" s="5" t="s">
        <v>12857</v>
      </c>
      <c r="C6475" s="6">
        <v>1000.0</v>
      </c>
      <c r="D6475" s="6">
        <v>3.411764706</v>
      </c>
      <c r="E6475" s="6">
        <v>17.0</v>
      </c>
    </row>
    <row r="6476">
      <c r="A6476" s="4" t="s">
        <v>12858</v>
      </c>
      <c r="B6476" s="5" t="s">
        <v>12859</v>
      </c>
      <c r="C6476" s="6">
        <v>1000.0</v>
      </c>
      <c r="D6476" s="6">
        <v>4.8</v>
      </c>
      <c r="E6476" s="6">
        <v>5.0</v>
      </c>
    </row>
    <row r="6477">
      <c r="A6477" s="4" t="s">
        <v>12860</v>
      </c>
      <c r="B6477" s="5" t="s">
        <v>12861</v>
      </c>
      <c r="C6477" s="6">
        <v>1000.0</v>
      </c>
      <c r="D6477" s="6">
        <v>3.076923077</v>
      </c>
      <c r="E6477" s="6">
        <v>39.0</v>
      </c>
    </row>
    <row r="6478">
      <c r="A6478" s="4" t="s">
        <v>12862</v>
      </c>
      <c r="B6478" s="5" t="s">
        <v>12863</v>
      </c>
      <c r="C6478" s="6">
        <v>1000.0</v>
      </c>
      <c r="D6478" s="6">
        <v>3.80952381</v>
      </c>
      <c r="E6478" s="6">
        <v>21.0</v>
      </c>
    </row>
    <row r="6479">
      <c r="A6479" s="4" t="s">
        <v>12864</v>
      </c>
      <c r="B6479" s="5" t="s">
        <v>12865</v>
      </c>
      <c r="C6479" s="6">
        <v>1000.0</v>
      </c>
      <c r="D6479" s="6">
        <v>4.903225806</v>
      </c>
      <c r="E6479" s="6">
        <v>31.0</v>
      </c>
    </row>
    <row r="6480">
      <c r="A6480" s="4" t="s">
        <v>12866</v>
      </c>
      <c r="B6480" s="5" t="s">
        <v>12867</v>
      </c>
      <c r="C6480" s="6">
        <v>1000.0</v>
      </c>
      <c r="D6480" s="6">
        <v>4.5</v>
      </c>
      <c r="E6480" s="6">
        <v>6.0</v>
      </c>
    </row>
    <row r="6481">
      <c r="A6481" s="4" t="s">
        <v>12868</v>
      </c>
      <c r="B6481" s="5" t="s">
        <v>12869</v>
      </c>
      <c r="C6481" s="6">
        <v>1000.0</v>
      </c>
      <c r="D6481" s="6">
        <v>4.5</v>
      </c>
      <c r="E6481" s="6">
        <v>54.0</v>
      </c>
    </row>
    <row r="6482">
      <c r="A6482" s="4" t="s">
        <v>12870</v>
      </c>
      <c r="B6482" s="5" t="s">
        <v>12871</v>
      </c>
      <c r="C6482" s="6">
        <v>1000.0</v>
      </c>
      <c r="D6482" s="6">
        <v>3.5</v>
      </c>
      <c r="E6482" s="6">
        <v>4.0</v>
      </c>
    </row>
    <row r="6483">
      <c r="A6483" s="4" t="s">
        <v>12872</v>
      </c>
      <c r="B6483" s="5" t="s">
        <v>12873</v>
      </c>
      <c r="C6483" s="6">
        <v>1000.0</v>
      </c>
      <c r="D6483" s="6">
        <v>5.0</v>
      </c>
      <c r="E6483" s="6">
        <v>8.0</v>
      </c>
    </row>
    <row r="6484">
      <c r="A6484" s="4" t="s">
        <v>12874</v>
      </c>
      <c r="B6484" s="5" t="s">
        <v>12875</v>
      </c>
      <c r="C6484" s="6">
        <v>1000.0</v>
      </c>
      <c r="D6484" s="6">
        <v>3.0</v>
      </c>
      <c r="E6484" s="6">
        <v>2.0</v>
      </c>
    </row>
    <row r="6485">
      <c r="A6485" s="4" t="s">
        <v>12876</v>
      </c>
      <c r="B6485" s="5" t="s">
        <v>12877</v>
      </c>
      <c r="C6485" s="6">
        <v>1000.0</v>
      </c>
      <c r="D6485" s="6">
        <v>3.322580645</v>
      </c>
      <c r="E6485" s="6">
        <v>31.0</v>
      </c>
    </row>
    <row r="6486">
      <c r="A6486" s="4" t="s">
        <v>12878</v>
      </c>
      <c r="B6486" s="5" t="s">
        <v>12879</v>
      </c>
      <c r="C6486" s="6">
        <v>1000.0</v>
      </c>
      <c r="D6486" s="6">
        <v>3.652173913</v>
      </c>
      <c r="E6486" s="6">
        <v>23.0</v>
      </c>
    </row>
    <row r="6487">
      <c r="A6487" s="4" t="s">
        <v>12880</v>
      </c>
      <c r="B6487" s="5" t="s">
        <v>12881</v>
      </c>
      <c r="C6487" s="6">
        <v>1000.0</v>
      </c>
      <c r="D6487" s="6">
        <v>3.9</v>
      </c>
      <c r="E6487" s="6">
        <v>20.0</v>
      </c>
    </row>
    <row r="6488">
      <c r="A6488" s="4" t="s">
        <v>12882</v>
      </c>
      <c r="B6488" s="5" t="s">
        <v>12883</v>
      </c>
      <c r="C6488" s="6">
        <v>1000.0</v>
      </c>
      <c r="D6488" s="6">
        <v>3.823529412</v>
      </c>
      <c r="E6488" s="6">
        <v>17.0</v>
      </c>
    </row>
    <row r="6489">
      <c r="A6489" s="4" t="s">
        <v>12884</v>
      </c>
      <c r="B6489" s="5" t="s">
        <v>12885</v>
      </c>
      <c r="C6489" s="6">
        <v>1000.0</v>
      </c>
      <c r="D6489" s="6">
        <v>2.916666667</v>
      </c>
      <c r="E6489" s="6">
        <v>12.0</v>
      </c>
    </row>
    <row r="6490">
      <c r="A6490" s="4" t="s">
        <v>12886</v>
      </c>
      <c r="B6490" s="5" t="s">
        <v>12887</v>
      </c>
      <c r="C6490" s="6">
        <v>1000.0</v>
      </c>
      <c r="D6490" s="6">
        <v>3.166666667</v>
      </c>
      <c r="E6490" s="6">
        <v>24.0</v>
      </c>
    </row>
    <row r="6491">
      <c r="A6491" s="4" t="s">
        <v>12888</v>
      </c>
      <c r="B6491" s="5" t="s">
        <v>12889</v>
      </c>
      <c r="C6491" s="6">
        <v>1000.0</v>
      </c>
      <c r="D6491" s="9"/>
      <c r="E6491" s="9"/>
    </row>
    <row r="6492">
      <c r="A6492" s="4" t="s">
        <v>12890</v>
      </c>
      <c r="B6492" s="5" t="s">
        <v>12891</v>
      </c>
      <c r="C6492" s="6">
        <v>1000.0</v>
      </c>
      <c r="D6492" s="6">
        <v>2.357142857</v>
      </c>
      <c r="E6492" s="6">
        <v>14.0</v>
      </c>
    </row>
    <row r="6493">
      <c r="A6493" s="4" t="s">
        <v>12892</v>
      </c>
      <c r="B6493" s="5" t="s">
        <v>12893</v>
      </c>
      <c r="C6493" s="6">
        <v>1000.0</v>
      </c>
      <c r="D6493" s="6">
        <v>4.2</v>
      </c>
      <c r="E6493" s="6">
        <v>10.0</v>
      </c>
    </row>
    <row r="6494">
      <c r="A6494" s="4" t="s">
        <v>12894</v>
      </c>
      <c r="B6494" s="5" t="s">
        <v>12895</v>
      </c>
      <c r="C6494" s="6">
        <v>1000.0</v>
      </c>
      <c r="D6494" s="6">
        <v>2.904761905</v>
      </c>
      <c r="E6494" s="6">
        <v>42.0</v>
      </c>
    </row>
    <row r="6495">
      <c r="A6495" s="4" t="s">
        <v>12896</v>
      </c>
      <c r="B6495" s="5" t="s">
        <v>12897</v>
      </c>
      <c r="C6495" s="6">
        <v>1000.0</v>
      </c>
      <c r="D6495" s="6">
        <v>4.0</v>
      </c>
      <c r="E6495" s="6">
        <v>3.0</v>
      </c>
    </row>
    <row r="6496">
      <c r="A6496" s="4" t="s">
        <v>12898</v>
      </c>
      <c r="B6496" s="5" t="s">
        <v>12899</v>
      </c>
      <c r="C6496" s="6">
        <v>1000.0</v>
      </c>
      <c r="D6496" s="9"/>
      <c r="E6496" s="9"/>
    </row>
    <row r="6497">
      <c r="A6497" s="4" t="s">
        <v>12900</v>
      </c>
      <c r="B6497" s="5" t="s">
        <v>12901</v>
      </c>
      <c r="C6497" s="6">
        <v>1000.0</v>
      </c>
      <c r="D6497" s="6">
        <v>3.642857143</v>
      </c>
      <c r="E6497" s="6">
        <v>14.0</v>
      </c>
    </row>
    <row r="6498">
      <c r="A6498" s="4" t="s">
        <v>12902</v>
      </c>
      <c r="B6498" s="5" t="s">
        <v>12903</v>
      </c>
      <c r="C6498" s="6">
        <v>1000.0</v>
      </c>
      <c r="D6498" s="6">
        <v>5.0</v>
      </c>
      <c r="E6498" s="6">
        <v>2.0</v>
      </c>
    </row>
    <row r="6499">
      <c r="A6499" s="4" t="s">
        <v>12904</v>
      </c>
      <c r="B6499" s="5" t="s">
        <v>12905</v>
      </c>
      <c r="C6499" s="6">
        <v>1000.0</v>
      </c>
      <c r="D6499" s="6">
        <v>2.25</v>
      </c>
      <c r="E6499" s="6">
        <v>4.0</v>
      </c>
    </row>
    <row r="6500">
      <c r="A6500" s="4" t="s">
        <v>12906</v>
      </c>
      <c r="B6500" s="5" t="s">
        <v>12907</v>
      </c>
      <c r="C6500" s="6">
        <v>1000.0</v>
      </c>
      <c r="D6500" s="6">
        <v>5.0</v>
      </c>
      <c r="E6500" s="6">
        <v>2.0</v>
      </c>
    </row>
    <row r="6501">
      <c r="A6501" s="5" t="s">
        <v>12908</v>
      </c>
      <c r="B6501" s="5" t="s">
        <v>12909</v>
      </c>
      <c r="C6501" s="6">
        <v>1000.0</v>
      </c>
      <c r="D6501" s="6">
        <v>3.363636364</v>
      </c>
      <c r="E6501" s="6">
        <v>11.0</v>
      </c>
    </row>
    <row r="6502">
      <c r="A6502" s="4" t="s">
        <v>12910</v>
      </c>
      <c r="B6502" s="5" t="s">
        <v>12911</v>
      </c>
      <c r="C6502" s="6">
        <v>1000.0</v>
      </c>
      <c r="D6502" s="6">
        <v>3.142857143</v>
      </c>
      <c r="E6502" s="6">
        <v>7.0</v>
      </c>
    </row>
    <row r="6503">
      <c r="A6503" s="4" t="s">
        <v>12912</v>
      </c>
      <c r="B6503" s="5" t="s">
        <v>12913</v>
      </c>
      <c r="C6503" s="6">
        <v>1000.0</v>
      </c>
      <c r="D6503" s="6">
        <v>4.266666667</v>
      </c>
      <c r="E6503" s="6">
        <v>15.0</v>
      </c>
    </row>
    <row r="6504">
      <c r="A6504" s="4" t="s">
        <v>12914</v>
      </c>
      <c r="B6504" s="5" t="s">
        <v>12915</v>
      </c>
      <c r="C6504" s="6">
        <v>1000.0</v>
      </c>
      <c r="D6504" s="6">
        <v>3.0</v>
      </c>
      <c r="E6504" s="6">
        <v>2.0</v>
      </c>
    </row>
    <row r="6505">
      <c r="A6505" s="4" t="s">
        <v>12916</v>
      </c>
      <c r="B6505" s="5" t="s">
        <v>12917</v>
      </c>
      <c r="C6505" s="6">
        <v>1000.0</v>
      </c>
      <c r="D6505" s="6">
        <v>5.0</v>
      </c>
      <c r="E6505" s="6">
        <v>10.0</v>
      </c>
    </row>
    <row r="6506">
      <c r="A6506" s="4" t="s">
        <v>12918</v>
      </c>
      <c r="B6506" s="12" t="s">
        <v>12919</v>
      </c>
      <c r="C6506" s="7">
        <v>1000.0</v>
      </c>
      <c r="D6506" s="6">
        <v>4.0</v>
      </c>
      <c r="E6506" s="6">
        <v>25.0</v>
      </c>
    </row>
    <row r="6507">
      <c r="A6507" s="4" t="s">
        <v>12920</v>
      </c>
      <c r="B6507" s="5" t="s">
        <v>12921</v>
      </c>
      <c r="C6507" s="6">
        <v>1000.0</v>
      </c>
      <c r="D6507" s="6">
        <v>5.0</v>
      </c>
      <c r="E6507" s="6">
        <v>7.0</v>
      </c>
    </row>
    <row r="6508">
      <c r="A6508" s="4" t="s">
        <v>12922</v>
      </c>
      <c r="B6508" s="5" t="s">
        <v>12923</v>
      </c>
      <c r="C6508" s="6">
        <v>1000.0</v>
      </c>
      <c r="D6508" s="6">
        <v>4.826923077</v>
      </c>
      <c r="E6508" s="6">
        <v>52.0</v>
      </c>
    </row>
    <row r="6509">
      <c r="A6509" s="4" t="s">
        <v>12924</v>
      </c>
      <c r="B6509" s="5" t="s">
        <v>12925</v>
      </c>
      <c r="C6509" s="6">
        <v>1000.0</v>
      </c>
      <c r="D6509" s="6">
        <v>4.333333333</v>
      </c>
      <c r="E6509" s="6">
        <v>6.0</v>
      </c>
    </row>
    <row r="6510">
      <c r="A6510" s="4" t="s">
        <v>12926</v>
      </c>
      <c r="B6510" s="5" t="s">
        <v>12927</v>
      </c>
      <c r="C6510" s="6">
        <v>1000.0</v>
      </c>
      <c r="D6510" s="6">
        <v>4.428571429</v>
      </c>
      <c r="E6510" s="6">
        <v>7.0</v>
      </c>
    </row>
    <row r="6511">
      <c r="A6511" s="4" t="s">
        <v>12928</v>
      </c>
      <c r="B6511" s="5" t="s">
        <v>12929</v>
      </c>
      <c r="C6511" s="6">
        <v>1000.0</v>
      </c>
      <c r="D6511" s="9"/>
      <c r="E6511" s="9"/>
    </row>
    <row r="6512">
      <c r="A6512" s="4" t="s">
        <v>12930</v>
      </c>
      <c r="B6512" s="5" t="s">
        <v>12931</v>
      </c>
      <c r="C6512" s="6">
        <v>1000.0</v>
      </c>
      <c r="D6512" s="6">
        <v>4.0</v>
      </c>
      <c r="E6512" s="6">
        <v>13.0</v>
      </c>
    </row>
    <row r="6513">
      <c r="A6513" s="4" t="s">
        <v>12932</v>
      </c>
      <c r="B6513" s="5" t="s">
        <v>12933</v>
      </c>
      <c r="C6513" s="6">
        <v>1000.0</v>
      </c>
      <c r="D6513" s="6">
        <v>1.0</v>
      </c>
      <c r="E6513" s="6">
        <v>4.0</v>
      </c>
    </row>
    <row r="6514">
      <c r="A6514" s="4" t="s">
        <v>12934</v>
      </c>
      <c r="B6514" s="5" t="s">
        <v>12935</v>
      </c>
      <c r="C6514" s="6">
        <v>1000.0</v>
      </c>
      <c r="D6514" s="6">
        <v>4.884615385</v>
      </c>
      <c r="E6514" s="6">
        <v>26.0</v>
      </c>
    </row>
    <row r="6515">
      <c r="A6515" s="4" t="s">
        <v>12936</v>
      </c>
      <c r="B6515" s="5" t="s">
        <v>12937</v>
      </c>
      <c r="C6515" s="6">
        <v>1000.0</v>
      </c>
      <c r="D6515" s="6">
        <v>4.488888889</v>
      </c>
      <c r="E6515" s="6">
        <v>45.0</v>
      </c>
    </row>
    <row r="6516">
      <c r="A6516" s="4" t="s">
        <v>12938</v>
      </c>
      <c r="B6516" s="5" t="s">
        <v>12939</v>
      </c>
      <c r="C6516" s="6">
        <v>1000.0</v>
      </c>
      <c r="D6516" s="6">
        <v>4.05</v>
      </c>
      <c r="E6516" s="6">
        <v>20.0</v>
      </c>
    </row>
    <row r="6517">
      <c r="A6517" s="4" t="s">
        <v>12940</v>
      </c>
      <c r="B6517" s="5" t="s">
        <v>12941</v>
      </c>
      <c r="C6517" s="6">
        <v>1000.0</v>
      </c>
      <c r="D6517" s="6">
        <v>4.333333333</v>
      </c>
      <c r="E6517" s="6">
        <v>33.0</v>
      </c>
    </row>
    <row r="6518">
      <c r="A6518" s="4" t="s">
        <v>12942</v>
      </c>
      <c r="B6518" s="5" t="s">
        <v>12943</v>
      </c>
      <c r="C6518" s="6">
        <v>1000.0</v>
      </c>
      <c r="D6518" s="6">
        <v>2.0</v>
      </c>
      <c r="E6518" s="6">
        <v>4.0</v>
      </c>
    </row>
    <row r="6519">
      <c r="A6519" s="4" t="s">
        <v>12944</v>
      </c>
      <c r="B6519" s="5" t="s">
        <v>12945</v>
      </c>
      <c r="C6519" s="6">
        <v>1000.0</v>
      </c>
      <c r="D6519" s="6">
        <v>3.0</v>
      </c>
      <c r="E6519" s="6">
        <v>9.0</v>
      </c>
    </row>
    <row r="6520">
      <c r="A6520" s="4" t="s">
        <v>12946</v>
      </c>
      <c r="B6520" s="5" t="s">
        <v>12947</v>
      </c>
      <c r="C6520" s="6">
        <v>1000.0</v>
      </c>
      <c r="D6520" s="6">
        <v>5.0</v>
      </c>
      <c r="E6520" s="6">
        <v>4.0</v>
      </c>
    </row>
    <row r="6521">
      <c r="A6521" s="4" t="s">
        <v>12948</v>
      </c>
      <c r="B6521" s="5" t="s">
        <v>12949</v>
      </c>
      <c r="C6521" s="6">
        <v>1000.0</v>
      </c>
      <c r="D6521" s="6">
        <v>4.75</v>
      </c>
      <c r="E6521" s="6">
        <v>4.0</v>
      </c>
    </row>
    <row r="6522">
      <c r="A6522" s="4" t="s">
        <v>12950</v>
      </c>
      <c r="B6522" s="5" t="s">
        <v>12951</v>
      </c>
      <c r="C6522" s="6">
        <v>1000.0</v>
      </c>
      <c r="D6522" s="6">
        <v>5.0</v>
      </c>
      <c r="E6522" s="6">
        <v>2.0</v>
      </c>
    </row>
    <row r="6523">
      <c r="A6523" s="4" t="s">
        <v>12952</v>
      </c>
      <c r="B6523" s="5" t="s">
        <v>12953</v>
      </c>
      <c r="C6523" s="6">
        <v>1000.0</v>
      </c>
      <c r="D6523" s="6">
        <v>4.677419355</v>
      </c>
      <c r="E6523" s="6">
        <v>248.0</v>
      </c>
    </row>
    <row r="6524">
      <c r="A6524" s="4" t="s">
        <v>12954</v>
      </c>
      <c r="B6524" s="5" t="s">
        <v>12955</v>
      </c>
      <c r="C6524" s="6">
        <v>1000.0</v>
      </c>
      <c r="D6524" s="6">
        <v>4.454545455</v>
      </c>
      <c r="E6524" s="6">
        <v>11.0</v>
      </c>
    </row>
    <row r="6525">
      <c r="A6525" s="4" t="s">
        <v>12956</v>
      </c>
      <c r="B6525" s="5" t="s">
        <v>12957</v>
      </c>
      <c r="C6525" s="6">
        <v>1000.0</v>
      </c>
      <c r="D6525" s="6">
        <v>3.6</v>
      </c>
      <c r="E6525" s="6">
        <v>5.0</v>
      </c>
    </row>
    <row r="6526">
      <c r="A6526" s="4" t="s">
        <v>12958</v>
      </c>
      <c r="B6526" s="5" t="s">
        <v>12959</v>
      </c>
      <c r="C6526" s="6">
        <v>1000.0</v>
      </c>
      <c r="D6526" s="6">
        <v>3.714285714</v>
      </c>
      <c r="E6526" s="6">
        <v>7.0</v>
      </c>
    </row>
    <row r="6527">
      <c r="A6527" s="4" t="s">
        <v>12960</v>
      </c>
      <c r="B6527" s="5" t="s">
        <v>12961</v>
      </c>
      <c r="C6527" s="6">
        <v>1000.0</v>
      </c>
      <c r="D6527" s="6">
        <v>1.0</v>
      </c>
      <c r="E6527" s="6">
        <v>1.0</v>
      </c>
    </row>
    <row r="6528">
      <c r="A6528" s="4" t="s">
        <v>12962</v>
      </c>
      <c r="B6528" s="5" t="s">
        <v>12963</v>
      </c>
      <c r="C6528" s="6">
        <v>1000.0</v>
      </c>
      <c r="D6528" s="6">
        <v>4.221052632</v>
      </c>
      <c r="E6528" s="6">
        <v>95.0</v>
      </c>
    </row>
    <row r="6529">
      <c r="A6529" s="4" t="s">
        <v>12964</v>
      </c>
      <c r="B6529" s="5" t="s">
        <v>12965</v>
      </c>
      <c r="C6529" s="6">
        <v>1000.0</v>
      </c>
      <c r="D6529" s="6">
        <v>3.166666667</v>
      </c>
      <c r="E6529" s="6">
        <v>12.0</v>
      </c>
    </row>
    <row r="6530">
      <c r="A6530" s="4" t="s">
        <v>12966</v>
      </c>
      <c r="B6530" s="5" t="s">
        <v>12967</v>
      </c>
      <c r="C6530" s="6">
        <v>1000.0</v>
      </c>
      <c r="D6530" s="6">
        <v>4.322580645</v>
      </c>
      <c r="E6530" s="6">
        <v>31.0</v>
      </c>
    </row>
    <row r="6531">
      <c r="A6531" s="4" t="s">
        <v>12968</v>
      </c>
      <c r="B6531" s="5" t="s">
        <v>12969</v>
      </c>
      <c r="C6531" s="6">
        <v>1000.0</v>
      </c>
      <c r="D6531" s="6">
        <v>2.666666667</v>
      </c>
      <c r="E6531" s="6">
        <v>9.0</v>
      </c>
    </row>
    <row r="6532">
      <c r="A6532" s="4" t="s">
        <v>12970</v>
      </c>
      <c r="B6532" s="5" t="s">
        <v>12971</v>
      </c>
      <c r="C6532" s="6">
        <v>1000.0</v>
      </c>
      <c r="D6532" s="6">
        <v>5.0</v>
      </c>
      <c r="E6532" s="6">
        <v>14.0</v>
      </c>
    </row>
    <row r="6533">
      <c r="A6533" s="4" t="s">
        <v>12972</v>
      </c>
      <c r="B6533" s="5" t="s">
        <v>12973</v>
      </c>
      <c r="C6533" s="6">
        <v>1000.0</v>
      </c>
      <c r="D6533" s="6">
        <v>4.451612903</v>
      </c>
      <c r="E6533" s="6">
        <v>31.0</v>
      </c>
    </row>
    <row r="6534">
      <c r="A6534" s="4" t="s">
        <v>12974</v>
      </c>
      <c r="B6534" s="5" t="s">
        <v>12975</v>
      </c>
      <c r="C6534" s="6">
        <v>1000.0</v>
      </c>
      <c r="D6534" s="6">
        <v>4.428571429</v>
      </c>
      <c r="E6534" s="6">
        <v>7.0</v>
      </c>
    </row>
    <row r="6535">
      <c r="A6535" s="4" t="s">
        <v>12976</v>
      </c>
      <c r="B6535" s="5" t="s">
        <v>12977</v>
      </c>
      <c r="C6535" s="6">
        <v>1000.0</v>
      </c>
      <c r="D6535" s="6">
        <v>5.0</v>
      </c>
      <c r="E6535" s="6">
        <v>4.0</v>
      </c>
    </row>
    <row r="6536">
      <c r="A6536" s="4" t="s">
        <v>12978</v>
      </c>
      <c r="B6536" s="5" t="s">
        <v>12979</v>
      </c>
      <c r="C6536" s="6">
        <v>1000.0</v>
      </c>
      <c r="D6536" s="9"/>
      <c r="E6536" s="9"/>
    </row>
    <row r="6537">
      <c r="A6537" s="4" t="s">
        <v>12980</v>
      </c>
      <c r="B6537" s="5" t="s">
        <v>12981</v>
      </c>
      <c r="C6537" s="6">
        <v>1000.0</v>
      </c>
      <c r="D6537" s="6">
        <v>5.0</v>
      </c>
      <c r="E6537" s="6">
        <v>3.0</v>
      </c>
    </row>
    <row r="6538">
      <c r="A6538" s="4" t="s">
        <v>12982</v>
      </c>
      <c r="B6538" s="5" t="s">
        <v>12983</v>
      </c>
      <c r="C6538" s="6">
        <v>1000.0</v>
      </c>
      <c r="D6538" s="6">
        <v>3.294117647</v>
      </c>
      <c r="E6538" s="6">
        <v>17.0</v>
      </c>
    </row>
    <row r="6539">
      <c r="A6539" s="4" t="s">
        <v>12984</v>
      </c>
      <c r="B6539" s="5" t="s">
        <v>12985</v>
      </c>
      <c r="C6539" s="6">
        <v>1000.0</v>
      </c>
      <c r="D6539" s="6">
        <v>4.0</v>
      </c>
      <c r="E6539" s="6">
        <v>17.0</v>
      </c>
    </row>
    <row r="6540">
      <c r="A6540" s="4" t="s">
        <v>12986</v>
      </c>
      <c r="B6540" s="5" t="s">
        <v>12987</v>
      </c>
      <c r="C6540" s="6">
        <v>1000.0</v>
      </c>
      <c r="D6540" s="6">
        <v>3.4</v>
      </c>
      <c r="E6540" s="6">
        <v>5.0</v>
      </c>
    </row>
    <row r="6541">
      <c r="A6541" s="4" t="s">
        <v>12988</v>
      </c>
      <c r="B6541" s="5" t="s">
        <v>12989</v>
      </c>
      <c r="C6541" s="6">
        <v>1000.0</v>
      </c>
      <c r="D6541" s="6">
        <v>3.857142857</v>
      </c>
      <c r="E6541" s="6">
        <v>14.0</v>
      </c>
    </row>
    <row r="6542">
      <c r="A6542" s="4" t="s">
        <v>12990</v>
      </c>
      <c r="B6542" s="5" t="s">
        <v>12991</v>
      </c>
      <c r="C6542" s="6">
        <v>1000.0</v>
      </c>
      <c r="D6542" s="6">
        <v>3.882352941</v>
      </c>
      <c r="E6542" s="6">
        <v>17.0</v>
      </c>
    </row>
    <row r="6543">
      <c r="A6543" s="4" t="s">
        <v>12992</v>
      </c>
      <c r="B6543" s="5" t="s">
        <v>12993</v>
      </c>
      <c r="C6543" s="6">
        <v>1000.0</v>
      </c>
      <c r="D6543" s="9"/>
      <c r="E6543" s="9"/>
    </row>
    <row r="6544">
      <c r="A6544" s="4" t="s">
        <v>12994</v>
      </c>
      <c r="B6544" s="5" t="s">
        <v>12995</v>
      </c>
      <c r="C6544" s="6">
        <v>1000.0</v>
      </c>
      <c r="D6544" s="6">
        <v>4.357142857</v>
      </c>
      <c r="E6544" s="6">
        <v>14.0</v>
      </c>
    </row>
    <row r="6545">
      <c r="A6545" s="4" t="s">
        <v>12996</v>
      </c>
      <c r="B6545" s="5" t="s">
        <v>12997</v>
      </c>
      <c r="C6545" s="6">
        <v>1000.0</v>
      </c>
      <c r="D6545" s="6">
        <v>1.0</v>
      </c>
      <c r="E6545" s="6">
        <v>1.0</v>
      </c>
    </row>
    <row r="6546">
      <c r="A6546" s="4" t="s">
        <v>12998</v>
      </c>
      <c r="B6546" s="5" t="s">
        <v>12999</v>
      </c>
      <c r="C6546" s="6">
        <v>1000.0</v>
      </c>
      <c r="D6546" s="6">
        <v>5.0</v>
      </c>
      <c r="E6546" s="6">
        <v>17.0</v>
      </c>
    </row>
    <row r="6547">
      <c r="A6547" s="5" t="s">
        <v>13000</v>
      </c>
      <c r="B6547" s="5" t="s">
        <v>13001</v>
      </c>
      <c r="C6547" s="6">
        <v>1000.0</v>
      </c>
      <c r="D6547" s="6">
        <v>3.9</v>
      </c>
      <c r="E6547" s="6">
        <v>10.0</v>
      </c>
    </row>
    <row r="6548">
      <c r="A6548" s="4" t="s">
        <v>13002</v>
      </c>
      <c r="B6548" s="5" t="s">
        <v>13003</v>
      </c>
      <c r="C6548" s="6">
        <v>1000.0</v>
      </c>
      <c r="D6548" s="6">
        <v>4.1875</v>
      </c>
      <c r="E6548" s="6">
        <v>16.0</v>
      </c>
    </row>
    <row r="6549">
      <c r="A6549" s="4" t="s">
        <v>13004</v>
      </c>
      <c r="B6549" s="5" t="s">
        <v>13005</v>
      </c>
      <c r="C6549" s="6">
        <v>1000.0</v>
      </c>
      <c r="D6549" s="6">
        <v>5.0</v>
      </c>
      <c r="E6549" s="6">
        <v>4.0</v>
      </c>
    </row>
    <row r="6550">
      <c r="A6550" s="4" t="s">
        <v>13006</v>
      </c>
      <c r="B6550" s="5" t="s">
        <v>13007</v>
      </c>
      <c r="C6550" s="6">
        <v>1000.0</v>
      </c>
      <c r="D6550" s="6">
        <v>4.777777778</v>
      </c>
      <c r="E6550" s="6">
        <v>9.0</v>
      </c>
    </row>
    <row r="6551">
      <c r="A6551" s="4" t="s">
        <v>13008</v>
      </c>
      <c r="B6551" s="5" t="s">
        <v>13009</v>
      </c>
      <c r="C6551" s="6">
        <v>1000.0</v>
      </c>
      <c r="D6551" s="6">
        <v>3.0</v>
      </c>
      <c r="E6551" s="6">
        <v>8.0</v>
      </c>
    </row>
    <row r="6552">
      <c r="A6552" s="4" t="s">
        <v>13010</v>
      </c>
      <c r="B6552" s="5" t="s">
        <v>13011</v>
      </c>
      <c r="C6552" s="6">
        <v>1000.0</v>
      </c>
      <c r="D6552" s="9"/>
      <c r="E6552" s="9"/>
    </row>
    <row r="6553">
      <c r="A6553" s="4" t="s">
        <v>13012</v>
      </c>
      <c r="B6553" s="5" t="s">
        <v>13013</v>
      </c>
      <c r="C6553" s="6">
        <v>1000.0</v>
      </c>
      <c r="D6553" s="6">
        <v>4.424242424</v>
      </c>
      <c r="E6553" s="6">
        <v>33.0</v>
      </c>
    </row>
    <row r="6554">
      <c r="A6554" s="4" t="s">
        <v>6919</v>
      </c>
      <c r="B6554" s="5" t="s">
        <v>13014</v>
      </c>
      <c r="C6554" s="6">
        <v>1000.0</v>
      </c>
      <c r="D6554" s="6">
        <v>1.0</v>
      </c>
      <c r="E6554" s="6">
        <v>1.0</v>
      </c>
    </row>
    <row r="6555">
      <c r="A6555" s="4" t="s">
        <v>13015</v>
      </c>
      <c r="B6555" s="5" t="s">
        <v>13016</v>
      </c>
      <c r="C6555" s="6">
        <v>1000.0</v>
      </c>
      <c r="D6555" s="6">
        <v>3.806451613</v>
      </c>
      <c r="E6555" s="6">
        <v>62.0</v>
      </c>
    </row>
    <row r="6556">
      <c r="A6556" s="4" t="s">
        <v>13017</v>
      </c>
      <c r="B6556" s="5" t="s">
        <v>13018</v>
      </c>
      <c r="C6556" s="6">
        <v>1000.0</v>
      </c>
      <c r="D6556" s="6">
        <v>4.697916667</v>
      </c>
      <c r="E6556" s="6">
        <v>96.0</v>
      </c>
    </row>
    <row r="6557">
      <c r="A6557" s="4" t="s">
        <v>13019</v>
      </c>
      <c r="B6557" s="5" t="s">
        <v>13020</v>
      </c>
      <c r="C6557" s="6">
        <v>1000.0</v>
      </c>
      <c r="D6557" s="6">
        <v>4.653061224</v>
      </c>
      <c r="E6557" s="6">
        <v>98.0</v>
      </c>
    </row>
    <row r="6558">
      <c r="A6558" s="4" t="s">
        <v>13021</v>
      </c>
      <c r="B6558" s="5" t="s">
        <v>13022</v>
      </c>
      <c r="C6558" s="6">
        <v>1000.0</v>
      </c>
      <c r="D6558" s="6">
        <v>4.75</v>
      </c>
      <c r="E6558" s="6">
        <v>8.0</v>
      </c>
    </row>
    <row r="6559">
      <c r="A6559" s="4" t="s">
        <v>13023</v>
      </c>
      <c r="B6559" s="5" t="s">
        <v>13024</v>
      </c>
      <c r="C6559" s="6">
        <v>1000.0</v>
      </c>
      <c r="D6559" s="6">
        <v>5.0</v>
      </c>
      <c r="E6559" s="6">
        <v>3.0</v>
      </c>
    </row>
    <row r="6560">
      <c r="A6560" s="4" t="s">
        <v>13025</v>
      </c>
      <c r="B6560" s="5" t="s">
        <v>13026</v>
      </c>
      <c r="C6560" s="6">
        <v>1000.0</v>
      </c>
      <c r="D6560" s="6">
        <v>3.846153846</v>
      </c>
      <c r="E6560" s="6">
        <v>13.0</v>
      </c>
    </row>
    <row r="6561">
      <c r="A6561" s="4" t="s">
        <v>13027</v>
      </c>
      <c r="B6561" s="5" t="s">
        <v>13028</v>
      </c>
      <c r="C6561" s="6">
        <v>1000.0</v>
      </c>
      <c r="D6561" s="6">
        <v>4.244897959</v>
      </c>
      <c r="E6561" s="6">
        <v>49.0</v>
      </c>
    </row>
    <row r="6562">
      <c r="A6562" s="4" t="s">
        <v>13029</v>
      </c>
      <c r="B6562" s="5" t="s">
        <v>13030</v>
      </c>
      <c r="C6562" s="6">
        <v>1000.0</v>
      </c>
      <c r="D6562" s="6">
        <v>3.642857143</v>
      </c>
      <c r="E6562" s="6">
        <v>14.0</v>
      </c>
    </row>
    <row r="6563">
      <c r="A6563" s="4" t="s">
        <v>13031</v>
      </c>
      <c r="B6563" s="5" t="s">
        <v>13032</v>
      </c>
      <c r="C6563" s="6">
        <v>1000.0</v>
      </c>
      <c r="D6563" s="6">
        <v>4.421052632</v>
      </c>
      <c r="E6563" s="6">
        <v>57.0</v>
      </c>
    </row>
    <row r="6564">
      <c r="A6564" s="4" t="s">
        <v>13033</v>
      </c>
      <c r="B6564" s="5" t="s">
        <v>13034</v>
      </c>
      <c r="C6564" s="6">
        <v>1000.0</v>
      </c>
      <c r="D6564" s="6">
        <v>4.304347826</v>
      </c>
      <c r="E6564" s="6">
        <v>23.0</v>
      </c>
    </row>
    <row r="6565">
      <c r="A6565" s="4" t="s">
        <v>13035</v>
      </c>
      <c r="B6565" s="5" t="s">
        <v>13036</v>
      </c>
      <c r="C6565" s="6">
        <v>1000.0</v>
      </c>
      <c r="D6565" s="6">
        <v>4.35</v>
      </c>
      <c r="E6565" s="6">
        <v>20.0</v>
      </c>
    </row>
    <row r="6566">
      <c r="A6566" s="4" t="s">
        <v>13037</v>
      </c>
      <c r="B6566" s="5" t="s">
        <v>13038</v>
      </c>
      <c r="C6566" s="6">
        <v>1000.0</v>
      </c>
      <c r="D6566" s="6">
        <v>2.2</v>
      </c>
      <c r="E6566" s="6">
        <v>10.0</v>
      </c>
    </row>
    <row r="6567">
      <c r="A6567" s="4" t="s">
        <v>13039</v>
      </c>
      <c r="B6567" s="5" t="s">
        <v>13040</v>
      </c>
      <c r="C6567" s="6">
        <v>1000.0</v>
      </c>
      <c r="D6567" s="6">
        <v>4.0</v>
      </c>
      <c r="E6567" s="6">
        <v>3.0</v>
      </c>
    </row>
    <row r="6568">
      <c r="A6568" s="4" t="s">
        <v>13041</v>
      </c>
      <c r="B6568" s="5" t="s">
        <v>13042</v>
      </c>
      <c r="C6568" s="6">
        <v>1000.0</v>
      </c>
      <c r="D6568" s="6">
        <v>4.357142857</v>
      </c>
      <c r="E6568" s="6">
        <v>14.0</v>
      </c>
    </row>
    <row r="6569">
      <c r="A6569" s="4" t="s">
        <v>13043</v>
      </c>
      <c r="B6569" s="5" t="s">
        <v>13044</v>
      </c>
      <c r="C6569" s="6">
        <v>1000.0</v>
      </c>
      <c r="D6569" s="6">
        <v>4.444444444</v>
      </c>
      <c r="E6569" s="6">
        <v>9.0</v>
      </c>
    </row>
    <row r="6570">
      <c r="A6570" s="4" t="s">
        <v>13045</v>
      </c>
      <c r="B6570" s="5" t="s">
        <v>13046</v>
      </c>
      <c r="C6570" s="6">
        <v>1000.0</v>
      </c>
      <c r="D6570" s="6">
        <v>4.833333333</v>
      </c>
      <c r="E6570" s="6">
        <v>6.0</v>
      </c>
    </row>
    <row r="6571">
      <c r="A6571" s="4" t="s">
        <v>13047</v>
      </c>
      <c r="B6571" s="5" t="s">
        <v>13048</v>
      </c>
      <c r="C6571" s="6">
        <v>1000.0</v>
      </c>
      <c r="D6571" s="6">
        <v>4.514285714</v>
      </c>
      <c r="E6571" s="6">
        <v>35.0</v>
      </c>
    </row>
    <row r="6572">
      <c r="A6572" s="4" t="s">
        <v>13049</v>
      </c>
      <c r="B6572" s="5" t="s">
        <v>13050</v>
      </c>
      <c r="C6572" s="6">
        <v>1000.0</v>
      </c>
      <c r="D6572" s="6">
        <v>5.0</v>
      </c>
      <c r="E6572" s="6">
        <v>2.0</v>
      </c>
    </row>
    <row r="6573">
      <c r="A6573" s="4" t="s">
        <v>13051</v>
      </c>
      <c r="B6573" s="5" t="s">
        <v>13052</v>
      </c>
      <c r="C6573" s="6">
        <v>1000.0</v>
      </c>
      <c r="D6573" s="6">
        <v>4.222222222</v>
      </c>
      <c r="E6573" s="6">
        <v>9.0</v>
      </c>
    </row>
    <row r="6574">
      <c r="A6574" s="4" t="s">
        <v>13053</v>
      </c>
      <c r="B6574" s="5" t="s">
        <v>13054</v>
      </c>
      <c r="C6574" s="6">
        <v>1000.0</v>
      </c>
      <c r="D6574" s="6">
        <v>3.48</v>
      </c>
      <c r="E6574" s="6">
        <v>25.0</v>
      </c>
    </row>
    <row r="6575">
      <c r="A6575" s="4" t="s">
        <v>13055</v>
      </c>
      <c r="B6575" s="5" t="s">
        <v>13056</v>
      </c>
      <c r="C6575" s="6">
        <v>1000.0</v>
      </c>
      <c r="D6575" s="6">
        <v>5.0</v>
      </c>
      <c r="E6575" s="6">
        <v>3.0</v>
      </c>
    </row>
    <row r="6576">
      <c r="A6576" s="4" t="s">
        <v>13057</v>
      </c>
      <c r="B6576" s="5" t="s">
        <v>13058</v>
      </c>
      <c r="C6576" s="6">
        <v>1000.0</v>
      </c>
      <c r="D6576" s="6">
        <v>4.75</v>
      </c>
      <c r="E6576" s="6">
        <v>4.0</v>
      </c>
    </row>
    <row r="6577">
      <c r="A6577" s="4" t="s">
        <v>13059</v>
      </c>
      <c r="B6577" s="5" t="s">
        <v>13060</v>
      </c>
      <c r="C6577" s="6">
        <v>1000.0</v>
      </c>
      <c r="D6577" s="6">
        <v>4.764705882</v>
      </c>
      <c r="E6577" s="6">
        <v>17.0</v>
      </c>
    </row>
    <row r="6578">
      <c r="A6578" s="4" t="s">
        <v>13061</v>
      </c>
      <c r="B6578" s="5" t="s">
        <v>13062</v>
      </c>
      <c r="C6578" s="6">
        <v>1000.0</v>
      </c>
      <c r="D6578" s="6">
        <v>4.5</v>
      </c>
      <c r="E6578" s="6">
        <v>8.0</v>
      </c>
    </row>
    <row r="6579">
      <c r="A6579" s="4" t="s">
        <v>13063</v>
      </c>
      <c r="B6579" s="5" t="s">
        <v>13064</v>
      </c>
      <c r="C6579" s="6">
        <v>1000.0</v>
      </c>
      <c r="D6579" s="6">
        <v>4.6</v>
      </c>
      <c r="E6579" s="6">
        <v>5.0</v>
      </c>
    </row>
    <row r="6580">
      <c r="A6580" s="4" t="s">
        <v>13065</v>
      </c>
      <c r="B6580" s="5" t="s">
        <v>13066</v>
      </c>
      <c r="C6580" s="6">
        <v>1000.0</v>
      </c>
      <c r="D6580" s="6">
        <v>4.573033708</v>
      </c>
      <c r="E6580" s="6">
        <v>89.0</v>
      </c>
    </row>
    <row r="6581">
      <c r="A6581" s="4" t="s">
        <v>13067</v>
      </c>
      <c r="B6581" s="5" t="s">
        <v>13068</v>
      </c>
      <c r="C6581" s="6">
        <v>1000.0</v>
      </c>
      <c r="D6581" s="6">
        <v>4.666666667</v>
      </c>
      <c r="E6581" s="6">
        <v>15.0</v>
      </c>
    </row>
    <row r="6582">
      <c r="A6582" s="4" t="s">
        <v>13069</v>
      </c>
      <c r="B6582" s="5" t="s">
        <v>13070</v>
      </c>
      <c r="C6582" s="6">
        <v>1000.0</v>
      </c>
      <c r="D6582" s="6">
        <v>3.722222222</v>
      </c>
      <c r="E6582" s="6">
        <v>54.0</v>
      </c>
    </row>
    <row r="6583">
      <c r="A6583" s="4" t="s">
        <v>13071</v>
      </c>
      <c r="B6583" s="5" t="s">
        <v>13072</v>
      </c>
      <c r="C6583" s="6">
        <v>1000.0</v>
      </c>
      <c r="D6583" s="6">
        <v>1.0</v>
      </c>
      <c r="E6583" s="6">
        <v>1.0</v>
      </c>
    </row>
    <row r="6584">
      <c r="A6584" s="4" t="s">
        <v>13073</v>
      </c>
      <c r="B6584" s="5" t="s">
        <v>13074</v>
      </c>
      <c r="C6584" s="6">
        <v>1000.0</v>
      </c>
      <c r="D6584" s="6">
        <v>4.639344262</v>
      </c>
      <c r="E6584" s="6">
        <v>61.0</v>
      </c>
    </row>
    <row r="6585">
      <c r="A6585" s="4" t="s">
        <v>13075</v>
      </c>
      <c r="B6585" s="5" t="s">
        <v>13076</v>
      </c>
      <c r="C6585" s="6">
        <v>1000.0</v>
      </c>
      <c r="D6585" s="6">
        <v>4.5</v>
      </c>
      <c r="E6585" s="6">
        <v>40.0</v>
      </c>
    </row>
    <row r="6586">
      <c r="A6586" s="4" t="s">
        <v>13077</v>
      </c>
      <c r="B6586" s="5" t="s">
        <v>13078</v>
      </c>
      <c r="C6586" s="6">
        <v>1000.0</v>
      </c>
      <c r="D6586" s="6">
        <v>5.0</v>
      </c>
      <c r="E6586" s="6">
        <v>2.0</v>
      </c>
    </row>
    <row r="6587">
      <c r="A6587" s="4" t="s">
        <v>13079</v>
      </c>
      <c r="B6587" s="5" t="s">
        <v>13080</v>
      </c>
      <c r="C6587" s="6">
        <v>1000.0</v>
      </c>
      <c r="D6587" s="6">
        <v>4.5</v>
      </c>
      <c r="E6587" s="6">
        <v>20.0</v>
      </c>
    </row>
    <row r="6588">
      <c r="A6588" s="4" t="s">
        <v>13081</v>
      </c>
      <c r="B6588" s="5" t="s">
        <v>13082</v>
      </c>
      <c r="C6588" s="6">
        <v>1000.0</v>
      </c>
      <c r="D6588" s="6">
        <v>4.351351351</v>
      </c>
      <c r="E6588" s="6">
        <v>37.0</v>
      </c>
    </row>
    <row r="6589">
      <c r="A6589" s="4" t="s">
        <v>13083</v>
      </c>
      <c r="B6589" s="5" t="s">
        <v>13084</v>
      </c>
      <c r="C6589" s="6">
        <v>1000.0</v>
      </c>
      <c r="D6589" s="6">
        <v>5.0</v>
      </c>
      <c r="E6589" s="6">
        <v>2.0</v>
      </c>
    </row>
    <row r="6590">
      <c r="A6590" s="4" t="s">
        <v>13085</v>
      </c>
      <c r="B6590" s="5" t="s">
        <v>13086</v>
      </c>
      <c r="C6590" s="6">
        <v>1000.0</v>
      </c>
      <c r="D6590" s="6">
        <v>4.272727273</v>
      </c>
      <c r="E6590" s="6">
        <v>22.0</v>
      </c>
    </row>
    <row r="6591">
      <c r="A6591" s="4" t="s">
        <v>13087</v>
      </c>
      <c r="B6591" s="5" t="s">
        <v>13088</v>
      </c>
      <c r="C6591" s="6">
        <v>1000.0</v>
      </c>
      <c r="D6591" s="6">
        <v>3.5</v>
      </c>
      <c r="E6591" s="6">
        <v>6.0</v>
      </c>
    </row>
    <row r="6592">
      <c r="A6592" s="4" t="s">
        <v>13089</v>
      </c>
      <c r="B6592" s="5" t="s">
        <v>13090</v>
      </c>
      <c r="C6592" s="6">
        <v>1000.0</v>
      </c>
      <c r="D6592" s="6">
        <v>3.230769231</v>
      </c>
      <c r="E6592" s="6">
        <v>13.0</v>
      </c>
    </row>
    <row r="6593">
      <c r="A6593" s="4" t="s">
        <v>13091</v>
      </c>
      <c r="B6593" s="5" t="s">
        <v>13092</v>
      </c>
      <c r="C6593" s="6">
        <v>1000.0</v>
      </c>
      <c r="D6593" s="6">
        <v>2.692307692</v>
      </c>
      <c r="E6593" s="6">
        <v>13.0</v>
      </c>
    </row>
    <row r="6594">
      <c r="A6594" s="4" t="s">
        <v>13093</v>
      </c>
      <c r="B6594" s="5" t="s">
        <v>13094</v>
      </c>
      <c r="C6594" s="6">
        <v>1000.0</v>
      </c>
      <c r="D6594" s="6">
        <v>3.545454545</v>
      </c>
      <c r="E6594" s="6">
        <v>11.0</v>
      </c>
    </row>
    <row r="6595">
      <c r="A6595" s="4" t="s">
        <v>13095</v>
      </c>
      <c r="B6595" s="5" t="s">
        <v>13096</v>
      </c>
      <c r="C6595" s="6">
        <v>1000.0</v>
      </c>
      <c r="D6595" s="6">
        <v>5.0</v>
      </c>
      <c r="E6595" s="6">
        <v>3.0</v>
      </c>
    </row>
    <row r="6596">
      <c r="A6596" s="4" t="s">
        <v>13097</v>
      </c>
      <c r="B6596" s="5" t="s">
        <v>13098</v>
      </c>
      <c r="C6596" s="6">
        <v>1000.0</v>
      </c>
      <c r="D6596" s="6">
        <v>3.384615385</v>
      </c>
      <c r="E6596" s="6">
        <v>39.0</v>
      </c>
    </row>
    <row r="6597">
      <c r="A6597" s="4" t="s">
        <v>13099</v>
      </c>
      <c r="B6597" s="5" t="s">
        <v>13100</v>
      </c>
      <c r="C6597" s="6">
        <v>1000.0</v>
      </c>
      <c r="D6597" s="9"/>
      <c r="E6597" s="9"/>
    </row>
    <row r="6598">
      <c r="A6598" s="4" t="s">
        <v>13101</v>
      </c>
      <c r="B6598" s="5" t="s">
        <v>13102</v>
      </c>
      <c r="C6598" s="6">
        <v>1000.0</v>
      </c>
      <c r="D6598" s="6">
        <v>5.0</v>
      </c>
      <c r="E6598" s="6">
        <v>2.0</v>
      </c>
    </row>
    <row r="6599">
      <c r="A6599" s="4" t="s">
        <v>13103</v>
      </c>
      <c r="B6599" s="5" t="s">
        <v>13104</v>
      </c>
      <c r="C6599" s="6">
        <v>1000.0</v>
      </c>
      <c r="D6599" s="6">
        <v>3.307692308</v>
      </c>
      <c r="E6599" s="6">
        <v>13.0</v>
      </c>
    </row>
    <row r="6600">
      <c r="A6600" s="4" t="s">
        <v>13105</v>
      </c>
      <c r="B6600" s="5" t="s">
        <v>13106</v>
      </c>
      <c r="C6600" s="6">
        <v>1000.0</v>
      </c>
      <c r="D6600" s="6">
        <v>4.333333333</v>
      </c>
      <c r="E6600" s="6">
        <v>6.0</v>
      </c>
    </row>
    <row r="6601">
      <c r="A6601" s="4" t="s">
        <v>13107</v>
      </c>
      <c r="B6601" s="5" t="s">
        <v>13108</v>
      </c>
      <c r="C6601" s="6">
        <v>1000.0</v>
      </c>
      <c r="D6601" s="6">
        <v>3.846153846</v>
      </c>
      <c r="E6601" s="6">
        <v>13.0</v>
      </c>
    </row>
    <row r="6602">
      <c r="A6602" s="4" t="s">
        <v>13109</v>
      </c>
      <c r="B6602" s="5" t="s">
        <v>13110</v>
      </c>
      <c r="C6602" s="6">
        <v>1000.0</v>
      </c>
      <c r="D6602" s="6">
        <v>4.719101124</v>
      </c>
      <c r="E6602" s="6">
        <v>89.0</v>
      </c>
    </row>
    <row r="6603">
      <c r="A6603" s="4" t="s">
        <v>13111</v>
      </c>
      <c r="B6603" s="5" t="s">
        <v>13112</v>
      </c>
      <c r="C6603" s="6">
        <v>1000.0</v>
      </c>
      <c r="D6603" s="6">
        <v>5.0</v>
      </c>
      <c r="E6603" s="6">
        <v>1.0</v>
      </c>
    </row>
    <row r="6604">
      <c r="A6604" s="4" t="s">
        <v>13113</v>
      </c>
      <c r="B6604" s="5" t="s">
        <v>13114</v>
      </c>
      <c r="C6604" s="6">
        <v>1000.0</v>
      </c>
      <c r="D6604" s="6">
        <v>5.0</v>
      </c>
      <c r="E6604" s="6">
        <v>5.0</v>
      </c>
    </row>
    <row r="6605">
      <c r="A6605" s="4" t="s">
        <v>13115</v>
      </c>
      <c r="B6605" s="5" t="s">
        <v>13116</v>
      </c>
      <c r="C6605" s="6">
        <v>1000.0</v>
      </c>
      <c r="D6605" s="6">
        <v>3.821428571</v>
      </c>
      <c r="E6605" s="6">
        <v>28.0</v>
      </c>
    </row>
    <row r="6606">
      <c r="A6606" s="4" t="s">
        <v>13117</v>
      </c>
      <c r="B6606" s="5" t="s">
        <v>13118</v>
      </c>
      <c r="C6606" s="6">
        <v>1000.0</v>
      </c>
      <c r="D6606" s="6">
        <v>4.85483871</v>
      </c>
      <c r="E6606" s="6">
        <v>62.0</v>
      </c>
    </row>
    <row r="6607">
      <c r="A6607" s="4" t="s">
        <v>13119</v>
      </c>
      <c r="B6607" s="5" t="s">
        <v>13120</v>
      </c>
      <c r="C6607" s="6">
        <v>1000.0</v>
      </c>
      <c r="D6607" s="6">
        <v>4.228571429</v>
      </c>
      <c r="E6607" s="6">
        <v>35.0</v>
      </c>
    </row>
    <row r="6608">
      <c r="A6608" s="4" t="s">
        <v>13121</v>
      </c>
      <c r="B6608" s="5" t="s">
        <v>13122</v>
      </c>
      <c r="C6608" s="6">
        <v>1000.0</v>
      </c>
      <c r="D6608" s="6">
        <v>5.0</v>
      </c>
      <c r="E6608" s="6">
        <v>21.0</v>
      </c>
    </row>
    <row r="6609">
      <c r="A6609" s="4" t="s">
        <v>13123</v>
      </c>
      <c r="B6609" s="5" t="s">
        <v>13124</v>
      </c>
      <c r="C6609" s="6">
        <v>1000.0</v>
      </c>
      <c r="D6609" s="6">
        <v>3.3</v>
      </c>
      <c r="E6609" s="6">
        <v>10.0</v>
      </c>
    </row>
    <row r="6610">
      <c r="A6610" s="4" t="s">
        <v>13125</v>
      </c>
      <c r="B6610" s="5" t="s">
        <v>13126</v>
      </c>
      <c r="C6610" s="6">
        <v>1000.0</v>
      </c>
      <c r="D6610" s="6">
        <v>5.0</v>
      </c>
      <c r="E6610" s="6">
        <v>1.0</v>
      </c>
    </row>
    <row r="6611">
      <c r="A6611" s="4" t="s">
        <v>13127</v>
      </c>
      <c r="B6611" s="5" t="s">
        <v>13128</v>
      </c>
      <c r="C6611" s="6">
        <v>1000.0</v>
      </c>
      <c r="D6611" s="6">
        <v>5.0</v>
      </c>
      <c r="E6611" s="6">
        <v>2.0</v>
      </c>
    </row>
    <row r="6612">
      <c r="A6612" s="4" t="s">
        <v>13129</v>
      </c>
      <c r="B6612" s="5" t="s">
        <v>13130</v>
      </c>
      <c r="C6612" s="6">
        <v>1000.0</v>
      </c>
      <c r="D6612" s="6">
        <v>4.714285714</v>
      </c>
      <c r="E6612" s="6">
        <v>21.0</v>
      </c>
    </row>
    <row r="6613">
      <c r="A6613" s="4" t="s">
        <v>13131</v>
      </c>
      <c r="B6613" s="5" t="s">
        <v>13132</v>
      </c>
      <c r="C6613" s="6">
        <v>1000.0</v>
      </c>
      <c r="D6613" s="6">
        <v>4.111111111</v>
      </c>
      <c r="E6613" s="6">
        <v>9.0</v>
      </c>
    </row>
    <row r="6614">
      <c r="A6614" s="4" t="s">
        <v>13133</v>
      </c>
      <c r="B6614" s="5" t="s">
        <v>13134</v>
      </c>
      <c r="C6614" s="6">
        <v>1000.0</v>
      </c>
      <c r="D6614" s="6">
        <v>4.9</v>
      </c>
      <c r="E6614" s="6">
        <v>10.0</v>
      </c>
    </row>
    <row r="6615">
      <c r="A6615" s="4" t="s">
        <v>13135</v>
      </c>
      <c r="B6615" s="5" t="s">
        <v>13136</v>
      </c>
      <c r="C6615" s="6">
        <v>1000.0</v>
      </c>
      <c r="D6615" s="6">
        <v>2.777777778</v>
      </c>
      <c r="E6615" s="6">
        <v>9.0</v>
      </c>
    </row>
    <row r="6616">
      <c r="A6616" s="4" t="s">
        <v>13137</v>
      </c>
      <c r="B6616" s="5" t="s">
        <v>13138</v>
      </c>
      <c r="C6616" s="6">
        <v>1000.0</v>
      </c>
      <c r="D6616" s="6">
        <v>1.615384615</v>
      </c>
      <c r="E6616" s="6">
        <v>13.0</v>
      </c>
    </row>
    <row r="6617">
      <c r="A6617" s="4" t="s">
        <v>13139</v>
      </c>
      <c r="B6617" s="5" t="s">
        <v>13140</v>
      </c>
      <c r="C6617" s="6">
        <v>1000.0</v>
      </c>
      <c r="D6617" s="6">
        <v>3.2</v>
      </c>
      <c r="E6617" s="6">
        <v>5.0</v>
      </c>
    </row>
    <row r="6618">
      <c r="A6618" s="4" t="s">
        <v>13141</v>
      </c>
      <c r="B6618" s="5" t="s">
        <v>13142</v>
      </c>
      <c r="C6618" s="6">
        <v>1000.0</v>
      </c>
      <c r="D6618" s="6">
        <v>4.705882353</v>
      </c>
      <c r="E6618" s="6">
        <v>51.0</v>
      </c>
    </row>
    <row r="6619">
      <c r="A6619" s="4" t="s">
        <v>13143</v>
      </c>
      <c r="B6619" s="5" t="s">
        <v>13144</v>
      </c>
      <c r="C6619" s="6">
        <v>1000.0</v>
      </c>
      <c r="D6619" s="6">
        <v>4.794871795</v>
      </c>
      <c r="E6619" s="6">
        <v>39.0</v>
      </c>
    </row>
    <row r="6620">
      <c r="A6620" s="4" t="s">
        <v>13145</v>
      </c>
      <c r="B6620" s="5" t="s">
        <v>13146</v>
      </c>
      <c r="C6620" s="6">
        <v>1000.0</v>
      </c>
      <c r="D6620" s="6">
        <v>3.875</v>
      </c>
      <c r="E6620" s="6">
        <v>8.0</v>
      </c>
    </row>
    <row r="6621">
      <c r="A6621" s="4" t="s">
        <v>13147</v>
      </c>
      <c r="B6621" s="5" t="s">
        <v>13148</v>
      </c>
      <c r="C6621" s="6">
        <v>1000.0</v>
      </c>
      <c r="D6621" s="6">
        <v>4.630434783</v>
      </c>
      <c r="E6621" s="6">
        <v>46.0</v>
      </c>
    </row>
    <row r="6622">
      <c r="A6622" s="4" t="s">
        <v>13149</v>
      </c>
      <c r="B6622" s="5" t="s">
        <v>13150</v>
      </c>
      <c r="C6622" s="6">
        <v>1000.0</v>
      </c>
      <c r="D6622" s="6">
        <v>2.92</v>
      </c>
      <c r="E6622" s="6">
        <v>25.0</v>
      </c>
    </row>
    <row r="6623">
      <c r="A6623" s="4" t="s">
        <v>13151</v>
      </c>
      <c r="B6623" s="5" t="s">
        <v>13152</v>
      </c>
      <c r="C6623" s="6">
        <v>1000.0</v>
      </c>
      <c r="D6623" s="6">
        <v>5.0</v>
      </c>
      <c r="E6623" s="6">
        <v>14.0</v>
      </c>
    </row>
    <row r="6624">
      <c r="A6624" s="4" t="s">
        <v>13153</v>
      </c>
      <c r="B6624" s="5" t="s">
        <v>13154</v>
      </c>
      <c r="C6624" s="6">
        <v>1000.0</v>
      </c>
      <c r="D6624" s="6">
        <v>3.0</v>
      </c>
      <c r="E6624" s="6">
        <v>8.0</v>
      </c>
    </row>
    <row r="6625">
      <c r="A6625" s="4" t="s">
        <v>13155</v>
      </c>
      <c r="B6625" s="5" t="s">
        <v>13156</v>
      </c>
      <c r="C6625" s="6">
        <v>1000.0</v>
      </c>
      <c r="D6625" s="6">
        <v>1.0</v>
      </c>
      <c r="E6625" s="6">
        <v>1.0</v>
      </c>
    </row>
    <row r="6626">
      <c r="A6626" s="4" t="s">
        <v>13157</v>
      </c>
      <c r="B6626" s="5" t="s">
        <v>13158</v>
      </c>
      <c r="C6626" s="6">
        <v>1000.0</v>
      </c>
      <c r="D6626" s="6">
        <v>3.648148148</v>
      </c>
      <c r="E6626" s="6">
        <v>54.0</v>
      </c>
    </row>
    <row r="6627">
      <c r="A6627" s="4" t="s">
        <v>13159</v>
      </c>
      <c r="B6627" s="5" t="s">
        <v>13160</v>
      </c>
      <c r="C6627" s="6">
        <v>1000.0</v>
      </c>
      <c r="D6627" s="6">
        <v>4.59375</v>
      </c>
      <c r="E6627" s="6">
        <v>64.0</v>
      </c>
    </row>
    <row r="6628">
      <c r="A6628" s="4" t="s">
        <v>13161</v>
      </c>
      <c r="B6628" s="5" t="s">
        <v>13162</v>
      </c>
      <c r="C6628" s="6">
        <v>1000.0</v>
      </c>
      <c r="D6628" s="6">
        <v>4.571428571</v>
      </c>
      <c r="E6628" s="6">
        <v>7.0</v>
      </c>
    </row>
    <row r="6629">
      <c r="A6629" s="4" t="s">
        <v>13163</v>
      </c>
      <c r="B6629" s="5" t="s">
        <v>13164</v>
      </c>
      <c r="C6629" s="6">
        <v>1000.0</v>
      </c>
      <c r="D6629" s="6">
        <v>2.5</v>
      </c>
      <c r="E6629" s="6">
        <v>4.0</v>
      </c>
    </row>
    <row r="6630">
      <c r="A6630" s="4" t="s">
        <v>13165</v>
      </c>
      <c r="B6630" s="5" t="s">
        <v>13166</v>
      </c>
      <c r="C6630" s="6">
        <v>1000.0</v>
      </c>
      <c r="D6630" s="6">
        <v>4.666666667</v>
      </c>
      <c r="E6630" s="6">
        <v>3.0</v>
      </c>
    </row>
    <row r="6631">
      <c r="A6631" s="4" t="s">
        <v>13167</v>
      </c>
      <c r="B6631" s="5" t="s">
        <v>13168</v>
      </c>
      <c r="C6631" s="6">
        <v>1000.0</v>
      </c>
      <c r="D6631" s="6">
        <v>4.428571429</v>
      </c>
      <c r="E6631" s="6">
        <v>7.0</v>
      </c>
    </row>
    <row r="6632">
      <c r="A6632" s="4" t="s">
        <v>13169</v>
      </c>
      <c r="B6632" s="5" t="s">
        <v>13170</v>
      </c>
      <c r="C6632" s="6">
        <v>1000.0</v>
      </c>
      <c r="D6632" s="6">
        <v>3.333333333</v>
      </c>
      <c r="E6632" s="6">
        <v>15.0</v>
      </c>
    </row>
    <row r="6633">
      <c r="A6633" s="4" t="s">
        <v>13171</v>
      </c>
      <c r="B6633" s="5" t="s">
        <v>13172</v>
      </c>
      <c r="C6633" s="6">
        <v>1000.0</v>
      </c>
      <c r="D6633" s="6">
        <v>5.0</v>
      </c>
      <c r="E6633" s="6">
        <v>3.0</v>
      </c>
    </row>
    <row r="6634">
      <c r="A6634" s="4" t="s">
        <v>13173</v>
      </c>
      <c r="B6634" s="5" t="s">
        <v>13174</v>
      </c>
      <c r="C6634" s="6">
        <v>1000.0</v>
      </c>
      <c r="D6634" s="6">
        <v>2.470588235</v>
      </c>
      <c r="E6634" s="6">
        <v>17.0</v>
      </c>
    </row>
    <row r="6635">
      <c r="A6635" s="4" t="s">
        <v>13175</v>
      </c>
      <c r="B6635" s="5" t="s">
        <v>13176</v>
      </c>
      <c r="C6635" s="6">
        <v>1000.0</v>
      </c>
      <c r="D6635" s="6">
        <v>4.75</v>
      </c>
      <c r="E6635" s="6">
        <v>16.0</v>
      </c>
    </row>
    <row r="6636">
      <c r="A6636" s="4" t="s">
        <v>13177</v>
      </c>
      <c r="B6636" s="5" t="s">
        <v>13178</v>
      </c>
      <c r="C6636" s="6">
        <v>1000.0</v>
      </c>
      <c r="D6636" s="6">
        <v>4.0</v>
      </c>
      <c r="E6636" s="6">
        <v>28.0</v>
      </c>
    </row>
    <row r="6637">
      <c r="A6637" s="4" t="s">
        <v>13179</v>
      </c>
      <c r="B6637" s="5" t="s">
        <v>13180</v>
      </c>
      <c r="C6637" s="6">
        <v>1000.0</v>
      </c>
      <c r="D6637" s="6">
        <v>5.0</v>
      </c>
      <c r="E6637" s="6">
        <v>9.0</v>
      </c>
    </row>
    <row r="6638">
      <c r="A6638" s="4" t="s">
        <v>13181</v>
      </c>
      <c r="B6638" s="5" t="s">
        <v>13182</v>
      </c>
      <c r="C6638" s="6">
        <v>1000.0</v>
      </c>
      <c r="D6638" s="6">
        <v>3.4</v>
      </c>
      <c r="E6638" s="6">
        <v>5.0</v>
      </c>
    </row>
    <row r="6639">
      <c r="A6639" s="4" t="s">
        <v>13183</v>
      </c>
      <c r="B6639" s="5" t="s">
        <v>13184</v>
      </c>
      <c r="C6639" s="6">
        <v>1000.0</v>
      </c>
      <c r="D6639" s="9"/>
      <c r="E6639" s="9"/>
    </row>
    <row r="6640">
      <c r="A6640" s="4" t="s">
        <v>13185</v>
      </c>
      <c r="B6640" s="5" t="s">
        <v>13186</v>
      </c>
      <c r="C6640" s="6">
        <v>1000.0</v>
      </c>
      <c r="D6640" s="6">
        <v>1.0</v>
      </c>
      <c r="E6640" s="6">
        <v>1.0</v>
      </c>
    </row>
    <row r="6641">
      <c r="A6641" s="4" t="s">
        <v>13187</v>
      </c>
      <c r="B6641" s="5" t="s">
        <v>13188</v>
      </c>
      <c r="C6641" s="6">
        <v>1000.0</v>
      </c>
      <c r="D6641" s="6">
        <v>4.3</v>
      </c>
      <c r="E6641" s="6">
        <v>20.0</v>
      </c>
    </row>
    <row r="6642">
      <c r="A6642" s="4" t="s">
        <v>13189</v>
      </c>
      <c r="B6642" s="5" t="s">
        <v>13190</v>
      </c>
      <c r="C6642" s="6">
        <v>1000.0</v>
      </c>
      <c r="D6642" s="6">
        <v>3.833333333</v>
      </c>
      <c r="E6642" s="6">
        <v>12.0</v>
      </c>
    </row>
    <row r="6643">
      <c r="A6643" s="4" t="s">
        <v>13191</v>
      </c>
      <c r="B6643" s="5" t="s">
        <v>13192</v>
      </c>
      <c r="C6643" s="6">
        <v>1000.0</v>
      </c>
      <c r="D6643" s="6">
        <v>4.571428571</v>
      </c>
      <c r="E6643" s="6">
        <v>7.0</v>
      </c>
    </row>
    <row r="6644">
      <c r="A6644" s="4" t="s">
        <v>13193</v>
      </c>
      <c r="B6644" s="5" t="s">
        <v>13194</v>
      </c>
      <c r="C6644" s="6">
        <v>1000.0</v>
      </c>
      <c r="D6644" s="6">
        <v>4.866666667</v>
      </c>
      <c r="E6644" s="6">
        <v>15.0</v>
      </c>
    </row>
    <row r="6645">
      <c r="A6645" s="4" t="s">
        <v>13195</v>
      </c>
      <c r="B6645" s="5" t="s">
        <v>13196</v>
      </c>
      <c r="C6645" s="6">
        <v>1000.0</v>
      </c>
      <c r="D6645" s="6">
        <v>4.166666667</v>
      </c>
      <c r="E6645" s="6">
        <v>6.0</v>
      </c>
    </row>
    <row r="6646">
      <c r="A6646" s="4" t="s">
        <v>13197</v>
      </c>
      <c r="B6646" s="5" t="s">
        <v>13198</v>
      </c>
      <c r="C6646" s="6">
        <v>1000.0</v>
      </c>
      <c r="D6646" s="6">
        <v>4.2</v>
      </c>
      <c r="E6646" s="6">
        <v>5.0</v>
      </c>
    </row>
    <row r="6647">
      <c r="A6647" s="4" t="s">
        <v>13199</v>
      </c>
      <c r="B6647" s="5" t="s">
        <v>13200</v>
      </c>
      <c r="C6647" s="6">
        <v>1000.0</v>
      </c>
      <c r="D6647" s="6">
        <v>3.263157895</v>
      </c>
      <c r="E6647" s="6">
        <v>19.0</v>
      </c>
    </row>
    <row r="6648">
      <c r="A6648" s="4" t="s">
        <v>13201</v>
      </c>
      <c r="B6648" s="5" t="s">
        <v>13202</v>
      </c>
      <c r="C6648" s="6">
        <v>1000.0</v>
      </c>
      <c r="D6648" s="6">
        <v>4.647058824</v>
      </c>
      <c r="E6648" s="6">
        <v>17.0</v>
      </c>
    </row>
    <row r="6649">
      <c r="A6649" s="5" t="s">
        <v>13203</v>
      </c>
      <c r="B6649" s="5" t="s">
        <v>13204</v>
      </c>
      <c r="C6649" s="6">
        <v>1000.0</v>
      </c>
      <c r="D6649" s="9"/>
      <c r="E6649" s="9"/>
    </row>
    <row r="6650">
      <c r="A6650" s="4" t="s">
        <v>13205</v>
      </c>
      <c r="B6650" s="5" t="s">
        <v>13206</v>
      </c>
      <c r="C6650" s="6">
        <v>1000.0</v>
      </c>
      <c r="D6650" s="6">
        <v>2.826086957</v>
      </c>
      <c r="E6650" s="6">
        <v>23.0</v>
      </c>
    </row>
    <row r="6651">
      <c r="A6651" s="4" t="s">
        <v>13207</v>
      </c>
      <c r="B6651" s="5" t="s">
        <v>13208</v>
      </c>
      <c r="C6651" s="6">
        <v>1000.0</v>
      </c>
      <c r="D6651" s="9"/>
      <c r="E6651" s="9"/>
    </row>
    <row r="6652">
      <c r="A6652" s="4" t="s">
        <v>13209</v>
      </c>
      <c r="B6652" s="5" t="s">
        <v>13210</v>
      </c>
      <c r="C6652" s="6">
        <v>1000.0</v>
      </c>
      <c r="D6652" s="6">
        <v>1.0</v>
      </c>
      <c r="E6652" s="6">
        <v>8.0</v>
      </c>
    </row>
    <row r="6653">
      <c r="A6653" s="4" t="s">
        <v>13211</v>
      </c>
      <c r="B6653" s="5" t="s">
        <v>13212</v>
      </c>
      <c r="C6653" s="6">
        <v>1000.0</v>
      </c>
      <c r="D6653" s="6">
        <v>3.0</v>
      </c>
      <c r="E6653" s="6">
        <v>4.0</v>
      </c>
    </row>
    <row r="6654">
      <c r="A6654" s="4" t="s">
        <v>13213</v>
      </c>
      <c r="B6654" s="5" t="s">
        <v>13214</v>
      </c>
      <c r="C6654" s="6">
        <v>1000.0</v>
      </c>
      <c r="D6654" s="6">
        <v>3.5</v>
      </c>
      <c r="E6654" s="6">
        <v>4.0</v>
      </c>
    </row>
    <row r="6655">
      <c r="A6655" s="4" t="s">
        <v>13215</v>
      </c>
      <c r="B6655" s="5" t="s">
        <v>13216</v>
      </c>
      <c r="C6655" s="6">
        <v>1000.0</v>
      </c>
      <c r="D6655" s="6">
        <v>2.1</v>
      </c>
      <c r="E6655" s="6">
        <v>20.0</v>
      </c>
    </row>
    <row r="6656">
      <c r="A6656" s="4" t="s">
        <v>13217</v>
      </c>
      <c r="B6656" s="5" t="s">
        <v>13218</v>
      </c>
      <c r="C6656" s="6">
        <v>1000.0</v>
      </c>
      <c r="D6656" s="6">
        <v>4.904761905</v>
      </c>
      <c r="E6656" s="6">
        <v>21.0</v>
      </c>
    </row>
    <row r="6657">
      <c r="A6657" s="4" t="s">
        <v>13219</v>
      </c>
      <c r="B6657" s="5" t="s">
        <v>13220</v>
      </c>
      <c r="C6657" s="6">
        <v>1000.0</v>
      </c>
      <c r="D6657" s="6">
        <v>4.111111111</v>
      </c>
      <c r="E6657" s="6">
        <v>18.0</v>
      </c>
    </row>
    <row r="6658">
      <c r="A6658" s="4" t="s">
        <v>13221</v>
      </c>
      <c r="B6658" s="5" t="s">
        <v>13222</v>
      </c>
      <c r="C6658" s="6">
        <v>1000.0</v>
      </c>
      <c r="D6658" s="6">
        <v>4.794117647</v>
      </c>
      <c r="E6658" s="6">
        <v>34.0</v>
      </c>
    </row>
    <row r="6659">
      <c r="A6659" s="4" t="s">
        <v>13223</v>
      </c>
      <c r="B6659" s="5" t="s">
        <v>13224</v>
      </c>
      <c r="C6659" s="6">
        <v>1000.0</v>
      </c>
      <c r="D6659" s="6">
        <v>4.0</v>
      </c>
      <c r="E6659" s="6">
        <v>1.0</v>
      </c>
    </row>
    <row r="6660">
      <c r="A6660" s="4" t="s">
        <v>13225</v>
      </c>
      <c r="B6660" s="5" t="s">
        <v>13226</v>
      </c>
      <c r="C6660" s="6">
        <v>1000.0</v>
      </c>
      <c r="D6660" s="6">
        <v>5.0</v>
      </c>
      <c r="E6660" s="6">
        <v>1.0</v>
      </c>
    </row>
    <row r="6661">
      <c r="A6661" s="4" t="s">
        <v>13227</v>
      </c>
      <c r="B6661" s="5" t="s">
        <v>13228</v>
      </c>
      <c r="C6661" s="6">
        <v>1000.0</v>
      </c>
      <c r="D6661" s="6">
        <v>3.85</v>
      </c>
      <c r="E6661" s="6">
        <v>20.0</v>
      </c>
    </row>
    <row r="6662">
      <c r="A6662" s="4" t="s">
        <v>13229</v>
      </c>
      <c r="B6662" s="5" t="s">
        <v>13230</v>
      </c>
      <c r="C6662" s="6">
        <v>1000.0</v>
      </c>
      <c r="D6662" s="6">
        <v>5.0</v>
      </c>
      <c r="E6662" s="6">
        <v>2.0</v>
      </c>
    </row>
    <row r="6663">
      <c r="A6663" s="4" t="s">
        <v>13231</v>
      </c>
      <c r="B6663" s="5" t="s">
        <v>13232</v>
      </c>
      <c r="C6663" s="6">
        <v>1000.0</v>
      </c>
      <c r="D6663" s="6">
        <v>4.0</v>
      </c>
      <c r="E6663" s="6">
        <v>4.0</v>
      </c>
    </row>
    <row r="6664">
      <c r="A6664" s="4" t="s">
        <v>13233</v>
      </c>
      <c r="B6664" s="5" t="s">
        <v>13234</v>
      </c>
      <c r="C6664" s="6">
        <v>1000.0</v>
      </c>
      <c r="D6664" s="6">
        <v>4.8</v>
      </c>
      <c r="E6664" s="6">
        <v>5.0</v>
      </c>
    </row>
    <row r="6665">
      <c r="A6665" s="4" t="s">
        <v>13235</v>
      </c>
      <c r="B6665" s="5" t="s">
        <v>13236</v>
      </c>
      <c r="C6665" s="6">
        <v>1000.0</v>
      </c>
      <c r="D6665" s="6">
        <v>3.0</v>
      </c>
      <c r="E6665" s="6">
        <v>8.0</v>
      </c>
    </row>
    <row r="6666">
      <c r="A6666" s="4" t="s">
        <v>13237</v>
      </c>
      <c r="B6666" s="5" t="s">
        <v>13238</v>
      </c>
      <c r="C6666" s="6">
        <v>1000.0</v>
      </c>
      <c r="D6666" s="6">
        <v>4.666666667</v>
      </c>
      <c r="E6666" s="6">
        <v>24.0</v>
      </c>
    </row>
    <row r="6667">
      <c r="A6667" s="4" t="s">
        <v>13239</v>
      </c>
      <c r="B6667" s="5" t="s">
        <v>13240</v>
      </c>
      <c r="C6667" s="6">
        <v>1000.0</v>
      </c>
      <c r="D6667" s="6">
        <v>3.6</v>
      </c>
      <c r="E6667" s="6">
        <v>10.0</v>
      </c>
    </row>
    <row r="6668">
      <c r="A6668" s="10" t="s">
        <v>13241</v>
      </c>
      <c r="B6668" s="5" t="s">
        <v>13242</v>
      </c>
      <c r="C6668" s="6">
        <v>1000.0</v>
      </c>
      <c r="D6668" s="6">
        <v>5.0</v>
      </c>
      <c r="E6668" s="6">
        <v>6.0</v>
      </c>
    </row>
    <row r="6669">
      <c r="A6669" s="4" t="s">
        <v>13243</v>
      </c>
      <c r="B6669" s="5" t="s">
        <v>13244</v>
      </c>
      <c r="C6669" s="6">
        <v>1000.0</v>
      </c>
      <c r="D6669" s="6">
        <v>5.0</v>
      </c>
      <c r="E6669" s="6">
        <v>4.0</v>
      </c>
    </row>
    <row r="6670">
      <c r="A6670" s="4" t="s">
        <v>13245</v>
      </c>
      <c r="B6670" s="5" t="s">
        <v>13246</v>
      </c>
      <c r="C6670" s="6">
        <v>1000.0</v>
      </c>
      <c r="D6670" s="6">
        <v>4.833333333</v>
      </c>
      <c r="E6670" s="6">
        <v>24.0</v>
      </c>
    </row>
    <row r="6671">
      <c r="A6671" s="4" t="s">
        <v>13247</v>
      </c>
      <c r="B6671" s="5" t="s">
        <v>13248</v>
      </c>
      <c r="C6671" s="6">
        <v>1000.0</v>
      </c>
      <c r="D6671" s="6">
        <v>3.25</v>
      </c>
      <c r="E6671" s="6">
        <v>4.0</v>
      </c>
    </row>
    <row r="6672">
      <c r="A6672" s="4" t="s">
        <v>13249</v>
      </c>
      <c r="B6672" s="5" t="s">
        <v>13250</v>
      </c>
      <c r="C6672" s="6">
        <v>1000.0</v>
      </c>
      <c r="D6672" s="6">
        <v>3.0</v>
      </c>
      <c r="E6672" s="6">
        <v>6.0</v>
      </c>
    </row>
    <row r="6673">
      <c r="A6673" s="4" t="s">
        <v>13251</v>
      </c>
      <c r="B6673" s="5" t="s">
        <v>13252</v>
      </c>
      <c r="C6673" s="6">
        <v>1000.0</v>
      </c>
      <c r="D6673" s="6">
        <v>4.111111111</v>
      </c>
      <c r="E6673" s="6">
        <v>9.0</v>
      </c>
    </row>
    <row r="6674">
      <c r="A6674" s="4" t="s">
        <v>13253</v>
      </c>
      <c r="B6674" s="5" t="s">
        <v>13254</v>
      </c>
      <c r="C6674" s="6">
        <v>1000.0</v>
      </c>
      <c r="D6674" s="6">
        <v>3.903614458</v>
      </c>
      <c r="E6674" s="6">
        <v>83.0</v>
      </c>
    </row>
    <row r="6675">
      <c r="A6675" s="4" t="s">
        <v>13255</v>
      </c>
      <c r="B6675" s="5" t="s">
        <v>13256</v>
      </c>
      <c r="C6675" s="6">
        <v>1000.0</v>
      </c>
      <c r="D6675" s="6">
        <v>3.428571429</v>
      </c>
      <c r="E6675" s="6">
        <v>14.0</v>
      </c>
    </row>
    <row r="6676">
      <c r="A6676" s="4" t="s">
        <v>13257</v>
      </c>
      <c r="B6676" s="5" t="s">
        <v>13258</v>
      </c>
      <c r="C6676" s="6">
        <v>1000.0</v>
      </c>
      <c r="D6676" s="6">
        <v>3.55</v>
      </c>
      <c r="E6676" s="6">
        <v>20.0</v>
      </c>
    </row>
    <row r="6677">
      <c r="A6677" s="4" t="s">
        <v>13259</v>
      </c>
      <c r="B6677" s="5" t="s">
        <v>13260</v>
      </c>
      <c r="C6677" s="6">
        <v>1000.0</v>
      </c>
      <c r="D6677" s="6">
        <v>3.357142857</v>
      </c>
      <c r="E6677" s="6">
        <v>28.0</v>
      </c>
    </row>
    <row r="6678">
      <c r="A6678" s="4" t="s">
        <v>13261</v>
      </c>
      <c r="B6678" s="5" t="s">
        <v>13262</v>
      </c>
      <c r="C6678" s="6">
        <v>1000.0</v>
      </c>
      <c r="D6678" s="9"/>
      <c r="E6678" s="9"/>
    </row>
    <row r="6679">
      <c r="A6679" s="4" t="s">
        <v>13263</v>
      </c>
      <c r="B6679" s="5" t="s">
        <v>13264</v>
      </c>
      <c r="C6679" s="6">
        <v>1000.0</v>
      </c>
      <c r="D6679" s="6">
        <v>4.5</v>
      </c>
      <c r="E6679" s="6">
        <v>10.0</v>
      </c>
    </row>
    <row r="6680">
      <c r="A6680" s="4" t="s">
        <v>13265</v>
      </c>
      <c r="B6680" s="5" t="s">
        <v>13266</v>
      </c>
      <c r="C6680" s="6">
        <v>1000.0</v>
      </c>
      <c r="D6680" s="6">
        <v>4.722222222</v>
      </c>
      <c r="E6680" s="6">
        <v>18.0</v>
      </c>
    </row>
    <row r="6681">
      <c r="A6681" s="4" t="s">
        <v>13267</v>
      </c>
      <c r="B6681" s="5" t="s">
        <v>13268</v>
      </c>
      <c r="C6681" s="6">
        <v>1000.0</v>
      </c>
      <c r="D6681" s="6">
        <v>4.408163265</v>
      </c>
      <c r="E6681" s="6">
        <v>49.0</v>
      </c>
    </row>
    <row r="6682">
      <c r="A6682" s="4" t="s">
        <v>13269</v>
      </c>
      <c r="B6682" s="5" t="s">
        <v>13270</v>
      </c>
      <c r="C6682" s="6">
        <v>1000.0</v>
      </c>
      <c r="D6682" s="6">
        <v>4.294117647</v>
      </c>
      <c r="E6682" s="6">
        <v>17.0</v>
      </c>
    </row>
    <row r="6683">
      <c r="A6683" s="4" t="s">
        <v>13271</v>
      </c>
      <c r="B6683" s="5" t="s">
        <v>13272</v>
      </c>
      <c r="C6683" s="6">
        <v>1000.0</v>
      </c>
      <c r="D6683" s="6">
        <v>4.5</v>
      </c>
      <c r="E6683" s="6">
        <v>2.0</v>
      </c>
    </row>
    <row r="6684">
      <c r="A6684" s="4" t="s">
        <v>13273</v>
      </c>
      <c r="B6684" s="5" t="s">
        <v>13274</v>
      </c>
      <c r="C6684" s="6">
        <v>1000.0</v>
      </c>
      <c r="D6684" s="6">
        <v>3.285714286</v>
      </c>
      <c r="E6684" s="6">
        <v>7.0</v>
      </c>
    </row>
    <row r="6685">
      <c r="A6685" s="4" t="s">
        <v>13275</v>
      </c>
      <c r="B6685" s="5" t="s">
        <v>13276</v>
      </c>
      <c r="C6685" s="6">
        <v>1000.0</v>
      </c>
      <c r="D6685" s="6">
        <v>4.111111111</v>
      </c>
      <c r="E6685" s="6">
        <v>9.0</v>
      </c>
    </row>
    <row r="6686">
      <c r="A6686" s="4" t="s">
        <v>13277</v>
      </c>
      <c r="B6686" s="5" t="s">
        <v>13278</v>
      </c>
      <c r="C6686" s="6">
        <v>1000.0</v>
      </c>
      <c r="D6686" s="6">
        <v>4.0</v>
      </c>
      <c r="E6686" s="6">
        <v>5.0</v>
      </c>
    </row>
    <row r="6687">
      <c r="A6687" s="4" t="s">
        <v>13279</v>
      </c>
      <c r="B6687" s="5" t="s">
        <v>13280</v>
      </c>
      <c r="C6687" s="6">
        <v>1000.0</v>
      </c>
      <c r="D6687" s="6">
        <v>4.666666667</v>
      </c>
      <c r="E6687" s="6">
        <v>3.0</v>
      </c>
    </row>
    <row r="6688">
      <c r="A6688" s="4" t="s">
        <v>13281</v>
      </c>
      <c r="B6688" s="5" t="s">
        <v>13282</v>
      </c>
      <c r="C6688" s="6">
        <v>1000.0</v>
      </c>
      <c r="D6688" s="6">
        <v>5.0</v>
      </c>
      <c r="E6688" s="6">
        <v>4.0</v>
      </c>
    </row>
    <row r="6689">
      <c r="A6689" s="4" t="s">
        <v>13283</v>
      </c>
      <c r="B6689" s="5" t="s">
        <v>13284</v>
      </c>
      <c r="C6689" s="6">
        <v>1000.0</v>
      </c>
      <c r="D6689" s="6">
        <v>5.0</v>
      </c>
      <c r="E6689" s="6">
        <v>2.0</v>
      </c>
    </row>
    <row r="6690">
      <c r="A6690" s="4" t="s">
        <v>13285</v>
      </c>
      <c r="B6690" s="5" t="s">
        <v>13286</v>
      </c>
      <c r="C6690" s="6">
        <v>1000.0</v>
      </c>
      <c r="D6690" s="6">
        <v>3.0</v>
      </c>
      <c r="E6690" s="6">
        <v>14.0</v>
      </c>
    </row>
    <row r="6691">
      <c r="A6691" s="4" t="s">
        <v>13287</v>
      </c>
      <c r="B6691" s="5" t="s">
        <v>13288</v>
      </c>
      <c r="C6691" s="6">
        <v>1000.0</v>
      </c>
      <c r="D6691" s="6">
        <v>5.0</v>
      </c>
      <c r="E6691" s="6">
        <v>3.0</v>
      </c>
    </row>
    <row r="6692">
      <c r="A6692" s="4" t="s">
        <v>13289</v>
      </c>
      <c r="B6692" s="5" t="s">
        <v>13290</v>
      </c>
      <c r="C6692" s="6">
        <v>1000.0</v>
      </c>
      <c r="D6692" s="6">
        <v>4.916666667</v>
      </c>
      <c r="E6692" s="6">
        <v>12.0</v>
      </c>
    </row>
    <row r="6693">
      <c r="A6693" s="4" t="s">
        <v>13291</v>
      </c>
      <c r="B6693" s="5" t="s">
        <v>13292</v>
      </c>
      <c r="C6693" s="6">
        <v>1000.0</v>
      </c>
      <c r="D6693" s="6">
        <v>4.948717949</v>
      </c>
      <c r="E6693" s="6">
        <v>39.0</v>
      </c>
    </row>
    <row r="6694">
      <c r="A6694" s="4" t="s">
        <v>13293</v>
      </c>
      <c r="B6694" s="5" t="s">
        <v>13294</v>
      </c>
      <c r="C6694" s="6">
        <v>1000.0</v>
      </c>
      <c r="D6694" s="6">
        <v>3.5</v>
      </c>
      <c r="E6694" s="6">
        <v>10.0</v>
      </c>
    </row>
    <row r="6695">
      <c r="A6695" s="4" t="s">
        <v>13295</v>
      </c>
      <c r="B6695" s="5" t="s">
        <v>13296</v>
      </c>
      <c r="C6695" s="6">
        <v>1000.0</v>
      </c>
      <c r="D6695" s="6">
        <v>1.5</v>
      </c>
      <c r="E6695" s="6">
        <v>6.0</v>
      </c>
    </row>
    <row r="6696">
      <c r="A6696" s="4" t="s">
        <v>13297</v>
      </c>
      <c r="B6696" s="5" t="s">
        <v>13298</v>
      </c>
      <c r="C6696" s="6">
        <v>1000.0</v>
      </c>
      <c r="D6696" s="6">
        <v>3.642857143</v>
      </c>
      <c r="E6696" s="6">
        <v>14.0</v>
      </c>
    </row>
    <row r="6697">
      <c r="A6697" s="4" t="s">
        <v>13299</v>
      </c>
      <c r="B6697" s="5" t="s">
        <v>13300</v>
      </c>
      <c r="C6697" s="6">
        <v>1000.0</v>
      </c>
      <c r="D6697" s="6">
        <v>4.7</v>
      </c>
      <c r="E6697" s="6">
        <v>10.0</v>
      </c>
    </row>
    <row r="6698">
      <c r="A6698" s="4" t="s">
        <v>13301</v>
      </c>
      <c r="B6698" s="5" t="s">
        <v>13302</v>
      </c>
      <c r="C6698" s="6">
        <v>1000.0</v>
      </c>
      <c r="D6698" s="6">
        <v>4.612903226</v>
      </c>
      <c r="E6698" s="6">
        <v>31.0</v>
      </c>
    </row>
    <row r="6699">
      <c r="A6699" s="4" t="s">
        <v>13303</v>
      </c>
      <c r="B6699" s="5" t="s">
        <v>13304</v>
      </c>
      <c r="C6699" s="6">
        <v>1000.0</v>
      </c>
      <c r="D6699" s="9"/>
      <c r="E6699" s="9"/>
    </row>
    <row r="6700">
      <c r="A6700" s="4" t="s">
        <v>13305</v>
      </c>
      <c r="B6700" s="5" t="s">
        <v>13306</v>
      </c>
      <c r="C6700" s="6">
        <v>1000.0</v>
      </c>
      <c r="D6700" s="6">
        <v>4.0</v>
      </c>
      <c r="E6700" s="6">
        <v>5.0</v>
      </c>
    </row>
    <row r="6701">
      <c r="A6701" s="4" t="s">
        <v>13307</v>
      </c>
      <c r="B6701" s="5" t="s">
        <v>13308</v>
      </c>
      <c r="C6701" s="6">
        <v>1000.0</v>
      </c>
      <c r="D6701" s="6">
        <v>4.25</v>
      </c>
      <c r="E6701" s="6">
        <v>4.0</v>
      </c>
    </row>
    <row r="6702">
      <c r="A6702" s="4" t="s">
        <v>13309</v>
      </c>
      <c r="B6702" s="5" t="s">
        <v>13310</v>
      </c>
      <c r="C6702" s="6">
        <v>1000.0</v>
      </c>
      <c r="D6702" s="6">
        <v>3.285714286</v>
      </c>
      <c r="E6702" s="6">
        <v>35.0</v>
      </c>
    </row>
    <row r="6703">
      <c r="A6703" s="4" t="s">
        <v>13311</v>
      </c>
      <c r="B6703" s="5" t="s">
        <v>13312</v>
      </c>
      <c r="C6703" s="6">
        <v>1000.0</v>
      </c>
      <c r="D6703" s="6">
        <v>4.25</v>
      </c>
      <c r="E6703" s="6">
        <v>4.0</v>
      </c>
    </row>
    <row r="6704">
      <c r="A6704" s="4" t="s">
        <v>13313</v>
      </c>
      <c r="B6704" s="5" t="s">
        <v>13314</v>
      </c>
      <c r="C6704" s="6">
        <v>1000.0</v>
      </c>
      <c r="D6704" s="6">
        <v>5.0</v>
      </c>
      <c r="E6704" s="6">
        <v>6.0</v>
      </c>
    </row>
    <row r="6705">
      <c r="A6705" s="4" t="s">
        <v>13315</v>
      </c>
      <c r="B6705" s="5" t="s">
        <v>13316</v>
      </c>
      <c r="C6705" s="6">
        <v>1000.0</v>
      </c>
      <c r="D6705" s="6">
        <v>3.333333333</v>
      </c>
      <c r="E6705" s="6">
        <v>3.0</v>
      </c>
    </row>
    <row r="6706">
      <c r="A6706" s="4" t="s">
        <v>13317</v>
      </c>
      <c r="B6706" s="5" t="s">
        <v>13318</v>
      </c>
      <c r="C6706" s="6">
        <v>1000.0</v>
      </c>
      <c r="D6706" s="6">
        <v>5.0</v>
      </c>
      <c r="E6706" s="6">
        <v>2.0</v>
      </c>
    </row>
    <row r="6707">
      <c r="A6707" s="4" t="s">
        <v>13319</v>
      </c>
      <c r="B6707" s="5" t="s">
        <v>13320</v>
      </c>
      <c r="C6707" s="6">
        <v>1000.0</v>
      </c>
      <c r="D6707" s="6">
        <v>5.0</v>
      </c>
      <c r="E6707" s="6">
        <v>1.0</v>
      </c>
    </row>
    <row r="6708">
      <c r="A6708" s="4" t="s">
        <v>13321</v>
      </c>
      <c r="B6708" s="5" t="s">
        <v>13322</v>
      </c>
      <c r="C6708" s="6">
        <v>1000.0</v>
      </c>
      <c r="D6708" s="9"/>
      <c r="E6708" s="9"/>
    </row>
    <row r="6709">
      <c r="A6709" s="4" t="s">
        <v>13323</v>
      </c>
      <c r="B6709" s="5" t="s">
        <v>13324</v>
      </c>
      <c r="C6709" s="6">
        <v>1000.0</v>
      </c>
      <c r="D6709" s="6">
        <v>4.333333333</v>
      </c>
      <c r="E6709" s="6">
        <v>3.0</v>
      </c>
    </row>
    <row r="6710">
      <c r="A6710" s="4" t="s">
        <v>13325</v>
      </c>
      <c r="B6710" s="5" t="s">
        <v>13326</v>
      </c>
      <c r="C6710" s="6">
        <v>1000.0</v>
      </c>
      <c r="D6710" s="6">
        <v>4.911764706</v>
      </c>
      <c r="E6710" s="6">
        <v>34.0</v>
      </c>
    </row>
    <row r="6711">
      <c r="A6711" s="4" t="s">
        <v>13327</v>
      </c>
      <c r="B6711" s="5" t="s">
        <v>13328</v>
      </c>
      <c r="C6711" s="6">
        <v>1000.0</v>
      </c>
      <c r="D6711" s="6">
        <v>4.0625</v>
      </c>
      <c r="E6711" s="6">
        <v>16.0</v>
      </c>
    </row>
    <row r="6712">
      <c r="A6712" s="4" t="s">
        <v>13329</v>
      </c>
      <c r="B6712" s="5" t="s">
        <v>13330</v>
      </c>
      <c r="C6712" s="6">
        <v>1000.0</v>
      </c>
      <c r="D6712" s="6">
        <v>2.0</v>
      </c>
      <c r="E6712" s="6">
        <v>7.0</v>
      </c>
    </row>
    <row r="6713">
      <c r="A6713" s="4" t="s">
        <v>13331</v>
      </c>
      <c r="B6713" s="5" t="s">
        <v>13332</v>
      </c>
      <c r="C6713" s="6">
        <v>1000.0</v>
      </c>
      <c r="D6713" s="6">
        <v>3.142857143</v>
      </c>
      <c r="E6713" s="6">
        <v>7.0</v>
      </c>
    </row>
    <row r="6714">
      <c r="A6714" s="4" t="s">
        <v>13333</v>
      </c>
      <c r="B6714" s="5" t="s">
        <v>13334</v>
      </c>
      <c r="C6714" s="6">
        <v>1000.0</v>
      </c>
      <c r="D6714" s="6">
        <v>3.764705882</v>
      </c>
      <c r="E6714" s="6">
        <v>17.0</v>
      </c>
    </row>
    <row r="6715">
      <c r="A6715" s="4" t="s">
        <v>13335</v>
      </c>
      <c r="B6715" s="5" t="s">
        <v>13336</v>
      </c>
      <c r="C6715" s="6">
        <v>1000.0</v>
      </c>
      <c r="D6715" s="6">
        <v>3.0</v>
      </c>
      <c r="E6715" s="6">
        <v>2.0</v>
      </c>
    </row>
    <row r="6716">
      <c r="A6716" s="4" t="s">
        <v>13337</v>
      </c>
      <c r="B6716" s="5" t="s">
        <v>13338</v>
      </c>
      <c r="C6716" s="6">
        <v>1000.0</v>
      </c>
      <c r="D6716" s="6">
        <v>2.733333333</v>
      </c>
      <c r="E6716" s="6">
        <v>15.0</v>
      </c>
    </row>
    <row r="6717">
      <c r="A6717" s="4" t="s">
        <v>13339</v>
      </c>
      <c r="B6717" s="5" t="s">
        <v>13340</v>
      </c>
      <c r="C6717" s="6">
        <v>1000.0</v>
      </c>
      <c r="D6717" s="6">
        <v>4.8</v>
      </c>
      <c r="E6717" s="6">
        <v>5.0</v>
      </c>
    </row>
    <row r="6718">
      <c r="A6718" s="4" t="s">
        <v>13341</v>
      </c>
      <c r="B6718" s="5" t="s">
        <v>13342</v>
      </c>
      <c r="C6718" s="6">
        <v>1000.0</v>
      </c>
      <c r="D6718" s="6">
        <v>4.307692308</v>
      </c>
      <c r="E6718" s="6">
        <v>13.0</v>
      </c>
    </row>
    <row r="6719">
      <c r="A6719" s="4" t="s">
        <v>13343</v>
      </c>
      <c r="B6719" s="5" t="s">
        <v>13344</v>
      </c>
      <c r="C6719" s="6">
        <v>1000.0</v>
      </c>
      <c r="D6719" s="6">
        <v>4.35</v>
      </c>
      <c r="E6719" s="6">
        <v>20.0</v>
      </c>
    </row>
    <row r="6720">
      <c r="A6720" s="4" t="s">
        <v>13345</v>
      </c>
      <c r="B6720" s="5" t="s">
        <v>13346</v>
      </c>
      <c r="C6720" s="6">
        <v>1000.0</v>
      </c>
      <c r="D6720" s="6">
        <v>3.0</v>
      </c>
      <c r="E6720" s="6">
        <v>2.0</v>
      </c>
    </row>
    <row r="6721">
      <c r="A6721" s="4" t="s">
        <v>13347</v>
      </c>
      <c r="B6721" s="5" t="s">
        <v>13348</v>
      </c>
      <c r="C6721" s="6">
        <v>1000.0</v>
      </c>
      <c r="D6721" s="6">
        <v>4.475</v>
      </c>
      <c r="E6721" s="6">
        <v>40.0</v>
      </c>
    </row>
    <row r="6722">
      <c r="A6722" s="4" t="s">
        <v>13349</v>
      </c>
      <c r="B6722" s="5" t="s">
        <v>13350</v>
      </c>
      <c r="C6722" s="6">
        <v>1000.0</v>
      </c>
      <c r="D6722" s="6">
        <v>4.192307692</v>
      </c>
      <c r="E6722" s="6">
        <v>26.0</v>
      </c>
    </row>
    <row r="6723">
      <c r="A6723" s="4" t="s">
        <v>13351</v>
      </c>
      <c r="B6723" s="5" t="s">
        <v>13352</v>
      </c>
      <c r="C6723" s="6">
        <v>1000.0</v>
      </c>
      <c r="D6723" s="6">
        <v>4.666666667</v>
      </c>
      <c r="E6723" s="6">
        <v>3.0</v>
      </c>
    </row>
    <row r="6724">
      <c r="A6724" s="4" t="s">
        <v>13353</v>
      </c>
      <c r="B6724" s="5" t="s">
        <v>13354</v>
      </c>
      <c r="C6724" s="6">
        <v>1000.0</v>
      </c>
      <c r="D6724" s="6">
        <v>3.090909091</v>
      </c>
      <c r="E6724" s="6">
        <v>11.0</v>
      </c>
    </row>
    <row r="6725">
      <c r="A6725" s="4" t="s">
        <v>13355</v>
      </c>
      <c r="B6725" s="5" t="s">
        <v>13356</v>
      </c>
      <c r="C6725" s="6">
        <v>1000.0</v>
      </c>
      <c r="D6725" s="6">
        <v>3.222222222</v>
      </c>
      <c r="E6725" s="6">
        <v>27.0</v>
      </c>
    </row>
    <row r="6726">
      <c r="A6726" s="4" t="s">
        <v>13357</v>
      </c>
      <c r="B6726" s="5" t="s">
        <v>13358</v>
      </c>
      <c r="C6726" s="6">
        <v>1000.0</v>
      </c>
      <c r="D6726" s="6">
        <v>5.0</v>
      </c>
      <c r="E6726" s="6">
        <v>1.0</v>
      </c>
    </row>
    <row r="6727">
      <c r="A6727" s="4" t="s">
        <v>13359</v>
      </c>
      <c r="B6727" s="5" t="s">
        <v>13360</v>
      </c>
      <c r="C6727" s="6">
        <v>1000.0</v>
      </c>
      <c r="D6727" s="6">
        <v>1.0</v>
      </c>
      <c r="E6727" s="6">
        <v>6.0</v>
      </c>
    </row>
    <row r="6728">
      <c r="A6728" s="4" t="s">
        <v>13361</v>
      </c>
      <c r="B6728" s="5" t="s">
        <v>13362</v>
      </c>
      <c r="C6728" s="6">
        <v>1000.0</v>
      </c>
      <c r="D6728" s="6">
        <v>3.0</v>
      </c>
      <c r="E6728" s="6">
        <v>1.0</v>
      </c>
    </row>
    <row r="6729">
      <c r="A6729" s="4" t="s">
        <v>13363</v>
      </c>
      <c r="B6729" s="5" t="s">
        <v>13364</v>
      </c>
      <c r="C6729" s="6">
        <v>1000.0</v>
      </c>
      <c r="D6729" s="6">
        <v>4.933333333</v>
      </c>
      <c r="E6729" s="6">
        <v>15.0</v>
      </c>
    </row>
    <row r="6730">
      <c r="A6730" s="4" t="s">
        <v>13365</v>
      </c>
      <c r="B6730" s="5" t="s">
        <v>13366</v>
      </c>
      <c r="C6730" s="6">
        <v>1000.0</v>
      </c>
      <c r="D6730" s="6">
        <v>3.133333333</v>
      </c>
      <c r="E6730" s="6">
        <v>45.0</v>
      </c>
    </row>
    <row r="6731">
      <c r="A6731" s="4" t="s">
        <v>13367</v>
      </c>
      <c r="B6731" s="5" t="s">
        <v>13368</v>
      </c>
      <c r="C6731" s="6">
        <v>1000.0</v>
      </c>
      <c r="D6731" s="6">
        <v>4.727272727</v>
      </c>
      <c r="E6731" s="6">
        <v>11.0</v>
      </c>
    </row>
    <row r="6732">
      <c r="A6732" s="4" t="s">
        <v>13369</v>
      </c>
      <c r="B6732" s="5" t="s">
        <v>13370</v>
      </c>
      <c r="C6732" s="6">
        <v>1000.0</v>
      </c>
      <c r="D6732" s="6">
        <v>3.4</v>
      </c>
      <c r="E6732" s="6">
        <v>5.0</v>
      </c>
    </row>
    <row r="6733">
      <c r="A6733" s="4" t="s">
        <v>13371</v>
      </c>
      <c r="B6733" s="5" t="s">
        <v>13372</v>
      </c>
      <c r="C6733" s="6">
        <v>1000.0</v>
      </c>
      <c r="D6733" s="6">
        <v>2.0</v>
      </c>
      <c r="E6733" s="6">
        <v>8.0</v>
      </c>
    </row>
    <row r="6734">
      <c r="A6734" s="4" t="s">
        <v>13373</v>
      </c>
      <c r="B6734" s="12" t="s">
        <v>13374</v>
      </c>
      <c r="C6734" s="7">
        <v>1000.0</v>
      </c>
      <c r="D6734" s="6">
        <v>2.5</v>
      </c>
      <c r="E6734" s="6">
        <v>8.0</v>
      </c>
    </row>
    <row r="6735">
      <c r="A6735" s="4" t="s">
        <v>13375</v>
      </c>
      <c r="B6735" s="5" t="s">
        <v>13376</v>
      </c>
      <c r="C6735" s="6">
        <v>1000.0</v>
      </c>
      <c r="D6735" s="6">
        <v>4.055555556</v>
      </c>
      <c r="E6735" s="6">
        <v>18.0</v>
      </c>
    </row>
    <row r="6736">
      <c r="A6736" s="4" t="s">
        <v>13377</v>
      </c>
      <c r="B6736" s="5" t="s">
        <v>13378</v>
      </c>
      <c r="C6736" s="6">
        <v>1000.0</v>
      </c>
      <c r="D6736" s="6">
        <v>4.277777778</v>
      </c>
      <c r="E6736" s="6">
        <v>54.0</v>
      </c>
    </row>
    <row r="6737">
      <c r="A6737" s="4" t="s">
        <v>13379</v>
      </c>
      <c r="B6737" s="5" t="s">
        <v>13380</v>
      </c>
      <c r="C6737" s="6">
        <v>1000.0</v>
      </c>
      <c r="D6737" s="6">
        <v>5.0</v>
      </c>
      <c r="E6737" s="6">
        <v>3.0</v>
      </c>
    </row>
    <row r="6738">
      <c r="A6738" s="5" t="s">
        <v>13381</v>
      </c>
      <c r="B6738" s="5" t="s">
        <v>13382</v>
      </c>
      <c r="C6738" s="6">
        <v>1000.0</v>
      </c>
      <c r="D6738" s="6">
        <v>3.1</v>
      </c>
      <c r="E6738" s="6">
        <v>10.0</v>
      </c>
    </row>
    <row r="6739">
      <c r="A6739" s="4" t="s">
        <v>13383</v>
      </c>
      <c r="B6739" s="5" t="s">
        <v>13384</v>
      </c>
      <c r="C6739" s="6">
        <v>1000.0</v>
      </c>
      <c r="D6739" s="6">
        <v>3.727272727</v>
      </c>
      <c r="E6739" s="6">
        <v>22.0</v>
      </c>
    </row>
    <row r="6740">
      <c r="A6740" s="4" t="s">
        <v>13385</v>
      </c>
      <c r="B6740" s="5" t="s">
        <v>13386</v>
      </c>
      <c r="C6740" s="6">
        <v>1000.0</v>
      </c>
      <c r="D6740" s="6">
        <v>4.666666667</v>
      </c>
      <c r="E6740" s="6">
        <v>3.0</v>
      </c>
    </row>
    <row r="6741">
      <c r="A6741" s="4" t="s">
        <v>13387</v>
      </c>
      <c r="B6741" s="5" t="s">
        <v>13388</v>
      </c>
      <c r="C6741" s="6">
        <v>1000.0</v>
      </c>
      <c r="D6741" s="6">
        <v>3.137931034</v>
      </c>
      <c r="E6741" s="6">
        <v>29.0</v>
      </c>
    </row>
    <row r="6742">
      <c r="A6742" s="4" t="s">
        <v>13389</v>
      </c>
      <c r="B6742" s="5" t="s">
        <v>13390</v>
      </c>
      <c r="C6742" s="6">
        <v>1000.0</v>
      </c>
      <c r="D6742" s="6">
        <v>3.666666667</v>
      </c>
      <c r="E6742" s="6">
        <v>15.0</v>
      </c>
    </row>
    <row r="6743">
      <c r="A6743" s="4" t="s">
        <v>13391</v>
      </c>
      <c r="B6743" s="5" t="s">
        <v>13392</v>
      </c>
      <c r="C6743" s="6">
        <v>1000.0</v>
      </c>
      <c r="D6743" s="6">
        <v>5.0</v>
      </c>
      <c r="E6743" s="6">
        <v>1.0</v>
      </c>
    </row>
    <row r="6744">
      <c r="A6744" s="4" t="s">
        <v>13393</v>
      </c>
      <c r="B6744" s="5" t="s">
        <v>13394</v>
      </c>
      <c r="C6744" s="6">
        <v>1000.0</v>
      </c>
      <c r="D6744" s="6">
        <v>4.12</v>
      </c>
      <c r="E6744" s="6">
        <v>25.0</v>
      </c>
    </row>
    <row r="6745">
      <c r="A6745" s="4" t="s">
        <v>13395</v>
      </c>
      <c r="B6745" s="5" t="s">
        <v>13396</v>
      </c>
      <c r="C6745" s="6">
        <v>1000.0</v>
      </c>
      <c r="D6745" s="6">
        <v>4.895013123</v>
      </c>
      <c r="E6745" s="6">
        <v>381.0</v>
      </c>
    </row>
    <row r="6746">
      <c r="A6746" s="4" t="s">
        <v>13397</v>
      </c>
      <c r="B6746" s="5" t="s">
        <v>13398</v>
      </c>
      <c r="C6746" s="6">
        <v>1000.0</v>
      </c>
      <c r="D6746" s="6">
        <v>5.0</v>
      </c>
      <c r="E6746" s="6">
        <v>1.0</v>
      </c>
    </row>
    <row r="6747">
      <c r="A6747" s="4" t="s">
        <v>13399</v>
      </c>
      <c r="B6747" s="5" t="s">
        <v>13400</v>
      </c>
      <c r="C6747" s="6">
        <v>1000.0</v>
      </c>
      <c r="D6747" s="6">
        <v>5.0</v>
      </c>
      <c r="E6747" s="6">
        <v>2.0</v>
      </c>
    </row>
    <row r="6748">
      <c r="A6748" s="4" t="s">
        <v>13401</v>
      </c>
      <c r="B6748" s="5" t="s">
        <v>13402</v>
      </c>
      <c r="C6748" s="6">
        <v>1000.0</v>
      </c>
      <c r="D6748" s="6">
        <v>4.5</v>
      </c>
      <c r="E6748" s="6">
        <v>8.0</v>
      </c>
    </row>
    <row r="6749">
      <c r="A6749" s="4" t="s">
        <v>13403</v>
      </c>
      <c r="B6749" s="5" t="s">
        <v>13404</v>
      </c>
      <c r="C6749" s="6">
        <v>1000.0</v>
      </c>
      <c r="D6749" s="6">
        <v>4.0</v>
      </c>
      <c r="E6749" s="6">
        <v>4.0</v>
      </c>
    </row>
    <row r="6750">
      <c r="A6750" s="4" t="s">
        <v>13405</v>
      </c>
      <c r="B6750" s="5" t="s">
        <v>13406</v>
      </c>
      <c r="C6750" s="6">
        <v>1000.0</v>
      </c>
      <c r="D6750" s="6">
        <v>4.375</v>
      </c>
      <c r="E6750" s="6">
        <v>8.0</v>
      </c>
    </row>
    <row r="6751">
      <c r="A6751" s="4" t="s">
        <v>13407</v>
      </c>
      <c r="B6751" s="5" t="s">
        <v>13408</v>
      </c>
      <c r="C6751" s="6">
        <v>1000.0</v>
      </c>
      <c r="D6751" s="6">
        <v>3.56</v>
      </c>
      <c r="E6751" s="6">
        <v>25.0</v>
      </c>
    </row>
    <row r="6752">
      <c r="A6752" s="4" t="s">
        <v>13409</v>
      </c>
      <c r="B6752" s="5" t="s">
        <v>13410</v>
      </c>
      <c r="C6752" s="6">
        <v>1000.0</v>
      </c>
      <c r="D6752" s="6">
        <v>5.0</v>
      </c>
      <c r="E6752" s="6">
        <v>4.0</v>
      </c>
    </row>
    <row r="6753">
      <c r="A6753" s="4" t="s">
        <v>13411</v>
      </c>
      <c r="B6753" s="5" t="s">
        <v>13412</v>
      </c>
      <c r="C6753" s="6">
        <v>1000.0</v>
      </c>
      <c r="D6753" s="6">
        <v>5.0</v>
      </c>
      <c r="E6753" s="6">
        <v>1.0</v>
      </c>
    </row>
    <row r="6754">
      <c r="A6754" s="4" t="s">
        <v>13413</v>
      </c>
      <c r="B6754" s="5" t="s">
        <v>13414</v>
      </c>
      <c r="C6754" s="6">
        <v>1000.0</v>
      </c>
      <c r="D6754" s="6">
        <v>1.666666667</v>
      </c>
      <c r="E6754" s="6">
        <v>12.0</v>
      </c>
    </row>
    <row r="6755">
      <c r="A6755" s="4" t="s">
        <v>13415</v>
      </c>
      <c r="B6755" s="5" t="s">
        <v>13416</v>
      </c>
      <c r="C6755" s="6">
        <v>1000.0</v>
      </c>
      <c r="D6755" s="6">
        <v>3.59375</v>
      </c>
      <c r="E6755" s="6">
        <v>32.0</v>
      </c>
    </row>
    <row r="6756">
      <c r="A6756" s="4" t="s">
        <v>13417</v>
      </c>
      <c r="B6756" s="5" t="s">
        <v>13418</v>
      </c>
      <c r="C6756" s="6">
        <v>1000.0</v>
      </c>
      <c r="D6756" s="6">
        <v>5.0</v>
      </c>
      <c r="E6756" s="6">
        <v>35.0</v>
      </c>
    </row>
    <row r="6757">
      <c r="A6757" s="4" t="s">
        <v>13419</v>
      </c>
      <c r="B6757" s="5" t="s">
        <v>13420</v>
      </c>
      <c r="C6757" s="6">
        <v>1000.0</v>
      </c>
      <c r="D6757" s="6">
        <v>4.866666667</v>
      </c>
      <c r="E6757" s="6">
        <v>15.0</v>
      </c>
    </row>
    <row r="6758">
      <c r="A6758" s="4" t="s">
        <v>13421</v>
      </c>
      <c r="B6758" s="5" t="s">
        <v>13422</v>
      </c>
      <c r="C6758" s="6">
        <v>1000.0</v>
      </c>
      <c r="D6758" s="9"/>
      <c r="E6758" s="9"/>
    </row>
    <row r="6759">
      <c r="A6759" s="4" t="s">
        <v>13423</v>
      </c>
      <c r="B6759" s="5" t="s">
        <v>13424</v>
      </c>
      <c r="C6759" s="6">
        <v>1000.0</v>
      </c>
      <c r="D6759" s="6">
        <v>4.692307692</v>
      </c>
      <c r="E6759" s="6">
        <v>13.0</v>
      </c>
    </row>
    <row r="6760">
      <c r="A6760" s="4" t="s">
        <v>4078</v>
      </c>
      <c r="B6760" s="5" t="s">
        <v>13425</v>
      </c>
      <c r="C6760" s="6">
        <v>1000.0</v>
      </c>
      <c r="D6760" s="6">
        <v>4.666666667</v>
      </c>
      <c r="E6760" s="6">
        <v>3.0</v>
      </c>
    </row>
    <row r="6761">
      <c r="A6761" s="4" t="s">
        <v>13426</v>
      </c>
      <c r="B6761" s="5" t="s">
        <v>13427</v>
      </c>
      <c r="C6761" s="6">
        <v>1000.0</v>
      </c>
      <c r="D6761" s="6">
        <v>5.0</v>
      </c>
      <c r="E6761" s="6">
        <v>2.0</v>
      </c>
    </row>
    <row r="6762">
      <c r="A6762" s="4" t="s">
        <v>13428</v>
      </c>
      <c r="B6762" s="5" t="s">
        <v>13429</v>
      </c>
      <c r="C6762" s="6">
        <v>1000.0</v>
      </c>
      <c r="D6762" s="6">
        <v>3.8</v>
      </c>
      <c r="E6762" s="6">
        <v>30.0</v>
      </c>
    </row>
    <row r="6763">
      <c r="A6763" s="4" t="s">
        <v>13430</v>
      </c>
      <c r="B6763" s="5" t="s">
        <v>13431</v>
      </c>
      <c r="C6763" s="6">
        <v>1000.0</v>
      </c>
      <c r="D6763" s="6">
        <v>1.8</v>
      </c>
      <c r="E6763" s="6">
        <v>10.0</v>
      </c>
    </row>
    <row r="6764">
      <c r="A6764" s="4" t="s">
        <v>13432</v>
      </c>
      <c r="B6764" s="5" t="s">
        <v>13433</v>
      </c>
      <c r="C6764" s="6">
        <v>1000.0</v>
      </c>
      <c r="D6764" s="6">
        <v>3.555555556</v>
      </c>
      <c r="E6764" s="6">
        <v>9.0</v>
      </c>
    </row>
    <row r="6765">
      <c r="A6765" s="4" t="s">
        <v>13434</v>
      </c>
      <c r="B6765" s="5" t="s">
        <v>13435</v>
      </c>
      <c r="C6765" s="6">
        <v>1000.0</v>
      </c>
      <c r="D6765" s="6">
        <v>4.285714286</v>
      </c>
      <c r="E6765" s="6">
        <v>7.0</v>
      </c>
    </row>
    <row r="6766">
      <c r="A6766" s="4" t="s">
        <v>13436</v>
      </c>
      <c r="B6766" s="5" t="s">
        <v>13437</v>
      </c>
      <c r="C6766" s="6">
        <v>1000.0</v>
      </c>
      <c r="D6766" s="6">
        <v>4.166666667</v>
      </c>
      <c r="E6766" s="6">
        <v>30.0</v>
      </c>
    </row>
    <row r="6767">
      <c r="A6767" s="4" t="s">
        <v>13438</v>
      </c>
      <c r="B6767" s="5" t="s">
        <v>13439</v>
      </c>
      <c r="C6767" s="6">
        <v>1000.0</v>
      </c>
      <c r="D6767" s="6">
        <v>4.090909091</v>
      </c>
      <c r="E6767" s="6">
        <v>11.0</v>
      </c>
    </row>
    <row r="6768">
      <c r="A6768" s="4" t="s">
        <v>13440</v>
      </c>
      <c r="B6768" s="5" t="s">
        <v>13441</v>
      </c>
      <c r="C6768" s="6">
        <v>1000.0</v>
      </c>
      <c r="D6768" s="6">
        <v>5.0</v>
      </c>
      <c r="E6768" s="6">
        <v>21.0</v>
      </c>
    </row>
    <row r="6769">
      <c r="A6769" s="4" t="s">
        <v>13442</v>
      </c>
      <c r="B6769" s="5" t="s">
        <v>13443</v>
      </c>
      <c r="C6769" s="6">
        <v>1000.0</v>
      </c>
      <c r="D6769" s="6">
        <v>5.0</v>
      </c>
      <c r="E6769" s="6">
        <v>5.0</v>
      </c>
    </row>
    <row r="6770">
      <c r="A6770" s="4" t="s">
        <v>13444</v>
      </c>
      <c r="B6770" s="5" t="s">
        <v>13445</v>
      </c>
      <c r="C6770" s="6">
        <v>1000.0</v>
      </c>
      <c r="D6770" s="6">
        <v>5.0</v>
      </c>
      <c r="E6770" s="6">
        <v>4.0</v>
      </c>
    </row>
    <row r="6771">
      <c r="A6771" s="4" t="s">
        <v>13446</v>
      </c>
      <c r="B6771" s="5" t="s">
        <v>13447</v>
      </c>
      <c r="C6771" s="6">
        <v>1000.0</v>
      </c>
      <c r="D6771" s="6">
        <v>3.333333333</v>
      </c>
      <c r="E6771" s="6">
        <v>3.0</v>
      </c>
    </row>
    <row r="6772">
      <c r="A6772" s="4" t="s">
        <v>13448</v>
      </c>
      <c r="B6772" s="5" t="s">
        <v>13449</v>
      </c>
      <c r="C6772" s="6">
        <v>1000.0</v>
      </c>
      <c r="D6772" s="6">
        <v>4.921568627</v>
      </c>
      <c r="E6772" s="6">
        <v>51.0</v>
      </c>
    </row>
    <row r="6773">
      <c r="A6773" s="4" t="s">
        <v>13450</v>
      </c>
      <c r="B6773" s="5" t="s">
        <v>13451</v>
      </c>
      <c r="C6773" s="6">
        <v>1000.0</v>
      </c>
      <c r="D6773" s="6">
        <v>1.666666667</v>
      </c>
      <c r="E6773" s="6">
        <v>3.0</v>
      </c>
    </row>
    <row r="6774">
      <c r="A6774" s="4" t="s">
        <v>13452</v>
      </c>
      <c r="B6774" s="5" t="s">
        <v>13453</v>
      </c>
      <c r="C6774" s="6">
        <v>1000.0</v>
      </c>
      <c r="D6774" s="6">
        <v>3.352941176</v>
      </c>
      <c r="E6774" s="6">
        <v>17.0</v>
      </c>
    </row>
    <row r="6775">
      <c r="A6775" s="4" t="s">
        <v>13454</v>
      </c>
      <c r="B6775" s="5" t="s">
        <v>13455</v>
      </c>
      <c r="C6775" s="6">
        <v>1000.0</v>
      </c>
      <c r="D6775" s="6">
        <v>2.5</v>
      </c>
      <c r="E6775" s="6">
        <v>14.0</v>
      </c>
    </row>
    <row r="6776">
      <c r="A6776" s="4" t="s">
        <v>13456</v>
      </c>
      <c r="B6776" s="5" t="s">
        <v>13457</v>
      </c>
      <c r="C6776" s="6">
        <v>1000.0</v>
      </c>
      <c r="D6776" s="6">
        <v>3.727272727</v>
      </c>
      <c r="E6776" s="6">
        <v>11.0</v>
      </c>
    </row>
    <row r="6777">
      <c r="A6777" s="4" t="s">
        <v>13458</v>
      </c>
      <c r="B6777" s="5" t="s">
        <v>13459</v>
      </c>
      <c r="C6777" s="6">
        <v>1000.0</v>
      </c>
      <c r="D6777" s="9"/>
      <c r="E6777" s="9"/>
    </row>
    <row r="6778">
      <c r="A6778" s="4" t="s">
        <v>13460</v>
      </c>
      <c r="B6778" s="5" t="s">
        <v>13461</v>
      </c>
      <c r="C6778" s="6">
        <v>1000.0</v>
      </c>
      <c r="D6778" s="6">
        <v>4.866666667</v>
      </c>
      <c r="E6778" s="6">
        <v>15.0</v>
      </c>
    </row>
    <row r="6779">
      <c r="A6779" s="4" t="s">
        <v>13462</v>
      </c>
      <c r="B6779" s="5" t="s">
        <v>13463</v>
      </c>
      <c r="C6779" s="6">
        <v>1000.0</v>
      </c>
      <c r="D6779" s="6">
        <v>1.0</v>
      </c>
      <c r="E6779" s="6">
        <v>1.0</v>
      </c>
    </row>
    <row r="6780">
      <c r="A6780" s="4" t="s">
        <v>13464</v>
      </c>
      <c r="B6780" s="5" t="s">
        <v>13465</v>
      </c>
      <c r="C6780" s="6">
        <v>1000.0</v>
      </c>
      <c r="D6780" s="6">
        <v>3.961538462</v>
      </c>
      <c r="E6780" s="6">
        <v>52.0</v>
      </c>
    </row>
    <row r="6781">
      <c r="A6781" s="4" t="s">
        <v>13466</v>
      </c>
      <c r="B6781" s="5" t="s">
        <v>13467</v>
      </c>
      <c r="C6781" s="6">
        <v>1000.0</v>
      </c>
      <c r="D6781" s="6">
        <v>1.444444444</v>
      </c>
      <c r="E6781" s="6">
        <v>9.0</v>
      </c>
    </row>
    <row r="6782">
      <c r="A6782" s="4" t="s">
        <v>13468</v>
      </c>
      <c r="B6782" s="5" t="s">
        <v>13469</v>
      </c>
      <c r="C6782" s="6">
        <v>1000.0</v>
      </c>
      <c r="D6782" s="6">
        <v>5.0</v>
      </c>
      <c r="E6782" s="6">
        <v>4.0</v>
      </c>
    </row>
    <row r="6783">
      <c r="A6783" s="4" t="s">
        <v>13470</v>
      </c>
      <c r="B6783" s="5" t="s">
        <v>13471</v>
      </c>
      <c r="C6783" s="6">
        <v>1000.0</v>
      </c>
      <c r="D6783" s="6">
        <v>1.333333333</v>
      </c>
      <c r="E6783" s="6">
        <v>3.0</v>
      </c>
    </row>
    <row r="6784">
      <c r="A6784" s="4" t="s">
        <v>13472</v>
      </c>
      <c r="B6784" s="5" t="s">
        <v>13473</v>
      </c>
      <c r="C6784" s="6">
        <v>1000.0</v>
      </c>
      <c r="D6784" s="6">
        <v>4.0</v>
      </c>
      <c r="E6784" s="6">
        <v>6.0</v>
      </c>
    </row>
    <row r="6785">
      <c r="A6785" s="4" t="s">
        <v>13474</v>
      </c>
      <c r="B6785" s="5" t="s">
        <v>13475</v>
      </c>
      <c r="C6785" s="6">
        <v>1000.0</v>
      </c>
      <c r="D6785" s="6">
        <v>3.886792453</v>
      </c>
      <c r="E6785" s="6">
        <v>53.0</v>
      </c>
    </row>
    <row r="6786">
      <c r="A6786" s="4" t="s">
        <v>13476</v>
      </c>
      <c r="B6786" s="5" t="s">
        <v>13477</v>
      </c>
      <c r="C6786" s="6">
        <v>1000.0</v>
      </c>
      <c r="D6786" s="6">
        <v>3.111111111</v>
      </c>
      <c r="E6786" s="6">
        <v>63.0</v>
      </c>
    </row>
    <row r="6787">
      <c r="A6787" s="4" t="s">
        <v>13478</v>
      </c>
      <c r="B6787" s="5" t="s">
        <v>13479</v>
      </c>
      <c r="C6787" s="6">
        <v>1000.0</v>
      </c>
      <c r="D6787" s="6">
        <v>4.69047619</v>
      </c>
      <c r="E6787" s="6">
        <v>42.0</v>
      </c>
    </row>
    <row r="6788">
      <c r="A6788" s="4" t="s">
        <v>13480</v>
      </c>
      <c r="B6788" s="5" t="s">
        <v>13481</v>
      </c>
      <c r="C6788" s="6">
        <v>1000.0</v>
      </c>
      <c r="D6788" s="6">
        <v>4.153846154</v>
      </c>
      <c r="E6788" s="6">
        <v>13.0</v>
      </c>
    </row>
    <row r="6789">
      <c r="A6789" s="4" t="s">
        <v>13482</v>
      </c>
      <c r="B6789" s="5" t="s">
        <v>13483</v>
      </c>
      <c r="C6789" s="6">
        <v>1000.0</v>
      </c>
      <c r="D6789" s="6">
        <v>4.7</v>
      </c>
      <c r="E6789" s="6">
        <v>10.0</v>
      </c>
    </row>
    <row r="6790">
      <c r="A6790" s="4" t="s">
        <v>13484</v>
      </c>
      <c r="B6790" s="5" t="s">
        <v>13485</v>
      </c>
      <c r="C6790" s="6">
        <v>1000.0</v>
      </c>
      <c r="D6790" s="6">
        <v>5.0</v>
      </c>
      <c r="E6790" s="6">
        <v>1.0</v>
      </c>
    </row>
    <row r="6791">
      <c r="A6791" s="4" t="s">
        <v>13486</v>
      </c>
      <c r="B6791" s="5" t="s">
        <v>13487</v>
      </c>
      <c r="C6791" s="6">
        <v>1000.0</v>
      </c>
      <c r="D6791" s="6">
        <v>4.0</v>
      </c>
      <c r="E6791" s="6">
        <v>3.0</v>
      </c>
    </row>
    <row r="6792">
      <c r="A6792" s="4" t="s">
        <v>13488</v>
      </c>
      <c r="B6792" s="5" t="s">
        <v>13489</v>
      </c>
      <c r="C6792" s="6">
        <v>1000.0</v>
      </c>
      <c r="D6792" s="6">
        <v>3.714285714</v>
      </c>
      <c r="E6792" s="6">
        <v>7.0</v>
      </c>
    </row>
    <row r="6793">
      <c r="A6793" s="4" t="s">
        <v>13490</v>
      </c>
      <c r="B6793" s="5" t="s">
        <v>13491</v>
      </c>
      <c r="C6793" s="6">
        <v>1000.0</v>
      </c>
      <c r="D6793" s="6">
        <v>4.06122449</v>
      </c>
      <c r="E6793" s="6">
        <v>49.0</v>
      </c>
    </row>
    <row r="6794">
      <c r="A6794" s="4" t="s">
        <v>13492</v>
      </c>
      <c r="B6794" s="5" t="s">
        <v>13493</v>
      </c>
      <c r="C6794" s="6">
        <v>1000.0</v>
      </c>
      <c r="D6794" s="6">
        <v>5.0</v>
      </c>
      <c r="E6794" s="6">
        <v>3.0</v>
      </c>
    </row>
    <row r="6795">
      <c r="A6795" s="4" t="s">
        <v>13494</v>
      </c>
      <c r="B6795" s="5" t="s">
        <v>13495</v>
      </c>
      <c r="C6795" s="6">
        <v>1000.0</v>
      </c>
      <c r="D6795" s="6">
        <v>4.5</v>
      </c>
      <c r="E6795" s="6">
        <v>2.0</v>
      </c>
    </row>
    <row r="6796">
      <c r="A6796" s="4" t="s">
        <v>13496</v>
      </c>
      <c r="B6796" s="5" t="s">
        <v>13497</v>
      </c>
      <c r="C6796" s="6">
        <v>1000.0</v>
      </c>
      <c r="D6796" s="6">
        <v>5.0</v>
      </c>
      <c r="E6796" s="6">
        <v>20.0</v>
      </c>
    </row>
    <row r="6797">
      <c r="A6797" s="4" t="s">
        <v>13498</v>
      </c>
      <c r="B6797" s="5" t="s">
        <v>13499</v>
      </c>
      <c r="C6797" s="6">
        <v>1000.0</v>
      </c>
      <c r="D6797" s="6">
        <v>4.428571429</v>
      </c>
      <c r="E6797" s="6">
        <v>7.0</v>
      </c>
    </row>
    <row r="6798">
      <c r="A6798" s="4" t="s">
        <v>13500</v>
      </c>
      <c r="B6798" s="5" t="s">
        <v>13501</v>
      </c>
      <c r="C6798" s="6">
        <v>1000.0</v>
      </c>
      <c r="D6798" s="6">
        <v>2.0</v>
      </c>
      <c r="E6798" s="6">
        <v>4.0</v>
      </c>
    </row>
    <row r="6799">
      <c r="A6799" s="4" t="s">
        <v>13502</v>
      </c>
      <c r="B6799" s="5" t="s">
        <v>13503</v>
      </c>
      <c r="C6799" s="6">
        <v>1000.0</v>
      </c>
      <c r="D6799" s="6">
        <v>4.862745098</v>
      </c>
      <c r="E6799" s="6">
        <v>153.0</v>
      </c>
    </row>
    <row r="6800">
      <c r="A6800" s="4" t="s">
        <v>13504</v>
      </c>
      <c r="B6800" s="5" t="s">
        <v>13505</v>
      </c>
      <c r="C6800" s="6">
        <v>1000.0</v>
      </c>
      <c r="D6800" s="6">
        <v>4.357142857</v>
      </c>
      <c r="E6800" s="6">
        <v>14.0</v>
      </c>
    </row>
    <row r="6801">
      <c r="A6801" s="4" t="s">
        <v>13506</v>
      </c>
      <c r="B6801" s="5" t="s">
        <v>13507</v>
      </c>
      <c r="C6801" s="6">
        <v>1000.0</v>
      </c>
      <c r="D6801" s="6">
        <v>5.0</v>
      </c>
      <c r="E6801" s="6">
        <v>6.0</v>
      </c>
    </row>
    <row r="6802">
      <c r="A6802" s="4" t="s">
        <v>13508</v>
      </c>
      <c r="B6802" s="5" t="s">
        <v>13509</v>
      </c>
      <c r="C6802" s="6">
        <v>1000.0</v>
      </c>
      <c r="D6802" s="6">
        <v>4.840909091</v>
      </c>
      <c r="E6802" s="6">
        <v>44.0</v>
      </c>
    </row>
    <row r="6803">
      <c r="A6803" s="4" t="s">
        <v>13510</v>
      </c>
      <c r="B6803" s="5" t="s">
        <v>13511</v>
      </c>
      <c r="C6803" s="6">
        <v>1000.0</v>
      </c>
      <c r="D6803" s="6">
        <v>5.0</v>
      </c>
      <c r="E6803" s="6">
        <v>3.0</v>
      </c>
    </row>
    <row r="6804">
      <c r="A6804" s="4" t="s">
        <v>13512</v>
      </c>
      <c r="B6804" s="5" t="s">
        <v>13513</v>
      </c>
      <c r="C6804" s="6">
        <v>1000.0</v>
      </c>
      <c r="D6804" s="6">
        <v>3.0</v>
      </c>
      <c r="E6804" s="6">
        <v>2.0</v>
      </c>
    </row>
    <row r="6805">
      <c r="A6805" s="4" t="s">
        <v>13514</v>
      </c>
      <c r="B6805" s="5" t="s">
        <v>13515</v>
      </c>
      <c r="C6805" s="6">
        <v>1000.0</v>
      </c>
      <c r="D6805" s="6">
        <v>5.0</v>
      </c>
      <c r="E6805" s="6">
        <v>4.0</v>
      </c>
    </row>
    <row r="6806">
      <c r="A6806" s="4" t="s">
        <v>13516</v>
      </c>
      <c r="B6806" s="5" t="s">
        <v>13517</v>
      </c>
      <c r="C6806" s="6">
        <v>1000.0</v>
      </c>
      <c r="D6806" s="6">
        <v>4.2</v>
      </c>
      <c r="E6806" s="6">
        <v>5.0</v>
      </c>
    </row>
    <row r="6807">
      <c r="A6807" s="4" t="s">
        <v>13518</v>
      </c>
      <c r="B6807" s="5" t="s">
        <v>13519</v>
      </c>
      <c r="C6807" s="6">
        <v>1000.0</v>
      </c>
      <c r="D6807" s="6">
        <v>4.94</v>
      </c>
      <c r="E6807" s="6">
        <v>50.0</v>
      </c>
    </row>
    <row r="6808">
      <c r="A6808" s="4" t="s">
        <v>13520</v>
      </c>
      <c r="B6808" s="5" t="s">
        <v>13521</v>
      </c>
      <c r="C6808" s="6">
        <v>1000.0</v>
      </c>
      <c r="D6808" s="6">
        <v>4.75</v>
      </c>
      <c r="E6808" s="6">
        <v>4.0</v>
      </c>
    </row>
    <row r="6809">
      <c r="A6809" s="4" t="s">
        <v>13522</v>
      </c>
      <c r="B6809" s="5" t="s">
        <v>13523</v>
      </c>
      <c r="C6809" s="6">
        <v>1000.0</v>
      </c>
      <c r="D6809" s="9"/>
      <c r="E6809" s="9"/>
    </row>
    <row r="6810">
      <c r="A6810" s="4" t="s">
        <v>13524</v>
      </c>
      <c r="B6810" s="5" t="s">
        <v>13525</v>
      </c>
      <c r="C6810" s="6">
        <v>1000.0</v>
      </c>
      <c r="D6810" s="6">
        <v>1.7</v>
      </c>
      <c r="E6810" s="6">
        <v>10.0</v>
      </c>
    </row>
    <row r="6811">
      <c r="A6811" s="5" t="s">
        <v>13526</v>
      </c>
      <c r="B6811" s="5" t="s">
        <v>13527</v>
      </c>
      <c r="C6811" s="6">
        <v>1000.0</v>
      </c>
      <c r="D6811" s="6">
        <v>4.833333333</v>
      </c>
      <c r="E6811" s="6">
        <v>66.0</v>
      </c>
    </row>
    <row r="6812">
      <c r="A6812" s="4" t="s">
        <v>13528</v>
      </c>
      <c r="B6812" s="5" t="s">
        <v>13529</v>
      </c>
      <c r="C6812" s="6">
        <v>1000.0</v>
      </c>
      <c r="D6812" s="6">
        <v>3.5625</v>
      </c>
      <c r="E6812" s="6">
        <v>16.0</v>
      </c>
    </row>
    <row r="6813">
      <c r="A6813" s="4" t="s">
        <v>13530</v>
      </c>
      <c r="B6813" s="5" t="s">
        <v>13531</v>
      </c>
      <c r="C6813" s="6">
        <v>1000.0</v>
      </c>
      <c r="D6813" s="6">
        <v>4.5</v>
      </c>
      <c r="E6813" s="6">
        <v>12.0</v>
      </c>
    </row>
    <row r="6814">
      <c r="A6814" s="4" t="s">
        <v>13532</v>
      </c>
      <c r="B6814" s="5" t="s">
        <v>13533</v>
      </c>
      <c r="C6814" s="6">
        <v>1000.0</v>
      </c>
      <c r="D6814" s="6">
        <v>3.5</v>
      </c>
      <c r="E6814" s="6">
        <v>22.0</v>
      </c>
    </row>
    <row r="6815">
      <c r="A6815" s="4" t="s">
        <v>13534</v>
      </c>
      <c r="B6815" s="5" t="s">
        <v>13535</v>
      </c>
      <c r="C6815" s="6">
        <v>1000.0</v>
      </c>
      <c r="D6815" s="6">
        <v>3.862068966</v>
      </c>
      <c r="E6815" s="6">
        <v>29.0</v>
      </c>
    </row>
    <row r="6816">
      <c r="A6816" s="4" t="s">
        <v>13536</v>
      </c>
      <c r="B6816" s="5" t="s">
        <v>13537</v>
      </c>
      <c r="C6816" s="6">
        <v>1000.0</v>
      </c>
      <c r="D6816" s="6">
        <v>5.0</v>
      </c>
      <c r="E6816" s="6">
        <v>8.0</v>
      </c>
    </row>
    <row r="6817">
      <c r="A6817" s="4" t="s">
        <v>13538</v>
      </c>
      <c r="B6817" s="5" t="s">
        <v>13539</v>
      </c>
      <c r="C6817" s="6">
        <v>1000.0</v>
      </c>
      <c r="D6817" s="6">
        <v>3.5</v>
      </c>
      <c r="E6817" s="6">
        <v>4.0</v>
      </c>
    </row>
    <row r="6818">
      <c r="A6818" s="4" t="s">
        <v>13540</v>
      </c>
      <c r="B6818" s="5" t="s">
        <v>13541</v>
      </c>
      <c r="C6818" s="6">
        <v>1000.0</v>
      </c>
      <c r="D6818" s="6">
        <v>4.412698413</v>
      </c>
      <c r="E6818" s="6">
        <v>63.0</v>
      </c>
    </row>
    <row r="6819">
      <c r="A6819" s="4" t="s">
        <v>13542</v>
      </c>
      <c r="B6819" s="5" t="s">
        <v>13543</v>
      </c>
      <c r="C6819" s="6">
        <v>1000.0</v>
      </c>
      <c r="D6819" s="6">
        <v>5.0</v>
      </c>
      <c r="E6819" s="6">
        <v>4.0</v>
      </c>
    </row>
    <row r="6820">
      <c r="A6820" s="4" t="s">
        <v>13544</v>
      </c>
      <c r="B6820" s="5" t="s">
        <v>13545</v>
      </c>
      <c r="C6820" s="6">
        <v>1000.0</v>
      </c>
      <c r="D6820" s="6">
        <v>4.151515152</v>
      </c>
      <c r="E6820" s="6">
        <v>33.0</v>
      </c>
    </row>
    <row r="6821">
      <c r="A6821" s="4" t="s">
        <v>13546</v>
      </c>
      <c r="B6821" s="5" t="s">
        <v>13547</v>
      </c>
      <c r="C6821" s="6">
        <v>1000.0</v>
      </c>
      <c r="D6821" s="9"/>
      <c r="E6821" s="9"/>
    </row>
    <row r="6822">
      <c r="A6822" s="4" t="s">
        <v>13548</v>
      </c>
      <c r="B6822" s="5" t="s">
        <v>13549</v>
      </c>
      <c r="C6822" s="6">
        <v>1000.0</v>
      </c>
      <c r="D6822" s="6">
        <v>4.129032258</v>
      </c>
      <c r="E6822" s="6">
        <v>31.0</v>
      </c>
    </row>
    <row r="6823">
      <c r="A6823" s="4" t="s">
        <v>13550</v>
      </c>
      <c r="B6823" s="5" t="s">
        <v>13551</v>
      </c>
      <c r="C6823" s="6">
        <v>1000.0</v>
      </c>
      <c r="D6823" s="6">
        <v>3.0</v>
      </c>
      <c r="E6823" s="6">
        <v>6.0</v>
      </c>
    </row>
    <row r="6824">
      <c r="A6824" s="4" t="s">
        <v>13552</v>
      </c>
      <c r="B6824" s="5" t="s">
        <v>13553</v>
      </c>
      <c r="C6824" s="6">
        <v>1000.0</v>
      </c>
      <c r="D6824" s="6">
        <v>2.2</v>
      </c>
      <c r="E6824" s="6">
        <v>5.0</v>
      </c>
    </row>
    <row r="6825">
      <c r="A6825" s="4" t="s">
        <v>13554</v>
      </c>
      <c r="B6825" s="5" t="s">
        <v>13555</v>
      </c>
      <c r="C6825" s="6">
        <v>1000.0</v>
      </c>
      <c r="D6825" s="6">
        <v>4.428571429</v>
      </c>
      <c r="E6825" s="6">
        <v>7.0</v>
      </c>
    </row>
    <row r="6826">
      <c r="A6826" s="4" t="s">
        <v>13556</v>
      </c>
      <c r="B6826" s="5" t="s">
        <v>13557</v>
      </c>
      <c r="C6826" s="6">
        <v>1000.0</v>
      </c>
      <c r="D6826" s="6">
        <v>3.404255319</v>
      </c>
      <c r="E6826" s="6">
        <v>47.0</v>
      </c>
    </row>
    <row r="6827">
      <c r="A6827" s="4" t="s">
        <v>13558</v>
      </c>
      <c r="B6827" s="5" t="s">
        <v>13559</v>
      </c>
      <c r="C6827" s="6">
        <v>1000.0</v>
      </c>
      <c r="D6827" s="6">
        <v>4.5</v>
      </c>
      <c r="E6827" s="6">
        <v>8.0</v>
      </c>
    </row>
    <row r="6828">
      <c r="A6828" s="4" t="s">
        <v>13560</v>
      </c>
      <c r="B6828" s="5" t="s">
        <v>13561</v>
      </c>
      <c r="C6828" s="6">
        <v>1000.0</v>
      </c>
      <c r="D6828" s="6">
        <v>3.222222222</v>
      </c>
      <c r="E6828" s="6">
        <v>9.0</v>
      </c>
    </row>
    <row r="6829">
      <c r="A6829" s="4" t="s">
        <v>13562</v>
      </c>
      <c r="B6829" s="5" t="s">
        <v>13563</v>
      </c>
      <c r="C6829" s="6">
        <v>1000.0</v>
      </c>
      <c r="D6829" s="6">
        <v>3.714285714</v>
      </c>
      <c r="E6829" s="6">
        <v>35.0</v>
      </c>
    </row>
    <row r="6830">
      <c r="A6830" s="4" t="s">
        <v>13564</v>
      </c>
      <c r="B6830" s="5" t="s">
        <v>13565</v>
      </c>
      <c r="C6830" s="6">
        <v>1000.0</v>
      </c>
      <c r="D6830" s="6">
        <v>4.340425532</v>
      </c>
      <c r="E6830" s="6">
        <v>94.0</v>
      </c>
    </row>
    <row r="6831">
      <c r="A6831" s="4" t="s">
        <v>13566</v>
      </c>
      <c r="B6831" s="5" t="s">
        <v>13567</v>
      </c>
      <c r="C6831" s="6">
        <v>1000.0</v>
      </c>
      <c r="D6831" s="6">
        <v>2.5</v>
      </c>
      <c r="E6831" s="6">
        <v>4.0</v>
      </c>
    </row>
    <row r="6832">
      <c r="A6832" s="4" t="s">
        <v>13568</v>
      </c>
      <c r="B6832" s="5" t="s">
        <v>13569</v>
      </c>
      <c r="C6832" s="6">
        <v>1000.0</v>
      </c>
      <c r="D6832" s="6">
        <v>4.407407407</v>
      </c>
      <c r="E6832" s="6">
        <v>27.0</v>
      </c>
    </row>
    <row r="6833">
      <c r="A6833" s="4" t="s">
        <v>13570</v>
      </c>
      <c r="B6833" s="5" t="s">
        <v>13571</v>
      </c>
      <c r="C6833" s="6">
        <v>1000.0</v>
      </c>
      <c r="D6833" s="6">
        <v>5.0</v>
      </c>
      <c r="E6833" s="6">
        <v>18.0</v>
      </c>
    </row>
    <row r="6834">
      <c r="A6834" s="4" t="s">
        <v>13572</v>
      </c>
      <c r="B6834" s="5" t="s">
        <v>13573</v>
      </c>
      <c r="C6834" s="6">
        <v>1000.0</v>
      </c>
      <c r="D6834" s="6">
        <v>3.0</v>
      </c>
      <c r="E6834" s="6">
        <v>2.0</v>
      </c>
    </row>
    <row r="6835">
      <c r="A6835" s="4" t="s">
        <v>13574</v>
      </c>
      <c r="B6835" s="5" t="s">
        <v>13575</v>
      </c>
      <c r="C6835" s="6">
        <v>1000.0</v>
      </c>
      <c r="D6835" s="6">
        <v>5.0</v>
      </c>
      <c r="E6835" s="6">
        <v>6.0</v>
      </c>
    </row>
    <row r="6836">
      <c r="A6836" s="4" t="s">
        <v>13576</v>
      </c>
      <c r="B6836" s="5" t="s">
        <v>13577</v>
      </c>
      <c r="C6836" s="6">
        <v>1000.0</v>
      </c>
      <c r="D6836" s="6">
        <v>3.5</v>
      </c>
      <c r="E6836" s="6">
        <v>16.0</v>
      </c>
    </row>
    <row r="6837">
      <c r="A6837" s="4" t="s">
        <v>13578</v>
      </c>
      <c r="B6837" s="5" t="s">
        <v>13579</v>
      </c>
      <c r="C6837" s="6">
        <v>1000.0</v>
      </c>
      <c r="D6837" s="6">
        <v>4.0</v>
      </c>
      <c r="E6837" s="6">
        <v>10.0</v>
      </c>
    </row>
    <row r="6838">
      <c r="A6838" s="4" t="s">
        <v>13580</v>
      </c>
      <c r="B6838" s="5" t="s">
        <v>13581</v>
      </c>
      <c r="C6838" s="6">
        <v>1000.0</v>
      </c>
      <c r="D6838" s="6">
        <v>3.3</v>
      </c>
      <c r="E6838" s="6">
        <v>10.0</v>
      </c>
    </row>
    <row r="6839">
      <c r="A6839" s="4" t="s">
        <v>13582</v>
      </c>
      <c r="B6839" s="5" t="s">
        <v>13583</v>
      </c>
      <c r="C6839" s="6">
        <v>1000.0</v>
      </c>
      <c r="D6839" s="6">
        <v>3.545454545</v>
      </c>
      <c r="E6839" s="6">
        <v>11.0</v>
      </c>
    </row>
    <row r="6840">
      <c r="A6840" s="4" t="s">
        <v>13584</v>
      </c>
      <c r="B6840" s="5" t="s">
        <v>13585</v>
      </c>
      <c r="C6840" s="6">
        <v>1000.0</v>
      </c>
      <c r="D6840" s="6">
        <v>4.804878049</v>
      </c>
      <c r="E6840" s="6">
        <v>41.0</v>
      </c>
    </row>
    <row r="6841">
      <c r="A6841" s="4" t="s">
        <v>13586</v>
      </c>
      <c r="B6841" s="5" t="s">
        <v>13587</v>
      </c>
      <c r="C6841" s="6">
        <v>1000.0</v>
      </c>
      <c r="D6841" s="6">
        <v>3.4</v>
      </c>
      <c r="E6841" s="6">
        <v>10.0</v>
      </c>
    </row>
    <row r="6842">
      <c r="A6842" s="4" t="s">
        <v>13588</v>
      </c>
      <c r="B6842" s="5" t="s">
        <v>13589</v>
      </c>
      <c r="C6842" s="6">
        <v>1000.0</v>
      </c>
      <c r="D6842" s="6">
        <v>3.933333333</v>
      </c>
      <c r="E6842" s="6">
        <v>15.0</v>
      </c>
    </row>
    <row r="6843">
      <c r="A6843" s="4" t="s">
        <v>13590</v>
      </c>
      <c r="B6843" s="5" t="s">
        <v>13591</v>
      </c>
      <c r="C6843" s="6">
        <v>1000.0</v>
      </c>
      <c r="D6843" s="6">
        <v>3.75</v>
      </c>
      <c r="E6843" s="6">
        <v>8.0</v>
      </c>
    </row>
    <row r="6844">
      <c r="A6844" s="4" t="s">
        <v>13592</v>
      </c>
      <c r="B6844" s="5" t="s">
        <v>13593</v>
      </c>
      <c r="C6844" s="6">
        <v>1000.0</v>
      </c>
      <c r="D6844" s="9"/>
      <c r="E6844" s="9"/>
    </row>
    <row r="6845">
      <c r="A6845" s="4" t="s">
        <v>13594</v>
      </c>
      <c r="B6845" s="5" t="s">
        <v>13595</v>
      </c>
      <c r="C6845" s="6">
        <v>1000.0</v>
      </c>
      <c r="D6845" s="9"/>
      <c r="E6845" s="9"/>
    </row>
    <row r="6846">
      <c r="A6846" s="4" t="s">
        <v>13596</v>
      </c>
      <c r="B6846" s="5" t="s">
        <v>13597</v>
      </c>
      <c r="C6846" s="6">
        <v>1000.0</v>
      </c>
      <c r="D6846" s="6">
        <v>3.666666667</v>
      </c>
      <c r="E6846" s="6">
        <v>6.0</v>
      </c>
    </row>
    <row r="6847">
      <c r="A6847" s="4" t="s">
        <v>13598</v>
      </c>
      <c r="B6847" s="5" t="s">
        <v>13599</v>
      </c>
      <c r="C6847" s="6">
        <v>1000.0</v>
      </c>
      <c r="D6847" s="6">
        <v>4.5</v>
      </c>
      <c r="E6847" s="6">
        <v>4.0</v>
      </c>
    </row>
    <row r="6848">
      <c r="A6848" s="4" t="s">
        <v>13600</v>
      </c>
      <c r="B6848" s="5" t="s">
        <v>13601</v>
      </c>
      <c r="C6848" s="6">
        <v>1000.0</v>
      </c>
      <c r="D6848" s="6">
        <v>4.733333333</v>
      </c>
      <c r="E6848" s="6">
        <v>30.0</v>
      </c>
    </row>
    <row r="6849">
      <c r="A6849" s="4" t="s">
        <v>13602</v>
      </c>
      <c r="B6849" s="5" t="s">
        <v>13603</v>
      </c>
      <c r="C6849" s="6">
        <v>1000.0</v>
      </c>
      <c r="D6849" s="6">
        <v>4.03030303</v>
      </c>
      <c r="E6849" s="6">
        <v>66.0</v>
      </c>
    </row>
    <row r="6850">
      <c r="A6850" s="4" t="s">
        <v>13604</v>
      </c>
      <c r="B6850" s="5" t="s">
        <v>13605</v>
      </c>
      <c r="C6850" s="6">
        <v>1000.0</v>
      </c>
      <c r="D6850" s="6">
        <v>4.25</v>
      </c>
      <c r="E6850" s="6">
        <v>4.0</v>
      </c>
    </row>
    <row r="6851">
      <c r="A6851" s="4" t="s">
        <v>13606</v>
      </c>
      <c r="B6851" s="5" t="s">
        <v>13607</v>
      </c>
      <c r="C6851" s="6">
        <v>1000.0</v>
      </c>
      <c r="D6851" s="6">
        <v>3.166666667</v>
      </c>
      <c r="E6851" s="6">
        <v>12.0</v>
      </c>
    </row>
    <row r="6852">
      <c r="A6852" s="4" t="s">
        <v>13608</v>
      </c>
      <c r="B6852" s="5" t="s">
        <v>13609</v>
      </c>
      <c r="C6852" s="6">
        <v>1000.0</v>
      </c>
      <c r="D6852" s="6">
        <v>3.4</v>
      </c>
      <c r="E6852" s="6">
        <v>15.0</v>
      </c>
    </row>
    <row r="6853">
      <c r="A6853" s="4" t="s">
        <v>13610</v>
      </c>
      <c r="B6853" s="5" t="s">
        <v>13611</v>
      </c>
      <c r="C6853" s="6">
        <v>1000.0</v>
      </c>
      <c r="D6853" s="6">
        <v>4.4</v>
      </c>
      <c r="E6853" s="6">
        <v>25.0</v>
      </c>
    </row>
    <row r="6854">
      <c r="A6854" s="4" t="s">
        <v>13612</v>
      </c>
      <c r="B6854" s="5" t="s">
        <v>13613</v>
      </c>
      <c r="C6854" s="6">
        <v>1000.0</v>
      </c>
      <c r="D6854" s="6">
        <v>4.8</v>
      </c>
      <c r="E6854" s="6">
        <v>5.0</v>
      </c>
    </row>
    <row r="6855">
      <c r="A6855" s="4" t="s">
        <v>13614</v>
      </c>
      <c r="B6855" s="5" t="s">
        <v>13615</v>
      </c>
      <c r="C6855" s="6">
        <v>1000.0</v>
      </c>
      <c r="D6855" s="9"/>
      <c r="E6855" s="9"/>
    </row>
    <row r="6856">
      <c r="A6856" s="4" t="s">
        <v>13616</v>
      </c>
      <c r="B6856" s="5" t="s">
        <v>13617</v>
      </c>
      <c r="C6856" s="6">
        <v>1000.0</v>
      </c>
      <c r="D6856" s="6">
        <v>5.0</v>
      </c>
      <c r="E6856" s="6">
        <v>24.0</v>
      </c>
    </row>
    <row r="6857">
      <c r="A6857" s="4" t="s">
        <v>13618</v>
      </c>
      <c r="B6857" s="5" t="s">
        <v>13619</v>
      </c>
      <c r="C6857" s="6">
        <v>1000.0</v>
      </c>
      <c r="D6857" s="6">
        <v>5.0</v>
      </c>
      <c r="E6857" s="6">
        <v>6.0</v>
      </c>
    </row>
    <row r="6858">
      <c r="A6858" s="4" t="s">
        <v>13620</v>
      </c>
      <c r="B6858" s="5" t="s">
        <v>13621</v>
      </c>
      <c r="C6858" s="6">
        <v>1000.0</v>
      </c>
      <c r="D6858" s="6">
        <v>3.625</v>
      </c>
      <c r="E6858" s="6">
        <v>8.0</v>
      </c>
    </row>
    <row r="6859">
      <c r="A6859" s="4" t="s">
        <v>13622</v>
      </c>
      <c r="B6859" s="5" t="s">
        <v>13623</v>
      </c>
      <c r="C6859" s="6">
        <v>1000.0</v>
      </c>
      <c r="D6859" s="6">
        <v>3.181818182</v>
      </c>
      <c r="E6859" s="6">
        <v>11.0</v>
      </c>
    </row>
    <row r="6860">
      <c r="A6860" s="4" t="s">
        <v>13624</v>
      </c>
      <c r="B6860" s="5" t="s">
        <v>13625</v>
      </c>
      <c r="C6860" s="6">
        <v>1000.0</v>
      </c>
      <c r="D6860" s="6">
        <v>4.3</v>
      </c>
      <c r="E6860" s="6">
        <v>10.0</v>
      </c>
    </row>
    <row r="6861">
      <c r="A6861" s="4" t="s">
        <v>13626</v>
      </c>
      <c r="B6861" s="5" t="s">
        <v>13627</v>
      </c>
      <c r="C6861" s="6">
        <v>1000.0</v>
      </c>
      <c r="D6861" s="6">
        <v>5.0</v>
      </c>
      <c r="E6861" s="6">
        <v>2.0</v>
      </c>
    </row>
    <row r="6862">
      <c r="A6862" s="4" t="s">
        <v>13628</v>
      </c>
      <c r="B6862" s="5" t="s">
        <v>13629</v>
      </c>
      <c r="C6862" s="6">
        <v>1000.0</v>
      </c>
      <c r="D6862" s="6">
        <v>2.895522388</v>
      </c>
      <c r="E6862" s="6">
        <v>67.0</v>
      </c>
    </row>
    <row r="6863">
      <c r="A6863" s="4" t="s">
        <v>13630</v>
      </c>
      <c r="B6863" s="5" t="s">
        <v>13631</v>
      </c>
      <c r="C6863" s="6">
        <v>1000.0</v>
      </c>
      <c r="D6863" s="6">
        <v>4.5</v>
      </c>
      <c r="E6863" s="6">
        <v>8.0</v>
      </c>
    </row>
    <row r="6864">
      <c r="A6864" s="4" t="s">
        <v>13632</v>
      </c>
      <c r="B6864" s="5" t="s">
        <v>13633</v>
      </c>
      <c r="C6864" s="6">
        <v>1000.0</v>
      </c>
      <c r="D6864" s="6">
        <v>4.5</v>
      </c>
      <c r="E6864" s="6">
        <v>4.0</v>
      </c>
    </row>
    <row r="6865">
      <c r="A6865" s="4" t="s">
        <v>13634</v>
      </c>
      <c r="B6865" s="5" t="s">
        <v>13635</v>
      </c>
      <c r="C6865" s="6">
        <v>1000.0</v>
      </c>
      <c r="D6865" s="6">
        <v>3.428571429</v>
      </c>
      <c r="E6865" s="6">
        <v>7.0</v>
      </c>
    </row>
    <row r="6866">
      <c r="A6866" s="4" t="s">
        <v>13636</v>
      </c>
      <c r="B6866" s="5" t="s">
        <v>13637</v>
      </c>
      <c r="C6866" s="6">
        <v>1000.0</v>
      </c>
      <c r="D6866" s="6">
        <v>4.666666667</v>
      </c>
      <c r="E6866" s="6">
        <v>6.0</v>
      </c>
    </row>
    <row r="6867">
      <c r="A6867" s="4" t="s">
        <v>13638</v>
      </c>
      <c r="B6867" s="5" t="s">
        <v>13639</v>
      </c>
      <c r="C6867" s="6">
        <v>1000.0</v>
      </c>
      <c r="D6867" s="6">
        <v>2.5</v>
      </c>
      <c r="E6867" s="6">
        <v>6.0</v>
      </c>
    </row>
    <row r="6868">
      <c r="A6868" s="4" t="s">
        <v>13640</v>
      </c>
      <c r="B6868" s="5" t="s">
        <v>13641</v>
      </c>
      <c r="C6868" s="6">
        <v>1000.0</v>
      </c>
      <c r="D6868" s="6">
        <v>3.0</v>
      </c>
      <c r="E6868" s="6">
        <v>2.0</v>
      </c>
    </row>
    <row r="6869">
      <c r="A6869" s="5" t="s">
        <v>13642</v>
      </c>
      <c r="B6869" s="5" t="s">
        <v>13643</v>
      </c>
      <c r="C6869" s="6">
        <v>1000.0</v>
      </c>
      <c r="D6869" s="6">
        <v>4.227848101</v>
      </c>
      <c r="E6869" s="6">
        <v>79.0</v>
      </c>
    </row>
    <row r="6870">
      <c r="A6870" s="4" t="s">
        <v>13644</v>
      </c>
      <c r="B6870" s="5" t="s">
        <v>13645</v>
      </c>
      <c r="C6870" s="6">
        <v>1000.0</v>
      </c>
      <c r="D6870" s="6">
        <v>2.1</v>
      </c>
      <c r="E6870" s="6">
        <v>10.0</v>
      </c>
    </row>
    <row r="6871">
      <c r="A6871" s="4" t="s">
        <v>13646</v>
      </c>
      <c r="B6871" s="5" t="s">
        <v>13647</v>
      </c>
      <c r="C6871" s="6">
        <v>1000.0</v>
      </c>
      <c r="D6871" s="6">
        <v>4.931818182</v>
      </c>
      <c r="E6871" s="6">
        <v>44.0</v>
      </c>
    </row>
    <row r="6872">
      <c r="A6872" s="4" t="s">
        <v>13648</v>
      </c>
      <c r="B6872" s="5" t="s">
        <v>13649</v>
      </c>
      <c r="C6872" s="6">
        <v>1000.0</v>
      </c>
      <c r="D6872" s="6">
        <v>1.0</v>
      </c>
      <c r="E6872" s="6">
        <v>2.0</v>
      </c>
    </row>
    <row r="6873">
      <c r="A6873" s="4" t="s">
        <v>13650</v>
      </c>
      <c r="B6873" s="5" t="s">
        <v>13651</v>
      </c>
      <c r="C6873" s="6">
        <v>1000.0</v>
      </c>
      <c r="D6873" s="6">
        <v>4.666666667</v>
      </c>
      <c r="E6873" s="6">
        <v>9.0</v>
      </c>
    </row>
    <row r="6874">
      <c r="A6874" s="4" t="s">
        <v>13652</v>
      </c>
      <c r="B6874" s="5" t="s">
        <v>13653</v>
      </c>
      <c r="C6874" s="6">
        <v>1000.0</v>
      </c>
      <c r="D6874" s="6">
        <v>5.0</v>
      </c>
      <c r="E6874" s="6">
        <v>2.0</v>
      </c>
    </row>
    <row r="6875">
      <c r="A6875" s="4" t="s">
        <v>13654</v>
      </c>
      <c r="B6875" s="5" t="s">
        <v>13655</v>
      </c>
      <c r="C6875" s="6">
        <v>1000.0</v>
      </c>
      <c r="D6875" s="6">
        <v>2.111111111</v>
      </c>
      <c r="E6875" s="6">
        <v>9.0</v>
      </c>
    </row>
    <row r="6876">
      <c r="A6876" s="4" t="s">
        <v>13656</v>
      </c>
      <c r="B6876" s="5" t="s">
        <v>13657</v>
      </c>
      <c r="C6876" s="6">
        <v>1000.0</v>
      </c>
      <c r="D6876" s="6">
        <v>5.0</v>
      </c>
      <c r="E6876" s="6">
        <v>11.0</v>
      </c>
    </row>
    <row r="6877">
      <c r="A6877" s="4" t="s">
        <v>13658</v>
      </c>
      <c r="B6877" s="5" t="s">
        <v>13659</v>
      </c>
      <c r="C6877" s="6">
        <v>1000.0</v>
      </c>
      <c r="D6877" s="9"/>
      <c r="E6877" s="9"/>
    </row>
    <row r="6878">
      <c r="A6878" s="4" t="s">
        <v>13660</v>
      </c>
      <c r="B6878" s="5" t="s">
        <v>13661</v>
      </c>
      <c r="C6878" s="6">
        <v>1000.0</v>
      </c>
      <c r="D6878" s="6">
        <v>3.0</v>
      </c>
      <c r="E6878" s="6">
        <v>4.0</v>
      </c>
    </row>
    <row r="6879">
      <c r="A6879" s="4" t="s">
        <v>13662</v>
      </c>
      <c r="B6879" s="5" t="s">
        <v>13663</v>
      </c>
      <c r="C6879" s="6">
        <v>1000.0</v>
      </c>
      <c r="D6879" s="6">
        <v>2.0</v>
      </c>
      <c r="E6879" s="6">
        <v>5.0</v>
      </c>
    </row>
    <row r="6880">
      <c r="A6880" s="4" t="s">
        <v>13664</v>
      </c>
      <c r="B6880" s="5" t="s">
        <v>13665</v>
      </c>
      <c r="C6880" s="6">
        <v>1000.0</v>
      </c>
      <c r="D6880" s="6">
        <v>3.333333333</v>
      </c>
      <c r="E6880" s="6">
        <v>3.0</v>
      </c>
    </row>
    <row r="6881">
      <c r="A6881" s="4" t="s">
        <v>13666</v>
      </c>
      <c r="B6881" s="5" t="s">
        <v>13667</v>
      </c>
      <c r="C6881" s="6">
        <v>1000.0</v>
      </c>
      <c r="D6881" s="6">
        <v>3.0</v>
      </c>
      <c r="E6881" s="6">
        <v>2.0</v>
      </c>
    </row>
    <row r="6882">
      <c r="A6882" s="4" t="s">
        <v>13668</v>
      </c>
      <c r="B6882" s="5" t="s">
        <v>13669</v>
      </c>
      <c r="C6882" s="6">
        <v>1000.0</v>
      </c>
      <c r="D6882" s="6">
        <v>4.703125</v>
      </c>
      <c r="E6882" s="6">
        <v>64.0</v>
      </c>
    </row>
    <row r="6883">
      <c r="A6883" s="4" t="s">
        <v>13670</v>
      </c>
      <c r="B6883" s="5" t="s">
        <v>13671</v>
      </c>
      <c r="C6883" s="6">
        <v>1000.0</v>
      </c>
      <c r="D6883" s="6">
        <v>3.916666667</v>
      </c>
      <c r="E6883" s="6">
        <v>24.0</v>
      </c>
    </row>
    <row r="6884">
      <c r="A6884" s="4" t="s">
        <v>13672</v>
      </c>
      <c r="B6884" s="5" t="s">
        <v>13673</v>
      </c>
      <c r="C6884" s="6">
        <v>1000.0</v>
      </c>
      <c r="D6884" s="6">
        <v>4.846153846</v>
      </c>
      <c r="E6884" s="6">
        <v>39.0</v>
      </c>
    </row>
    <row r="6885">
      <c r="A6885" s="4" t="s">
        <v>13674</v>
      </c>
      <c r="B6885" s="5" t="s">
        <v>13675</v>
      </c>
      <c r="C6885" s="6">
        <v>1000.0</v>
      </c>
      <c r="D6885" s="6">
        <v>2.8</v>
      </c>
      <c r="E6885" s="6">
        <v>5.0</v>
      </c>
    </row>
    <row r="6886">
      <c r="A6886" s="4" t="s">
        <v>13676</v>
      </c>
      <c r="B6886" s="5" t="s">
        <v>13677</v>
      </c>
      <c r="C6886" s="6">
        <v>1000.0</v>
      </c>
      <c r="D6886" s="6">
        <v>4.813559322</v>
      </c>
      <c r="E6886" s="6">
        <v>59.0</v>
      </c>
    </row>
    <row r="6887">
      <c r="A6887" s="4" t="s">
        <v>13678</v>
      </c>
      <c r="B6887" s="5" t="s">
        <v>13679</v>
      </c>
      <c r="C6887" s="6">
        <v>1000.0</v>
      </c>
      <c r="D6887" s="6">
        <v>4.297752809</v>
      </c>
      <c r="E6887" s="6">
        <v>178.0</v>
      </c>
    </row>
    <row r="6888">
      <c r="A6888" s="4" t="s">
        <v>13680</v>
      </c>
      <c r="B6888" s="5" t="s">
        <v>13681</v>
      </c>
      <c r="C6888" s="6">
        <v>1000.0</v>
      </c>
      <c r="D6888" s="6">
        <v>5.0</v>
      </c>
      <c r="E6888" s="6">
        <v>6.0</v>
      </c>
    </row>
    <row r="6889">
      <c r="A6889" s="5" t="s">
        <v>13682</v>
      </c>
      <c r="B6889" s="5" t="s">
        <v>13683</v>
      </c>
      <c r="C6889" s="6">
        <v>1000.0</v>
      </c>
      <c r="D6889" s="6">
        <v>4.8</v>
      </c>
      <c r="E6889" s="6">
        <v>5.0</v>
      </c>
    </row>
    <row r="6890">
      <c r="A6890" s="4" t="s">
        <v>13684</v>
      </c>
      <c r="B6890" s="5" t="s">
        <v>13685</v>
      </c>
      <c r="C6890" s="6">
        <v>1000.0</v>
      </c>
      <c r="D6890" s="6">
        <v>5.0</v>
      </c>
      <c r="E6890" s="6">
        <v>3.0</v>
      </c>
    </row>
    <row r="6891">
      <c r="A6891" s="4" t="s">
        <v>13686</v>
      </c>
      <c r="B6891" s="5" t="s">
        <v>13687</v>
      </c>
      <c r="C6891" s="6">
        <v>1000.0</v>
      </c>
      <c r="D6891" s="6">
        <v>3.2</v>
      </c>
      <c r="E6891" s="6">
        <v>30.0</v>
      </c>
    </row>
    <row r="6892">
      <c r="A6892" s="4" t="s">
        <v>13688</v>
      </c>
      <c r="B6892" s="5" t="s">
        <v>13689</v>
      </c>
      <c r="C6892" s="6">
        <v>1000.0</v>
      </c>
      <c r="D6892" s="6">
        <v>3.714285714</v>
      </c>
      <c r="E6892" s="6">
        <v>14.0</v>
      </c>
    </row>
    <row r="6893">
      <c r="A6893" s="4" t="s">
        <v>13690</v>
      </c>
      <c r="B6893" s="5" t="s">
        <v>13691</v>
      </c>
      <c r="C6893" s="6">
        <v>1000.0</v>
      </c>
      <c r="D6893" s="6">
        <v>4.214285714</v>
      </c>
      <c r="E6893" s="6">
        <v>14.0</v>
      </c>
    </row>
    <row r="6894">
      <c r="A6894" s="4" t="s">
        <v>13692</v>
      </c>
      <c r="B6894" s="5" t="s">
        <v>13693</v>
      </c>
      <c r="C6894" s="6">
        <v>1000.0</v>
      </c>
      <c r="D6894" s="6">
        <v>4.642857143</v>
      </c>
      <c r="E6894" s="6">
        <v>28.0</v>
      </c>
    </row>
    <row r="6895">
      <c r="A6895" s="4" t="s">
        <v>13694</v>
      </c>
      <c r="B6895" s="5" t="s">
        <v>13695</v>
      </c>
      <c r="C6895" s="6">
        <v>1000.0</v>
      </c>
      <c r="D6895" s="6">
        <v>4.1</v>
      </c>
      <c r="E6895" s="6">
        <v>10.0</v>
      </c>
    </row>
    <row r="6896">
      <c r="A6896" s="4" t="s">
        <v>13696</v>
      </c>
      <c r="B6896" s="5" t="s">
        <v>13697</v>
      </c>
      <c r="C6896" s="6">
        <v>1000.0</v>
      </c>
      <c r="D6896" s="6">
        <v>4.066666667</v>
      </c>
      <c r="E6896" s="6">
        <v>15.0</v>
      </c>
    </row>
    <row r="6897">
      <c r="A6897" s="4" t="s">
        <v>13698</v>
      </c>
      <c r="B6897" s="5" t="s">
        <v>13699</v>
      </c>
      <c r="C6897" s="6">
        <v>1000.0</v>
      </c>
      <c r="D6897" s="6">
        <v>3.0</v>
      </c>
      <c r="E6897" s="6">
        <v>2.0</v>
      </c>
    </row>
    <row r="6898">
      <c r="A6898" s="4" t="s">
        <v>13700</v>
      </c>
      <c r="B6898" s="5" t="s">
        <v>13701</v>
      </c>
      <c r="C6898" s="6">
        <v>1000.0</v>
      </c>
      <c r="D6898" s="6">
        <v>5.0</v>
      </c>
      <c r="E6898" s="6">
        <v>3.0</v>
      </c>
    </row>
    <row r="6899">
      <c r="A6899" s="4" t="s">
        <v>13702</v>
      </c>
      <c r="B6899" s="5" t="s">
        <v>13703</v>
      </c>
      <c r="C6899" s="6">
        <v>1000.0</v>
      </c>
      <c r="D6899" s="6">
        <v>4.357142857</v>
      </c>
      <c r="E6899" s="6">
        <v>14.0</v>
      </c>
    </row>
    <row r="6900">
      <c r="A6900" s="4" t="s">
        <v>13704</v>
      </c>
      <c r="B6900" s="5" t="s">
        <v>13705</v>
      </c>
      <c r="C6900" s="6">
        <v>1000.0</v>
      </c>
      <c r="D6900" s="6">
        <v>3.3</v>
      </c>
      <c r="E6900" s="6">
        <v>10.0</v>
      </c>
    </row>
    <row r="6901">
      <c r="A6901" s="4" t="s">
        <v>13706</v>
      </c>
      <c r="B6901" s="5" t="s">
        <v>13707</v>
      </c>
      <c r="C6901" s="6">
        <v>1000.0</v>
      </c>
      <c r="D6901" s="6">
        <v>5.0</v>
      </c>
      <c r="E6901" s="6">
        <v>9.0</v>
      </c>
    </row>
    <row r="6902">
      <c r="A6902" s="4" t="s">
        <v>13708</v>
      </c>
      <c r="B6902" s="5" t="s">
        <v>13709</v>
      </c>
      <c r="C6902" s="6">
        <v>1000.0</v>
      </c>
      <c r="D6902" s="6">
        <v>4.241071429</v>
      </c>
      <c r="E6902" s="6">
        <v>112.0</v>
      </c>
    </row>
    <row r="6903">
      <c r="A6903" s="4" t="s">
        <v>13710</v>
      </c>
      <c r="B6903" s="5" t="s">
        <v>13711</v>
      </c>
      <c r="C6903" s="6">
        <v>1000.0</v>
      </c>
      <c r="D6903" s="6">
        <v>2.333333333</v>
      </c>
      <c r="E6903" s="6">
        <v>3.0</v>
      </c>
    </row>
    <row r="6904">
      <c r="A6904" s="4" t="s">
        <v>13712</v>
      </c>
      <c r="B6904" s="5" t="s">
        <v>13713</v>
      </c>
      <c r="C6904" s="6">
        <v>1000.0</v>
      </c>
      <c r="D6904" s="6">
        <v>2.0</v>
      </c>
      <c r="E6904" s="6">
        <v>5.0</v>
      </c>
    </row>
    <row r="6905">
      <c r="A6905" s="4" t="s">
        <v>13714</v>
      </c>
      <c r="B6905" s="5" t="s">
        <v>13715</v>
      </c>
      <c r="C6905" s="6">
        <v>1000.0</v>
      </c>
      <c r="D6905" s="6">
        <v>3.909090909</v>
      </c>
      <c r="E6905" s="6">
        <v>11.0</v>
      </c>
    </row>
    <row r="6906">
      <c r="A6906" s="4" t="s">
        <v>13716</v>
      </c>
      <c r="B6906" s="5" t="s">
        <v>13717</v>
      </c>
      <c r="C6906" s="6">
        <v>1000.0</v>
      </c>
      <c r="D6906" s="6">
        <v>4.0</v>
      </c>
      <c r="E6906" s="6">
        <v>2.0</v>
      </c>
    </row>
    <row r="6907">
      <c r="A6907" s="4" t="s">
        <v>13718</v>
      </c>
      <c r="B6907" s="5" t="s">
        <v>13719</v>
      </c>
      <c r="C6907" s="6">
        <v>1000.0</v>
      </c>
      <c r="D6907" s="6">
        <v>2.8</v>
      </c>
      <c r="E6907" s="6">
        <v>5.0</v>
      </c>
    </row>
    <row r="6908">
      <c r="A6908" s="4" t="s">
        <v>13720</v>
      </c>
      <c r="B6908" s="5" t="s">
        <v>13721</v>
      </c>
      <c r="C6908" s="6">
        <v>1000.0</v>
      </c>
      <c r="D6908" s="6">
        <v>1.777777778</v>
      </c>
      <c r="E6908" s="6">
        <v>9.0</v>
      </c>
    </row>
    <row r="6909">
      <c r="A6909" s="4" t="s">
        <v>13722</v>
      </c>
      <c r="B6909" s="5" t="s">
        <v>13723</v>
      </c>
      <c r="C6909" s="6">
        <v>1000.0</v>
      </c>
      <c r="D6909" s="6">
        <v>4.416666667</v>
      </c>
      <c r="E6909" s="6">
        <v>24.0</v>
      </c>
    </row>
    <row r="6910">
      <c r="A6910" s="4" t="s">
        <v>13724</v>
      </c>
      <c r="B6910" s="5" t="s">
        <v>13725</v>
      </c>
      <c r="C6910" s="6">
        <v>1000.0</v>
      </c>
      <c r="D6910" s="6">
        <v>4.636363636</v>
      </c>
      <c r="E6910" s="6">
        <v>11.0</v>
      </c>
    </row>
    <row r="6911">
      <c r="A6911" s="4" t="s">
        <v>13726</v>
      </c>
      <c r="B6911" s="5" t="s">
        <v>13727</v>
      </c>
      <c r="C6911" s="6">
        <v>1000.0</v>
      </c>
      <c r="D6911" s="6">
        <v>3.0</v>
      </c>
      <c r="E6911" s="6">
        <v>2.0</v>
      </c>
    </row>
    <row r="6912">
      <c r="A6912" s="4" t="s">
        <v>13728</v>
      </c>
      <c r="B6912" s="5" t="s">
        <v>13729</v>
      </c>
      <c r="C6912" s="6">
        <v>1000.0</v>
      </c>
      <c r="D6912" s="6">
        <v>4.75</v>
      </c>
      <c r="E6912" s="6">
        <v>4.0</v>
      </c>
    </row>
    <row r="6913">
      <c r="A6913" s="4" t="s">
        <v>13730</v>
      </c>
      <c r="B6913" s="5" t="s">
        <v>13731</v>
      </c>
      <c r="C6913" s="6">
        <v>1000.0</v>
      </c>
      <c r="D6913" s="6">
        <v>4.0</v>
      </c>
      <c r="E6913" s="6">
        <v>8.0</v>
      </c>
    </row>
    <row r="6914">
      <c r="A6914" s="4" t="s">
        <v>13732</v>
      </c>
      <c r="B6914" s="5" t="s">
        <v>13733</v>
      </c>
      <c r="C6914" s="6">
        <v>1000.0</v>
      </c>
      <c r="D6914" s="6">
        <v>4.0</v>
      </c>
      <c r="E6914" s="6">
        <v>2.0</v>
      </c>
    </row>
    <row r="6915">
      <c r="A6915" s="4" t="s">
        <v>13734</v>
      </c>
      <c r="B6915" s="5" t="s">
        <v>13735</v>
      </c>
      <c r="C6915" s="6">
        <v>1000.0</v>
      </c>
      <c r="D6915" s="6">
        <v>3.857142857</v>
      </c>
      <c r="E6915" s="6">
        <v>28.0</v>
      </c>
    </row>
    <row r="6916">
      <c r="A6916" s="4" t="s">
        <v>13736</v>
      </c>
      <c r="B6916" s="5" t="s">
        <v>13737</v>
      </c>
      <c r="C6916" s="6">
        <v>1000.0</v>
      </c>
      <c r="D6916" s="6">
        <v>4.125</v>
      </c>
      <c r="E6916" s="6">
        <v>8.0</v>
      </c>
    </row>
    <row r="6917">
      <c r="A6917" s="4" t="s">
        <v>13738</v>
      </c>
      <c r="B6917" s="5" t="s">
        <v>13739</v>
      </c>
      <c r="C6917" s="6">
        <v>1000.0</v>
      </c>
      <c r="D6917" s="6">
        <v>3.3</v>
      </c>
      <c r="E6917" s="6">
        <v>10.0</v>
      </c>
    </row>
    <row r="6918">
      <c r="A6918" s="4" t="s">
        <v>13740</v>
      </c>
      <c r="B6918" s="5" t="s">
        <v>13741</v>
      </c>
      <c r="C6918" s="6">
        <v>1000.0</v>
      </c>
      <c r="D6918" s="6">
        <v>4.333333333</v>
      </c>
      <c r="E6918" s="6">
        <v>6.0</v>
      </c>
    </row>
    <row r="6919">
      <c r="A6919" s="4" t="s">
        <v>13742</v>
      </c>
      <c r="B6919" s="5" t="s">
        <v>13743</v>
      </c>
      <c r="C6919" s="6">
        <v>1000.0</v>
      </c>
      <c r="D6919" s="6">
        <v>5.0</v>
      </c>
      <c r="E6919" s="6">
        <v>1.0</v>
      </c>
    </row>
    <row r="6920">
      <c r="A6920" s="4" t="s">
        <v>13744</v>
      </c>
      <c r="B6920" s="5" t="s">
        <v>13745</v>
      </c>
      <c r="C6920" s="6">
        <v>1000.0</v>
      </c>
      <c r="D6920" s="6">
        <v>5.0</v>
      </c>
      <c r="E6920" s="6">
        <v>4.0</v>
      </c>
    </row>
    <row r="6921">
      <c r="A6921" s="4" t="s">
        <v>13746</v>
      </c>
      <c r="B6921" s="5" t="s">
        <v>13747</v>
      </c>
      <c r="C6921" s="6">
        <v>1000.0</v>
      </c>
      <c r="D6921" s="6">
        <v>4.43373494</v>
      </c>
      <c r="E6921" s="6">
        <v>83.0</v>
      </c>
    </row>
    <row r="6922">
      <c r="A6922" s="4" t="s">
        <v>13748</v>
      </c>
      <c r="B6922" s="5" t="s">
        <v>13749</v>
      </c>
      <c r="C6922" s="6">
        <v>1000.0</v>
      </c>
      <c r="D6922" s="6">
        <v>4.407407407</v>
      </c>
      <c r="E6922" s="6">
        <v>27.0</v>
      </c>
    </row>
    <row r="6923">
      <c r="A6923" s="4" t="s">
        <v>13750</v>
      </c>
      <c r="B6923" s="5" t="s">
        <v>13751</v>
      </c>
      <c r="C6923" s="6">
        <v>1000.0</v>
      </c>
      <c r="D6923" s="6">
        <v>5.0</v>
      </c>
      <c r="E6923" s="6">
        <v>1.0</v>
      </c>
    </row>
    <row r="6924">
      <c r="A6924" s="4" t="s">
        <v>13752</v>
      </c>
      <c r="B6924" s="5" t="s">
        <v>13753</v>
      </c>
      <c r="C6924" s="6">
        <v>1000.0</v>
      </c>
      <c r="D6924" s="6">
        <v>4.727272727</v>
      </c>
      <c r="E6924" s="6">
        <v>11.0</v>
      </c>
    </row>
    <row r="6925">
      <c r="A6925" s="4" t="s">
        <v>13754</v>
      </c>
      <c r="B6925" s="5" t="s">
        <v>13755</v>
      </c>
      <c r="C6925" s="6">
        <v>1000.0</v>
      </c>
      <c r="D6925" s="6">
        <v>4.333333333</v>
      </c>
      <c r="E6925" s="6">
        <v>18.0</v>
      </c>
    </row>
    <row r="6926">
      <c r="A6926" s="4" t="s">
        <v>13756</v>
      </c>
      <c r="B6926" s="5" t="s">
        <v>13757</v>
      </c>
      <c r="C6926" s="6">
        <v>1000.0</v>
      </c>
      <c r="D6926" s="6">
        <v>4.1</v>
      </c>
      <c r="E6926" s="6">
        <v>10.0</v>
      </c>
    </row>
    <row r="6927">
      <c r="A6927" s="4" t="s">
        <v>13758</v>
      </c>
      <c r="B6927" s="5" t="s">
        <v>13759</v>
      </c>
      <c r="C6927" s="6">
        <v>1000.0</v>
      </c>
      <c r="D6927" s="6">
        <v>1.833333333</v>
      </c>
      <c r="E6927" s="6">
        <v>6.0</v>
      </c>
    </row>
    <row r="6928">
      <c r="A6928" s="4" t="s">
        <v>13760</v>
      </c>
      <c r="B6928" s="5" t="s">
        <v>13761</v>
      </c>
      <c r="C6928" s="6">
        <v>1000.0</v>
      </c>
      <c r="D6928" s="6">
        <v>3.222222222</v>
      </c>
      <c r="E6928" s="6">
        <v>36.0</v>
      </c>
    </row>
    <row r="6929">
      <c r="A6929" s="4" t="s">
        <v>6858</v>
      </c>
      <c r="B6929" s="5" t="s">
        <v>13762</v>
      </c>
      <c r="C6929" s="6">
        <v>1000.0</v>
      </c>
      <c r="D6929" s="6">
        <v>2.962962963</v>
      </c>
      <c r="E6929" s="6">
        <v>27.0</v>
      </c>
    </row>
    <row r="6930">
      <c r="A6930" s="4" t="s">
        <v>13763</v>
      </c>
      <c r="B6930" s="5" t="s">
        <v>13764</v>
      </c>
      <c r="C6930" s="6">
        <v>1000.0</v>
      </c>
      <c r="D6930" s="6">
        <v>4.235294118</v>
      </c>
      <c r="E6930" s="6">
        <v>17.0</v>
      </c>
    </row>
    <row r="6931">
      <c r="A6931" s="4" t="s">
        <v>13765</v>
      </c>
      <c r="B6931" s="5" t="s">
        <v>13766</v>
      </c>
      <c r="C6931" s="6">
        <v>1000.0</v>
      </c>
      <c r="D6931" s="6">
        <v>5.0</v>
      </c>
      <c r="E6931" s="6">
        <v>5.0</v>
      </c>
    </row>
    <row r="6932">
      <c r="A6932" s="4" t="s">
        <v>13767</v>
      </c>
      <c r="B6932" s="5" t="s">
        <v>13768</v>
      </c>
      <c r="C6932" s="6">
        <v>1000.0</v>
      </c>
      <c r="D6932" s="6">
        <v>5.0</v>
      </c>
      <c r="E6932" s="6">
        <v>2.0</v>
      </c>
    </row>
    <row r="6933">
      <c r="A6933" s="4" t="s">
        <v>13769</v>
      </c>
      <c r="B6933" s="5" t="s">
        <v>13770</v>
      </c>
      <c r="C6933" s="6">
        <v>1000.0</v>
      </c>
      <c r="D6933" s="6">
        <v>4.076923077</v>
      </c>
      <c r="E6933" s="6">
        <v>13.0</v>
      </c>
    </row>
    <row r="6934">
      <c r="A6934" s="4" t="s">
        <v>13771</v>
      </c>
      <c r="B6934" s="5" t="s">
        <v>13772</v>
      </c>
      <c r="C6934" s="6">
        <v>1000.0</v>
      </c>
      <c r="D6934" s="6">
        <v>4.46875</v>
      </c>
      <c r="E6934" s="6">
        <v>64.0</v>
      </c>
    </row>
    <row r="6935">
      <c r="A6935" s="4" t="s">
        <v>13773</v>
      </c>
      <c r="B6935" s="5" t="s">
        <v>13774</v>
      </c>
      <c r="C6935" s="6">
        <v>1000.0</v>
      </c>
      <c r="D6935" s="6">
        <v>4.772727273</v>
      </c>
      <c r="E6935" s="6">
        <v>22.0</v>
      </c>
    </row>
    <row r="6936">
      <c r="A6936" s="4" t="s">
        <v>13775</v>
      </c>
      <c r="B6936" s="5" t="s">
        <v>13776</v>
      </c>
      <c r="C6936" s="6">
        <v>1000.0</v>
      </c>
      <c r="D6936" s="6">
        <v>1.0</v>
      </c>
      <c r="E6936" s="6">
        <v>2.0</v>
      </c>
    </row>
    <row r="6937">
      <c r="A6937" s="4" t="s">
        <v>13777</v>
      </c>
      <c r="B6937" s="5" t="s">
        <v>13778</v>
      </c>
      <c r="C6937" s="6">
        <v>1000.0</v>
      </c>
      <c r="D6937" s="6">
        <v>4.25</v>
      </c>
      <c r="E6937" s="6">
        <v>12.0</v>
      </c>
    </row>
    <row r="6938">
      <c r="A6938" s="4" t="s">
        <v>13779</v>
      </c>
      <c r="B6938" s="5" t="s">
        <v>13780</v>
      </c>
      <c r="C6938" s="6">
        <v>1000.0</v>
      </c>
      <c r="D6938" s="6">
        <v>4.0</v>
      </c>
      <c r="E6938" s="6">
        <v>11.0</v>
      </c>
    </row>
    <row r="6939">
      <c r="A6939" s="4" t="s">
        <v>13781</v>
      </c>
      <c r="B6939" s="5" t="s">
        <v>13782</v>
      </c>
      <c r="C6939" s="6">
        <v>1000.0</v>
      </c>
      <c r="D6939" s="6">
        <v>2.9375</v>
      </c>
      <c r="E6939" s="6">
        <v>16.0</v>
      </c>
    </row>
    <row r="6940">
      <c r="A6940" s="4" t="s">
        <v>13783</v>
      </c>
      <c r="B6940" s="5" t="s">
        <v>13784</v>
      </c>
      <c r="C6940" s="6">
        <v>1000.0</v>
      </c>
      <c r="D6940" s="6">
        <v>5.0</v>
      </c>
      <c r="E6940" s="6">
        <v>2.0</v>
      </c>
    </row>
    <row r="6941">
      <c r="A6941" s="10" t="s">
        <v>13785</v>
      </c>
      <c r="B6941" s="5" t="s">
        <v>13786</v>
      </c>
      <c r="C6941" s="6">
        <v>1000.0</v>
      </c>
      <c r="D6941" s="6">
        <v>4.5</v>
      </c>
      <c r="E6941" s="6">
        <v>4.0</v>
      </c>
    </row>
    <row r="6942">
      <c r="A6942" s="4" t="s">
        <v>13787</v>
      </c>
      <c r="B6942" s="5" t="s">
        <v>13788</v>
      </c>
      <c r="C6942" s="6">
        <v>1000.0</v>
      </c>
      <c r="D6942" s="6">
        <v>4.25</v>
      </c>
      <c r="E6942" s="6">
        <v>16.0</v>
      </c>
    </row>
    <row r="6943">
      <c r="A6943" s="4" t="s">
        <v>13789</v>
      </c>
      <c r="B6943" s="5" t="s">
        <v>13790</v>
      </c>
      <c r="C6943" s="6">
        <v>1000.0</v>
      </c>
      <c r="D6943" s="6">
        <v>2.714285714</v>
      </c>
      <c r="E6943" s="6">
        <v>7.0</v>
      </c>
    </row>
    <row r="6944">
      <c r="A6944" s="4" t="s">
        <v>13791</v>
      </c>
      <c r="B6944" s="5" t="s">
        <v>13792</v>
      </c>
      <c r="C6944" s="6">
        <v>1000.0</v>
      </c>
      <c r="D6944" s="6">
        <v>4.711111111</v>
      </c>
      <c r="E6944" s="6">
        <v>45.0</v>
      </c>
    </row>
    <row r="6945">
      <c r="A6945" s="4" t="s">
        <v>13793</v>
      </c>
      <c r="B6945" s="5" t="s">
        <v>13794</v>
      </c>
      <c r="C6945" s="6">
        <v>1000.0</v>
      </c>
      <c r="D6945" s="6">
        <v>4.0625</v>
      </c>
      <c r="E6945" s="6">
        <v>16.0</v>
      </c>
    </row>
    <row r="6946">
      <c r="A6946" s="4" t="s">
        <v>13795</v>
      </c>
      <c r="B6946" s="5" t="s">
        <v>13796</v>
      </c>
      <c r="C6946" s="6">
        <v>1000.0</v>
      </c>
      <c r="D6946" s="6">
        <v>3.666666667</v>
      </c>
      <c r="E6946" s="6">
        <v>9.0</v>
      </c>
    </row>
    <row r="6947">
      <c r="A6947" s="4" t="s">
        <v>13797</v>
      </c>
      <c r="B6947" s="5" t="s">
        <v>13798</v>
      </c>
      <c r="C6947" s="6">
        <v>1000.0</v>
      </c>
      <c r="D6947" s="6">
        <v>3.818181818</v>
      </c>
      <c r="E6947" s="6">
        <v>22.0</v>
      </c>
    </row>
    <row r="6948">
      <c r="A6948" s="4" t="s">
        <v>13799</v>
      </c>
      <c r="B6948" s="5" t="s">
        <v>13800</v>
      </c>
      <c r="C6948" s="6">
        <v>1000.0</v>
      </c>
      <c r="D6948" s="9"/>
      <c r="E6948" s="9"/>
    </row>
    <row r="6949">
      <c r="A6949" s="4" t="s">
        <v>13801</v>
      </c>
      <c r="B6949" s="5" t="s">
        <v>13802</v>
      </c>
      <c r="C6949" s="6">
        <v>1000.0</v>
      </c>
      <c r="D6949" s="6">
        <v>4.0</v>
      </c>
      <c r="E6949" s="6">
        <v>11.0</v>
      </c>
    </row>
    <row r="6950">
      <c r="A6950" s="5" t="s">
        <v>13803</v>
      </c>
      <c r="B6950" s="5" t="s">
        <v>13804</v>
      </c>
      <c r="C6950" s="6">
        <v>1000.0</v>
      </c>
      <c r="D6950" s="6">
        <v>5.0</v>
      </c>
      <c r="E6950" s="6">
        <v>4.0</v>
      </c>
    </row>
    <row r="6951">
      <c r="A6951" s="4" t="s">
        <v>13805</v>
      </c>
      <c r="B6951" s="5" t="s">
        <v>13806</v>
      </c>
      <c r="C6951" s="6">
        <v>1000.0</v>
      </c>
      <c r="D6951" s="6">
        <v>4.230769231</v>
      </c>
      <c r="E6951" s="6">
        <v>13.0</v>
      </c>
    </row>
    <row r="6952">
      <c r="A6952" s="4" t="s">
        <v>13807</v>
      </c>
      <c r="B6952" s="5" t="s">
        <v>13808</v>
      </c>
      <c r="C6952" s="6">
        <v>1000.0</v>
      </c>
      <c r="D6952" s="9"/>
      <c r="E6952" s="9"/>
    </row>
    <row r="6953">
      <c r="A6953" s="4" t="s">
        <v>13809</v>
      </c>
      <c r="B6953" s="5" t="s">
        <v>13810</v>
      </c>
      <c r="C6953" s="6">
        <v>1000.0</v>
      </c>
      <c r="D6953" s="6">
        <v>4.616666667</v>
      </c>
      <c r="E6953" s="6">
        <v>60.0</v>
      </c>
    </row>
    <row r="6954">
      <c r="A6954" s="4" t="s">
        <v>13811</v>
      </c>
      <c r="B6954" s="5" t="s">
        <v>13812</v>
      </c>
      <c r="C6954" s="6">
        <v>1000.0</v>
      </c>
      <c r="D6954" s="6">
        <v>4.166666667</v>
      </c>
      <c r="E6954" s="6">
        <v>12.0</v>
      </c>
    </row>
    <row r="6955">
      <c r="A6955" s="4" t="s">
        <v>13813</v>
      </c>
      <c r="B6955" s="5" t="s">
        <v>13814</v>
      </c>
      <c r="C6955" s="6">
        <v>1000.0</v>
      </c>
      <c r="D6955" s="9"/>
      <c r="E6955" s="9"/>
    </row>
    <row r="6956">
      <c r="A6956" s="4" t="s">
        <v>13815</v>
      </c>
      <c r="B6956" s="5" t="s">
        <v>13816</v>
      </c>
      <c r="C6956" s="7">
        <v>1000.0</v>
      </c>
      <c r="D6956" s="6">
        <v>4.3</v>
      </c>
      <c r="E6956" s="6">
        <v>48.0</v>
      </c>
    </row>
    <row r="6957">
      <c r="A6957" s="4" t="s">
        <v>13817</v>
      </c>
      <c r="B6957" s="5" t="s">
        <v>13818</v>
      </c>
      <c r="C6957" s="7">
        <v>1000.0</v>
      </c>
      <c r="D6957" s="6">
        <v>5.0</v>
      </c>
      <c r="E6957" s="6">
        <v>4.0</v>
      </c>
    </row>
    <row r="6958">
      <c r="A6958" s="4" t="s">
        <v>13819</v>
      </c>
      <c r="B6958" s="5" t="s">
        <v>13820</v>
      </c>
      <c r="C6958" s="7">
        <v>1000.0</v>
      </c>
      <c r="D6958" s="6">
        <v>3.7</v>
      </c>
      <c r="E6958" s="6">
        <v>40.0</v>
      </c>
    </row>
    <row r="6959">
      <c r="A6959" s="4" t="s">
        <v>13821</v>
      </c>
      <c r="B6959" s="5" t="s">
        <v>13822</v>
      </c>
      <c r="C6959" s="7">
        <v>1000.0</v>
      </c>
      <c r="D6959" s="6">
        <v>3.3</v>
      </c>
      <c r="E6959" s="6">
        <v>24.0</v>
      </c>
    </row>
    <row r="6960">
      <c r="A6960" s="4" t="s">
        <v>13823</v>
      </c>
      <c r="B6960" s="5" t="s">
        <v>13824</v>
      </c>
      <c r="C6960" s="7">
        <v>1000.0</v>
      </c>
      <c r="D6960" s="6">
        <v>2.9</v>
      </c>
      <c r="E6960" s="6">
        <v>14.0</v>
      </c>
    </row>
    <row r="6961">
      <c r="A6961" s="4" t="s">
        <v>13825</v>
      </c>
      <c r="B6961" s="5" t="s">
        <v>13826</v>
      </c>
      <c r="C6961" s="6">
        <v>999.0</v>
      </c>
      <c r="D6961" s="6">
        <v>3.857142857</v>
      </c>
      <c r="E6961" s="6">
        <v>21.0</v>
      </c>
    </row>
    <row r="6962">
      <c r="A6962" s="4" t="s">
        <v>13827</v>
      </c>
      <c r="B6962" s="5" t="s">
        <v>13828</v>
      </c>
      <c r="C6962" s="6">
        <v>999.0</v>
      </c>
      <c r="D6962" s="6">
        <v>4.333333333</v>
      </c>
      <c r="E6962" s="6">
        <v>15.0</v>
      </c>
    </row>
    <row r="6963">
      <c r="A6963" s="4" t="s">
        <v>13829</v>
      </c>
      <c r="B6963" s="5" t="s">
        <v>13830</v>
      </c>
      <c r="C6963" s="6">
        <v>998.0</v>
      </c>
      <c r="D6963" s="6">
        <v>2.375</v>
      </c>
      <c r="E6963" s="6">
        <v>8.0</v>
      </c>
    </row>
    <row r="6964">
      <c r="A6964" s="4" t="s">
        <v>13831</v>
      </c>
      <c r="B6964" s="5" t="s">
        <v>13832</v>
      </c>
      <c r="C6964" s="6">
        <v>997.0</v>
      </c>
      <c r="D6964" s="6">
        <v>5.0</v>
      </c>
      <c r="E6964" s="6">
        <v>12.0</v>
      </c>
    </row>
    <row r="6965">
      <c r="A6965" s="4" t="s">
        <v>13833</v>
      </c>
      <c r="B6965" s="5" t="s">
        <v>13834</v>
      </c>
      <c r="C6965" s="6">
        <v>997.0</v>
      </c>
      <c r="D6965" s="9"/>
      <c r="E6965" s="9"/>
    </row>
    <row r="6966">
      <c r="A6966" s="4" t="s">
        <v>13835</v>
      </c>
      <c r="B6966" s="5" t="s">
        <v>13836</v>
      </c>
      <c r="C6966" s="6">
        <v>997.0</v>
      </c>
      <c r="D6966" s="6">
        <v>5.0</v>
      </c>
      <c r="E6966" s="6">
        <v>22.0</v>
      </c>
    </row>
    <row r="6967">
      <c r="A6967" s="4" t="s">
        <v>13837</v>
      </c>
      <c r="B6967" s="5" t="s">
        <v>13838</v>
      </c>
      <c r="C6967" s="6">
        <v>996.0</v>
      </c>
      <c r="D6967" s="9"/>
      <c r="E6967" s="9"/>
    </row>
    <row r="6968">
      <c r="A6968" s="4" t="s">
        <v>13839</v>
      </c>
      <c r="B6968" s="5" t="s">
        <v>13840</v>
      </c>
      <c r="C6968" s="6">
        <v>996.0</v>
      </c>
      <c r="D6968" s="6">
        <v>5.0</v>
      </c>
      <c r="E6968" s="6">
        <v>5.0</v>
      </c>
    </row>
    <row r="6969">
      <c r="A6969" s="4" t="s">
        <v>13841</v>
      </c>
      <c r="B6969" s="5" t="s">
        <v>13842</v>
      </c>
      <c r="C6969" s="6">
        <v>995.0</v>
      </c>
      <c r="D6969" s="6">
        <v>4.859375</v>
      </c>
      <c r="E6969" s="6">
        <v>64.0</v>
      </c>
    </row>
    <row r="6970">
      <c r="A6970" s="4" t="s">
        <v>13843</v>
      </c>
      <c r="B6970" s="5" t="s">
        <v>13844</v>
      </c>
      <c r="C6970" s="6">
        <v>995.0</v>
      </c>
      <c r="D6970" s="9"/>
      <c r="E6970" s="9"/>
    </row>
    <row r="6971">
      <c r="A6971" s="4" t="s">
        <v>13845</v>
      </c>
      <c r="B6971" s="5" t="s">
        <v>13846</v>
      </c>
      <c r="C6971" s="6">
        <v>995.0</v>
      </c>
      <c r="D6971" s="6">
        <v>4.531914894</v>
      </c>
      <c r="E6971" s="6">
        <v>94.0</v>
      </c>
    </row>
    <row r="6972">
      <c r="A6972" s="4" t="s">
        <v>13847</v>
      </c>
      <c r="B6972" s="5" t="s">
        <v>13848</v>
      </c>
      <c r="C6972" s="6">
        <v>995.0</v>
      </c>
      <c r="D6972" s="6">
        <v>3.444444444</v>
      </c>
      <c r="E6972" s="6">
        <v>9.0</v>
      </c>
    </row>
    <row r="6973">
      <c r="A6973" s="4" t="s">
        <v>13849</v>
      </c>
      <c r="B6973" s="5" t="s">
        <v>13850</v>
      </c>
      <c r="C6973" s="6">
        <v>994.0</v>
      </c>
      <c r="D6973" s="6">
        <v>1.8</v>
      </c>
      <c r="E6973" s="6">
        <v>5.0</v>
      </c>
    </row>
    <row r="6974">
      <c r="A6974" s="4" t="s">
        <v>13851</v>
      </c>
      <c r="B6974" s="5" t="s">
        <v>13852</v>
      </c>
      <c r="C6974" s="6">
        <v>994.0</v>
      </c>
      <c r="D6974" s="6">
        <v>4.2</v>
      </c>
      <c r="E6974" s="6">
        <v>10.0</v>
      </c>
    </row>
    <row r="6975">
      <c r="A6975" s="4" t="s">
        <v>13853</v>
      </c>
      <c r="B6975" s="5" t="s">
        <v>13854</v>
      </c>
      <c r="C6975" s="6">
        <v>994.0</v>
      </c>
      <c r="D6975" s="6">
        <v>5.0</v>
      </c>
      <c r="E6975" s="6">
        <v>1.0</v>
      </c>
    </row>
    <row r="6976">
      <c r="A6976" s="4" t="s">
        <v>13855</v>
      </c>
      <c r="B6976" s="5" t="s">
        <v>13856</v>
      </c>
      <c r="C6976" s="6">
        <v>994.0</v>
      </c>
      <c r="D6976" s="6">
        <v>4.352941176</v>
      </c>
      <c r="E6976" s="6">
        <v>17.0</v>
      </c>
    </row>
    <row r="6977">
      <c r="A6977" s="4" t="s">
        <v>13857</v>
      </c>
      <c r="B6977" s="5" t="s">
        <v>13858</v>
      </c>
      <c r="C6977" s="6">
        <v>992.0</v>
      </c>
      <c r="D6977" s="6">
        <v>4.611111111</v>
      </c>
      <c r="E6977" s="6">
        <v>18.0</v>
      </c>
    </row>
    <row r="6978">
      <c r="A6978" s="4" t="s">
        <v>13859</v>
      </c>
      <c r="B6978" s="5" t="s">
        <v>13860</v>
      </c>
      <c r="C6978" s="6">
        <v>992.0</v>
      </c>
      <c r="D6978" s="6">
        <v>4.333333333</v>
      </c>
      <c r="E6978" s="6">
        <v>27.0</v>
      </c>
    </row>
    <row r="6979">
      <c r="A6979" s="4" t="s">
        <v>13861</v>
      </c>
      <c r="B6979" s="5" t="s">
        <v>13862</v>
      </c>
      <c r="C6979" s="6">
        <v>992.0</v>
      </c>
      <c r="D6979" s="6">
        <v>3.4</v>
      </c>
      <c r="E6979" s="6">
        <v>55.0</v>
      </c>
    </row>
    <row r="6980">
      <c r="A6980" s="4" t="s">
        <v>13863</v>
      </c>
      <c r="B6980" s="5" t="s">
        <v>13864</v>
      </c>
      <c r="C6980" s="6">
        <v>992.0</v>
      </c>
      <c r="D6980" s="6">
        <v>2.0</v>
      </c>
      <c r="E6980" s="6">
        <v>9.0</v>
      </c>
    </row>
    <row r="6981">
      <c r="A6981" s="4" t="s">
        <v>13865</v>
      </c>
      <c r="B6981" s="5" t="s">
        <v>13866</v>
      </c>
      <c r="C6981" s="6">
        <v>992.0</v>
      </c>
      <c r="D6981" s="6">
        <v>4.666666667</v>
      </c>
      <c r="E6981" s="6">
        <v>3.0</v>
      </c>
    </row>
    <row r="6982">
      <c r="A6982" s="4" t="s">
        <v>13867</v>
      </c>
      <c r="B6982" s="5" t="s">
        <v>13868</v>
      </c>
      <c r="C6982" s="6">
        <v>991.0</v>
      </c>
      <c r="D6982" s="9"/>
      <c r="E6982" s="9"/>
    </row>
    <row r="6983">
      <c r="A6983" s="4" t="s">
        <v>13869</v>
      </c>
      <c r="B6983" s="5" t="s">
        <v>13870</v>
      </c>
      <c r="C6983" s="6">
        <v>991.0</v>
      </c>
      <c r="D6983" s="6">
        <v>3.333333333</v>
      </c>
      <c r="E6983" s="6">
        <v>3.0</v>
      </c>
    </row>
    <row r="6984">
      <c r="A6984" s="4" t="s">
        <v>13871</v>
      </c>
      <c r="B6984" s="5" t="s">
        <v>13872</v>
      </c>
      <c r="C6984" s="6">
        <v>991.0</v>
      </c>
      <c r="D6984" s="6">
        <v>4.533333333</v>
      </c>
      <c r="E6984" s="6">
        <v>15.0</v>
      </c>
    </row>
    <row r="6985">
      <c r="A6985" s="4" t="s">
        <v>13873</v>
      </c>
      <c r="B6985" s="5" t="s">
        <v>13874</v>
      </c>
      <c r="C6985" s="6">
        <v>991.0</v>
      </c>
      <c r="D6985" s="6">
        <v>5.0</v>
      </c>
      <c r="E6985" s="6">
        <v>1.0</v>
      </c>
    </row>
    <row r="6986">
      <c r="A6986" s="4" t="s">
        <v>13875</v>
      </c>
      <c r="B6986" s="5" t="s">
        <v>13876</v>
      </c>
      <c r="C6986" s="6">
        <v>990.0</v>
      </c>
      <c r="D6986" s="9"/>
      <c r="E6986" s="9"/>
    </row>
    <row r="6987">
      <c r="A6987" s="4" t="s">
        <v>13877</v>
      </c>
      <c r="B6987" s="5" t="s">
        <v>13878</v>
      </c>
      <c r="C6987" s="6">
        <v>990.0</v>
      </c>
      <c r="D6987" s="6">
        <v>3.75</v>
      </c>
      <c r="E6987" s="6">
        <v>4.0</v>
      </c>
    </row>
    <row r="6988">
      <c r="A6988" s="4" t="s">
        <v>13548</v>
      </c>
      <c r="B6988" s="5" t="s">
        <v>13879</v>
      </c>
      <c r="C6988" s="6">
        <v>990.0</v>
      </c>
      <c r="D6988" s="6">
        <v>4.166666667</v>
      </c>
      <c r="E6988" s="6">
        <v>6.0</v>
      </c>
    </row>
    <row r="6989">
      <c r="A6989" s="4" t="s">
        <v>13880</v>
      </c>
      <c r="B6989" s="5" t="s">
        <v>13881</v>
      </c>
      <c r="C6989" s="6">
        <v>990.0</v>
      </c>
      <c r="D6989" s="6">
        <v>4.318181818</v>
      </c>
      <c r="E6989" s="6">
        <v>22.0</v>
      </c>
    </row>
    <row r="6990">
      <c r="A6990" s="4" t="s">
        <v>8453</v>
      </c>
      <c r="B6990" s="5" t="s">
        <v>13882</v>
      </c>
      <c r="C6990" s="6">
        <v>989.0</v>
      </c>
      <c r="D6990" s="6">
        <v>4.75</v>
      </c>
      <c r="E6990" s="6">
        <v>4.0</v>
      </c>
    </row>
    <row r="6991">
      <c r="A6991" s="4" t="s">
        <v>13883</v>
      </c>
      <c r="B6991" s="5" t="s">
        <v>13884</v>
      </c>
      <c r="C6991" s="6">
        <v>989.0</v>
      </c>
      <c r="D6991" s="6">
        <v>4.6</v>
      </c>
      <c r="E6991" s="6">
        <v>10.0</v>
      </c>
    </row>
    <row r="6992">
      <c r="A6992" s="4" t="s">
        <v>13885</v>
      </c>
      <c r="B6992" s="5" t="s">
        <v>13886</v>
      </c>
      <c r="C6992" s="6">
        <v>989.0</v>
      </c>
      <c r="D6992" s="6">
        <v>4.0</v>
      </c>
      <c r="E6992" s="6">
        <v>5.0</v>
      </c>
    </row>
    <row r="6993">
      <c r="A6993" s="4" t="s">
        <v>13887</v>
      </c>
      <c r="B6993" s="5" t="s">
        <v>13888</v>
      </c>
      <c r="C6993" s="6">
        <v>989.0</v>
      </c>
      <c r="D6993" s="6">
        <v>4.4375</v>
      </c>
      <c r="E6993" s="6">
        <v>16.0</v>
      </c>
    </row>
    <row r="6994">
      <c r="A6994" s="4" t="s">
        <v>13889</v>
      </c>
      <c r="B6994" s="5" t="s">
        <v>13890</v>
      </c>
      <c r="C6994" s="6">
        <v>988.0</v>
      </c>
      <c r="D6994" s="6">
        <v>3.833333333</v>
      </c>
      <c r="E6994" s="6">
        <v>12.0</v>
      </c>
    </row>
    <row r="6995">
      <c r="A6995" s="4" t="s">
        <v>13891</v>
      </c>
      <c r="B6995" s="5" t="s">
        <v>13892</v>
      </c>
      <c r="C6995" s="6">
        <v>988.0</v>
      </c>
      <c r="D6995" s="6">
        <v>3.882352941</v>
      </c>
      <c r="E6995" s="6">
        <v>34.0</v>
      </c>
    </row>
    <row r="6996">
      <c r="A6996" s="4" t="s">
        <v>13893</v>
      </c>
      <c r="B6996" s="5" t="s">
        <v>13894</v>
      </c>
      <c r="C6996" s="6">
        <v>988.0</v>
      </c>
      <c r="D6996" s="6">
        <v>4.0</v>
      </c>
      <c r="E6996" s="6">
        <v>4.0</v>
      </c>
    </row>
    <row r="6997">
      <c r="A6997" s="4" t="s">
        <v>13895</v>
      </c>
      <c r="B6997" s="5" t="s">
        <v>13896</v>
      </c>
      <c r="C6997" s="6">
        <v>988.0</v>
      </c>
      <c r="D6997" s="6">
        <v>3.0</v>
      </c>
      <c r="E6997" s="6">
        <v>2.0</v>
      </c>
    </row>
    <row r="6998">
      <c r="A6998" s="4" t="s">
        <v>13897</v>
      </c>
      <c r="B6998" s="5" t="s">
        <v>13898</v>
      </c>
      <c r="C6998" s="6">
        <v>987.0</v>
      </c>
      <c r="D6998" s="6">
        <v>4.5</v>
      </c>
      <c r="E6998" s="6">
        <v>8.0</v>
      </c>
    </row>
    <row r="6999">
      <c r="A6999" s="4" t="s">
        <v>13899</v>
      </c>
      <c r="B6999" s="5" t="s">
        <v>13900</v>
      </c>
      <c r="C6999" s="6">
        <v>987.0</v>
      </c>
      <c r="D6999" s="6">
        <v>4.833333333</v>
      </c>
      <c r="E6999" s="6">
        <v>6.0</v>
      </c>
    </row>
    <row r="7000">
      <c r="A7000" s="4" t="s">
        <v>13901</v>
      </c>
      <c r="B7000" s="5" t="s">
        <v>13902</v>
      </c>
      <c r="C7000" s="6">
        <v>986.0</v>
      </c>
      <c r="D7000" s="6">
        <v>5.0</v>
      </c>
      <c r="E7000" s="6">
        <v>1.0</v>
      </c>
    </row>
    <row r="7001">
      <c r="A7001" s="4" t="s">
        <v>13903</v>
      </c>
      <c r="B7001" s="5" t="s">
        <v>13904</v>
      </c>
      <c r="C7001" s="6">
        <v>986.0</v>
      </c>
      <c r="D7001" s="6">
        <v>4.5</v>
      </c>
      <c r="E7001" s="6">
        <v>2.0</v>
      </c>
    </row>
    <row r="7002">
      <c r="A7002" s="4" t="s">
        <v>13905</v>
      </c>
      <c r="B7002" s="5" t="s">
        <v>13906</v>
      </c>
      <c r="C7002" s="6">
        <v>986.0</v>
      </c>
      <c r="D7002" s="6">
        <v>4.333333333</v>
      </c>
      <c r="E7002" s="6">
        <v>6.0</v>
      </c>
    </row>
    <row r="7003">
      <c r="A7003" s="4" t="s">
        <v>13907</v>
      </c>
      <c r="B7003" s="5" t="s">
        <v>13908</v>
      </c>
      <c r="C7003" s="6">
        <v>986.0</v>
      </c>
      <c r="D7003" s="6">
        <v>4.75</v>
      </c>
      <c r="E7003" s="6">
        <v>8.0</v>
      </c>
    </row>
    <row r="7004">
      <c r="A7004" s="4" t="s">
        <v>13909</v>
      </c>
      <c r="B7004" s="5" t="s">
        <v>13910</v>
      </c>
      <c r="C7004" s="6">
        <v>986.0</v>
      </c>
      <c r="D7004" s="6">
        <v>5.0</v>
      </c>
      <c r="E7004" s="6">
        <v>11.0</v>
      </c>
    </row>
    <row r="7005">
      <c r="A7005" s="4" t="s">
        <v>13911</v>
      </c>
      <c r="B7005" s="5" t="s">
        <v>13912</v>
      </c>
      <c r="C7005" s="6">
        <v>985.0</v>
      </c>
      <c r="D7005" s="6">
        <v>4.166666667</v>
      </c>
      <c r="E7005" s="6">
        <v>6.0</v>
      </c>
    </row>
    <row r="7006">
      <c r="A7006" s="4" t="s">
        <v>13913</v>
      </c>
      <c r="B7006" s="5" t="s">
        <v>13914</v>
      </c>
      <c r="C7006" s="6">
        <v>985.0</v>
      </c>
      <c r="D7006" s="6">
        <v>1.0</v>
      </c>
      <c r="E7006" s="6">
        <v>1.0</v>
      </c>
    </row>
    <row r="7007">
      <c r="A7007" s="4" t="s">
        <v>13915</v>
      </c>
      <c r="B7007" s="5" t="s">
        <v>13916</v>
      </c>
      <c r="C7007" s="6">
        <v>984.0</v>
      </c>
      <c r="D7007" s="6">
        <v>4.444444444</v>
      </c>
      <c r="E7007" s="6">
        <v>9.0</v>
      </c>
    </row>
    <row r="7008">
      <c r="A7008" s="4" t="s">
        <v>13917</v>
      </c>
      <c r="B7008" s="5" t="s">
        <v>13918</v>
      </c>
      <c r="C7008" s="6">
        <v>984.0</v>
      </c>
      <c r="D7008" s="6">
        <v>4.5</v>
      </c>
      <c r="E7008" s="6">
        <v>2.0</v>
      </c>
    </row>
    <row r="7009">
      <c r="A7009" s="4" t="s">
        <v>13919</v>
      </c>
      <c r="B7009" s="5" t="s">
        <v>13920</v>
      </c>
      <c r="C7009" s="6">
        <v>984.0</v>
      </c>
      <c r="D7009" s="6">
        <v>3.333333333</v>
      </c>
      <c r="E7009" s="6">
        <v>3.0</v>
      </c>
    </row>
    <row r="7010">
      <c r="A7010" s="4" t="s">
        <v>13921</v>
      </c>
      <c r="B7010" s="5" t="s">
        <v>13922</v>
      </c>
      <c r="C7010" s="6">
        <v>983.0</v>
      </c>
      <c r="D7010" s="6">
        <v>4.428571429</v>
      </c>
      <c r="E7010" s="6">
        <v>7.0</v>
      </c>
    </row>
    <row r="7011">
      <c r="A7011" s="4" t="s">
        <v>13923</v>
      </c>
      <c r="B7011" s="5" t="s">
        <v>13924</v>
      </c>
      <c r="C7011" s="6">
        <v>983.0</v>
      </c>
      <c r="D7011" s="6">
        <v>5.0</v>
      </c>
      <c r="E7011" s="6">
        <v>3.0</v>
      </c>
    </row>
    <row r="7012">
      <c r="A7012" s="4" t="s">
        <v>13925</v>
      </c>
      <c r="B7012" s="5" t="s">
        <v>13926</v>
      </c>
      <c r="C7012" s="6">
        <v>983.0</v>
      </c>
      <c r="D7012" s="9"/>
      <c r="E7012" s="9"/>
    </row>
    <row r="7013">
      <c r="A7013" s="4" t="s">
        <v>13927</v>
      </c>
      <c r="B7013" s="5" t="s">
        <v>13928</v>
      </c>
      <c r="C7013" s="6">
        <v>983.0</v>
      </c>
      <c r="D7013" s="9"/>
      <c r="E7013" s="9"/>
    </row>
    <row r="7014">
      <c r="A7014" s="4" t="s">
        <v>11380</v>
      </c>
      <c r="B7014" s="5" t="s">
        <v>13929</v>
      </c>
      <c r="C7014" s="6">
        <v>983.0</v>
      </c>
      <c r="D7014" s="6">
        <v>4.9</v>
      </c>
      <c r="E7014" s="6">
        <v>10.0</v>
      </c>
    </row>
    <row r="7015">
      <c r="A7015" s="4" t="s">
        <v>13930</v>
      </c>
      <c r="B7015" s="5" t="s">
        <v>13931</v>
      </c>
      <c r="C7015" s="6">
        <v>982.0</v>
      </c>
      <c r="D7015" s="6">
        <v>2.863636364</v>
      </c>
      <c r="E7015" s="6">
        <v>22.0</v>
      </c>
    </row>
    <row r="7016">
      <c r="A7016" s="4" t="s">
        <v>13932</v>
      </c>
      <c r="B7016" s="5" t="s">
        <v>13933</v>
      </c>
      <c r="C7016" s="6">
        <v>982.0</v>
      </c>
      <c r="D7016" s="6">
        <v>3.0</v>
      </c>
      <c r="E7016" s="6">
        <v>14.0</v>
      </c>
    </row>
    <row r="7017">
      <c r="A7017" s="4" t="s">
        <v>13934</v>
      </c>
      <c r="B7017" s="5" t="s">
        <v>13935</v>
      </c>
      <c r="C7017" s="6">
        <v>982.0</v>
      </c>
      <c r="D7017" s="6">
        <v>4.0</v>
      </c>
      <c r="E7017" s="6">
        <v>5.0</v>
      </c>
    </row>
    <row r="7018">
      <c r="A7018" s="4" t="s">
        <v>13936</v>
      </c>
      <c r="B7018" s="5" t="s">
        <v>13937</v>
      </c>
      <c r="C7018" s="6">
        <v>981.0</v>
      </c>
      <c r="D7018" s="6">
        <v>4.222222222</v>
      </c>
      <c r="E7018" s="6">
        <v>9.0</v>
      </c>
    </row>
    <row r="7019">
      <c r="A7019" s="4" t="s">
        <v>13938</v>
      </c>
      <c r="B7019" s="5" t="s">
        <v>13939</v>
      </c>
      <c r="C7019" s="6">
        <v>981.0</v>
      </c>
      <c r="D7019" s="6">
        <v>3.666666667</v>
      </c>
      <c r="E7019" s="6">
        <v>3.0</v>
      </c>
    </row>
    <row r="7020">
      <c r="A7020" s="4" t="s">
        <v>13940</v>
      </c>
      <c r="B7020" s="5" t="s">
        <v>13941</v>
      </c>
      <c r="C7020" s="6">
        <v>981.0</v>
      </c>
      <c r="D7020" s="6">
        <v>4.214285714</v>
      </c>
      <c r="E7020" s="6">
        <v>14.0</v>
      </c>
    </row>
    <row r="7021">
      <c r="A7021" s="4" t="s">
        <v>13942</v>
      </c>
      <c r="B7021" s="5" t="s">
        <v>13943</v>
      </c>
      <c r="C7021" s="6">
        <v>981.0</v>
      </c>
      <c r="D7021" s="6">
        <v>4.724137931</v>
      </c>
      <c r="E7021" s="6">
        <v>203.0</v>
      </c>
    </row>
    <row r="7022">
      <c r="A7022" s="4" t="s">
        <v>13944</v>
      </c>
      <c r="B7022" s="5" t="s">
        <v>13945</v>
      </c>
      <c r="C7022" s="6">
        <v>981.0</v>
      </c>
      <c r="D7022" s="6">
        <v>5.0</v>
      </c>
      <c r="E7022" s="6">
        <v>2.0</v>
      </c>
    </row>
    <row r="7023">
      <c r="A7023" s="4" t="s">
        <v>13946</v>
      </c>
      <c r="B7023" s="5" t="s">
        <v>13947</v>
      </c>
      <c r="C7023" s="6">
        <v>980.0</v>
      </c>
      <c r="D7023" s="6">
        <v>5.0</v>
      </c>
      <c r="E7023" s="6">
        <v>3.0</v>
      </c>
    </row>
    <row r="7024">
      <c r="A7024" s="4" t="s">
        <v>13948</v>
      </c>
      <c r="B7024" s="5" t="s">
        <v>13949</v>
      </c>
      <c r="C7024" s="6">
        <v>979.0</v>
      </c>
      <c r="D7024" s="6">
        <v>5.0</v>
      </c>
      <c r="E7024" s="6">
        <v>3.0</v>
      </c>
    </row>
    <row r="7025">
      <c r="A7025" s="4" t="s">
        <v>13950</v>
      </c>
      <c r="B7025" s="5" t="s">
        <v>13951</v>
      </c>
      <c r="C7025" s="6">
        <v>979.0</v>
      </c>
      <c r="D7025" s="6">
        <v>4.625</v>
      </c>
      <c r="E7025" s="6">
        <v>32.0</v>
      </c>
    </row>
    <row r="7026">
      <c r="A7026" s="4" t="s">
        <v>13952</v>
      </c>
      <c r="B7026" s="5" t="s">
        <v>13953</v>
      </c>
      <c r="C7026" s="6">
        <v>978.0</v>
      </c>
      <c r="D7026" s="6">
        <v>4.642857143</v>
      </c>
      <c r="E7026" s="6">
        <v>28.0</v>
      </c>
    </row>
    <row r="7027">
      <c r="A7027" s="4" t="s">
        <v>13954</v>
      </c>
      <c r="B7027" s="5" t="s">
        <v>13955</v>
      </c>
      <c r="C7027" s="6">
        <v>978.0</v>
      </c>
      <c r="D7027" s="6">
        <v>2.684210526</v>
      </c>
      <c r="E7027" s="6">
        <v>38.0</v>
      </c>
    </row>
    <row r="7028">
      <c r="A7028" s="4" t="s">
        <v>13956</v>
      </c>
      <c r="B7028" s="5" t="s">
        <v>13957</v>
      </c>
      <c r="C7028" s="6">
        <v>977.0</v>
      </c>
      <c r="D7028" s="6">
        <v>3.285714286</v>
      </c>
      <c r="E7028" s="6">
        <v>7.0</v>
      </c>
    </row>
    <row r="7029">
      <c r="A7029" s="4" t="s">
        <v>13958</v>
      </c>
      <c r="B7029" s="5" t="s">
        <v>13959</v>
      </c>
      <c r="C7029" s="6">
        <v>977.0</v>
      </c>
      <c r="D7029" s="6">
        <v>4.188679245</v>
      </c>
      <c r="E7029" s="6">
        <v>53.0</v>
      </c>
    </row>
    <row r="7030">
      <c r="A7030" s="4" t="s">
        <v>13960</v>
      </c>
      <c r="B7030" s="5" t="s">
        <v>13961</v>
      </c>
      <c r="C7030" s="6">
        <v>977.0</v>
      </c>
      <c r="D7030" s="6">
        <v>4.578947368</v>
      </c>
      <c r="E7030" s="6">
        <v>19.0</v>
      </c>
    </row>
    <row r="7031">
      <c r="A7031" s="4" t="s">
        <v>13962</v>
      </c>
      <c r="B7031" s="5" t="s">
        <v>13963</v>
      </c>
      <c r="C7031" s="6">
        <v>977.0</v>
      </c>
      <c r="D7031" s="6">
        <v>4.875</v>
      </c>
      <c r="E7031" s="6">
        <v>8.0</v>
      </c>
    </row>
    <row r="7032">
      <c r="A7032" s="4" t="s">
        <v>13964</v>
      </c>
      <c r="B7032" s="5" t="s">
        <v>13965</v>
      </c>
      <c r="C7032" s="6">
        <v>976.0</v>
      </c>
      <c r="D7032" s="6">
        <v>4.263157895</v>
      </c>
      <c r="E7032" s="6">
        <v>19.0</v>
      </c>
    </row>
    <row r="7033">
      <c r="A7033" s="4" t="s">
        <v>13966</v>
      </c>
      <c r="B7033" s="5" t="s">
        <v>13967</v>
      </c>
      <c r="C7033" s="6">
        <v>976.0</v>
      </c>
      <c r="D7033" s="6">
        <v>3.0</v>
      </c>
      <c r="E7033" s="6">
        <v>2.0</v>
      </c>
    </row>
    <row r="7034">
      <c r="A7034" s="4" t="s">
        <v>13968</v>
      </c>
      <c r="B7034" s="5" t="s">
        <v>13969</v>
      </c>
      <c r="C7034" s="6">
        <v>975.0</v>
      </c>
      <c r="D7034" s="6">
        <v>4.375</v>
      </c>
      <c r="E7034" s="6">
        <v>16.0</v>
      </c>
    </row>
    <row r="7035">
      <c r="A7035" s="4" t="s">
        <v>13970</v>
      </c>
      <c r="B7035" s="5" t="s">
        <v>13971</v>
      </c>
      <c r="C7035" s="6">
        <v>975.0</v>
      </c>
      <c r="D7035" s="6">
        <v>3.676470588</v>
      </c>
      <c r="E7035" s="6">
        <v>34.0</v>
      </c>
    </row>
    <row r="7036">
      <c r="A7036" s="4" t="s">
        <v>13972</v>
      </c>
      <c r="B7036" s="5" t="s">
        <v>13973</v>
      </c>
      <c r="C7036" s="6">
        <v>974.0</v>
      </c>
      <c r="D7036" s="6">
        <v>5.0</v>
      </c>
      <c r="E7036" s="6">
        <v>1.0</v>
      </c>
    </row>
    <row r="7037">
      <c r="A7037" s="4" t="s">
        <v>13974</v>
      </c>
      <c r="B7037" s="5" t="s">
        <v>13975</v>
      </c>
      <c r="C7037" s="6">
        <v>974.0</v>
      </c>
      <c r="D7037" s="6">
        <v>3.3</v>
      </c>
      <c r="E7037" s="6">
        <v>10.0</v>
      </c>
    </row>
    <row r="7038">
      <c r="A7038" s="4" t="s">
        <v>13976</v>
      </c>
      <c r="B7038" s="5" t="s">
        <v>13977</v>
      </c>
      <c r="C7038" s="6">
        <v>974.0</v>
      </c>
      <c r="D7038" s="6">
        <v>5.0</v>
      </c>
      <c r="E7038" s="6">
        <v>3.0</v>
      </c>
    </row>
    <row r="7039">
      <c r="A7039" s="4" t="s">
        <v>13978</v>
      </c>
      <c r="B7039" s="5" t="s">
        <v>13979</v>
      </c>
      <c r="C7039" s="6">
        <v>974.0</v>
      </c>
      <c r="D7039" s="6">
        <v>4.333333333</v>
      </c>
      <c r="E7039" s="6">
        <v>9.0</v>
      </c>
    </row>
    <row r="7040">
      <c r="A7040" s="4" t="s">
        <v>13980</v>
      </c>
      <c r="B7040" s="5" t="s">
        <v>13981</v>
      </c>
      <c r="C7040" s="6">
        <v>974.0</v>
      </c>
      <c r="D7040" s="6">
        <v>4.6</v>
      </c>
      <c r="E7040" s="6">
        <v>5.0</v>
      </c>
    </row>
    <row r="7041">
      <c r="A7041" s="4" t="s">
        <v>13982</v>
      </c>
      <c r="B7041" s="5" t="s">
        <v>13983</v>
      </c>
      <c r="C7041" s="6">
        <v>974.0</v>
      </c>
      <c r="D7041" s="6">
        <v>4.256410256</v>
      </c>
      <c r="E7041" s="6">
        <v>39.0</v>
      </c>
    </row>
    <row r="7042">
      <c r="A7042" s="4" t="s">
        <v>13984</v>
      </c>
      <c r="B7042" s="5" t="s">
        <v>13985</v>
      </c>
      <c r="C7042" s="6">
        <v>973.0</v>
      </c>
      <c r="D7042" s="6">
        <v>3.333333333</v>
      </c>
      <c r="E7042" s="6">
        <v>3.0</v>
      </c>
    </row>
    <row r="7043">
      <c r="A7043" s="4" t="s">
        <v>13986</v>
      </c>
      <c r="B7043" s="5" t="s">
        <v>13987</v>
      </c>
      <c r="C7043" s="6">
        <v>973.0</v>
      </c>
      <c r="D7043" s="6">
        <v>4.1</v>
      </c>
      <c r="E7043" s="6">
        <v>10.0</v>
      </c>
    </row>
    <row r="7044">
      <c r="A7044" s="4" t="s">
        <v>13988</v>
      </c>
      <c r="B7044" s="5" t="s">
        <v>13989</v>
      </c>
      <c r="C7044" s="6">
        <v>972.0</v>
      </c>
      <c r="D7044" s="9"/>
      <c r="E7044" s="9"/>
    </row>
    <row r="7045">
      <c r="A7045" s="4" t="s">
        <v>13990</v>
      </c>
      <c r="B7045" s="5" t="s">
        <v>13991</v>
      </c>
      <c r="C7045" s="6">
        <v>972.0</v>
      </c>
      <c r="D7045" s="6">
        <v>3.666666667</v>
      </c>
      <c r="E7045" s="6">
        <v>6.0</v>
      </c>
    </row>
    <row r="7046">
      <c r="A7046" s="4" t="s">
        <v>13992</v>
      </c>
      <c r="B7046" s="5" t="s">
        <v>13993</v>
      </c>
      <c r="C7046" s="6">
        <v>972.0</v>
      </c>
      <c r="D7046" s="6">
        <v>3.0</v>
      </c>
      <c r="E7046" s="6">
        <v>1.0</v>
      </c>
    </row>
    <row r="7047">
      <c r="A7047" s="4" t="s">
        <v>13994</v>
      </c>
      <c r="B7047" s="5" t="s">
        <v>13995</v>
      </c>
      <c r="C7047" s="6">
        <v>972.0</v>
      </c>
      <c r="D7047" s="6">
        <v>3.967741935</v>
      </c>
      <c r="E7047" s="6">
        <v>31.0</v>
      </c>
    </row>
    <row r="7048">
      <c r="A7048" s="4" t="s">
        <v>13996</v>
      </c>
      <c r="B7048" s="5" t="s">
        <v>13997</v>
      </c>
      <c r="C7048" s="6">
        <v>972.0</v>
      </c>
      <c r="D7048" s="6">
        <v>4.75</v>
      </c>
      <c r="E7048" s="6">
        <v>4.0</v>
      </c>
    </row>
    <row r="7049">
      <c r="A7049" s="4" t="s">
        <v>13998</v>
      </c>
      <c r="B7049" s="5" t="s">
        <v>13999</v>
      </c>
      <c r="C7049" s="6">
        <v>971.0</v>
      </c>
      <c r="D7049" s="6">
        <v>4.666666667</v>
      </c>
      <c r="E7049" s="6">
        <v>18.0</v>
      </c>
    </row>
    <row r="7050">
      <c r="A7050" s="4" t="s">
        <v>14000</v>
      </c>
      <c r="B7050" s="5" t="s">
        <v>14001</v>
      </c>
      <c r="C7050" s="6">
        <v>970.0</v>
      </c>
      <c r="D7050" s="6">
        <v>3.0</v>
      </c>
      <c r="E7050" s="6">
        <v>6.0</v>
      </c>
    </row>
    <row r="7051">
      <c r="A7051" s="4" t="s">
        <v>14002</v>
      </c>
      <c r="B7051" s="5" t="s">
        <v>14003</v>
      </c>
      <c r="C7051" s="6">
        <v>970.0</v>
      </c>
      <c r="D7051" s="6">
        <v>4.105263158</v>
      </c>
      <c r="E7051" s="6">
        <v>38.0</v>
      </c>
    </row>
    <row r="7052">
      <c r="A7052" s="4" t="s">
        <v>14004</v>
      </c>
      <c r="B7052" s="5" t="s">
        <v>14005</v>
      </c>
      <c r="C7052" s="6">
        <v>970.0</v>
      </c>
      <c r="D7052" s="6">
        <v>5.0</v>
      </c>
      <c r="E7052" s="6">
        <v>3.0</v>
      </c>
    </row>
    <row r="7053">
      <c r="A7053" s="4" t="s">
        <v>14006</v>
      </c>
      <c r="B7053" s="5" t="s">
        <v>14007</v>
      </c>
      <c r="C7053" s="6">
        <v>970.0</v>
      </c>
      <c r="D7053" s="6">
        <v>3.357142857</v>
      </c>
      <c r="E7053" s="6">
        <v>14.0</v>
      </c>
    </row>
    <row r="7054">
      <c r="A7054" s="4" t="s">
        <v>14008</v>
      </c>
      <c r="B7054" s="5" t="s">
        <v>14009</v>
      </c>
      <c r="C7054" s="6">
        <v>969.0</v>
      </c>
      <c r="D7054" s="6">
        <v>3.923076923</v>
      </c>
      <c r="E7054" s="6">
        <v>13.0</v>
      </c>
    </row>
    <row r="7055">
      <c r="A7055" s="4" t="s">
        <v>14010</v>
      </c>
      <c r="B7055" s="5" t="s">
        <v>14011</v>
      </c>
      <c r="C7055" s="6">
        <v>969.0</v>
      </c>
      <c r="D7055" s="6">
        <v>4.578947368</v>
      </c>
      <c r="E7055" s="6">
        <v>19.0</v>
      </c>
    </row>
    <row r="7056">
      <c r="A7056" s="4" t="s">
        <v>14012</v>
      </c>
      <c r="B7056" s="5" t="s">
        <v>14013</v>
      </c>
      <c r="C7056" s="6">
        <v>969.0</v>
      </c>
      <c r="D7056" s="6">
        <v>4.769230769</v>
      </c>
      <c r="E7056" s="6">
        <v>52.0</v>
      </c>
    </row>
    <row r="7057">
      <c r="A7057" s="4" t="s">
        <v>14014</v>
      </c>
      <c r="B7057" s="5" t="s">
        <v>14015</v>
      </c>
      <c r="C7057" s="6">
        <v>969.0</v>
      </c>
      <c r="D7057" s="6">
        <v>4.227272727</v>
      </c>
      <c r="E7057" s="6">
        <v>22.0</v>
      </c>
    </row>
    <row r="7058">
      <c r="A7058" s="5" t="s">
        <v>14016</v>
      </c>
      <c r="B7058" s="5" t="s">
        <v>14017</v>
      </c>
      <c r="C7058" s="6">
        <v>969.0</v>
      </c>
      <c r="D7058" s="6">
        <v>3.666666667</v>
      </c>
      <c r="E7058" s="6">
        <v>3.0</v>
      </c>
    </row>
    <row r="7059">
      <c r="A7059" s="4" t="s">
        <v>14018</v>
      </c>
      <c r="B7059" s="5" t="s">
        <v>14019</v>
      </c>
      <c r="C7059" s="6">
        <v>968.0</v>
      </c>
      <c r="D7059" s="6">
        <v>4.0</v>
      </c>
      <c r="E7059" s="6">
        <v>6.0</v>
      </c>
    </row>
    <row r="7060">
      <c r="A7060" s="4" t="s">
        <v>14020</v>
      </c>
      <c r="B7060" s="5" t="s">
        <v>14021</v>
      </c>
      <c r="C7060" s="6">
        <v>968.0</v>
      </c>
      <c r="D7060" s="6">
        <v>4.555555556</v>
      </c>
      <c r="E7060" s="6">
        <v>9.0</v>
      </c>
    </row>
    <row r="7061">
      <c r="A7061" s="4" t="s">
        <v>14022</v>
      </c>
      <c r="B7061" s="5" t="s">
        <v>14023</v>
      </c>
      <c r="C7061" s="6">
        <v>968.0</v>
      </c>
      <c r="D7061" s="6">
        <v>4.428571429</v>
      </c>
      <c r="E7061" s="6">
        <v>7.0</v>
      </c>
    </row>
    <row r="7062">
      <c r="A7062" s="4" t="s">
        <v>14024</v>
      </c>
      <c r="B7062" s="5" t="s">
        <v>14025</v>
      </c>
      <c r="C7062" s="6">
        <v>968.0</v>
      </c>
      <c r="D7062" s="6">
        <v>5.0</v>
      </c>
      <c r="E7062" s="6">
        <v>7.0</v>
      </c>
    </row>
    <row r="7063">
      <c r="A7063" s="4" t="s">
        <v>14026</v>
      </c>
      <c r="B7063" s="5" t="s">
        <v>14027</v>
      </c>
      <c r="C7063" s="6">
        <v>968.0</v>
      </c>
      <c r="D7063" s="6">
        <v>4.325581395</v>
      </c>
      <c r="E7063" s="6">
        <v>43.0</v>
      </c>
    </row>
    <row r="7064">
      <c r="A7064" s="4" t="s">
        <v>14028</v>
      </c>
      <c r="B7064" s="5" t="s">
        <v>14029</v>
      </c>
      <c r="C7064" s="6">
        <v>967.0</v>
      </c>
      <c r="D7064" s="6">
        <v>3.75</v>
      </c>
      <c r="E7064" s="6">
        <v>4.0</v>
      </c>
    </row>
    <row r="7065">
      <c r="A7065" s="4" t="s">
        <v>14030</v>
      </c>
      <c r="B7065" s="5" t="s">
        <v>14031</v>
      </c>
      <c r="C7065" s="6">
        <v>967.0</v>
      </c>
      <c r="D7065" s="6">
        <v>5.0</v>
      </c>
      <c r="E7065" s="6">
        <v>7.0</v>
      </c>
    </row>
    <row r="7066">
      <c r="A7066" s="4" t="s">
        <v>14032</v>
      </c>
      <c r="B7066" s="5" t="s">
        <v>14033</v>
      </c>
      <c r="C7066" s="6">
        <v>967.0</v>
      </c>
      <c r="D7066" s="6">
        <v>5.0</v>
      </c>
      <c r="E7066" s="6">
        <v>2.0</v>
      </c>
    </row>
    <row r="7067">
      <c r="A7067" s="4" t="s">
        <v>14034</v>
      </c>
      <c r="B7067" s="5" t="s">
        <v>14035</v>
      </c>
      <c r="C7067" s="6">
        <v>967.0</v>
      </c>
      <c r="D7067" s="6">
        <v>4.5</v>
      </c>
      <c r="E7067" s="6">
        <v>10.0</v>
      </c>
    </row>
    <row r="7068">
      <c r="A7068" s="4" t="s">
        <v>14036</v>
      </c>
      <c r="B7068" s="5" t="s">
        <v>14037</v>
      </c>
      <c r="C7068" s="6">
        <v>966.0</v>
      </c>
      <c r="D7068" s="6">
        <v>5.0</v>
      </c>
      <c r="E7068" s="6">
        <v>2.0</v>
      </c>
    </row>
    <row r="7069">
      <c r="A7069" s="4" t="s">
        <v>14038</v>
      </c>
      <c r="B7069" s="5" t="s">
        <v>14039</v>
      </c>
      <c r="C7069" s="6">
        <v>965.0</v>
      </c>
      <c r="D7069" s="6">
        <v>3.875</v>
      </c>
      <c r="E7069" s="6">
        <v>8.0</v>
      </c>
    </row>
    <row r="7070">
      <c r="A7070" s="4" t="s">
        <v>14040</v>
      </c>
      <c r="B7070" s="5" t="s">
        <v>14041</v>
      </c>
      <c r="C7070" s="6">
        <v>965.0</v>
      </c>
      <c r="D7070" s="6">
        <v>5.0</v>
      </c>
      <c r="E7070" s="6">
        <v>6.0</v>
      </c>
    </row>
    <row r="7071">
      <c r="A7071" s="4" t="s">
        <v>14042</v>
      </c>
      <c r="B7071" s="5" t="s">
        <v>14043</v>
      </c>
      <c r="C7071" s="6">
        <v>965.0</v>
      </c>
      <c r="D7071" s="6">
        <v>4.666666667</v>
      </c>
      <c r="E7071" s="6">
        <v>24.0</v>
      </c>
    </row>
    <row r="7072">
      <c r="A7072" s="4" t="s">
        <v>14044</v>
      </c>
      <c r="B7072" s="5" t="s">
        <v>14045</v>
      </c>
      <c r="C7072" s="6">
        <v>964.0</v>
      </c>
      <c r="D7072" s="6">
        <v>4.333333333</v>
      </c>
      <c r="E7072" s="6">
        <v>6.0</v>
      </c>
    </row>
    <row r="7073">
      <c r="A7073" s="4" t="s">
        <v>14046</v>
      </c>
      <c r="B7073" s="5" t="s">
        <v>14047</v>
      </c>
      <c r="C7073" s="6">
        <v>964.0</v>
      </c>
      <c r="D7073" s="6">
        <v>4.291666667</v>
      </c>
      <c r="E7073" s="6">
        <v>48.0</v>
      </c>
    </row>
    <row r="7074">
      <c r="A7074" s="4" t="s">
        <v>14048</v>
      </c>
      <c r="B7074" s="5" t="s">
        <v>14049</v>
      </c>
      <c r="C7074" s="6">
        <v>964.0</v>
      </c>
      <c r="D7074" s="9"/>
      <c r="E7074" s="9"/>
    </row>
    <row r="7075">
      <c r="A7075" s="4" t="s">
        <v>14050</v>
      </c>
      <c r="B7075" s="5" t="s">
        <v>14051</v>
      </c>
      <c r="C7075" s="6">
        <v>963.0</v>
      </c>
      <c r="D7075" s="6">
        <v>5.0</v>
      </c>
      <c r="E7075" s="6">
        <v>8.0</v>
      </c>
    </row>
    <row r="7076">
      <c r="A7076" s="4" t="s">
        <v>14052</v>
      </c>
      <c r="B7076" s="5" t="s">
        <v>14053</v>
      </c>
      <c r="C7076" s="6">
        <v>963.0</v>
      </c>
      <c r="D7076" s="6">
        <v>4.75</v>
      </c>
      <c r="E7076" s="6">
        <v>8.0</v>
      </c>
    </row>
    <row r="7077">
      <c r="A7077" s="4" t="s">
        <v>14054</v>
      </c>
      <c r="B7077" s="5" t="s">
        <v>14055</v>
      </c>
      <c r="C7077" s="6">
        <v>963.0</v>
      </c>
      <c r="D7077" s="6">
        <v>4.260869565</v>
      </c>
      <c r="E7077" s="6">
        <v>23.0</v>
      </c>
    </row>
    <row r="7078">
      <c r="A7078" s="4" t="s">
        <v>14056</v>
      </c>
      <c r="B7078" s="5" t="s">
        <v>14057</v>
      </c>
      <c r="C7078" s="6">
        <v>963.0</v>
      </c>
      <c r="D7078" s="6">
        <v>5.0</v>
      </c>
      <c r="E7078" s="6">
        <v>4.0</v>
      </c>
    </row>
    <row r="7079">
      <c r="A7079" s="4" t="s">
        <v>14058</v>
      </c>
      <c r="B7079" s="5" t="s">
        <v>14059</v>
      </c>
      <c r="C7079" s="6">
        <v>963.0</v>
      </c>
      <c r="D7079" s="6">
        <v>4.142857143</v>
      </c>
      <c r="E7079" s="6">
        <v>7.0</v>
      </c>
    </row>
    <row r="7080">
      <c r="A7080" s="4" t="s">
        <v>14060</v>
      </c>
      <c r="B7080" s="5" t="s">
        <v>14061</v>
      </c>
      <c r="C7080" s="6">
        <v>963.0</v>
      </c>
      <c r="D7080" s="6">
        <v>3.666666667</v>
      </c>
      <c r="E7080" s="6">
        <v>12.0</v>
      </c>
    </row>
    <row r="7081">
      <c r="A7081" s="4" t="s">
        <v>14062</v>
      </c>
      <c r="B7081" s="5" t="s">
        <v>14063</v>
      </c>
      <c r="C7081" s="6">
        <v>962.0</v>
      </c>
      <c r="D7081" s="6">
        <v>4.0</v>
      </c>
      <c r="E7081" s="6">
        <v>16.0</v>
      </c>
    </row>
    <row r="7082">
      <c r="A7082" s="4" t="s">
        <v>14064</v>
      </c>
      <c r="B7082" s="5" t="s">
        <v>14065</v>
      </c>
      <c r="C7082" s="6">
        <v>962.0</v>
      </c>
      <c r="D7082" s="6">
        <v>4.25</v>
      </c>
      <c r="E7082" s="6">
        <v>8.0</v>
      </c>
    </row>
    <row r="7083">
      <c r="A7083" s="4" t="s">
        <v>14066</v>
      </c>
      <c r="B7083" s="5" t="s">
        <v>14067</v>
      </c>
      <c r="C7083" s="6">
        <v>962.0</v>
      </c>
      <c r="D7083" s="6">
        <v>2.333333333</v>
      </c>
      <c r="E7083" s="6">
        <v>3.0</v>
      </c>
    </row>
    <row r="7084">
      <c r="A7084" s="4" t="s">
        <v>14068</v>
      </c>
      <c r="B7084" s="5" t="s">
        <v>14069</v>
      </c>
      <c r="C7084" s="6">
        <v>962.0</v>
      </c>
      <c r="D7084" s="6">
        <v>4.519230769</v>
      </c>
      <c r="E7084" s="6">
        <v>52.0</v>
      </c>
    </row>
    <row r="7085">
      <c r="A7085" s="4">
        <v>2048.0</v>
      </c>
      <c r="B7085" s="5" t="s">
        <v>14070</v>
      </c>
      <c r="C7085" s="6">
        <v>962.0</v>
      </c>
      <c r="D7085" s="6">
        <v>5.0</v>
      </c>
      <c r="E7085" s="6">
        <v>1.0</v>
      </c>
    </row>
    <row r="7086">
      <c r="A7086" s="4" t="s">
        <v>14071</v>
      </c>
      <c r="B7086" s="5" t="s">
        <v>14072</v>
      </c>
      <c r="C7086" s="6">
        <v>962.0</v>
      </c>
      <c r="D7086" s="6">
        <v>4.333333333</v>
      </c>
      <c r="E7086" s="6">
        <v>6.0</v>
      </c>
    </row>
    <row r="7087">
      <c r="A7087" s="4" t="s">
        <v>14073</v>
      </c>
      <c r="B7087" s="5" t="s">
        <v>14074</v>
      </c>
      <c r="C7087" s="6">
        <v>962.0</v>
      </c>
      <c r="D7087" s="6">
        <v>5.0</v>
      </c>
      <c r="E7087" s="6">
        <v>2.0</v>
      </c>
    </row>
    <row r="7088">
      <c r="A7088" s="4" t="s">
        <v>14075</v>
      </c>
      <c r="B7088" s="5" t="s">
        <v>14076</v>
      </c>
      <c r="C7088" s="6">
        <v>962.0</v>
      </c>
      <c r="D7088" s="6">
        <v>3.666666667</v>
      </c>
      <c r="E7088" s="6">
        <v>3.0</v>
      </c>
    </row>
    <row r="7089">
      <c r="A7089" s="4" t="s">
        <v>14077</v>
      </c>
      <c r="B7089" s="5" t="s">
        <v>14078</v>
      </c>
      <c r="C7089" s="6">
        <v>962.0</v>
      </c>
      <c r="D7089" s="6">
        <v>4.826086957</v>
      </c>
      <c r="E7089" s="6">
        <v>23.0</v>
      </c>
    </row>
    <row r="7090">
      <c r="A7090" s="10" t="s">
        <v>14079</v>
      </c>
      <c r="B7090" s="5" t="s">
        <v>14080</v>
      </c>
      <c r="C7090" s="6">
        <v>961.0</v>
      </c>
      <c r="D7090" s="6">
        <v>4.851351351</v>
      </c>
      <c r="E7090" s="6">
        <v>74.0</v>
      </c>
    </row>
    <row r="7091">
      <c r="A7091" s="4" t="s">
        <v>14081</v>
      </c>
      <c r="B7091" s="5" t="s">
        <v>14082</v>
      </c>
      <c r="C7091" s="6">
        <v>961.0</v>
      </c>
      <c r="D7091" s="6">
        <v>4.4</v>
      </c>
      <c r="E7091" s="6">
        <v>5.0</v>
      </c>
    </row>
    <row r="7092">
      <c r="A7092" s="4" t="s">
        <v>14083</v>
      </c>
      <c r="B7092" s="5" t="s">
        <v>14084</v>
      </c>
      <c r="C7092" s="6">
        <v>961.0</v>
      </c>
      <c r="D7092" s="6">
        <v>4.111111111</v>
      </c>
      <c r="E7092" s="6">
        <v>9.0</v>
      </c>
    </row>
    <row r="7093">
      <c r="A7093" s="4" t="s">
        <v>14085</v>
      </c>
      <c r="B7093" s="5" t="s">
        <v>14086</v>
      </c>
      <c r="C7093" s="6">
        <v>960.0</v>
      </c>
      <c r="D7093" s="6">
        <v>2.555555556</v>
      </c>
      <c r="E7093" s="6">
        <v>9.0</v>
      </c>
    </row>
    <row r="7094">
      <c r="A7094" s="4" t="s">
        <v>14087</v>
      </c>
      <c r="B7094" s="5" t="s">
        <v>14088</v>
      </c>
      <c r="C7094" s="6">
        <v>960.0</v>
      </c>
      <c r="D7094" s="6">
        <v>4.441176471</v>
      </c>
      <c r="E7094" s="6">
        <v>34.0</v>
      </c>
    </row>
    <row r="7095">
      <c r="A7095" s="4" t="s">
        <v>14089</v>
      </c>
      <c r="B7095" s="5" t="s">
        <v>14090</v>
      </c>
      <c r="C7095" s="6">
        <v>960.0</v>
      </c>
      <c r="D7095" s="6">
        <v>4.0</v>
      </c>
      <c r="E7095" s="6">
        <v>4.0</v>
      </c>
    </row>
    <row r="7096">
      <c r="A7096" s="4" t="s">
        <v>14091</v>
      </c>
      <c r="B7096" s="5" t="s">
        <v>14092</v>
      </c>
      <c r="C7096" s="6">
        <v>960.0</v>
      </c>
      <c r="D7096" s="6">
        <v>3.666666667</v>
      </c>
      <c r="E7096" s="6">
        <v>3.0</v>
      </c>
    </row>
    <row r="7097">
      <c r="A7097" s="4" t="s">
        <v>14093</v>
      </c>
      <c r="B7097" s="5" t="s">
        <v>14094</v>
      </c>
      <c r="C7097" s="6">
        <v>960.0</v>
      </c>
      <c r="D7097" s="6">
        <v>4.384615385</v>
      </c>
      <c r="E7097" s="6">
        <v>13.0</v>
      </c>
    </row>
    <row r="7098">
      <c r="A7098" s="4" t="s">
        <v>14095</v>
      </c>
      <c r="B7098" s="5" t="s">
        <v>14096</v>
      </c>
      <c r="C7098" s="6">
        <v>960.0</v>
      </c>
      <c r="D7098" s="6">
        <v>4.380952381</v>
      </c>
      <c r="E7098" s="6">
        <v>21.0</v>
      </c>
    </row>
    <row r="7099">
      <c r="A7099" s="4" t="s">
        <v>14097</v>
      </c>
      <c r="B7099" s="5" t="s">
        <v>14098</v>
      </c>
      <c r="C7099" s="6">
        <v>959.0</v>
      </c>
      <c r="D7099" s="6">
        <v>4.296296296</v>
      </c>
      <c r="E7099" s="6">
        <v>27.0</v>
      </c>
    </row>
    <row r="7100">
      <c r="A7100" s="4" t="s">
        <v>14099</v>
      </c>
      <c r="B7100" s="5" t="s">
        <v>14100</v>
      </c>
      <c r="C7100" s="6">
        <v>959.0</v>
      </c>
      <c r="D7100" s="6">
        <v>4.222222222</v>
      </c>
      <c r="E7100" s="6">
        <v>9.0</v>
      </c>
    </row>
    <row r="7101">
      <c r="A7101" s="4" t="s">
        <v>14101</v>
      </c>
      <c r="B7101" s="5" t="s">
        <v>14102</v>
      </c>
      <c r="C7101" s="6">
        <v>959.0</v>
      </c>
      <c r="D7101" s="6">
        <v>3.4</v>
      </c>
      <c r="E7101" s="6">
        <v>5.0</v>
      </c>
    </row>
    <row r="7102">
      <c r="A7102" s="4" t="s">
        <v>14103</v>
      </c>
      <c r="B7102" s="5" t="s">
        <v>14104</v>
      </c>
      <c r="C7102" s="6">
        <v>959.0</v>
      </c>
      <c r="D7102" s="6">
        <v>4.2</v>
      </c>
      <c r="E7102" s="6">
        <v>15.0</v>
      </c>
    </row>
    <row r="7103">
      <c r="A7103" s="4" t="s">
        <v>14105</v>
      </c>
      <c r="B7103" s="5" t="s">
        <v>14106</v>
      </c>
      <c r="C7103" s="6">
        <v>959.0</v>
      </c>
      <c r="D7103" s="6">
        <v>1.0</v>
      </c>
      <c r="E7103" s="6">
        <v>1.0</v>
      </c>
    </row>
    <row r="7104">
      <c r="A7104" s="4" t="s">
        <v>14107</v>
      </c>
      <c r="B7104" s="5" t="s">
        <v>14108</v>
      </c>
      <c r="C7104" s="6">
        <v>959.0</v>
      </c>
      <c r="D7104" s="6">
        <v>5.0</v>
      </c>
      <c r="E7104" s="6">
        <v>19.0</v>
      </c>
    </row>
    <row r="7105">
      <c r="A7105" s="4" t="s">
        <v>14109</v>
      </c>
      <c r="B7105" s="5" t="s">
        <v>14110</v>
      </c>
      <c r="C7105" s="6">
        <v>958.0</v>
      </c>
      <c r="D7105" s="6">
        <v>4.333333333</v>
      </c>
      <c r="E7105" s="6">
        <v>12.0</v>
      </c>
    </row>
    <row r="7106">
      <c r="A7106" s="4" t="s">
        <v>14111</v>
      </c>
      <c r="B7106" s="5" t="s">
        <v>14112</v>
      </c>
      <c r="C7106" s="6">
        <v>958.0</v>
      </c>
      <c r="D7106" s="6">
        <v>3.1</v>
      </c>
      <c r="E7106" s="6">
        <v>20.0</v>
      </c>
    </row>
    <row r="7107">
      <c r="A7107" s="4" t="s">
        <v>14113</v>
      </c>
      <c r="B7107" s="5" t="s">
        <v>14114</v>
      </c>
      <c r="C7107" s="6">
        <v>958.0</v>
      </c>
      <c r="D7107" s="6">
        <v>4.674418605</v>
      </c>
      <c r="E7107" s="6">
        <v>129.0</v>
      </c>
    </row>
    <row r="7108">
      <c r="A7108" s="4" t="s">
        <v>14115</v>
      </c>
      <c r="B7108" s="5" t="s">
        <v>14116</v>
      </c>
      <c r="C7108" s="6">
        <v>958.0</v>
      </c>
      <c r="D7108" s="6">
        <v>4.866666667</v>
      </c>
      <c r="E7108" s="6">
        <v>15.0</v>
      </c>
    </row>
    <row r="7109">
      <c r="A7109" s="4" t="s">
        <v>14117</v>
      </c>
      <c r="B7109" s="5" t="s">
        <v>14118</v>
      </c>
      <c r="C7109" s="6">
        <v>957.0</v>
      </c>
      <c r="D7109" s="9"/>
      <c r="E7109" s="9"/>
    </row>
    <row r="7110">
      <c r="A7110" s="4" t="s">
        <v>14119</v>
      </c>
      <c r="B7110" s="5" t="s">
        <v>14120</v>
      </c>
      <c r="C7110" s="6">
        <v>957.0</v>
      </c>
      <c r="D7110" s="6">
        <v>1.2</v>
      </c>
      <c r="E7110" s="6">
        <v>5.0</v>
      </c>
    </row>
    <row r="7111">
      <c r="A7111" s="4" t="s">
        <v>14121</v>
      </c>
      <c r="B7111" s="5" t="s">
        <v>14122</v>
      </c>
      <c r="C7111" s="6">
        <v>957.0</v>
      </c>
      <c r="D7111" s="6">
        <v>5.0</v>
      </c>
      <c r="E7111" s="6">
        <v>5.0</v>
      </c>
    </row>
    <row r="7112">
      <c r="A7112" s="4" t="s">
        <v>14123</v>
      </c>
      <c r="B7112" s="5" t="s">
        <v>14124</v>
      </c>
      <c r="C7112" s="6">
        <v>957.0</v>
      </c>
      <c r="D7112" s="6">
        <v>4.166666667</v>
      </c>
      <c r="E7112" s="6">
        <v>24.0</v>
      </c>
    </row>
    <row r="7113">
      <c r="A7113" s="4" t="s">
        <v>14125</v>
      </c>
      <c r="B7113" s="5" t="s">
        <v>14126</v>
      </c>
      <c r="C7113" s="6">
        <v>957.0</v>
      </c>
      <c r="D7113" s="6">
        <v>3.909090909</v>
      </c>
      <c r="E7113" s="6">
        <v>11.0</v>
      </c>
    </row>
    <row r="7114">
      <c r="A7114" s="4" t="s">
        <v>14127</v>
      </c>
      <c r="B7114" s="5" t="s">
        <v>14128</v>
      </c>
      <c r="C7114" s="6">
        <v>957.0</v>
      </c>
      <c r="D7114" s="6">
        <v>5.0</v>
      </c>
      <c r="E7114" s="6">
        <v>1.0</v>
      </c>
    </row>
    <row r="7115">
      <c r="A7115" s="4" t="s">
        <v>14129</v>
      </c>
      <c r="B7115" s="5" t="s">
        <v>14130</v>
      </c>
      <c r="C7115" s="6">
        <v>956.0</v>
      </c>
      <c r="D7115" s="6">
        <v>3.466666667</v>
      </c>
      <c r="E7115" s="6">
        <v>15.0</v>
      </c>
    </row>
    <row r="7116">
      <c r="A7116" s="4" t="s">
        <v>14131</v>
      </c>
      <c r="B7116" s="5" t="s">
        <v>14132</v>
      </c>
      <c r="C7116" s="6">
        <v>956.0</v>
      </c>
      <c r="D7116" s="9"/>
      <c r="E7116" s="9"/>
    </row>
    <row r="7117">
      <c r="A7117" s="4" t="s">
        <v>14133</v>
      </c>
      <c r="B7117" s="5" t="s">
        <v>14134</v>
      </c>
      <c r="C7117" s="6">
        <v>956.0</v>
      </c>
      <c r="D7117" s="6">
        <v>4.714285714</v>
      </c>
      <c r="E7117" s="6">
        <v>7.0</v>
      </c>
    </row>
    <row r="7118">
      <c r="A7118" s="4" t="s">
        <v>14135</v>
      </c>
      <c r="B7118" s="5" t="s">
        <v>14136</v>
      </c>
      <c r="C7118" s="6">
        <v>956.0</v>
      </c>
      <c r="D7118" s="6">
        <v>3.227272727</v>
      </c>
      <c r="E7118" s="6">
        <v>22.0</v>
      </c>
    </row>
    <row r="7119">
      <c r="A7119" s="4" t="s">
        <v>14137</v>
      </c>
      <c r="B7119" s="5" t="s">
        <v>14138</v>
      </c>
      <c r="C7119" s="6">
        <v>955.0</v>
      </c>
      <c r="D7119" s="6">
        <v>4.285714286</v>
      </c>
      <c r="E7119" s="6">
        <v>7.0</v>
      </c>
    </row>
    <row r="7120">
      <c r="A7120" s="4" t="s">
        <v>14139</v>
      </c>
      <c r="B7120" s="5" t="s">
        <v>14140</v>
      </c>
      <c r="C7120" s="6">
        <v>955.0</v>
      </c>
      <c r="D7120" s="6">
        <v>3.066666667</v>
      </c>
      <c r="E7120" s="6">
        <v>15.0</v>
      </c>
    </row>
    <row r="7121">
      <c r="A7121" s="4" t="s">
        <v>14141</v>
      </c>
      <c r="B7121" s="5" t="s">
        <v>14142</v>
      </c>
      <c r="C7121" s="6">
        <v>954.0</v>
      </c>
      <c r="D7121" s="6">
        <v>4.6</v>
      </c>
      <c r="E7121" s="6">
        <v>30.0</v>
      </c>
    </row>
    <row r="7122">
      <c r="A7122" s="4" t="s">
        <v>14143</v>
      </c>
      <c r="B7122" s="5" t="s">
        <v>14144</v>
      </c>
      <c r="C7122" s="6">
        <v>954.0</v>
      </c>
      <c r="D7122" s="6">
        <v>4.923076923</v>
      </c>
      <c r="E7122" s="6">
        <v>13.0</v>
      </c>
    </row>
    <row r="7123">
      <c r="A7123" s="4" t="s">
        <v>14145</v>
      </c>
      <c r="B7123" s="5" t="s">
        <v>14146</v>
      </c>
      <c r="C7123" s="6">
        <v>954.0</v>
      </c>
      <c r="D7123" s="6">
        <v>3.714285714</v>
      </c>
      <c r="E7123" s="6">
        <v>7.0</v>
      </c>
    </row>
    <row r="7124">
      <c r="A7124" s="4" t="s">
        <v>14147</v>
      </c>
      <c r="B7124" s="5" t="s">
        <v>14148</v>
      </c>
      <c r="C7124" s="6">
        <v>954.0</v>
      </c>
      <c r="D7124" s="6">
        <v>2.818181818</v>
      </c>
      <c r="E7124" s="6">
        <v>11.0</v>
      </c>
    </row>
    <row r="7125">
      <c r="A7125" s="4" t="s">
        <v>14149</v>
      </c>
      <c r="B7125" s="5" t="s">
        <v>14150</v>
      </c>
      <c r="C7125" s="6">
        <v>954.0</v>
      </c>
      <c r="D7125" s="6">
        <v>4.0</v>
      </c>
      <c r="E7125" s="6">
        <v>6.0</v>
      </c>
    </row>
    <row r="7126">
      <c r="A7126" s="4" t="s">
        <v>14151</v>
      </c>
      <c r="B7126" s="5" t="s">
        <v>14152</v>
      </c>
      <c r="C7126" s="6">
        <v>953.0</v>
      </c>
      <c r="D7126" s="6">
        <v>4.555555556</v>
      </c>
      <c r="E7126" s="6">
        <v>9.0</v>
      </c>
    </row>
    <row r="7127">
      <c r="A7127" s="4" t="s">
        <v>14153</v>
      </c>
      <c r="B7127" s="5" t="s">
        <v>14154</v>
      </c>
      <c r="C7127" s="6">
        <v>953.0</v>
      </c>
      <c r="D7127" s="6">
        <v>5.0</v>
      </c>
      <c r="E7127" s="6">
        <v>1.0</v>
      </c>
    </row>
    <row r="7128">
      <c r="A7128" s="4" t="s">
        <v>14155</v>
      </c>
      <c r="B7128" s="5" t="s">
        <v>14156</v>
      </c>
      <c r="C7128" s="6">
        <v>952.0</v>
      </c>
      <c r="D7128" s="6">
        <v>4.5</v>
      </c>
      <c r="E7128" s="6">
        <v>2.0</v>
      </c>
    </row>
    <row r="7129">
      <c r="A7129" s="4" t="s">
        <v>14157</v>
      </c>
      <c r="B7129" s="5" t="s">
        <v>14158</v>
      </c>
      <c r="C7129" s="6">
        <v>952.0</v>
      </c>
      <c r="D7129" s="6">
        <v>4.5</v>
      </c>
      <c r="E7129" s="6">
        <v>4.0</v>
      </c>
    </row>
    <row r="7130">
      <c r="A7130" s="4" t="s">
        <v>14159</v>
      </c>
      <c r="B7130" s="5" t="s">
        <v>14160</v>
      </c>
      <c r="C7130" s="6">
        <v>952.0</v>
      </c>
      <c r="D7130" s="6">
        <v>4.6</v>
      </c>
      <c r="E7130" s="6">
        <v>10.0</v>
      </c>
    </row>
    <row r="7131">
      <c r="A7131" s="4" t="s">
        <v>14161</v>
      </c>
      <c r="B7131" s="5" t="s">
        <v>14162</v>
      </c>
      <c r="C7131" s="6">
        <v>951.0</v>
      </c>
      <c r="D7131" s="6">
        <v>4.142857143</v>
      </c>
      <c r="E7131" s="6">
        <v>14.0</v>
      </c>
    </row>
    <row r="7132">
      <c r="A7132" s="4" t="s">
        <v>14163</v>
      </c>
      <c r="B7132" s="5" t="s">
        <v>14164</v>
      </c>
      <c r="C7132" s="6">
        <v>950.0</v>
      </c>
      <c r="D7132" s="6">
        <v>4.4</v>
      </c>
      <c r="E7132" s="6">
        <v>5.0</v>
      </c>
    </row>
    <row r="7133">
      <c r="A7133" s="4" t="s">
        <v>14165</v>
      </c>
      <c r="B7133" s="5" t="s">
        <v>14166</v>
      </c>
      <c r="C7133" s="6">
        <v>950.0</v>
      </c>
      <c r="D7133" s="6">
        <v>4.0</v>
      </c>
      <c r="E7133" s="6">
        <v>9.0</v>
      </c>
    </row>
    <row r="7134">
      <c r="A7134" s="4" t="s">
        <v>227</v>
      </c>
      <c r="B7134" s="5" t="s">
        <v>14167</v>
      </c>
      <c r="C7134" s="6">
        <v>950.0</v>
      </c>
      <c r="D7134" s="6">
        <v>4.857142857</v>
      </c>
      <c r="E7134" s="6">
        <v>35.0</v>
      </c>
    </row>
    <row r="7135">
      <c r="A7135" s="4" t="s">
        <v>14168</v>
      </c>
      <c r="B7135" s="5" t="s">
        <v>14169</v>
      </c>
      <c r="C7135" s="6">
        <v>950.0</v>
      </c>
      <c r="D7135" s="6">
        <v>5.0</v>
      </c>
      <c r="E7135" s="6">
        <v>1.0</v>
      </c>
    </row>
    <row r="7136">
      <c r="A7136" s="4" t="s">
        <v>14170</v>
      </c>
      <c r="B7136" s="5" t="s">
        <v>14171</v>
      </c>
      <c r="C7136" s="6">
        <v>950.0</v>
      </c>
      <c r="D7136" s="6">
        <v>1.333333333</v>
      </c>
      <c r="E7136" s="6">
        <v>3.0</v>
      </c>
    </row>
    <row r="7137">
      <c r="A7137" s="4" t="s">
        <v>14172</v>
      </c>
      <c r="B7137" s="5" t="s">
        <v>14173</v>
      </c>
      <c r="C7137" s="6">
        <v>950.0</v>
      </c>
      <c r="D7137" s="6">
        <v>3.444444444</v>
      </c>
      <c r="E7137" s="6">
        <v>9.0</v>
      </c>
    </row>
    <row r="7138">
      <c r="A7138" s="4" t="s">
        <v>14174</v>
      </c>
      <c r="B7138" s="5" t="s">
        <v>14175</v>
      </c>
      <c r="C7138" s="6">
        <v>950.0</v>
      </c>
      <c r="D7138" s="6">
        <v>4.4</v>
      </c>
      <c r="E7138" s="6">
        <v>10.0</v>
      </c>
    </row>
    <row r="7139">
      <c r="A7139" s="4" t="s">
        <v>14176</v>
      </c>
      <c r="B7139" s="5" t="s">
        <v>14177</v>
      </c>
      <c r="C7139" s="6">
        <v>949.0</v>
      </c>
      <c r="D7139" s="6">
        <v>4.428571429</v>
      </c>
      <c r="E7139" s="6">
        <v>7.0</v>
      </c>
    </row>
    <row r="7140">
      <c r="A7140" s="4" t="s">
        <v>14178</v>
      </c>
      <c r="B7140" s="5" t="s">
        <v>14179</v>
      </c>
      <c r="C7140" s="6">
        <v>948.0</v>
      </c>
      <c r="D7140" s="6">
        <v>3.512195122</v>
      </c>
      <c r="E7140" s="6">
        <v>41.0</v>
      </c>
    </row>
    <row r="7141">
      <c r="A7141" s="4" t="s">
        <v>14180</v>
      </c>
      <c r="B7141" s="5" t="s">
        <v>14181</v>
      </c>
      <c r="C7141" s="6">
        <v>948.0</v>
      </c>
      <c r="D7141" s="6">
        <v>4.631578947</v>
      </c>
      <c r="E7141" s="6">
        <v>19.0</v>
      </c>
    </row>
    <row r="7142">
      <c r="A7142" s="4" t="s">
        <v>14182</v>
      </c>
      <c r="B7142" s="5" t="s">
        <v>14183</v>
      </c>
      <c r="C7142" s="6">
        <v>948.0</v>
      </c>
      <c r="D7142" s="6">
        <v>1.925925926</v>
      </c>
      <c r="E7142" s="6">
        <v>27.0</v>
      </c>
    </row>
    <row r="7143">
      <c r="A7143" s="4" t="s">
        <v>14184</v>
      </c>
      <c r="B7143" s="5" t="s">
        <v>14185</v>
      </c>
      <c r="C7143" s="6">
        <v>948.0</v>
      </c>
      <c r="D7143" s="6">
        <v>4.866666667</v>
      </c>
      <c r="E7143" s="6">
        <v>15.0</v>
      </c>
    </row>
    <row r="7144">
      <c r="A7144" s="4" t="s">
        <v>14186</v>
      </c>
      <c r="B7144" s="5" t="s">
        <v>14187</v>
      </c>
      <c r="C7144" s="6">
        <v>948.0</v>
      </c>
      <c r="D7144" s="6">
        <v>4.166666667</v>
      </c>
      <c r="E7144" s="6">
        <v>6.0</v>
      </c>
    </row>
    <row r="7145">
      <c r="A7145" s="4" t="s">
        <v>14188</v>
      </c>
      <c r="B7145" s="5" t="s">
        <v>14189</v>
      </c>
      <c r="C7145" s="6">
        <v>948.0</v>
      </c>
      <c r="D7145" s="6">
        <v>5.0</v>
      </c>
      <c r="E7145" s="6">
        <v>1.0</v>
      </c>
    </row>
    <row r="7146">
      <c r="A7146" s="4" t="s">
        <v>14190</v>
      </c>
      <c r="B7146" s="5" t="s">
        <v>14191</v>
      </c>
      <c r="C7146" s="6">
        <v>947.0</v>
      </c>
      <c r="D7146" s="6">
        <v>3.666666667</v>
      </c>
      <c r="E7146" s="6">
        <v>3.0</v>
      </c>
    </row>
    <row r="7147">
      <c r="A7147" s="4" t="s">
        <v>14192</v>
      </c>
      <c r="B7147" s="5" t="s">
        <v>14193</v>
      </c>
      <c r="C7147" s="6">
        <v>947.0</v>
      </c>
      <c r="D7147" s="6">
        <v>4.538461538</v>
      </c>
      <c r="E7147" s="6">
        <v>13.0</v>
      </c>
    </row>
    <row r="7148">
      <c r="A7148" s="4" t="s">
        <v>14194</v>
      </c>
      <c r="B7148" s="5" t="s">
        <v>14195</v>
      </c>
      <c r="C7148" s="6">
        <v>947.0</v>
      </c>
      <c r="D7148" s="6">
        <v>4.666666667</v>
      </c>
      <c r="E7148" s="6">
        <v>3.0</v>
      </c>
    </row>
    <row r="7149">
      <c r="A7149" s="4" t="s">
        <v>14196</v>
      </c>
      <c r="B7149" s="5" t="s">
        <v>14197</v>
      </c>
      <c r="C7149" s="6">
        <v>947.0</v>
      </c>
      <c r="D7149" s="6">
        <v>4.263157895</v>
      </c>
      <c r="E7149" s="6">
        <v>19.0</v>
      </c>
    </row>
    <row r="7150">
      <c r="A7150" s="4" t="s">
        <v>14198</v>
      </c>
      <c r="B7150" s="5" t="s">
        <v>14199</v>
      </c>
      <c r="C7150" s="6">
        <v>947.0</v>
      </c>
      <c r="D7150" s="6">
        <v>4.625</v>
      </c>
      <c r="E7150" s="6">
        <v>8.0</v>
      </c>
    </row>
    <row r="7151">
      <c r="A7151" s="4" t="s">
        <v>14200</v>
      </c>
      <c r="B7151" s="5" t="s">
        <v>14201</v>
      </c>
      <c r="C7151" s="6">
        <v>946.0</v>
      </c>
      <c r="D7151" s="6">
        <v>3.428571429</v>
      </c>
      <c r="E7151" s="6">
        <v>14.0</v>
      </c>
    </row>
    <row r="7152">
      <c r="A7152" s="4" t="s">
        <v>14202</v>
      </c>
      <c r="B7152" s="5" t="s">
        <v>14203</v>
      </c>
      <c r="C7152" s="6">
        <v>946.0</v>
      </c>
      <c r="D7152" s="6">
        <v>3.9375</v>
      </c>
      <c r="E7152" s="6">
        <v>16.0</v>
      </c>
    </row>
    <row r="7153">
      <c r="A7153" s="4" t="s">
        <v>14204</v>
      </c>
      <c r="B7153" s="5" t="s">
        <v>14205</v>
      </c>
      <c r="C7153" s="6">
        <v>946.0</v>
      </c>
      <c r="D7153" s="6">
        <v>4.214285714</v>
      </c>
      <c r="E7153" s="6">
        <v>14.0</v>
      </c>
    </row>
    <row r="7154">
      <c r="A7154" s="4" t="s">
        <v>14206</v>
      </c>
      <c r="B7154" s="5" t="s">
        <v>14207</v>
      </c>
      <c r="C7154" s="6">
        <v>945.0</v>
      </c>
      <c r="D7154" s="6">
        <v>4.777777778</v>
      </c>
      <c r="E7154" s="6">
        <v>9.0</v>
      </c>
    </row>
    <row r="7155">
      <c r="A7155" s="4" t="s">
        <v>14208</v>
      </c>
      <c r="B7155" s="5" t="s">
        <v>14209</v>
      </c>
      <c r="C7155" s="6">
        <v>945.0</v>
      </c>
      <c r="D7155" s="6">
        <v>3.833333333</v>
      </c>
      <c r="E7155" s="6">
        <v>6.0</v>
      </c>
    </row>
    <row r="7156">
      <c r="A7156" s="4" t="s">
        <v>14210</v>
      </c>
      <c r="B7156" s="5" t="s">
        <v>14211</v>
      </c>
      <c r="C7156" s="6">
        <v>945.0</v>
      </c>
      <c r="D7156" s="6">
        <v>5.0</v>
      </c>
      <c r="E7156" s="6">
        <v>1.0</v>
      </c>
    </row>
    <row r="7157">
      <c r="A7157" s="4" t="s">
        <v>14212</v>
      </c>
      <c r="B7157" s="5" t="s">
        <v>14213</v>
      </c>
      <c r="C7157" s="6">
        <v>945.0</v>
      </c>
      <c r="D7157" s="6">
        <v>3.8</v>
      </c>
      <c r="E7157" s="6">
        <v>15.0</v>
      </c>
    </row>
    <row r="7158">
      <c r="A7158" s="4" t="s">
        <v>14214</v>
      </c>
      <c r="B7158" s="5" t="s">
        <v>14215</v>
      </c>
      <c r="C7158" s="6">
        <v>945.0</v>
      </c>
      <c r="D7158" s="6">
        <v>5.0</v>
      </c>
      <c r="E7158" s="6">
        <v>1.0</v>
      </c>
    </row>
    <row r="7159">
      <c r="A7159" s="4" t="s">
        <v>14216</v>
      </c>
      <c r="B7159" s="5" t="s">
        <v>14217</v>
      </c>
      <c r="C7159" s="6">
        <v>945.0</v>
      </c>
      <c r="D7159" s="6">
        <v>4.2</v>
      </c>
      <c r="E7159" s="6">
        <v>5.0</v>
      </c>
    </row>
    <row r="7160">
      <c r="A7160" s="4" t="s">
        <v>14218</v>
      </c>
      <c r="B7160" s="5" t="s">
        <v>14219</v>
      </c>
      <c r="C7160" s="6">
        <v>945.0</v>
      </c>
      <c r="D7160" s="6">
        <v>4.0</v>
      </c>
      <c r="E7160" s="6">
        <v>7.0</v>
      </c>
    </row>
    <row r="7161">
      <c r="A7161" s="4" t="s">
        <v>14220</v>
      </c>
      <c r="B7161" s="5" t="s">
        <v>14221</v>
      </c>
      <c r="C7161" s="6">
        <v>944.0</v>
      </c>
      <c r="D7161" s="6">
        <v>4.0</v>
      </c>
      <c r="E7161" s="6">
        <v>4.0</v>
      </c>
    </row>
    <row r="7162">
      <c r="A7162" s="4" t="s">
        <v>14222</v>
      </c>
      <c r="B7162" s="5" t="s">
        <v>14223</v>
      </c>
      <c r="C7162" s="6">
        <v>944.0</v>
      </c>
      <c r="D7162" s="6">
        <v>1.818181818</v>
      </c>
      <c r="E7162" s="6">
        <v>11.0</v>
      </c>
    </row>
    <row r="7163">
      <c r="A7163" s="4" t="s">
        <v>14224</v>
      </c>
      <c r="B7163" s="5" t="s">
        <v>14225</v>
      </c>
      <c r="C7163" s="6">
        <v>944.0</v>
      </c>
      <c r="D7163" s="6">
        <v>4.533333333</v>
      </c>
      <c r="E7163" s="6">
        <v>15.0</v>
      </c>
    </row>
    <row r="7164">
      <c r="A7164" s="4" t="s">
        <v>14226</v>
      </c>
      <c r="B7164" s="5" t="s">
        <v>14227</v>
      </c>
      <c r="C7164" s="6">
        <v>944.0</v>
      </c>
      <c r="D7164" s="6">
        <v>4.25</v>
      </c>
      <c r="E7164" s="6">
        <v>4.0</v>
      </c>
    </row>
    <row r="7165">
      <c r="A7165" s="4" t="s">
        <v>14228</v>
      </c>
      <c r="B7165" s="5" t="s">
        <v>14229</v>
      </c>
      <c r="C7165" s="6">
        <v>943.0</v>
      </c>
      <c r="D7165" s="6">
        <v>4.0</v>
      </c>
      <c r="E7165" s="6">
        <v>2.0</v>
      </c>
    </row>
    <row r="7166">
      <c r="A7166" s="4" t="s">
        <v>14230</v>
      </c>
      <c r="B7166" s="5" t="s">
        <v>14231</v>
      </c>
      <c r="C7166" s="6">
        <v>943.0</v>
      </c>
      <c r="D7166" s="9"/>
      <c r="E7166" s="9"/>
    </row>
    <row r="7167">
      <c r="A7167" s="4" t="s">
        <v>14232</v>
      </c>
      <c r="B7167" s="5" t="s">
        <v>14233</v>
      </c>
      <c r="C7167" s="6">
        <v>943.0</v>
      </c>
      <c r="D7167" s="6">
        <v>4.352941176</v>
      </c>
      <c r="E7167" s="6">
        <v>17.0</v>
      </c>
    </row>
    <row r="7168">
      <c r="A7168" s="4" t="s">
        <v>14234</v>
      </c>
      <c r="B7168" s="5" t="s">
        <v>14235</v>
      </c>
      <c r="C7168" s="6">
        <v>943.0</v>
      </c>
      <c r="D7168" s="6">
        <v>2.5</v>
      </c>
      <c r="E7168" s="6">
        <v>6.0</v>
      </c>
    </row>
    <row r="7169">
      <c r="A7169" s="4" t="s">
        <v>14236</v>
      </c>
      <c r="B7169" s="5" t="s">
        <v>14237</v>
      </c>
      <c r="C7169" s="6">
        <v>942.0</v>
      </c>
      <c r="D7169" s="6">
        <v>5.0</v>
      </c>
      <c r="E7169" s="6">
        <v>2.0</v>
      </c>
    </row>
    <row r="7170">
      <c r="A7170" s="4" t="s">
        <v>14238</v>
      </c>
      <c r="B7170" s="5" t="s">
        <v>14239</v>
      </c>
      <c r="C7170" s="6">
        <v>942.0</v>
      </c>
      <c r="D7170" s="6">
        <v>4.929577465</v>
      </c>
      <c r="E7170" s="6">
        <v>71.0</v>
      </c>
    </row>
    <row r="7171">
      <c r="A7171" s="4" t="s">
        <v>14240</v>
      </c>
      <c r="B7171" s="5" t="s">
        <v>14241</v>
      </c>
      <c r="C7171" s="6">
        <v>942.0</v>
      </c>
      <c r="D7171" s="6">
        <v>3.75</v>
      </c>
      <c r="E7171" s="6">
        <v>20.0</v>
      </c>
    </row>
    <row r="7172">
      <c r="A7172" s="4" t="s">
        <v>14242</v>
      </c>
      <c r="B7172" s="5" t="s">
        <v>14243</v>
      </c>
      <c r="C7172" s="6">
        <v>942.0</v>
      </c>
      <c r="D7172" s="6">
        <v>5.0</v>
      </c>
      <c r="E7172" s="6">
        <v>26.0</v>
      </c>
    </row>
    <row r="7173">
      <c r="A7173" s="4" t="s">
        <v>14244</v>
      </c>
      <c r="B7173" s="5" t="s">
        <v>14245</v>
      </c>
      <c r="C7173" s="6">
        <v>942.0</v>
      </c>
      <c r="D7173" s="6">
        <v>4.6</v>
      </c>
      <c r="E7173" s="6">
        <v>5.0</v>
      </c>
    </row>
    <row r="7174">
      <c r="A7174" s="4" t="s">
        <v>14246</v>
      </c>
      <c r="B7174" s="5" t="s">
        <v>14247</v>
      </c>
      <c r="C7174" s="6">
        <v>941.0</v>
      </c>
      <c r="D7174" s="6">
        <v>4.391304348</v>
      </c>
      <c r="E7174" s="6">
        <v>23.0</v>
      </c>
    </row>
    <row r="7175">
      <c r="A7175" s="4" t="s">
        <v>14248</v>
      </c>
      <c r="B7175" s="5" t="s">
        <v>14249</v>
      </c>
      <c r="C7175" s="6">
        <v>941.0</v>
      </c>
      <c r="D7175" s="6">
        <v>4.1</v>
      </c>
      <c r="E7175" s="6">
        <v>10.0</v>
      </c>
    </row>
    <row r="7176">
      <c r="A7176" s="4" t="s">
        <v>14250</v>
      </c>
      <c r="B7176" s="5" t="s">
        <v>14251</v>
      </c>
      <c r="C7176" s="6">
        <v>941.0</v>
      </c>
      <c r="D7176" s="6">
        <v>3.666666667</v>
      </c>
      <c r="E7176" s="6">
        <v>3.0</v>
      </c>
    </row>
    <row r="7177">
      <c r="A7177" s="4" t="s">
        <v>14252</v>
      </c>
      <c r="B7177" s="5" t="s">
        <v>14253</v>
      </c>
      <c r="C7177" s="6">
        <v>940.0</v>
      </c>
      <c r="D7177" s="6">
        <v>4.5</v>
      </c>
      <c r="E7177" s="6">
        <v>2.0</v>
      </c>
    </row>
    <row r="7178">
      <c r="A7178" s="4" t="s">
        <v>14254</v>
      </c>
      <c r="B7178" s="5" t="s">
        <v>14255</v>
      </c>
      <c r="C7178" s="6">
        <v>940.0</v>
      </c>
      <c r="D7178" s="6">
        <v>4.714285714</v>
      </c>
      <c r="E7178" s="6">
        <v>14.0</v>
      </c>
    </row>
    <row r="7179">
      <c r="A7179" s="4" t="s">
        <v>14256</v>
      </c>
      <c r="B7179" s="5" t="s">
        <v>14257</v>
      </c>
      <c r="C7179" s="6">
        <v>940.0</v>
      </c>
      <c r="D7179" s="6">
        <v>4.72</v>
      </c>
      <c r="E7179" s="6">
        <v>25.0</v>
      </c>
    </row>
    <row r="7180">
      <c r="A7180" s="4" t="s">
        <v>14258</v>
      </c>
      <c r="B7180" s="5" t="s">
        <v>14259</v>
      </c>
      <c r="C7180" s="6">
        <v>940.0</v>
      </c>
      <c r="D7180" s="6">
        <v>4.173913043</v>
      </c>
      <c r="E7180" s="6">
        <v>23.0</v>
      </c>
    </row>
    <row r="7181">
      <c r="A7181" s="4" t="s">
        <v>14260</v>
      </c>
      <c r="B7181" s="5" t="s">
        <v>14261</v>
      </c>
      <c r="C7181" s="6">
        <v>940.0</v>
      </c>
      <c r="D7181" s="6">
        <v>3.258064516</v>
      </c>
      <c r="E7181" s="6">
        <v>31.0</v>
      </c>
    </row>
    <row r="7182">
      <c r="A7182" s="4" t="s">
        <v>14262</v>
      </c>
      <c r="B7182" s="5" t="s">
        <v>14263</v>
      </c>
      <c r="C7182" s="6">
        <v>940.0</v>
      </c>
      <c r="D7182" s="6">
        <v>5.0</v>
      </c>
      <c r="E7182" s="6">
        <v>3.0</v>
      </c>
    </row>
    <row r="7183">
      <c r="A7183" s="4" t="s">
        <v>14264</v>
      </c>
      <c r="B7183" s="5" t="s">
        <v>14265</v>
      </c>
      <c r="C7183" s="6">
        <v>939.0</v>
      </c>
      <c r="D7183" s="6">
        <v>1.0</v>
      </c>
      <c r="E7183" s="6">
        <v>3.0</v>
      </c>
    </row>
    <row r="7184">
      <c r="A7184" s="4" t="s">
        <v>14266</v>
      </c>
      <c r="B7184" s="5" t="s">
        <v>14267</v>
      </c>
      <c r="C7184" s="6">
        <v>939.0</v>
      </c>
      <c r="D7184" s="6">
        <v>4.914285714</v>
      </c>
      <c r="E7184" s="6">
        <v>70.0</v>
      </c>
    </row>
    <row r="7185">
      <c r="A7185" s="4" t="s">
        <v>14268</v>
      </c>
      <c r="B7185" s="5" t="s">
        <v>14269</v>
      </c>
      <c r="C7185" s="6">
        <v>939.0</v>
      </c>
      <c r="D7185" s="6">
        <v>4.058823529</v>
      </c>
      <c r="E7185" s="6">
        <v>34.0</v>
      </c>
    </row>
    <row r="7186">
      <c r="A7186" s="4" t="s">
        <v>14270</v>
      </c>
      <c r="B7186" s="5" t="s">
        <v>14271</v>
      </c>
      <c r="C7186" s="6">
        <v>939.0</v>
      </c>
      <c r="D7186" s="6">
        <v>2.846153846</v>
      </c>
      <c r="E7186" s="6">
        <v>13.0</v>
      </c>
    </row>
    <row r="7187">
      <c r="A7187" s="4" t="s">
        <v>14272</v>
      </c>
      <c r="B7187" s="5" t="s">
        <v>14273</v>
      </c>
      <c r="C7187" s="6">
        <v>939.0</v>
      </c>
      <c r="D7187" s="6">
        <v>3.333333333</v>
      </c>
      <c r="E7187" s="6">
        <v>15.0</v>
      </c>
    </row>
    <row r="7188">
      <c r="A7188" s="4" t="s">
        <v>14274</v>
      </c>
      <c r="B7188" s="5" t="s">
        <v>14275</v>
      </c>
      <c r="C7188" s="6">
        <v>939.0</v>
      </c>
      <c r="D7188" s="6">
        <v>4.428571429</v>
      </c>
      <c r="E7188" s="6">
        <v>7.0</v>
      </c>
    </row>
    <row r="7189">
      <c r="A7189" s="4" t="s">
        <v>14276</v>
      </c>
      <c r="B7189" s="5" t="s">
        <v>14277</v>
      </c>
      <c r="C7189" s="6">
        <v>938.0</v>
      </c>
      <c r="D7189" s="6">
        <v>2.5</v>
      </c>
      <c r="E7189" s="6">
        <v>10.0</v>
      </c>
    </row>
    <row r="7190">
      <c r="A7190" s="4" t="s">
        <v>14278</v>
      </c>
      <c r="B7190" s="5" t="s">
        <v>14279</v>
      </c>
      <c r="C7190" s="6">
        <v>938.0</v>
      </c>
      <c r="D7190" s="6">
        <v>2.376923077</v>
      </c>
      <c r="E7190" s="6">
        <v>130.0</v>
      </c>
    </row>
    <row r="7191">
      <c r="A7191" s="4" t="s">
        <v>10998</v>
      </c>
      <c r="B7191" s="5" t="s">
        <v>14280</v>
      </c>
      <c r="C7191" s="6">
        <v>938.0</v>
      </c>
      <c r="D7191" s="6">
        <v>2.8125</v>
      </c>
      <c r="E7191" s="6">
        <v>16.0</v>
      </c>
    </row>
    <row r="7192">
      <c r="A7192" s="4" t="s">
        <v>14281</v>
      </c>
      <c r="B7192" s="5" t="s">
        <v>14282</v>
      </c>
      <c r="C7192" s="6">
        <v>938.0</v>
      </c>
      <c r="D7192" s="6">
        <v>5.0</v>
      </c>
      <c r="E7192" s="6">
        <v>1.0</v>
      </c>
    </row>
    <row r="7193">
      <c r="A7193" s="4" t="s">
        <v>14283</v>
      </c>
      <c r="B7193" s="5" t="s">
        <v>14284</v>
      </c>
      <c r="C7193" s="6">
        <v>938.0</v>
      </c>
      <c r="D7193" s="6">
        <v>5.0</v>
      </c>
      <c r="E7193" s="6">
        <v>4.0</v>
      </c>
    </row>
    <row r="7194">
      <c r="A7194" s="4" t="s">
        <v>14285</v>
      </c>
      <c r="B7194" s="5" t="s">
        <v>14286</v>
      </c>
      <c r="C7194" s="6">
        <v>938.0</v>
      </c>
      <c r="D7194" s="6">
        <v>3.780952381</v>
      </c>
      <c r="E7194" s="6">
        <v>105.0</v>
      </c>
    </row>
    <row r="7195">
      <c r="A7195" s="4" t="s">
        <v>14287</v>
      </c>
      <c r="B7195" s="5" t="s">
        <v>14288</v>
      </c>
      <c r="C7195" s="6">
        <v>938.0</v>
      </c>
      <c r="D7195" s="6">
        <v>4.0</v>
      </c>
      <c r="E7195" s="6">
        <v>4.0</v>
      </c>
    </row>
    <row r="7196">
      <c r="A7196" s="4" t="s">
        <v>14289</v>
      </c>
      <c r="B7196" s="5" t="s">
        <v>14290</v>
      </c>
      <c r="C7196" s="6">
        <v>938.0</v>
      </c>
      <c r="D7196" s="6">
        <v>4.2</v>
      </c>
      <c r="E7196" s="6">
        <v>5.0</v>
      </c>
    </row>
    <row r="7197">
      <c r="A7197" s="4" t="s">
        <v>14291</v>
      </c>
      <c r="B7197" s="5" t="s">
        <v>14292</v>
      </c>
      <c r="C7197" s="6">
        <v>938.0</v>
      </c>
      <c r="D7197" s="6">
        <v>5.0</v>
      </c>
      <c r="E7197" s="6">
        <v>6.0</v>
      </c>
    </row>
    <row r="7198">
      <c r="A7198" s="4" t="s">
        <v>14293</v>
      </c>
      <c r="B7198" s="5" t="s">
        <v>14294</v>
      </c>
      <c r="C7198" s="6">
        <v>937.0</v>
      </c>
      <c r="D7198" s="6">
        <v>4.576923077</v>
      </c>
      <c r="E7198" s="6">
        <v>26.0</v>
      </c>
    </row>
    <row r="7199">
      <c r="A7199" s="4" t="s">
        <v>14295</v>
      </c>
      <c r="B7199" s="5" t="s">
        <v>14296</v>
      </c>
      <c r="C7199" s="6">
        <v>937.0</v>
      </c>
      <c r="D7199" s="9"/>
      <c r="E7199" s="9"/>
    </row>
    <row r="7200">
      <c r="A7200" s="4" t="s">
        <v>14297</v>
      </c>
      <c r="B7200" s="5" t="s">
        <v>14298</v>
      </c>
      <c r="C7200" s="6">
        <v>937.0</v>
      </c>
      <c r="D7200" s="6">
        <v>5.0</v>
      </c>
      <c r="E7200" s="6">
        <v>6.0</v>
      </c>
    </row>
    <row r="7201">
      <c r="A7201" s="4" t="s">
        <v>14299</v>
      </c>
      <c r="B7201" s="12" t="s">
        <v>14300</v>
      </c>
      <c r="C7201" s="6">
        <v>937.0</v>
      </c>
      <c r="D7201" s="6">
        <v>4.8</v>
      </c>
      <c r="E7201" s="6">
        <v>31.0</v>
      </c>
    </row>
    <row r="7202">
      <c r="A7202" s="4" t="s">
        <v>14301</v>
      </c>
      <c r="B7202" s="5" t="s">
        <v>14302</v>
      </c>
      <c r="C7202" s="6">
        <v>936.0</v>
      </c>
      <c r="D7202" s="6">
        <v>4.090909091</v>
      </c>
      <c r="E7202" s="6">
        <v>11.0</v>
      </c>
    </row>
    <row r="7203">
      <c r="A7203" s="4" t="s">
        <v>14303</v>
      </c>
      <c r="B7203" s="5" t="s">
        <v>14304</v>
      </c>
      <c r="C7203" s="6">
        <v>936.0</v>
      </c>
      <c r="D7203" s="6">
        <v>4.25</v>
      </c>
      <c r="E7203" s="6">
        <v>16.0</v>
      </c>
    </row>
    <row r="7204">
      <c r="A7204" s="4" t="s">
        <v>14305</v>
      </c>
      <c r="B7204" s="5" t="s">
        <v>14306</v>
      </c>
      <c r="C7204" s="6">
        <v>936.0</v>
      </c>
      <c r="D7204" s="6">
        <v>5.0</v>
      </c>
      <c r="E7204" s="6">
        <v>6.0</v>
      </c>
    </row>
    <row r="7205">
      <c r="A7205" s="4" t="s">
        <v>14307</v>
      </c>
      <c r="B7205" s="5" t="s">
        <v>14308</v>
      </c>
      <c r="C7205" s="6">
        <v>936.0</v>
      </c>
      <c r="D7205" s="6">
        <v>1.0</v>
      </c>
      <c r="E7205" s="6">
        <v>1.0</v>
      </c>
    </row>
    <row r="7206">
      <c r="A7206" s="4" t="s">
        <v>14309</v>
      </c>
      <c r="B7206" s="5" t="s">
        <v>14310</v>
      </c>
      <c r="C7206" s="6">
        <v>936.0</v>
      </c>
      <c r="D7206" s="6">
        <v>4.333333333</v>
      </c>
      <c r="E7206" s="6">
        <v>9.0</v>
      </c>
    </row>
    <row r="7207">
      <c r="A7207" s="4" t="s">
        <v>14311</v>
      </c>
      <c r="B7207" s="5" t="s">
        <v>14312</v>
      </c>
      <c r="C7207" s="6">
        <v>936.0</v>
      </c>
      <c r="D7207" s="6">
        <v>5.0</v>
      </c>
      <c r="E7207" s="6">
        <v>2.0</v>
      </c>
    </row>
    <row r="7208">
      <c r="A7208" s="4" t="s">
        <v>14313</v>
      </c>
      <c r="B7208" s="5" t="s">
        <v>14314</v>
      </c>
      <c r="C7208" s="6">
        <v>935.0</v>
      </c>
      <c r="D7208" s="6">
        <v>4.333333333</v>
      </c>
      <c r="E7208" s="6">
        <v>3.0</v>
      </c>
    </row>
    <row r="7209">
      <c r="A7209" s="4" t="s">
        <v>14315</v>
      </c>
      <c r="B7209" s="5" t="s">
        <v>14316</v>
      </c>
      <c r="C7209" s="6">
        <v>935.0</v>
      </c>
      <c r="D7209" s="6">
        <v>4.545454545</v>
      </c>
      <c r="E7209" s="6">
        <v>22.0</v>
      </c>
    </row>
    <row r="7210">
      <c r="A7210" s="4" t="s">
        <v>14317</v>
      </c>
      <c r="B7210" s="5" t="s">
        <v>14318</v>
      </c>
      <c r="C7210" s="6">
        <v>935.0</v>
      </c>
      <c r="D7210" s="6">
        <v>3.9375</v>
      </c>
      <c r="E7210" s="6">
        <v>16.0</v>
      </c>
    </row>
    <row r="7211">
      <c r="A7211" s="4" t="s">
        <v>14319</v>
      </c>
      <c r="B7211" s="5" t="s">
        <v>14320</v>
      </c>
      <c r="C7211" s="6">
        <v>935.0</v>
      </c>
      <c r="D7211" s="6">
        <v>5.0</v>
      </c>
      <c r="E7211" s="6">
        <v>3.0</v>
      </c>
    </row>
    <row r="7212">
      <c r="A7212" s="4" t="s">
        <v>14321</v>
      </c>
      <c r="B7212" s="5" t="s">
        <v>14322</v>
      </c>
      <c r="C7212" s="6">
        <v>935.0</v>
      </c>
      <c r="D7212" s="6">
        <v>5.0</v>
      </c>
      <c r="E7212" s="6">
        <v>2.0</v>
      </c>
    </row>
    <row r="7213">
      <c r="A7213" s="4" t="s">
        <v>14323</v>
      </c>
      <c r="B7213" s="5" t="s">
        <v>14324</v>
      </c>
      <c r="C7213" s="6">
        <v>935.0</v>
      </c>
      <c r="D7213" s="6">
        <v>4.545454545</v>
      </c>
      <c r="E7213" s="6">
        <v>11.0</v>
      </c>
    </row>
    <row r="7214">
      <c r="A7214" s="4" t="s">
        <v>14325</v>
      </c>
      <c r="B7214" s="5" t="s">
        <v>14326</v>
      </c>
      <c r="C7214" s="6">
        <v>934.0</v>
      </c>
      <c r="D7214" s="6">
        <v>2.5</v>
      </c>
      <c r="E7214" s="6">
        <v>2.0</v>
      </c>
    </row>
    <row r="7215">
      <c r="A7215" s="4" t="s">
        <v>14327</v>
      </c>
      <c r="B7215" s="5" t="s">
        <v>14328</v>
      </c>
      <c r="C7215" s="6">
        <v>934.0</v>
      </c>
      <c r="D7215" s="6">
        <v>4.769230769</v>
      </c>
      <c r="E7215" s="6">
        <v>13.0</v>
      </c>
    </row>
    <row r="7216">
      <c r="A7216" s="4" t="s">
        <v>14329</v>
      </c>
      <c r="B7216" s="5" t="s">
        <v>14330</v>
      </c>
      <c r="C7216" s="6">
        <v>934.0</v>
      </c>
      <c r="D7216" s="6">
        <v>4.465116279</v>
      </c>
      <c r="E7216" s="6">
        <v>43.0</v>
      </c>
    </row>
    <row r="7217">
      <c r="A7217" s="4" t="s">
        <v>14331</v>
      </c>
      <c r="B7217" s="5" t="s">
        <v>14332</v>
      </c>
      <c r="C7217" s="6">
        <v>933.0</v>
      </c>
      <c r="D7217" s="6">
        <v>5.0</v>
      </c>
      <c r="E7217" s="6">
        <v>7.0</v>
      </c>
    </row>
    <row r="7218">
      <c r="A7218" s="4" t="s">
        <v>14333</v>
      </c>
      <c r="B7218" s="5" t="s">
        <v>14334</v>
      </c>
      <c r="C7218" s="6">
        <v>933.0</v>
      </c>
      <c r="D7218" s="6">
        <v>5.0</v>
      </c>
      <c r="E7218" s="6">
        <v>1.0</v>
      </c>
    </row>
    <row r="7219">
      <c r="A7219" s="4" t="s">
        <v>14335</v>
      </c>
      <c r="B7219" s="5" t="s">
        <v>14336</v>
      </c>
      <c r="C7219" s="6">
        <v>933.0</v>
      </c>
      <c r="D7219" s="6">
        <v>4.32</v>
      </c>
      <c r="E7219" s="6">
        <v>25.0</v>
      </c>
    </row>
    <row r="7220">
      <c r="A7220" s="4" t="s">
        <v>14337</v>
      </c>
      <c r="B7220" s="5" t="s">
        <v>14338</v>
      </c>
      <c r="C7220" s="6">
        <v>933.0</v>
      </c>
      <c r="D7220" s="6">
        <v>5.0</v>
      </c>
      <c r="E7220" s="6">
        <v>29.0</v>
      </c>
    </row>
    <row r="7221">
      <c r="A7221" s="4" t="s">
        <v>14339</v>
      </c>
      <c r="B7221" s="5" t="s">
        <v>14340</v>
      </c>
      <c r="C7221" s="6">
        <v>933.0</v>
      </c>
      <c r="D7221" s="6">
        <v>5.0</v>
      </c>
      <c r="E7221" s="6">
        <v>1.0</v>
      </c>
    </row>
    <row r="7222">
      <c r="A7222" s="4" t="s">
        <v>14341</v>
      </c>
      <c r="B7222" s="5" t="s">
        <v>14342</v>
      </c>
      <c r="C7222" s="6">
        <v>932.0</v>
      </c>
      <c r="D7222" s="9"/>
      <c r="E7222" s="9"/>
    </row>
    <row r="7223">
      <c r="A7223" s="4" t="s">
        <v>14343</v>
      </c>
      <c r="B7223" s="5" t="s">
        <v>14344</v>
      </c>
      <c r="C7223" s="6">
        <v>932.0</v>
      </c>
      <c r="D7223" s="6">
        <v>4.142857143</v>
      </c>
      <c r="E7223" s="6">
        <v>7.0</v>
      </c>
    </row>
    <row r="7224">
      <c r="A7224" s="4" t="s">
        <v>14345</v>
      </c>
      <c r="B7224" s="5" t="s">
        <v>14346</v>
      </c>
      <c r="C7224" s="6">
        <v>932.0</v>
      </c>
      <c r="D7224" s="6">
        <v>4.166666667</v>
      </c>
      <c r="E7224" s="6">
        <v>6.0</v>
      </c>
    </row>
    <row r="7225">
      <c r="A7225" s="4" t="s">
        <v>14347</v>
      </c>
      <c r="B7225" s="5" t="s">
        <v>14348</v>
      </c>
      <c r="C7225" s="6">
        <v>932.0</v>
      </c>
      <c r="D7225" s="6">
        <v>4.0</v>
      </c>
      <c r="E7225" s="6">
        <v>28.0</v>
      </c>
    </row>
    <row r="7226">
      <c r="A7226" s="4" t="s">
        <v>14349</v>
      </c>
      <c r="B7226" s="5" t="s">
        <v>14350</v>
      </c>
      <c r="C7226" s="6">
        <v>931.0</v>
      </c>
      <c r="D7226" s="6">
        <v>4.5</v>
      </c>
      <c r="E7226" s="6">
        <v>6.0</v>
      </c>
    </row>
    <row r="7227">
      <c r="A7227" s="4" t="s">
        <v>14351</v>
      </c>
      <c r="B7227" s="5" t="s">
        <v>14352</v>
      </c>
      <c r="C7227" s="6">
        <v>931.0</v>
      </c>
      <c r="D7227" s="6">
        <v>3.95</v>
      </c>
      <c r="E7227" s="6">
        <v>40.0</v>
      </c>
    </row>
    <row r="7228">
      <c r="A7228" s="4" t="s">
        <v>14353</v>
      </c>
      <c r="B7228" s="5" t="s">
        <v>14354</v>
      </c>
      <c r="C7228" s="6">
        <v>931.0</v>
      </c>
      <c r="D7228" s="6">
        <v>5.0</v>
      </c>
      <c r="E7228" s="6">
        <v>1.0</v>
      </c>
    </row>
    <row r="7229">
      <c r="A7229" s="4" t="s">
        <v>14355</v>
      </c>
      <c r="B7229" s="5" t="s">
        <v>14356</v>
      </c>
      <c r="C7229" s="6">
        <v>931.0</v>
      </c>
      <c r="D7229" s="6">
        <v>4.428571429</v>
      </c>
      <c r="E7229" s="6">
        <v>7.0</v>
      </c>
    </row>
    <row r="7230">
      <c r="A7230" s="4" t="s">
        <v>14357</v>
      </c>
      <c r="B7230" s="5" t="s">
        <v>14358</v>
      </c>
      <c r="C7230" s="6">
        <v>930.0</v>
      </c>
      <c r="D7230" s="6">
        <v>4.5</v>
      </c>
      <c r="E7230" s="6">
        <v>2.0</v>
      </c>
    </row>
    <row r="7231">
      <c r="A7231" s="4" t="s">
        <v>14359</v>
      </c>
      <c r="B7231" s="5" t="s">
        <v>14360</v>
      </c>
      <c r="C7231" s="6">
        <v>930.0</v>
      </c>
      <c r="D7231" s="6">
        <v>5.0</v>
      </c>
      <c r="E7231" s="6">
        <v>1.0</v>
      </c>
    </row>
    <row r="7232">
      <c r="A7232" s="4" t="s">
        <v>14361</v>
      </c>
      <c r="B7232" s="5" t="s">
        <v>14362</v>
      </c>
      <c r="C7232" s="6">
        <v>930.0</v>
      </c>
      <c r="D7232" s="6">
        <v>5.0</v>
      </c>
      <c r="E7232" s="6">
        <v>2.0</v>
      </c>
    </row>
    <row r="7233">
      <c r="A7233" s="4" t="s">
        <v>14363</v>
      </c>
      <c r="B7233" s="5" t="s">
        <v>14364</v>
      </c>
      <c r="C7233" s="6">
        <v>930.0</v>
      </c>
      <c r="D7233" s="6">
        <v>2.5</v>
      </c>
      <c r="E7233" s="6">
        <v>2.0</v>
      </c>
    </row>
    <row r="7234">
      <c r="A7234" s="4" t="s">
        <v>14365</v>
      </c>
      <c r="B7234" s="5" t="s">
        <v>14366</v>
      </c>
      <c r="C7234" s="6">
        <v>929.0</v>
      </c>
      <c r="D7234" s="6">
        <v>4.0</v>
      </c>
      <c r="E7234" s="6">
        <v>3.0</v>
      </c>
    </row>
    <row r="7235">
      <c r="A7235" s="4" t="s">
        <v>14367</v>
      </c>
      <c r="B7235" s="5" t="s">
        <v>14368</v>
      </c>
      <c r="C7235" s="6">
        <v>929.0</v>
      </c>
      <c r="D7235" s="6">
        <v>5.0</v>
      </c>
      <c r="E7235" s="6">
        <v>3.0</v>
      </c>
    </row>
    <row r="7236">
      <c r="A7236" s="4" t="s">
        <v>14369</v>
      </c>
      <c r="B7236" s="5" t="s">
        <v>14370</v>
      </c>
      <c r="C7236" s="6">
        <v>929.0</v>
      </c>
      <c r="D7236" s="6">
        <v>3.0</v>
      </c>
      <c r="E7236" s="6">
        <v>5.0</v>
      </c>
    </row>
    <row r="7237">
      <c r="A7237" s="4" t="s">
        <v>14371</v>
      </c>
      <c r="B7237" s="5" t="s">
        <v>14372</v>
      </c>
      <c r="C7237" s="6">
        <v>929.0</v>
      </c>
      <c r="D7237" s="6">
        <v>3.833333333</v>
      </c>
      <c r="E7237" s="6">
        <v>24.0</v>
      </c>
    </row>
    <row r="7238">
      <c r="A7238" s="4" t="s">
        <v>14373</v>
      </c>
      <c r="B7238" s="5" t="s">
        <v>14374</v>
      </c>
      <c r="C7238" s="6">
        <v>929.0</v>
      </c>
      <c r="D7238" s="6">
        <v>4.428571429</v>
      </c>
      <c r="E7238" s="6">
        <v>7.0</v>
      </c>
    </row>
    <row r="7239">
      <c r="A7239" s="4" t="s">
        <v>14375</v>
      </c>
      <c r="B7239" s="5" t="s">
        <v>14376</v>
      </c>
      <c r="C7239" s="6">
        <v>929.0</v>
      </c>
      <c r="D7239" s="6">
        <v>4.931034483</v>
      </c>
      <c r="E7239" s="6">
        <v>29.0</v>
      </c>
    </row>
    <row r="7240">
      <c r="A7240" s="4" t="s">
        <v>14377</v>
      </c>
      <c r="B7240" s="5" t="s">
        <v>14378</v>
      </c>
      <c r="C7240" s="6">
        <v>929.0</v>
      </c>
      <c r="D7240" s="6">
        <v>3.4</v>
      </c>
      <c r="E7240" s="6">
        <v>5.0</v>
      </c>
    </row>
    <row r="7241">
      <c r="A7241" s="4" t="s">
        <v>14379</v>
      </c>
      <c r="B7241" s="5" t="s">
        <v>14380</v>
      </c>
      <c r="C7241" s="6">
        <v>928.0</v>
      </c>
      <c r="D7241" s="6">
        <v>5.0</v>
      </c>
      <c r="E7241" s="6">
        <v>7.0</v>
      </c>
    </row>
    <row r="7242">
      <c r="A7242" s="4" t="s">
        <v>14381</v>
      </c>
      <c r="B7242" s="5" t="s">
        <v>14382</v>
      </c>
      <c r="C7242" s="6">
        <v>928.0</v>
      </c>
      <c r="D7242" s="6">
        <v>4.769230769</v>
      </c>
      <c r="E7242" s="6">
        <v>13.0</v>
      </c>
    </row>
    <row r="7243">
      <c r="A7243" s="4" t="s">
        <v>14383</v>
      </c>
      <c r="B7243" s="5" t="s">
        <v>14384</v>
      </c>
      <c r="C7243" s="6">
        <v>927.0</v>
      </c>
      <c r="D7243" s="6">
        <v>4.5</v>
      </c>
      <c r="E7243" s="6">
        <v>8.0</v>
      </c>
    </row>
    <row r="7244">
      <c r="A7244" s="4" t="s">
        <v>14385</v>
      </c>
      <c r="B7244" s="5" t="s">
        <v>14386</v>
      </c>
      <c r="C7244" s="6">
        <v>927.0</v>
      </c>
      <c r="D7244" s="6">
        <v>3.944444444</v>
      </c>
      <c r="E7244" s="6">
        <v>18.0</v>
      </c>
    </row>
    <row r="7245">
      <c r="A7245" s="4" t="s">
        <v>14387</v>
      </c>
      <c r="B7245" s="5" t="s">
        <v>14388</v>
      </c>
      <c r="C7245" s="6">
        <v>927.0</v>
      </c>
      <c r="D7245" s="6">
        <v>5.0</v>
      </c>
      <c r="E7245" s="6">
        <v>4.0</v>
      </c>
    </row>
    <row r="7246">
      <c r="A7246" s="4" t="s">
        <v>14389</v>
      </c>
      <c r="B7246" s="5" t="s">
        <v>14390</v>
      </c>
      <c r="C7246" s="6">
        <v>927.0</v>
      </c>
      <c r="D7246" s="6">
        <v>4.4</v>
      </c>
      <c r="E7246" s="6">
        <v>10.0</v>
      </c>
    </row>
    <row r="7247">
      <c r="A7247" s="4" t="s">
        <v>14391</v>
      </c>
      <c r="B7247" s="5" t="s">
        <v>14392</v>
      </c>
      <c r="C7247" s="6">
        <v>927.0</v>
      </c>
      <c r="D7247" s="6">
        <v>4.0</v>
      </c>
      <c r="E7247" s="6">
        <v>10.0</v>
      </c>
    </row>
    <row r="7248">
      <c r="A7248" s="4" t="s">
        <v>14393</v>
      </c>
      <c r="B7248" s="5" t="s">
        <v>14394</v>
      </c>
      <c r="C7248" s="6">
        <v>927.0</v>
      </c>
      <c r="D7248" s="6">
        <v>4.851851852</v>
      </c>
      <c r="E7248" s="6">
        <v>27.0</v>
      </c>
    </row>
    <row r="7249">
      <c r="A7249" s="4" t="s">
        <v>14395</v>
      </c>
      <c r="B7249" s="5" t="s">
        <v>14396</v>
      </c>
      <c r="C7249" s="6">
        <v>927.0</v>
      </c>
      <c r="D7249" s="6">
        <v>1.4</v>
      </c>
      <c r="E7249" s="6">
        <v>10.0</v>
      </c>
    </row>
    <row r="7250">
      <c r="A7250" s="4" t="s">
        <v>14397</v>
      </c>
      <c r="B7250" s="5" t="s">
        <v>14398</v>
      </c>
      <c r="C7250" s="6">
        <v>927.0</v>
      </c>
      <c r="D7250" s="6">
        <v>4.125</v>
      </c>
      <c r="E7250" s="6">
        <v>8.0</v>
      </c>
    </row>
    <row r="7251">
      <c r="A7251" s="4" t="s">
        <v>14399</v>
      </c>
      <c r="B7251" s="5" t="s">
        <v>14400</v>
      </c>
      <c r="C7251" s="6">
        <v>926.0</v>
      </c>
      <c r="D7251" s="6">
        <v>2.75</v>
      </c>
      <c r="E7251" s="6">
        <v>4.0</v>
      </c>
    </row>
    <row r="7252">
      <c r="A7252" s="4" t="s">
        <v>14401</v>
      </c>
      <c r="B7252" s="5" t="s">
        <v>14402</v>
      </c>
      <c r="C7252" s="6">
        <v>926.0</v>
      </c>
      <c r="D7252" s="6">
        <v>4.833333333</v>
      </c>
      <c r="E7252" s="6">
        <v>24.0</v>
      </c>
    </row>
    <row r="7253">
      <c r="A7253" s="4" t="s">
        <v>14403</v>
      </c>
      <c r="B7253" s="5" t="s">
        <v>14404</v>
      </c>
      <c r="C7253" s="6">
        <v>926.0</v>
      </c>
      <c r="D7253" s="6">
        <v>3.555555556</v>
      </c>
      <c r="E7253" s="6">
        <v>9.0</v>
      </c>
    </row>
    <row r="7254">
      <c r="A7254" s="4" t="s">
        <v>14405</v>
      </c>
      <c r="B7254" s="5" t="s">
        <v>14406</v>
      </c>
      <c r="C7254" s="6">
        <v>926.0</v>
      </c>
      <c r="D7254" s="6">
        <v>4.588235294</v>
      </c>
      <c r="E7254" s="6">
        <v>17.0</v>
      </c>
    </row>
    <row r="7255">
      <c r="A7255" s="4" t="s">
        <v>14407</v>
      </c>
      <c r="B7255" s="5" t="s">
        <v>14408</v>
      </c>
      <c r="C7255" s="6">
        <v>926.0</v>
      </c>
      <c r="D7255" s="6">
        <v>3.176470588</v>
      </c>
      <c r="E7255" s="6">
        <v>34.0</v>
      </c>
    </row>
    <row r="7256">
      <c r="A7256" s="4" t="s">
        <v>14409</v>
      </c>
      <c r="B7256" s="5" t="s">
        <v>14410</v>
      </c>
      <c r="C7256" s="6">
        <v>925.0</v>
      </c>
      <c r="D7256" s="6">
        <v>3.25</v>
      </c>
      <c r="E7256" s="6">
        <v>8.0</v>
      </c>
    </row>
    <row r="7257">
      <c r="A7257" s="4" t="s">
        <v>14411</v>
      </c>
      <c r="B7257" s="5" t="s">
        <v>14412</v>
      </c>
      <c r="C7257" s="6">
        <v>925.0</v>
      </c>
      <c r="D7257" s="9"/>
      <c r="E7257" s="9"/>
    </row>
    <row r="7258">
      <c r="A7258" s="4" t="s">
        <v>14413</v>
      </c>
      <c r="B7258" s="5" t="s">
        <v>14414</v>
      </c>
      <c r="C7258" s="6">
        <v>925.0</v>
      </c>
      <c r="D7258" s="6">
        <v>1.0</v>
      </c>
      <c r="E7258" s="6">
        <v>2.0</v>
      </c>
    </row>
    <row r="7259">
      <c r="A7259" s="4" t="s">
        <v>14415</v>
      </c>
      <c r="B7259" s="5" t="s">
        <v>14416</v>
      </c>
      <c r="C7259" s="6">
        <v>925.0</v>
      </c>
      <c r="D7259" s="6">
        <v>5.0</v>
      </c>
      <c r="E7259" s="6">
        <v>3.0</v>
      </c>
    </row>
    <row r="7260">
      <c r="A7260" s="4" t="s">
        <v>14417</v>
      </c>
      <c r="B7260" s="5" t="s">
        <v>14418</v>
      </c>
      <c r="C7260" s="6">
        <v>925.0</v>
      </c>
      <c r="D7260" s="6">
        <v>1.5</v>
      </c>
      <c r="E7260" s="6">
        <v>2.0</v>
      </c>
    </row>
    <row r="7261">
      <c r="A7261" s="4" t="s">
        <v>14419</v>
      </c>
      <c r="B7261" s="5" t="s">
        <v>14420</v>
      </c>
      <c r="C7261" s="6">
        <v>925.0</v>
      </c>
      <c r="D7261" s="6">
        <v>4.933333333</v>
      </c>
      <c r="E7261" s="6">
        <v>15.0</v>
      </c>
    </row>
    <row r="7262">
      <c r="A7262" s="4" t="s">
        <v>14421</v>
      </c>
      <c r="B7262" s="5" t="s">
        <v>14422</v>
      </c>
      <c r="C7262" s="6">
        <v>925.0</v>
      </c>
      <c r="D7262" s="6">
        <v>4.533333333</v>
      </c>
      <c r="E7262" s="6">
        <v>15.0</v>
      </c>
    </row>
    <row r="7263">
      <c r="A7263" s="4" t="s">
        <v>14423</v>
      </c>
      <c r="B7263" s="5" t="s">
        <v>14424</v>
      </c>
      <c r="C7263" s="6">
        <v>925.0</v>
      </c>
      <c r="D7263" s="6">
        <v>4.166666667</v>
      </c>
      <c r="E7263" s="6">
        <v>6.0</v>
      </c>
    </row>
    <row r="7264">
      <c r="A7264" s="4" t="s">
        <v>14425</v>
      </c>
      <c r="B7264" s="5" t="s">
        <v>14426</v>
      </c>
      <c r="C7264" s="6">
        <v>925.0</v>
      </c>
      <c r="D7264" s="6">
        <v>3.0</v>
      </c>
      <c r="E7264" s="6">
        <v>3.0</v>
      </c>
    </row>
    <row r="7265">
      <c r="A7265" s="4" t="s">
        <v>14427</v>
      </c>
      <c r="B7265" s="5" t="s">
        <v>14428</v>
      </c>
      <c r="C7265" s="6">
        <v>924.0</v>
      </c>
      <c r="D7265" s="6">
        <v>3.333333333</v>
      </c>
      <c r="E7265" s="6">
        <v>6.0</v>
      </c>
    </row>
    <row r="7266">
      <c r="A7266" s="4" t="s">
        <v>14429</v>
      </c>
      <c r="B7266" s="5" t="s">
        <v>14430</v>
      </c>
      <c r="C7266" s="6">
        <v>924.0</v>
      </c>
      <c r="D7266" s="6">
        <v>4.428571429</v>
      </c>
      <c r="E7266" s="6">
        <v>7.0</v>
      </c>
    </row>
    <row r="7267">
      <c r="A7267" s="4" t="s">
        <v>14431</v>
      </c>
      <c r="B7267" s="5" t="s">
        <v>14432</v>
      </c>
      <c r="C7267" s="6">
        <v>924.0</v>
      </c>
      <c r="D7267" s="6">
        <v>4.142857143</v>
      </c>
      <c r="E7267" s="6">
        <v>7.0</v>
      </c>
    </row>
    <row r="7268">
      <c r="A7268" s="4" t="s">
        <v>14433</v>
      </c>
      <c r="B7268" s="5" t="s">
        <v>14434</v>
      </c>
      <c r="C7268" s="6">
        <v>924.0</v>
      </c>
      <c r="D7268" s="6">
        <v>3.666666667</v>
      </c>
      <c r="E7268" s="6">
        <v>3.0</v>
      </c>
    </row>
    <row r="7269">
      <c r="A7269" s="4" t="s">
        <v>14435</v>
      </c>
      <c r="B7269" s="5" t="s">
        <v>14436</v>
      </c>
      <c r="C7269" s="6">
        <v>924.0</v>
      </c>
      <c r="D7269" s="6">
        <v>5.0</v>
      </c>
      <c r="E7269" s="6">
        <v>10.0</v>
      </c>
    </row>
    <row r="7270">
      <c r="A7270" s="4" t="s">
        <v>14437</v>
      </c>
      <c r="B7270" s="5" t="s">
        <v>14438</v>
      </c>
      <c r="C7270" s="6">
        <v>923.0</v>
      </c>
      <c r="D7270" s="6">
        <v>3.0</v>
      </c>
      <c r="E7270" s="6">
        <v>5.0</v>
      </c>
    </row>
    <row r="7271">
      <c r="A7271" s="4" t="s">
        <v>14439</v>
      </c>
      <c r="B7271" s="5" t="s">
        <v>14440</v>
      </c>
      <c r="C7271" s="6">
        <v>923.0</v>
      </c>
      <c r="D7271" s="6">
        <v>4.916666667</v>
      </c>
      <c r="E7271" s="6">
        <v>48.0</v>
      </c>
    </row>
    <row r="7272">
      <c r="A7272" s="4" t="s">
        <v>14441</v>
      </c>
      <c r="B7272" s="5" t="s">
        <v>14442</v>
      </c>
      <c r="C7272" s="6">
        <v>923.0</v>
      </c>
      <c r="D7272" s="6">
        <v>5.0</v>
      </c>
      <c r="E7272" s="6">
        <v>7.0</v>
      </c>
    </row>
    <row r="7273">
      <c r="A7273" s="4" t="s">
        <v>14443</v>
      </c>
      <c r="B7273" s="5" t="s">
        <v>14444</v>
      </c>
      <c r="C7273" s="6">
        <v>922.0</v>
      </c>
      <c r="D7273" s="6">
        <v>4.37037037</v>
      </c>
      <c r="E7273" s="6">
        <v>27.0</v>
      </c>
    </row>
    <row r="7274">
      <c r="A7274" s="5" t="s">
        <v>14445</v>
      </c>
      <c r="B7274" s="5" t="s">
        <v>14446</v>
      </c>
      <c r="C7274" s="6">
        <v>922.0</v>
      </c>
      <c r="D7274" s="6">
        <v>4.0</v>
      </c>
      <c r="E7274" s="6">
        <v>9.0</v>
      </c>
    </row>
    <row r="7275">
      <c r="A7275" s="4" t="s">
        <v>14447</v>
      </c>
      <c r="B7275" s="5" t="s">
        <v>14448</v>
      </c>
      <c r="C7275" s="6">
        <v>922.0</v>
      </c>
      <c r="D7275" s="6">
        <v>2.7</v>
      </c>
      <c r="E7275" s="6">
        <v>10.0</v>
      </c>
    </row>
    <row r="7276">
      <c r="A7276" s="4" t="s">
        <v>14449</v>
      </c>
      <c r="B7276" s="5" t="s">
        <v>14450</v>
      </c>
      <c r="C7276" s="6">
        <v>921.0</v>
      </c>
      <c r="D7276" s="6">
        <v>3.615384615</v>
      </c>
      <c r="E7276" s="6">
        <v>13.0</v>
      </c>
    </row>
    <row r="7277">
      <c r="A7277" s="4" t="s">
        <v>14451</v>
      </c>
      <c r="B7277" s="5" t="s">
        <v>14452</v>
      </c>
      <c r="C7277" s="6">
        <v>921.0</v>
      </c>
      <c r="D7277" s="6">
        <v>4.625</v>
      </c>
      <c r="E7277" s="6">
        <v>8.0</v>
      </c>
    </row>
    <row r="7278">
      <c r="A7278" s="4" t="s">
        <v>14453</v>
      </c>
      <c r="B7278" s="5" t="s">
        <v>14454</v>
      </c>
      <c r="C7278" s="6">
        <v>920.0</v>
      </c>
      <c r="D7278" s="6">
        <v>3.416666667</v>
      </c>
      <c r="E7278" s="6">
        <v>12.0</v>
      </c>
    </row>
    <row r="7279">
      <c r="A7279" s="4" t="s">
        <v>14455</v>
      </c>
      <c r="B7279" s="5" t="s">
        <v>14456</v>
      </c>
      <c r="C7279" s="6">
        <v>920.0</v>
      </c>
      <c r="D7279" s="6">
        <v>4.0</v>
      </c>
      <c r="E7279" s="6">
        <v>4.0</v>
      </c>
    </row>
    <row r="7280">
      <c r="A7280" s="4" t="s">
        <v>14457</v>
      </c>
      <c r="B7280" s="5" t="s">
        <v>14458</v>
      </c>
      <c r="C7280" s="6">
        <v>920.0</v>
      </c>
      <c r="D7280" s="9"/>
      <c r="E7280" s="9"/>
    </row>
    <row r="7281">
      <c r="A7281" s="4" t="s">
        <v>14459</v>
      </c>
      <c r="B7281" s="5" t="s">
        <v>14460</v>
      </c>
      <c r="C7281" s="6">
        <v>920.0</v>
      </c>
      <c r="D7281" s="6">
        <v>4.615384615</v>
      </c>
      <c r="E7281" s="6">
        <v>13.0</v>
      </c>
    </row>
    <row r="7282">
      <c r="A7282" s="4" t="s">
        <v>14461</v>
      </c>
      <c r="B7282" s="5" t="s">
        <v>14462</v>
      </c>
      <c r="C7282" s="6">
        <v>920.0</v>
      </c>
      <c r="D7282" s="9"/>
      <c r="E7282" s="9"/>
    </row>
    <row r="7283">
      <c r="A7283" s="4" t="s">
        <v>14463</v>
      </c>
      <c r="B7283" s="5" t="s">
        <v>14464</v>
      </c>
      <c r="C7283" s="6">
        <v>919.0</v>
      </c>
      <c r="D7283" s="6">
        <v>2.666666667</v>
      </c>
      <c r="E7283" s="6">
        <v>12.0</v>
      </c>
    </row>
    <row r="7284">
      <c r="A7284" s="4" t="s">
        <v>14465</v>
      </c>
      <c r="B7284" s="5" t="s">
        <v>14466</v>
      </c>
      <c r="C7284" s="6">
        <v>919.0</v>
      </c>
      <c r="D7284" s="6">
        <v>3.363636364</v>
      </c>
      <c r="E7284" s="6">
        <v>11.0</v>
      </c>
    </row>
    <row r="7285">
      <c r="A7285" s="4" t="s">
        <v>14467</v>
      </c>
      <c r="B7285" s="5" t="s">
        <v>14468</v>
      </c>
      <c r="C7285" s="6">
        <v>918.0</v>
      </c>
      <c r="D7285" s="6">
        <v>3.933333333</v>
      </c>
      <c r="E7285" s="6">
        <v>15.0</v>
      </c>
    </row>
    <row r="7286">
      <c r="A7286" s="4" t="s">
        <v>14469</v>
      </c>
      <c r="B7286" s="5" t="s">
        <v>14470</v>
      </c>
      <c r="C7286" s="6">
        <v>917.0</v>
      </c>
      <c r="D7286" s="6">
        <v>5.0</v>
      </c>
      <c r="E7286" s="6">
        <v>20.0</v>
      </c>
    </row>
    <row r="7287">
      <c r="A7287" s="4" t="s">
        <v>14471</v>
      </c>
      <c r="B7287" s="5" t="s">
        <v>14472</v>
      </c>
      <c r="C7287" s="6">
        <v>917.0</v>
      </c>
      <c r="D7287" s="6">
        <v>4.761904762</v>
      </c>
      <c r="E7287" s="6">
        <v>21.0</v>
      </c>
    </row>
    <row r="7288">
      <c r="A7288" s="4" t="s">
        <v>14473</v>
      </c>
      <c r="B7288" s="5" t="s">
        <v>14474</v>
      </c>
      <c r="C7288" s="6">
        <v>917.0</v>
      </c>
      <c r="D7288" s="6">
        <v>4.333333333</v>
      </c>
      <c r="E7288" s="6">
        <v>3.0</v>
      </c>
    </row>
    <row r="7289">
      <c r="A7289" s="4" t="s">
        <v>14475</v>
      </c>
      <c r="B7289" s="5" t="s">
        <v>14476</v>
      </c>
      <c r="C7289" s="6">
        <v>917.0</v>
      </c>
      <c r="D7289" s="6">
        <v>3.3</v>
      </c>
      <c r="E7289" s="6">
        <v>10.0</v>
      </c>
    </row>
    <row r="7290">
      <c r="A7290" s="4" t="s">
        <v>14477</v>
      </c>
      <c r="B7290" s="5" t="s">
        <v>14478</v>
      </c>
      <c r="C7290" s="6">
        <v>917.0</v>
      </c>
      <c r="D7290" s="6">
        <v>4.142857143</v>
      </c>
      <c r="E7290" s="6">
        <v>14.0</v>
      </c>
    </row>
    <row r="7291">
      <c r="A7291" s="4" t="s">
        <v>14479</v>
      </c>
      <c r="B7291" s="5" t="s">
        <v>14480</v>
      </c>
      <c r="C7291" s="6">
        <v>916.0</v>
      </c>
      <c r="D7291" s="6">
        <v>3.416666667</v>
      </c>
      <c r="E7291" s="6">
        <v>12.0</v>
      </c>
    </row>
    <row r="7292">
      <c r="A7292" s="4" t="s">
        <v>14481</v>
      </c>
      <c r="B7292" s="5" t="s">
        <v>14482</v>
      </c>
      <c r="C7292" s="6">
        <v>916.0</v>
      </c>
      <c r="D7292" s="6">
        <v>3.75</v>
      </c>
      <c r="E7292" s="6">
        <v>12.0</v>
      </c>
    </row>
    <row r="7293">
      <c r="A7293" s="4" t="s">
        <v>14483</v>
      </c>
      <c r="B7293" s="5" t="s">
        <v>14484</v>
      </c>
      <c r="C7293" s="6">
        <v>916.0</v>
      </c>
      <c r="D7293" s="6">
        <v>2.5</v>
      </c>
      <c r="E7293" s="6">
        <v>18.0</v>
      </c>
    </row>
    <row r="7294">
      <c r="A7294" s="4" t="s">
        <v>14485</v>
      </c>
      <c r="B7294" s="5" t="s">
        <v>14486</v>
      </c>
      <c r="C7294" s="6">
        <v>916.0</v>
      </c>
      <c r="D7294" s="6">
        <v>5.0</v>
      </c>
      <c r="E7294" s="6">
        <v>8.0</v>
      </c>
    </row>
    <row r="7295">
      <c r="A7295" s="4" t="s">
        <v>14487</v>
      </c>
      <c r="B7295" s="5" t="s">
        <v>14488</v>
      </c>
      <c r="C7295" s="6">
        <v>915.0</v>
      </c>
      <c r="D7295" s="6">
        <v>5.0</v>
      </c>
      <c r="E7295" s="6">
        <v>1.0</v>
      </c>
    </row>
    <row r="7296">
      <c r="A7296" s="4" t="s">
        <v>14489</v>
      </c>
      <c r="B7296" s="5" t="s">
        <v>14490</v>
      </c>
      <c r="C7296" s="6">
        <v>915.0</v>
      </c>
      <c r="D7296" s="6">
        <v>2.111111111</v>
      </c>
      <c r="E7296" s="6">
        <v>9.0</v>
      </c>
    </row>
    <row r="7297">
      <c r="A7297" s="4" t="s">
        <v>14491</v>
      </c>
      <c r="B7297" s="5" t="s">
        <v>14492</v>
      </c>
      <c r="C7297" s="6">
        <v>914.0</v>
      </c>
      <c r="D7297" s="6">
        <v>4.274193548</v>
      </c>
      <c r="E7297" s="6">
        <v>62.0</v>
      </c>
    </row>
    <row r="7298">
      <c r="A7298" s="4" t="s">
        <v>14493</v>
      </c>
      <c r="B7298" s="5" t="s">
        <v>14494</v>
      </c>
      <c r="C7298" s="6">
        <v>913.0</v>
      </c>
      <c r="D7298" s="6">
        <v>5.0</v>
      </c>
      <c r="E7298" s="6">
        <v>6.0</v>
      </c>
    </row>
    <row r="7299">
      <c r="A7299" s="4" t="s">
        <v>14495</v>
      </c>
      <c r="B7299" s="5" t="s">
        <v>14496</v>
      </c>
      <c r="C7299" s="6">
        <v>913.0</v>
      </c>
      <c r="D7299" s="6">
        <v>5.0</v>
      </c>
      <c r="E7299" s="6">
        <v>3.0</v>
      </c>
    </row>
    <row r="7300">
      <c r="A7300" s="4" t="s">
        <v>14497</v>
      </c>
      <c r="B7300" s="5" t="s">
        <v>14498</v>
      </c>
      <c r="C7300" s="6">
        <v>913.0</v>
      </c>
      <c r="D7300" s="6">
        <v>4.666666667</v>
      </c>
      <c r="E7300" s="6">
        <v>3.0</v>
      </c>
    </row>
    <row r="7301">
      <c r="A7301" s="4" t="s">
        <v>14499</v>
      </c>
      <c r="B7301" s="5" t="s">
        <v>14500</v>
      </c>
      <c r="C7301" s="6">
        <v>913.0</v>
      </c>
      <c r="D7301" s="6">
        <v>3.142857143</v>
      </c>
      <c r="E7301" s="6">
        <v>7.0</v>
      </c>
    </row>
    <row r="7302">
      <c r="A7302" s="4" t="s">
        <v>14501</v>
      </c>
      <c r="B7302" s="5" t="s">
        <v>14502</v>
      </c>
      <c r="C7302" s="6">
        <v>913.0</v>
      </c>
      <c r="D7302" s="6">
        <v>5.0</v>
      </c>
      <c r="E7302" s="6">
        <v>8.0</v>
      </c>
    </row>
    <row r="7303">
      <c r="A7303" s="4" t="s">
        <v>14503</v>
      </c>
      <c r="B7303" s="5" t="s">
        <v>14504</v>
      </c>
      <c r="C7303" s="6">
        <v>913.0</v>
      </c>
      <c r="D7303" s="6">
        <v>5.0</v>
      </c>
      <c r="E7303" s="6">
        <v>7.0</v>
      </c>
    </row>
    <row r="7304">
      <c r="A7304" s="4" t="s">
        <v>14505</v>
      </c>
      <c r="B7304" s="5" t="s">
        <v>14506</v>
      </c>
      <c r="C7304" s="6">
        <v>912.0</v>
      </c>
      <c r="D7304" s="6">
        <v>4.5</v>
      </c>
      <c r="E7304" s="6">
        <v>2.0</v>
      </c>
    </row>
    <row r="7305">
      <c r="A7305" s="4" t="s">
        <v>14507</v>
      </c>
      <c r="B7305" s="5" t="s">
        <v>14508</v>
      </c>
      <c r="C7305" s="6">
        <v>912.0</v>
      </c>
      <c r="D7305" s="6">
        <v>5.0</v>
      </c>
      <c r="E7305" s="6">
        <v>2.0</v>
      </c>
    </row>
    <row r="7306">
      <c r="A7306" s="4" t="s">
        <v>14509</v>
      </c>
      <c r="B7306" s="5" t="s">
        <v>14510</v>
      </c>
      <c r="C7306" s="6">
        <v>911.0</v>
      </c>
      <c r="D7306" s="6">
        <v>4.6</v>
      </c>
      <c r="E7306" s="6">
        <v>5.0</v>
      </c>
    </row>
    <row r="7307">
      <c r="A7307" s="4" t="s">
        <v>14511</v>
      </c>
      <c r="B7307" s="5" t="s">
        <v>14512</v>
      </c>
      <c r="C7307" s="6">
        <v>911.0</v>
      </c>
      <c r="D7307" s="6">
        <v>4.485714286</v>
      </c>
      <c r="E7307" s="6">
        <v>35.0</v>
      </c>
    </row>
    <row r="7308">
      <c r="A7308" s="4" t="s">
        <v>14513</v>
      </c>
      <c r="B7308" s="5" t="s">
        <v>14514</v>
      </c>
      <c r="C7308" s="6">
        <v>911.0</v>
      </c>
      <c r="D7308" s="6">
        <v>2.333333333</v>
      </c>
      <c r="E7308" s="6">
        <v>3.0</v>
      </c>
    </row>
    <row r="7309">
      <c r="A7309" s="4" t="s">
        <v>14515</v>
      </c>
      <c r="B7309" s="5" t="s">
        <v>14516</v>
      </c>
      <c r="C7309" s="6">
        <v>911.0</v>
      </c>
      <c r="D7309" s="6">
        <v>4.157894737</v>
      </c>
      <c r="E7309" s="6">
        <v>19.0</v>
      </c>
    </row>
    <row r="7310">
      <c r="A7310" s="4" t="s">
        <v>14517</v>
      </c>
      <c r="B7310" s="5" t="s">
        <v>14518</v>
      </c>
      <c r="C7310" s="6">
        <v>911.0</v>
      </c>
      <c r="D7310" s="6">
        <v>5.0</v>
      </c>
      <c r="E7310" s="6">
        <v>2.0</v>
      </c>
    </row>
    <row r="7311">
      <c r="A7311" s="4" t="s">
        <v>227</v>
      </c>
      <c r="B7311" s="5" t="s">
        <v>14519</v>
      </c>
      <c r="C7311" s="6">
        <v>910.0</v>
      </c>
      <c r="D7311" s="6">
        <v>4.178571429</v>
      </c>
      <c r="E7311" s="6">
        <v>28.0</v>
      </c>
    </row>
    <row r="7312">
      <c r="A7312" s="4" t="s">
        <v>14520</v>
      </c>
      <c r="B7312" s="5" t="s">
        <v>14521</v>
      </c>
      <c r="C7312" s="6">
        <v>910.0</v>
      </c>
      <c r="D7312" s="6">
        <v>2.235294118</v>
      </c>
      <c r="E7312" s="6">
        <v>68.0</v>
      </c>
    </row>
    <row r="7313">
      <c r="A7313" s="4" t="s">
        <v>14522</v>
      </c>
      <c r="B7313" s="5" t="s">
        <v>14523</v>
      </c>
      <c r="C7313" s="6">
        <v>910.0</v>
      </c>
      <c r="D7313" s="6">
        <v>4.857142857</v>
      </c>
      <c r="E7313" s="6">
        <v>7.0</v>
      </c>
    </row>
    <row r="7314">
      <c r="A7314" s="4" t="s">
        <v>14524</v>
      </c>
      <c r="B7314" s="5" t="s">
        <v>14525</v>
      </c>
      <c r="C7314" s="6">
        <v>909.0</v>
      </c>
      <c r="D7314" s="6">
        <v>4.235294118</v>
      </c>
      <c r="E7314" s="6">
        <v>17.0</v>
      </c>
    </row>
    <row r="7315">
      <c r="A7315" s="4" t="s">
        <v>14526</v>
      </c>
      <c r="B7315" s="5" t="s">
        <v>14527</v>
      </c>
      <c r="C7315" s="6">
        <v>909.0</v>
      </c>
      <c r="D7315" s="6">
        <v>4.0</v>
      </c>
      <c r="E7315" s="6">
        <v>5.0</v>
      </c>
    </row>
    <row r="7316">
      <c r="A7316" s="4" t="s">
        <v>14528</v>
      </c>
      <c r="B7316" s="5" t="s">
        <v>14529</v>
      </c>
      <c r="C7316" s="6">
        <v>909.0</v>
      </c>
      <c r="D7316" s="6">
        <v>4.7</v>
      </c>
      <c r="E7316" s="6">
        <v>10.0</v>
      </c>
    </row>
    <row r="7317">
      <c r="A7317" s="4" t="s">
        <v>14530</v>
      </c>
      <c r="B7317" s="5" t="s">
        <v>14531</v>
      </c>
      <c r="C7317" s="6">
        <v>909.0</v>
      </c>
      <c r="D7317" s="6">
        <v>4.142857143</v>
      </c>
      <c r="E7317" s="6">
        <v>7.0</v>
      </c>
    </row>
    <row r="7318">
      <c r="A7318" s="4" t="s">
        <v>14532</v>
      </c>
      <c r="B7318" s="5" t="s">
        <v>14533</v>
      </c>
      <c r="C7318" s="6">
        <v>909.0</v>
      </c>
      <c r="D7318" s="6">
        <v>4.5</v>
      </c>
      <c r="E7318" s="6">
        <v>10.0</v>
      </c>
    </row>
    <row r="7319">
      <c r="A7319" s="4" t="s">
        <v>14534</v>
      </c>
      <c r="B7319" s="5" t="s">
        <v>14535</v>
      </c>
      <c r="C7319" s="6">
        <v>909.0</v>
      </c>
      <c r="D7319" s="6">
        <v>3.333333333</v>
      </c>
      <c r="E7319" s="6">
        <v>9.0</v>
      </c>
    </row>
    <row r="7320">
      <c r="A7320" s="4" t="s">
        <v>14536</v>
      </c>
      <c r="B7320" s="5" t="s">
        <v>14537</v>
      </c>
      <c r="C7320" s="6">
        <v>908.0</v>
      </c>
      <c r="D7320" s="6">
        <v>4.833333333</v>
      </c>
      <c r="E7320" s="6">
        <v>12.0</v>
      </c>
    </row>
    <row r="7321">
      <c r="A7321" s="4" t="s">
        <v>14538</v>
      </c>
      <c r="B7321" s="5" t="s">
        <v>14539</v>
      </c>
      <c r="C7321" s="6">
        <v>908.0</v>
      </c>
      <c r="D7321" s="6">
        <v>4.666666667</v>
      </c>
      <c r="E7321" s="6">
        <v>30.0</v>
      </c>
    </row>
    <row r="7322">
      <c r="A7322" s="4" t="s">
        <v>14540</v>
      </c>
      <c r="B7322" s="5" t="s">
        <v>14541</v>
      </c>
      <c r="C7322" s="6">
        <v>908.0</v>
      </c>
      <c r="D7322" s="6">
        <v>4.0</v>
      </c>
      <c r="E7322" s="6">
        <v>3.0</v>
      </c>
    </row>
    <row r="7323">
      <c r="A7323" s="4" t="s">
        <v>14542</v>
      </c>
      <c r="B7323" s="5" t="s">
        <v>14543</v>
      </c>
      <c r="C7323" s="6">
        <v>908.0</v>
      </c>
      <c r="D7323" s="6">
        <v>5.0</v>
      </c>
      <c r="E7323" s="6">
        <v>9.0</v>
      </c>
    </row>
    <row r="7324">
      <c r="A7324" s="4" t="s">
        <v>14544</v>
      </c>
      <c r="B7324" s="5" t="s">
        <v>14545</v>
      </c>
      <c r="C7324" s="6">
        <v>907.0</v>
      </c>
      <c r="D7324" s="6">
        <v>4.6</v>
      </c>
      <c r="E7324" s="6">
        <v>15.0</v>
      </c>
    </row>
    <row r="7325">
      <c r="A7325" s="4" t="s">
        <v>14546</v>
      </c>
      <c r="B7325" s="5" t="s">
        <v>14547</v>
      </c>
      <c r="C7325" s="6">
        <v>907.0</v>
      </c>
      <c r="D7325" s="6">
        <v>4.333333333</v>
      </c>
      <c r="E7325" s="6">
        <v>12.0</v>
      </c>
    </row>
    <row r="7326">
      <c r="A7326" s="4" t="s">
        <v>14548</v>
      </c>
      <c r="B7326" s="5" t="s">
        <v>14549</v>
      </c>
      <c r="C7326" s="6">
        <v>907.0</v>
      </c>
      <c r="D7326" s="6">
        <v>4.272727273</v>
      </c>
      <c r="E7326" s="6">
        <v>11.0</v>
      </c>
    </row>
    <row r="7327">
      <c r="A7327" s="4" t="s">
        <v>14550</v>
      </c>
      <c r="B7327" s="5" t="s">
        <v>14551</v>
      </c>
      <c r="C7327" s="6">
        <v>907.0</v>
      </c>
      <c r="D7327" s="9"/>
      <c r="E7327" s="9"/>
    </row>
    <row r="7328">
      <c r="A7328" s="4" t="s">
        <v>14552</v>
      </c>
      <c r="B7328" s="5" t="s">
        <v>14553</v>
      </c>
      <c r="C7328" s="6">
        <v>907.0</v>
      </c>
      <c r="D7328" s="9"/>
      <c r="E7328" s="9"/>
    </row>
    <row r="7329">
      <c r="A7329" s="4" t="s">
        <v>14554</v>
      </c>
      <c r="B7329" s="5" t="s">
        <v>14555</v>
      </c>
      <c r="C7329" s="6">
        <v>907.0</v>
      </c>
      <c r="D7329" s="6">
        <v>4.6</v>
      </c>
      <c r="E7329" s="6">
        <v>10.0</v>
      </c>
    </row>
    <row r="7330">
      <c r="A7330" s="4" t="s">
        <v>14556</v>
      </c>
      <c r="B7330" s="5" t="s">
        <v>14557</v>
      </c>
      <c r="C7330" s="6">
        <v>906.0</v>
      </c>
      <c r="D7330" s="6">
        <v>2.714285714</v>
      </c>
      <c r="E7330" s="6">
        <v>7.0</v>
      </c>
    </row>
    <row r="7331">
      <c r="A7331" s="4" t="s">
        <v>14558</v>
      </c>
      <c r="B7331" s="5" t="s">
        <v>14559</v>
      </c>
      <c r="C7331" s="6">
        <v>906.0</v>
      </c>
      <c r="D7331" s="6">
        <v>5.0</v>
      </c>
      <c r="E7331" s="6">
        <v>5.0</v>
      </c>
    </row>
    <row r="7332">
      <c r="A7332" s="4" t="s">
        <v>14560</v>
      </c>
      <c r="B7332" s="5" t="s">
        <v>14561</v>
      </c>
      <c r="C7332" s="6">
        <v>906.0</v>
      </c>
      <c r="D7332" s="6">
        <v>5.0</v>
      </c>
      <c r="E7332" s="6">
        <v>7.0</v>
      </c>
    </row>
    <row r="7333">
      <c r="A7333" s="4" t="s">
        <v>14562</v>
      </c>
      <c r="B7333" s="5" t="s">
        <v>14563</v>
      </c>
      <c r="C7333" s="6">
        <v>906.0</v>
      </c>
      <c r="D7333" s="6">
        <v>3.0</v>
      </c>
      <c r="E7333" s="6">
        <v>2.0</v>
      </c>
    </row>
    <row r="7334">
      <c r="A7334" s="4" t="s">
        <v>14564</v>
      </c>
      <c r="B7334" s="5" t="s">
        <v>14565</v>
      </c>
      <c r="C7334" s="6">
        <v>906.0</v>
      </c>
      <c r="D7334" s="6">
        <v>3.836734694</v>
      </c>
      <c r="E7334" s="6">
        <v>49.0</v>
      </c>
    </row>
    <row r="7335">
      <c r="A7335" s="4" t="s">
        <v>14566</v>
      </c>
      <c r="B7335" s="5" t="s">
        <v>14567</v>
      </c>
      <c r="C7335" s="6">
        <v>905.0</v>
      </c>
      <c r="D7335" s="6">
        <v>3.8</v>
      </c>
      <c r="E7335" s="6">
        <v>5.0</v>
      </c>
    </row>
    <row r="7336">
      <c r="A7336" s="4" t="s">
        <v>14568</v>
      </c>
      <c r="B7336" s="5" t="s">
        <v>14569</v>
      </c>
      <c r="C7336" s="6">
        <v>905.0</v>
      </c>
      <c r="D7336" s="6">
        <v>1.371428571</v>
      </c>
      <c r="E7336" s="6">
        <v>35.0</v>
      </c>
    </row>
    <row r="7337">
      <c r="A7337" s="4" t="s">
        <v>14570</v>
      </c>
      <c r="B7337" s="5" t="s">
        <v>14571</v>
      </c>
      <c r="C7337" s="6">
        <v>905.0</v>
      </c>
      <c r="D7337" s="6">
        <v>4.333333333</v>
      </c>
      <c r="E7337" s="6">
        <v>6.0</v>
      </c>
    </row>
    <row r="7338">
      <c r="A7338" s="4" t="s">
        <v>14572</v>
      </c>
      <c r="B7338" s="5" t="s">
        <v>14573</v>
      </c>
      <c r="C7338" s="6">
        <v>904.0</v>
      </c>
      <c r="D7338" s="6">
        <v>3.928571429</v>
      </c>
      <c r="E7338" s="6">
        <v>28.0</v>
      </c>
    </row>
    <row r="7339">
      <c r="A7339" s="4" t="s">
        <v>14574</v>
      </c>
      <c r="B7339" s="5" t="s">
        <v>14575</v>
      </c>
      <c r="C7339" s="6">
        <v>904.0</v>
      </c>
      <c r="D7339" s="6">
        <v>4.096774194</v>
      </c>
      <c r="E7339" s="6">
        <v>31.0</v>
      </c>
    </row>
    <row r="7340">
      <c r="A7340" s="4" t="s">
        <v>14576</v>
      </c>
      <c r="B7340" s="5" t="s">
        <v>14577</v>
      </c>
      <c r="C7340" s="6">
        <v>904.0</v>
      </c>
      <c r="D7340" s="6">
        <v>3.806451613</v>
      </c>
      <c r="E7340" s="6">
        <v>31.0</v>
      </c>
    </row>
    <row r="7341">
      <c r="A7341" s="4" t="s">
        <v>14578</v>
      </c>
      <c r="B7341" s="5" t="s">
        <v>14579</v>
      </c>
      <c r="C7341" s="6">
        <v>903.0</v>
      </c>
      <c r="D7341" s="6">
        <v>4.333333333</v>
      </c>
      <c r="E7341" s="6">
        <v>18.0</v>
      </c>
    </row>
    <row r="7342">
      <c r="A7342" s="4" t="s">
        <v>14580</v>
      </c>
      <c r="B7342" s="5" t="s">
        <v>14581</v>
      </c>
      <c r="C7342" s="6">
        <v>903.0</v>
      </c>
      <c r="D7342" s="6">
        <v>1.0</v>
      </c>
      <c r="E7342" s="6">
        <v>1.0</v>
      </c>
    </row>
    <row r="7343">
      <c r="A7343" s="4" t="s">
        <v>14582</v>
      </c>
      <c r="B7343" s="5" t="s">
        <v>14583</v>
      </c>
      <c r="C7343" s="6">
        <v>903.0</v>
      </c>
      <c r="D7343" s="6">
        <v>5.0</v>
      </c>
      <c r="E7343" s="6">
        <v>4.0</v>
      </c>
    </row>
    <row r="7344">
      <c r="A7344" s="4" t="s">
        <v>14584</v>
      </c>
      <c r="B7344" s="5" t="s">
        <v>14585</v>
      </c>
      <c r="C7344" s="6">
        <v>903.0</v>
      </c>
      <c r="D7344" s="6">
        <v>3.0</v>
      </c>
      <c r="E7344" s="6">
        <v>2.0</v>
      </c>
    </row>
    <row r="7345">
      <c r="A7345" s="4" t="s">
        <v>14586</v>
      </c>
      <c r="B7345" s="5" t="s">
        <v>14587</v>
      </c>
      <c r="C7345" s="6">
        <v>903.0</v>
      </c>
      <c r="D7345" s="6">
        <v>3.535714286</v>
      </c>
      <c r="E7345" s="6">
        <v>28.0</v>
      </c>
    </row>
    <row r="7346">
      <c r="A7346" s="4" t="s">
        <v>14588</v>
      </c>
      <c r="B7346" s="5" t="s">
        <v>14589</v>
      </c>
      <c r="C7346" s="6">
        <v>903.0</v>
      </c>
      <c r="D7346" s="6">
        <v>4.0</v>
      </c>
      <c r="E7346" s="6">
        <v>2.0</v>
      </c>
    </row>
    <row r="7347">
      <c r="A7347" s="5" t="s">
        <v>14590</v>
      </c>
      <c r="B7347" s="5" t="s">
        <v>14591</v>
      </c>
      <c r="C7347" s="6">
        <v>903.0</v>
      </c>
      <c r="D7347" s="6">
        <v>2.727272727</v>
      </c>
      <c r="E7347" s="6">
        <v>11.0</v>
      </c>
    </row>
    <row r="7348">
      <c r="A7348" s="4" t="s">
        <v>14592</v>
      </c>
      <c r="B7348" s="5" t="s">
        <v>14593</v>
      </c>
      <c r="C7348" s="6">
        <v>903.0</v>
      </c>
      <c r="D7348" s="6">
        <v>4.75</v>
      </c>
      <c r="E7348" s="6">
        <v>4.0</v>
      </c>
    </row>
    <row r="7349">
      <c r="A7349" s="4" t="s">
        <v>14594</v>
      </c>
      <c r="B7349" s="5" t="s">
        <v>14595</v>
      </c>
      <c r="C7349" s="6">
        <v>902.0</v>
      </c>
      <c r="D7349" s="9"/>
      <c r="E7349" s="9"/>
    </row>
    <row r="7350">
      <c r="A7350" s="4" t="s">
        <v>14596</v>
      </c>
      <c r="B7350" s="5" t="s">
        <v>14597</v>
      </c>
      <c r="C7350" s="6">
        <v>902.0</v>
      </c>
      <c r="D7350" s="6">
        <v>3.84</v>
      </c>
      <c r="E7350" s="6">
        <v>25.0</v>
      </c>
    </row>
    <row r="7351">
      <c r="A7351" s="4" t="s">
        <v>14598</v>
      </c>
      <c r="B7351" s="5" t="s">
        <v>14599</v>
      </c>
      <c r="C7351" s="6">
        <v>902.0</v>
      </c>
      <c r="D7351" s="9"/>
      <c r="E7351" s="9"/>
    </row>
    <row r="7352">
      <c r="A7352" s="4" t="s">
        <v>14600</v>
      </c>
      <c r="B7352" s="5" t="s">
        <v>14601</v>
      </c>
      <c r="C7352" s="6">
        <v>901.0</v>
      </c>
      <c r="D7352" s="6">
        <v>5.0</v>
      </c>
      <c r="E7352" s="6">
        <v>3.0</v>
      </c>
    </row>
    <row r="7353">
      <c r="A7353" s="4" t="s">
        <v>14602</v>
      </c>
      <c r="B7353" s="5" t="s">
        <v>14603</v>
      </c>
      <c r="C7353" s="6">
        <v>901.0</v>
      </c>
      <c r="D7353" s="6">
        <v>2.5</v>
      </c>
      <c r="E7353" s="6">
        <v>6.0</v>
      </c>
    </row>
    <row r="7354">
      <c r="A7354" s="4" t="s">
        <v>14604</v>
      </c>
      <c r="B7354" s="5" t="s">
        <v>14605</v>
      </c>
      <c r="C7354" s="6">
        <v>901.0</v>
      </c>
      <c r="D7354" s="6">
        <v>2.333333333</v>
      </c>
      <c r="E7354" s="6">
        <v>3.0</v>
      </c>
    </row>
    <row r="7355">
      <c r="A7355" s="4" t="s">
        <v>14606</v>
      </c>
      <c r="B7355" s="5" t="s">
        <v>14607</v>
      </c>
      <c r="C7355" s="6">
        <v>901.0</v>
      </c>
      <c r="D7355" s="6">
        <v>4.882075472</v>
      </c>
      <c r="E7355" s="6">
        <v>212.0</v>
      </c>
    </row>
    <row r="7356">
      <c r="A7356" s="4" t="s">
        <v>14608</v>
      </c>
      <c r="B7356" s="5" t="s">
        <v>14609</v>
      </c>
      <c r="C7356" s="6">
        <v>901.0</v>
      </c>
      <c r="D7356" s="6">
        <v>4.2</v>
      </c>
      <c r="E7356" s="6">
        <v>5.0</v>
      </c>
    </row>
    <row r="7357">
      <c r="A7357" s="4" t="s">
        <v>14610</v>
      </c>
      <c r="B7357" s="5" t="s">
        <v>14611</v>
      </c>
      <c r="C7357" s="6">
        <v>900.0</v>
      </c>
      <c r="D7357" s="6">
        <v>4.235294118</v>
      </c>
      <c r="E7357" s="6">
        <v>17.0</v>
      </c>
    </row>
    <row r="7358">
      <c r="A7358" s="4" t="s">
        <v>14612</v>
      </c>
      <c r="B7358" s="5" t="s">
        <v>14613</v>
      </c>
      <c r="C7358" s="6">
        <v>900.0</v>
      </c>
      <c r="D7358" s="6">
        <v>4.771428571</v>
      </c>
      <c r="E7358" s="6">
        <v>35.0</v>
      </c>
    </row>
    <row r="7359">
      <c r="A7359" s="4" t="s">
        <v>14614</v>
      </c>
      <c r="B7359" s="5" t="s">
        <v>14615</v>
      </c>
      <c r="C7359" s="6">
        <v>900.0</v>
      </c>
      <c r="D7359" s="6">
        <v>4.75</v>
      </c>
      <c r="E7359" s="6">
        <v>4.0</v>
      </c>
    </row>
    <row r="7360">
      <c r="A7360" s="4" t="s">
        <v>14616</v>
      </c>
      <c r="B7360" s="5" t="s">
        <v>14617</v>
      </c>
      <c r="C7360" s="6">
        <v>900.0</v>
      </c>
      <c r="D7360" s="6">
        <v>2.846153846</v>
      </c>
      <c r="E7360" s="6">
        <v>13.0</v>
      </c>
    </row>
    <row r="7361">
      <c r="A7361" s="4" t="s">
        <v>14618</v>
      </c>
      <c r="B7361" s="5" t="s">
        <v>14619</v>
      </c>
      <c r="C7361" s="6">
        <v>900.0</v>
      </c>
      <c r="D7361" s="6">
        <v>4.666666667</v>
      </c>
      <c r="E7361" s="6">
        <v>3.0</v>
      </c>
    </row>
    <row r="7362">
      <c r="A7362" s="4" t="s">
        <v>14620</v>
      </c>
      <c r="B7362" s="5" t="s">
        <v>14621</v>
      </c>
      <c r="C7362" s="6">
        <v>900.0</v>
      </c>
      <c r="D7362" s="6">
        <v>5.0</v>
      </c>
      <c r="E7362" s="6">
        <v>2.0</v>
      </c>
    </row>
    <row r="7363">
      <c r="A7363" s="4" t="s">
        <v>14622</v>
      </c>
      <c r="B7363" s="5" t="s">
        <v>14623</v>
      </c>
      <c r="C7363" s="6">
        <v>900.0</v>
      </c>
      <c r="D7363" s="6">
        <v>4.4</v>
      </c>
      <c r="E7363" s="6">
        <v>15.0</v>
      </c>
    </row>
    <row r="7364">
      <c r="A7364" s="4" t="s">
        <v>14624</v>
      </c>
      <c r="B7364" s="5" t="s">
        <v>14625</v>
      </c>
      <c r="C7364" s="6">
        <v>900.0</v>
      </c>
      <c r="D7364" s="6">
        <v>4.954545455</v>
      </c>
      <c r="E7364" s="6">
        <v>22.0</v>
      </c>
    </row>
    <row r="7365">
      <c r="A7365" s="4" t="s">
        <v>14626</v>
      </c>
      <c r="B7365" s="5" t="s">
        <v>14627</v>
      </c>
      <c r="C7365" s="6">
        <v>900.0</v>
      </c>
      <c r="D7365" s="6">
        <v>5.0</v>
      </c>
      <c r="E7365" s="6">
        <v>18.0</v>
      </c>
    </row>
    <row r="7366">
      <c r="A7366" s="4" t="s">
        <v>14628</v>
      </c>
      <c r="B7366" s="5" t="s">
        <v>14629</v>
      </c>
      <c r="C7366" s="6">
        <v>899.0</v>
      </c>
      <c r="D7366" s="6">
        <v>4.5</v>
      </c>
      <c r="E7366" s="6">
        <v>2.0</v>
      </c>
    </row>
    <row r="7367">
      <c r="A7367" s="4" t="s">
        <v>14630</v>
      </c>
      <c r="B7367" s="5" t="s">
        <v>14631</v>
      </c>
      <c r="C7367" s="6">
        <v>899.0</v>
      </c>
      <c r="D7367" s="6">
        <v>3.0</v>
      </c>
      <c r="E7367" s="6">
        <v>2.0</v>
      </c>
    </row>
    <row r="7368">
      <c r="A7368" s="4" t="s">
        <v>14632</v>
      </c>
      <c r="B7368" s="5" t="s">
        <v>14633</v>
      </c>
      <c r="C7368" s="6">
        <v>899.0</v>
      </c>
      <c r="D7368" s="6">
        <v>4.0</v>
      </c>
      <c r="E7368" s="6">
        <v>2.0</v>
      </c>
    </row>
    <row r="7369">
      <c r="A7369" s="4" t="s">
        <v>14634</v>
      </c>
      <c r="B7369" s="5" t="s">
        <v>14635</v>
      </c>
      <c r="C7369" s="6">
        <v>898.0</v>
      </c>
      <c r="D7369" s="6">
        <v>3.333333333</v>
      </c>
      <c r="E7369" s="6">
        <v>6.0</v>
      </c>
    </row>
    <row r="7370">
      <c r="A7370" s="4" t="s">
        <v>14636</v>
      </c>
      <c r="B7370" s="5" t="s">
        <v>14637</v>
      </c>
      <c r="C7370" s="6">
        <v>898.0</v>
      </c>
      <c r="D7370" s="6">
        <v>3.315789474</v>
      </c>
      <c r="E7370" s="6">
        <v>19.0</v>
      </c>
    </row>
    <row r="7371">
      <c r="A7371" s="4" t="s">
        <v>14638</v>
      </c>
      <c r="B7371" s="5" t="s">
        <v>14639</v>
      </c>
      <c r="C7371" s="6">
        <v>898.0</v>
      </c>
      <c r="D7371" s="6">
        <v>4.7</v>
      </c>
      <c r="E7371" s="6">
        <v>60.0</v>
      </c>
    </row>
    <row r="7372">
      <c r="A7372" s="4" t="s">
        <v>14640</v>
      </c>
      <c r="B7372" s="5" t="s">
        <v>14641</v>
      </c>
      <c r="C7372" s="6">
        <v>897.0</v>
      </c>
      <c r="D7372" s="9"/>
      <c r="E7372" s="9"/>
    </row>
    <row r="7373">
      <c r="A7373" s="4" t="s">
        <v>14642</v>
      </c>
      <c r="B7373" s="5" t="s">
        <v>14643</v>
      </c>
      <c r="C7373" s="6">
        <v>897.0</v>
      </c>
      <c r="D7373" s="6">
        <v>4.25</v>
      </c>
      <c r="E7373" s="6">
        <v>4.0</v>
      </c>
    </row>
    <row r="7374">
      <c r="A7374" s="4" t="s">
        <v>14644</v>
      </c>
      <c r="B7374" s="5" t="s">
        <v>14645</v>
      </c>
      <c r="C7374" s="6">
        <v>896.0</v>
      </c>
      <c r="D7374" s="6">
        <v>5.0</v>
      </c>
      <c r="E7374" s="6">
        <v>3.0</v>
      </c>
    </row>
    <row r="7375">
      <c r="A7375" s="4" t="s">
        <v>14646</v>
      </c>
      <c r="B7375" s="5" t="s">
        <v>14647</v>
      </c>
      <c r="C7375" s="6">
        <v>896.0</v>
      </c>
      <c r="D7375" s="6">
        <v>3.5625</v>
      </c>
      <c r="E7375" s="6">
        <v>16.0</v>
      </c>
    </row>
    <row r="7376">
      <c r="A7376" s="4" t="s">
        <v>14648</v>
      </c>
      <c r="B7376" s="5" t="s">
        <v>14649</v>
      </c>
      <c r="C7376" s="6">
        <v>895.0</v>
      </c>
      <c r="D7376" s="6">
        <v>4.833333333</v>
      </c>
      <c r="E7376" s="6">
        <v>24.0</v>
      </c>
    </row>
    <row r="7377">
      <c r="A7377" s="4" t="s">
        <v>14650</v>
      </c>
      <c r="B7377" s="5" t="s">
        <v>14651</v>
      </c>
      <c r="C7377" s="6">
        <v>895.0</v>
      </c>
      <c r="D7377" s="6">
        <v>4.6</v>
      </c>
      <c r="E7377" s="6">
        <v>5.0</v>
      </c>
    </row>
    <row r="7378">
      <c r="A7378" s="4" t="s">
        <v>14652</v>
      </c>
      <c r="B7378" s="5" t="s">
        <v>14653</v>
      </c>
      <c r="C7378" s="6">
        <v>895.0</v>
      </c>
      <c r="D7378" s="6">
        <v>4.615384615</v>
      </c>
      <c r="E7378" s="6">
        <v>13.0</v>
      </c>
    </row>
    <row r="7379">
      <c r="A7379" s="4" t="s">
        <v>14654</v>
      </c>
      <c r="B7379" s="5" t="s">
        <v>14655</v>
      </c>
      <c r="C7379" s="6">
        <v>895.0</v>
      </c>
      <c r="D7379" s="6">
        <v>5.0</v>
      </c>
      <c r="E7379" s="6">
        <v>5.0</v>
      </c>
    </row>
    <row r="7380">
      <c r="A7380" s="4" t="s">
        <v>14656</v>
      </c>
      <c r="B7380" s="5" t="s">
        <v>14657</v>
      </c>
      <c r="C7380" s="6">
        <v>895.0</v>
      </c>
      <c r="D7380" s="6">
        <v>5.0</v>
      </c>
      <c r="E7380" s="6">
        <v>4.0</v>
      </c>
    </row>
    <row r="7381">
      <c r="A7381" s="4" t="s">
        <v>14658</v>
      </c>
      <c r="B7381" s="5" t="s">
        <v>14659</v>
      </c>
      <c r="C7381" s="6">
        <v>894.0</v>
      </c>
      <c r="D7381" s="6">
        <v>4.285714286</v>
      </c>
      <c r="E7381" s="6">
        <v>7.0</v>
      </c>
    </row>
    <row r="7382">
      <c r="A7382" s="4" t="s">
        <v>14660</v>
      </c>
      <c r="B7382" s="5" t="s">
        <v>14661</v>
      </c>
      <c r="C7382" s="6">
        <v>893.0</v>
      </c>
      <c r="D7382" s="6">
        <v>4.333333333</v>
      </c>
      <c r="E7382" s="6">
        <v>6.0</v>
      </c>
    </row>
    <row r="7383">
      <c r="A7383" s="4" t="s">
        <v>14662</v>
      </c>
      <c r="B7383" s="5" t="s">
        <v>14663</v>
      </c>
      <c r="C7383" s="6">
        <v>893.0</v>
      </c>
      <c r="D7383" s="6">
        <v>4.5</v>
      </c>
      <c r="E7383" s="6">
        <v>10.0</v>
      </c>
    </row>
    <row r="7384">
      <c r="A7384" s="4" t="s">
        <v>14664</v>
      </c>
      <c r="B7384" s="5" t="s">
        <v>14665</v>
      </c>
      <c r="C7384" s="6">
        <v>893.0</v>
      </c>
      <c r="D7384" s="6">
        <v>4.4</v>
      </c>
      <c r="E7384" s="6">
        <v>10.0</v>
      </c>
    </row>
    <row r="7385">
      <c r="A7385" s="4" t="s">
        <v>14666</v>
      </c>
      <c r="B7385" s="5" t="s">
        <v>14667</v>
      </c>
      <c r="C7385" s="6">
        <v>893.0</v>
      </c>
      <c r="D7385" s="6">
        <v>4.634146341</v>
      </c>
      <c r="E7385" s="6">
        <v>41.0</v>
      </c>
    </row>
    <row r="7386">
      <c r="A7386" s="4" t="s">
        <v>14668</v>
      </c>
      <c r="B7386" s="5" t="s">
        <v>14669</v>
      </c>
      <c r="C7386" s="6">
        <v>893.0</v>
      </c>
      <c r="D7386" s="6">
        <v>3.542168675</v>
      </c>
      <c r="E7386" s="6">
        <v>83.0</v>
      </c>
    </row>
    <row r="7387">
      <c r="A7387" s="4" t="s">
        <v>14670</v>
      </c>
      <c r="B7387" s="5" t="s">
        <v>14671</v>
      </c>
      <c r="C7387" s="6">
        <v>893.0</v>
      </c>
      <c r="D7387" s="6">
        <v>4.888888889</v>
      </c>
      <c r="E7387" s="6">
        <v>27.0</v>
      </c>
    </row>
    <row r="7388">
      <c r="A7388" s="4" t="s">
        <v>14672</v>
      </c>
      <c r="B7388" s="5" t="s">
        <v>14673</v>
      </c>
      <c r="C7388" s="6">
        <v>893.0</v>
      </c>
      <c r="D7388" s="6">
        <v>4.375</v>
      </c>
      <c r="E7388" s="6">
        <v>8.0</v>
      </c>
    </row>
    <row r="7389">
      <c r="A7389" s="4" t="s">
        <v>14674</v>
      </c>
      <c r="B7389" s="5" t="s">
        <v>14675</v>
      </c>
      <c r="C7389" s="6">
        <v>892.0</v>
      </c>
      <c r="D7389" s="6">
        <v>4.333333333</v>
      </c>
      <c r="E7389" s="6">
        <v>3.0</v>
      </c>
    </row>
    <row r="7390">
      <c r="A7390" s="4" t="s">
        <v>14676</v>
      </c>
      <c r="B7390" s="5" t="s">
        <v>14677</v>
      </c>
      <c r="C7390" s="6">
        <v>892.0</v>
      </c>
      <c r="D7390" s="6">
        <v>4.194444444</v>
      </c>
      <c r="E7390" s="6">
        <v>36.0</v>
      </c>
    </row>
    <row r="7391">
      <c r="A7391" s="4" t="s">
        <v>14678</v>
      </c>
      <c r="B7391" s="5" t="s">
        <v>14679</v>
      </c>
      <c r="C7391" s="6">
        <v>892.0</v>
      </c>
      <c r="D7391" s="9"/>
      <c r="E7391" s="9"/>
    </row>
    <row r="7392">
      <c r="A7392" s="4" t="s">
        <v>14680</v>
      </c>
      <c r="B7392" s="5" t="s">
        <v>14681</v>
      </c>
      <c r="C7392" s="6">
        <v>891.0</v>
      </c>
      <c r="D7392" s="6">
        <v>4.333333333</v>
      </c>
      <c r="E7392" s="6">
        <v>6.0</v>
      </c>
    </row>
    <row r="7393">
      <c r="A7393" s="4" t="s">
        <v>14682</v>
      </c>
      <c r="B7393" s="5" t="s">
        <v>14683</v>
      </c>
      <c r="C7393" s="6">
        <v>891.0</v>
      </c>
      <c r="D7393" s="9"/>
      <c r="E7393" s="9"/>
    </row>
    <row r="7394">
      <c r="A7394" s="4" t="s">
        <v>14684</v>
      </c>
      <c r="B7394" s="5" t="s">
        <v>14685</v>
      </c>
      <c r="C7394" s="6">
        <v>891.0</v>
      </c>
      <c r="D7394" s="6">
        <v>4.25</v>
      </c>
      <c r="E7394" s="6">
        <v>4.0</v>
      </c>
    </row>
    <row r="7395">
      <c r="A7395" s="4" t="s">
        <v>14686</v>
      </c>
      <c r="B7395" s="5" t="s">
        <v>14687</v>
      </c>
      <c r="C7395" s="6">
        <v>891.0</v>
      </c>
      <c r="D7395" s="6">
        <v>3.0</v>
      </c>
      <c r="E7395" s="6">
        <v>2.0</v>
      </c>
    </row>
    <row r="7396">
      <c r="A7396" s="4" t="s">
        <v>14688</v>
      </c>
      <c r="B7396" s="5" t="s">
        <v>14689</v>
      </c>
      <c r="C7396" s="6">
        <v>891.0</v>
      </c>
      <c r="D7396" s="6">
        <v>3.173913043</v>
      </c>
      <c r="E7396" s="6">
        <v>23.0</v>
      </c>
    </row>
    <row r="7397">
      <c r="A7397" s="4" t="s">
        <v>14690</v>
      </c>
      <c r="B7397" s="5" t="s">
        <v>14691</v>
      </c>
      <c r="C7397" s="6">
        <v>890.0</v>
      </c>
      <c r="D7397" s="6">
        <v>4.391304348</v>
      </c>
      <c r="E7397" s="6">
        <v>23.0</v>
      </c>
    </row>
    <row r="7398">
      <c r="A7398" s="4" t="s">
        <v>14692</v>
      </c>
      <c r="B7398" s="5" t="s">
        <v>14693</v>
      </c>
      <c r="C7398" s="6">
        <v>890.0</v>
      </c>
      <c r="D7398" s="6">
        <v>4.642857143</v>
      </c>
      <c r="E7398" s="6">
        <v>14.0</v>
      </c>
    </row>
    <row r="7399">
      <c r="A7399" s="4" t="s">
        <v>14694</v>
      </c>
      <c r="B7399" s="5" t="s">
        <v>14695</v>
      </c>
      <c r="C7399" s="6">
        <v>890.0</v>
      </c>
      <c r="D7399" s="6">
        <v>1.0</v>
      </c>
      <c r="E7399" s="6">
        <v>5.0</v>
      </c>
    </row>
    <row r="7400">
      <c r="A7400" s="4" t="s">
        <v>14696</v>
      </c>
      <c r="B7400" s="5" t="s">
        <v>14697</v>
      </c>
      <c r="C7400" s="6">
        <v>890.0</v>
      </c>
      <c r="D7400" s="6">
        <v>3.5</v>
      </c>
      <c r="E7400" s="6">
        <v>6.0</v>
      </c>
    </row>
    <row r="7401">
      <c r="A7401" s="4" t="s">
        <v>14698</v>
      </c>
      <c r="B7401" s="5" t="s">
        <v>14699</v>
      </c>
      <c r="C7401" s="6">
        <v>890.0</v>
      </c>
      <c r="D7401" s="6">
        <v>3.75</v>
      </c>
      <c r="E7401" s="6">
        <v>4.0</v>
      </c>
    </row>
    <row r="7402">
      <c r="A7402" s="4" t="s">
        <v>14700</v>
      </c>
      <c r="B7402" s="5" t="s">
        <v>14701</v>
      </c>
      <c r="C7402" s="6">
        <v>890.0</v>
      </c>
      <c r="D7402" s="6">
        <v>4.333333333</v>
      </c>
      <c r="E7402" s="6">
        <v>60.0</v>
      </c>
    </row>
    <row r="7403">
      <c r="A7403" s="4" t="s">
        <v>14702</v>
      </c>
      <c r="B7403" s="5" t="s">
        <v>14703</v>
      </c>
      <c r="C7403" s="6">
        <v>890.0</v>
      </c>
      <c r="D7403" s="6">
        <v>3.933333333</v>
      </c>
      <c r="E7403" s="6">
        <v>15.0</v>
      </c>
    </row>
    <row r="7404">
      <c r="A7404" s="4" t="s">
        <v>14704</v>
      </c>
      <c r="B7404" s="5" t="s">
        <v>14705</v>
      </c>
      <c r="C7404" s="6">
        <v>890.0</v>
      </c>
      <c r="D7404" s="6">
        <v>5.0</v>
      </c>
      <c r="E7404" s="6">
        <v>2.0</v>
      </c>
    </row>
    <row r="7405">
      <c r="A7405" s="4" t="s">
        <v>5426</v>
      </c>
      <c r="B7405" s="5" t="s">
        <v>14706</v>
      </c>
      <c r="C7405" s="6">
        <v>889.0</v>
      </c>
      <c r="D7405" s="9"/>
      <c r="E7405" s="9"/>
    </row>
    <row r="7406">
      <c r="A7406" s="4" t="s">
        <v>1183</v>
      </c>
      <c r="B7406" s="5" t="s">
        <v>14707</v>
      </c>
      <c r="C7406" s="6">
        <v>889.0</v>
      </c>
      <c r="D7406" s="6">
        <v>1.0</v>
      </c>
      <c r="E7406" s="6">
        <v>3.0</v>
      </c>
    </row>
    <row r="7407">
      <c r="A7407" s="4" t="s">
        <v>14708</v>
      </c>
      <c r="B7407" s="5" t="s">
        <v>14709</v>
      </c>
      <c r="C7407" s="6">
        <v>889.0</v>
      </c>
      <c r="D7407" s="6">
        <v>4.5</v>
      </c>
      <c r="E7407" s="6">
        <v>14.0</v>
      </c>
    </row>
    <row r="7408">
      <c r="A7408" s="4" t="s">
        <v>14710</v>
      </c>
      <c r="B7408" s="5" t="s">
        <v>14711</v>
      </c>
      <c r="C7408" s="6">
        <v>889.0</v>
      </c>
      <c r="D7408" s="6">
        <v>2.764705882</v>
      </c>
      <c r="E7408" s="6">
        <v>17.0</v>
      </c>
    </row>
    <row r="7409">
      <c r="A7409" s="4" t="s">
        <v>14712</v>
      </c>
      <c r="B7409" s="5" t="s">
        <v>14713</v>
      </c>
      <c r="C7409" s="6">
        <v>889.0</v>
      </c>
      <c r="D7409" s="6">
        <v>3.0</v>
      </c>
      <c r="E7409" s="6">
        <v>8.0</v>
      </c>
    </row>
    <row r="7410">
      <c r="A7410" s="4" t="s">
        <v>14714</v>
      </c>
      <c r="B7410" s="5" t="s">
        <v>14715</v>
      </c>
      <c r="C7410" s="6">
        <v>888.0</v>
      </c>
      <c r="D7410" s="6">
        <v>4.8</v>
      </c>
      <c r="E7410" s="6">
        <v>15.0</v>
      </c>
    </row>
    <row r="7411">
      <c r="A7411" s="4" t="s">
        <v>14716</v>
      </c>
      <c r="B7411" s="5" t="s">
        <v>14717</v>
      </c>
      <c r="C7411" s="6">
        <v>888.0</v>
      </c>
      <c r="D7411" s="6">
        <v>4.333333333</v>
      </c>
      <c r="E7411" s="6">
        <v>6.0</v>
      </c>
    </row>
    <row r="7412">
      <c r="A7412" s="4" t="s">
        <v>14718</v>
      </c>
      <c r="B7412" s="5" t="s">
        <v>14719</v>
      </c>
      <c r="C7412" s="6">
        <v>888.0</v>
      </c>
      <c r="D7412" s="6">
        <v>5.0</v>
      </c>
      <c r="E7412" s="6">
        <v>6.0</v>
      </c>
    </row>
    <row r="7413">
      <c r="A7413" s="4" t="s">
        <v>14720</v>
      </c>
      <c r="B7413" s="5" t="s">
        <v>14721</v>
      </c>
      <c r="C7413" s="6">
        <v>888.0</v>
      </c>
      <c r="D7413" s="6">
        <v>2.846153846</v>
      </c>
      <c r="E7413" s="6">
        <v>13.0</v>
      </c>
    </row>
    <row r="7414">
      <c r="A7414" s="4" t="s">
        <v>14722</v>
      </c>
      <c r="B7414" s="5" t="s">
        <v>14723</v>
      </c>
      <c r="C7414" s="6">
        <v>888.0</v>
      </c>
      <c r="D7414" s="6">
        <v>1.0</v>
      </c>
      <c r="E7414" s="6">
        <v>4.0</v>
      </c>
    </row>
    <row r="7415">
      <c r="A7415" s="4" t="s">
        <v>14724</v>
      </c>
      <c r="B7415" s="5" t="s">
        <v>14725</v>
      </c>
      <c r="C7415" s="6">
        <v>888.0</v>
      </c>
      <c r="D7415" s="6">
        <v>5.0</v>
      </c>
      <c r="E7415" s="6">
        <v>1.0</v>
      </c>
    </row>
    <row r="7416">
      <c r="A7416" s="4" t="s">
        <v>14726</v>
      </c>
      <c r="B7416" s="5" t="s">
        <v>14727</v>
      </c>
      <c r="C7416" s="6">
        <v>888.0</v>
      </c>
      <c r="D7416" s="6">
        <v>4.714285714</v>
      </c>
      <c r="E7416" s="6">
        <v>7.0</v>
      </c>
    </row>
    <row r="7417">
      <c r="A7417" s="4" t="s">
        <v>14728</v>
      </c>
      <c r="B7417" s="5" t="s">
        <v>14729</v>
      </c>
      <c r="C7417" s="6">
        <v>888.0</v>
      </c>
      <c r="D7417" s="9"/>
      <c r="E7417" s="9"/>
    </row>
    <row r="7418">
      <c r="A7418" s="4" t="s">
        <v>14730</v>
      </c>
      <c r="B7418" s="5" t="s">
        <v>14731</v>
      </c>
      <c r="C7418" s="6">
        <v>888.0</v>
      </c>
      <c r="D7418" s="6">
        <v>4.652173913</v>
      </c>
      <c r="E7418" s="6">
        <v>23.0</v>
      </c>
    </row>
    <row r="7419">
      <c r="A7419" s="4" t="s">
        <v>14732</v>
      </c>
      <c r="B7419" s="5" t="s">
        <v>14733</v>
      </c>
      <c r="C7419" s="6">
        <v>887.0</v>
      </c>
      <c r="D7419" s="6">
        <v>2.523809524</v>
      </c>
      <c r="E7419" s="6">
        <v>21.0</v>
      </c>
    </row>
    <row r="7420">
      <c r="A7420" s="4" t="s">
        <v>14734</v>
      </c>
      <c r="B7420" s="5" t="s">
        <v>14735</v>
      </c>
      <c r="C7420" s="6">
        <v>887.0</v>
      </c>
      <c r="D7420" s="6">
        <v>3.263157895</v>
      </c>
      <c r="E7420" s="6">
        <v>19.0</v>
      </c>
    </row>
    <row r="7421">
      <c r="A7421" s="10" t="s">
        <v>14736</v>
      </c>
      <c r="B7421" s="5" t="s">
        <v>14737</v>
      </c>
      <c r="C7421" s="6">
        <v>887.0</v>
      </c>
      <c r="D7421" s="6">
        <v>4.2</v>
      </c>
      <c r="E7421" s="6">
        <v>5.0</v>
      </c>
    </row>
    <row r="7422">
      <c r="A7422" s="4" t="s">
        <v>14738</v>
      </c>
      <c r="B7422" s="5" t="s">
        <v>14739</v>
      </c>
      <c r="C7422" s="6">
        <v>887.0</v>
      </c>
      <c r="D7422" s="6">
        <v>5.0</v>
      </c>
      <c r="E7422" s="6">
        <v>2.0</v>
      </c>
    </row>
    <row r="7423">
      <c r="A7423" s="4" t="s">
        <v>14740</v>
      </c>
      <c r="B7423" s="5" t="s">
        <v>14741</v>
      </c>
      <c r="C7423" s="6">
        <v>887.0</v>
      </c>
      <c r="D7423" s="6">
        <v>5.0</v>
      </c>
      <c r="E7423" s="6">
        <v>12.0</v>
      </c>
    </row>
    <row r="7424">
      <c r="A7424" s="4" t="s">
        <v>14742</v>
      </c>
      <c r="B7424" s="5" t="s">
        <v>14743</v>
      </c>
      <c r="C7424" s="6">
        <v>887.0</v>
      </c>
      <c r="D7424" s="6">
        <v>5.0</v>
      </c>
      <c r="E7424" s="6">
        <v>3.0</v>
      </c>
    </row>
    <row r="7425">
      <c r="A7425" s="4" t="s">
        <v>14744</v>
      </c>
      <c r="B7425" s="5" t="s">
        <v>14745</v>
      </c>
      <c r="C7425" s="6">
        <v>887.0</v>
      </c>
      <c r="D7425" s="6">
        <v>3.857142857</v>
      </c>
      <c r="E7425" s="6">
        <v>7.0</v>
      </c>
    </row>
    <row r="7426">
      <c r="A7426" s="4" t="s">
        <v>14746</v>
      </c>
      <c r="B7426" s="5" t="s">
        <v>14747</v>
      </c>
      <c r="C7426" s="6">
        <v>886.0</v>
      </c>
      <c r="D7426" s="6">
        <v>3.4</v>
      </c>
      <c r="E7426" s="6">
        <v>10.0</v>
      </c>
    </row>
    <row r="7427">
      <c r="A7427" s="4" t="s">
        <v>14748</v>
      </c>
      <c r="B7427" s="5" t="s">
        <v>14749</v>
      </c>
      <c r="C7427" s="6">
        <v>886.0</v>
      </c>
      <c r="D7427" s="6">
        <v>4.111111111</v>
      </c>
      <c r="E7427" s="6">
        <v>9.0</v>
      </c>
    </row>
    <row r="7428">
      <c r="A7428" s="4" t="s">
        <v>14750</v>
      </c>
      <c r="B7428" s="5" t="s">
        <v>14751</v>
      </c>
      <c r="C7428" s="6">
        <v>885.0</v>
      </c>
      <c r="D7428" s="6">
        <v>3.75</v>
      </c>
      <c r="E7428" s="6">
        <v>36.0</v>
      </c>
    </row>
    <row r="7429">
      <c r="A7429" s="4" t="s">
        <v>14752</v>
      </c>
      <c r="B7429" s="5" t="s">
        <v>14753</v>
      </c>
      <c r="C7429" s="6">
        <v>885.0</v>
      </c>
      <c r="D7429" s="6">
        <v>3.0</v>
      </c>
      <c r="E7429" s="6">
        <v>5.0</v>
      </c>
    </row>
    <row r="7430">
      <c r="A7430" s="4" t="s">
        <v>14754</v>
      </c>
      <c r="B7430" s="5" t="s">
        <v>14755</v>
      </c>
      <c r="C7430" s="6">
        <v>885.0</v>
      </c>
      <c r="D7430" s="6">
        <v>4.784810127</v>
      </c>
      <c r="E7430" s="6">
        <v>79.0</v>
      </c>
    </row>
    <row r="7431">
      <c r="A7431" s="4" t="s">
        <v>14756</v>
      </c>
      <c r="B7431" s="5" t="s">
        <v>14757</v>
      </c>
      <c r="C7431" s="6">
        <v>885.0</v>
      </c>
      <c r="D7431" s="6">
        <v>3.272727273</v>
      </c>
      <c r="E7431" s="6">
        <v>11.0</v>
      </c>
    </row>
    <row r="7432">
      <c r="A7432" s="4" t="s">
        <v>14758</v>
      </c>
      <c r="B7432" s="5" t="s">
        <v>14759</v>
      </c>
      <c r="C7432" s="6">
        <v>884.0</v>
      </c>
      <c r="D7432" s="6">
        <v>2.52</v>
      </c>
      <c r="E7432" s="6">
        <v>25.0</v>
      </c>
    </row>
    <row r="7433">
      <c r="A7433" s="4" t="s">
        <v>14760</v>
      </c>
      <c r="B7433" s="5" t="s">
        <v>14761</v>
      </c>
      <c r="C7433" s="6">
        <v>884.0</v>
      </c>
      <c r="D7433" s="6">
        <v>4.813953488</v>
      </c>
      <c r="E7433" s="6">
        <v>43.0</v>
      </c>
    </row>
    <row r="7434">
      <c r="A7434" s="4" t="s">
        <v>14762</v>
      </c>
      <c r="B7434" s="5" t="s">
        <v>14763</v>
      </c>
      <c r="C7434" s="6">
        <v>884.0</v>
      </c>
      <c r="D7434" s="6">
        <v>3.0</v>
      </c>
      <c r="E7434" s="6">
        <v>2.0</v>
      </c>
    </row>
    <row r="7435">
      <c r="A7435" s="4" t="s">
        <v>14764</v>
      </c>
      <c r="B7435" s="5" t="s">
        <v>14765</v>
      </c>
      <c r="C7435" s="6">
        <v>884.0</v>
      </c>
      <c r="D7435" s="6">
        <v>4.571428571</v>
      </c>
      <c r="E7435" s="6">
        <v>7.0</v>
      </c>
    </row>
    <row r="7436">
      <c r="A7436" s="4" t="s">
        <v>14766</v>
      </c>
      <c r="B7436" s="5" t="s">
        <v>14767</v>
      </c>
      <c r="C7436" s="6">
        <v>883.0</v>
      </c>
      <c r="D7436" s="6">
        <v>4.916666667</v>
      </c>
      <c r="E7436" s="6">
        <v>12.0</v>
      </c>
    </row>
    <row r="7437">
      <c r="A7437" s="4" t="s">
        <v>14768</v>
      </c>
      <c r="B7437" s="5" t="s">
        <v>14769</v>
      </c>
      <c r="C7437" s="6">
        <v>882.0</v>
      </c>
      <c r="D7437" s="6">
        <v>4.857142857</v>
      </c>
      <c r="E7437" s="6">
        <v>7.0</v>
      </c>
    </row>
    <row r="7438">
      <c r="A7438" s="4" t="s">
        <v>14770</v>
      </c>
      <c r="B7438" s="5" t="s">
        <v>14771</v>
      </c>
      <c r="C7438" s="6">
        <v>882.0</v>
      </c>
      <c r="D7438" s="6">
        <v>1.0</v>
      </c>
      <c r="E7438" s="6">
        <v>7.0</v>
      </c>
    </row>
    <row r="7439">
      <c r="A7439" s="4" t="s">
        <v>14772</v>
      </c>
      <c r="B7439" s="5" t="s">
        <v>14773</v>
      </c>
      <c r="C7439" s="6">
        <v>882.0</v>
      </c>
      <c r="D7439" s="6">
        <v>3.5</v>
      </c>
      <c r="E7439" s="6">
        <v>8.0</v>
      </c>
    </row>
    <row r="7440">
      <c r="A7440" s="4" t="s">
        <v>14774</v>
      </c>
      <c r="B7440" s="5" t="s">
        <v>14775</v>
      </c>
      <c r="C7440" s="6">
        <v>882.0</v>
      </c>
      <c r="D7440" s="6">
        <v>2.714285714</v>
      </c>
      <c r="E7440" s="6">
        <v>7.0</v>
      </c>
    </row>
    <row r="7441">
      <c r="A7441" s="4" t="s">
        <v>14776</v>
      </c>
      <c r="B7441" s="5" t="s">
        <v>14777</v>
      </c>
      <c r="C7441" s="6">
        <v>881.0</v>
      </c>
      <c r="D7441" s="6">
        <v>4.333333333</v>
      </c>
      <c r="E7441" s="6">
        <v>6.0</v>
      </c>
    </row>
    <row r="7442">
      <c r="A7442" s="4" t="s">
        <v>14778</v>
      </c>
      <c r="B7442" s="5" t="s">
        <v>14779</v>
      </c>
      <c r="C7442" s="6">
        <v>881.0</v>
      </c>
      <c r="D7442" s="9"/>
      <c r="E7442" s="9"/>
    </row>
    <row r="7443">
      <c r="A7443" s="4" t="s">
        <v>14780</v>
      </c>
      <c r="B7443" s="5" t="s">
        <v>14781</v>
      </c>
      <c r="C7443" s="6">
        <v>881.0</v>
      </c>
      <c r="D7443" s="6">
        <v>4.0</v>
      </c>
      <c r="E7443" s="6">
        <v>3.0</v>
      </c>
    </row>
    <row r="7444">
      <c r="A7444" s="4" t="s">
        <v>14782</v>
      </c>
      <c r="B7444" s="5" t="s">
        <v>14783</v>
      </c>
      <c r="C7444" s="6">
        <v>881.0</v>
      </c>
      <c r="D7444" s="6">
        <v>4.733333333</v>
      </c>
      <c r="E7444" s="6">
        <v>15.0</v>
      </c>
    </row>
    <row r="7445">
      <c r="A7445" s="4" t="s">
        <v>14784</v>
      </c>
      <c r="B7445" s="5" t="s">
        <v>14785</v>
      </c>
      <c r="C7445" s="6">
        <v>881.0</v>
      </c>
      <c r="D7445" s="6">
        <v>2.6</v>
      </c>
      <c r="E7445" s="6">
        <v>10.0</v>
      </c>
    </row>
    <row r="7446">
      <c r="A7446" s="4" t="s">
        <v>14786</v>
      </c>
      <c r="B7446" s="5" t="s">
        <v>14787</v>
      </c>
      <c r="C7446" s="6">
        <v>881.0</v>
      </c>
      <c r="D7446" s="6">
        <v>3.0</v>
      </c>
      <c r="E7446" s="6">
        <v>4.0</v>
      </c>
    </row>
    <row r="7447">
      <c r="A7447" s="4" t="s">
        <v>14788</v>
      </c>
      <c r="B7447" s="5" t="s">
        <v>14789</v>
      </c>
      <c r="C7447" s="6">
        <v>881.0</v>
      </c>
      <c r="D7447" s="6">
        <v>5.0</v>
      </c>
      <c r="E7447" s="6">
        <v>4.0</v>
      </c>
    </row>
    <row r="7448">
      <c r="A7448" s="4" t="s">
        <v>14790</v>
      </c>
      <c r="B7448" s="5" t="s">
        <v>14791</v>
      </c>
      <c r="C7448" s="6">
        <v>881.0</v>
      </c>
      <c r="D7448" s="6">
        <v>5.0</v>
      </c>
      <c r="E7448" s="6">
        <v>1.0</v>
      </c>
    </row>
    <row r="7449">
      <c r="A7449" s="4" t="s">
        <v>14792</v>
      </c>
      <c r="B7449" s="5" t="s">
        <v>14793</v>
      </c>
      <c r="C7449" s="6">
        <v>881.0</v>
      </c>
      <c r="D7449" s="6">
        <v>4.37037037</v>
      </c>
      <c r="E7449" s="6">
        <v>27.0</v>
      </c>
    </row>
    <row r="7450">
      <c r="A7450" s="4" t="s">
        <v>14794</v>
      </c>
      <c r="B7450" s="5" t="s">
        <v>14795</v>
      </c>
      <c r="C7450" s="6">
        <v>881.0</v>
      </c>
      <c r="D7450" s="6">
        <v>4.1</v>
      </c>
      <c r="E7450" s="6">
        <v>10.0</v>
      </c>
    </row>
    <row r="7451">
      <c r="A7451" s="4" t="s">
        <v>14796</v>
      </c>
      <c r="B7451" s="5" t="s">
        <v>14797</v>
      </c>
      <c r="C7451" s="6">
        <v>880.0</v>
      </c>
      <c r="D7451" s="6">
        <v>4.307692308</v>
      </c>
      <c r="E7451" s="6">
        <v>13.0</v>
      </c>
    </row>
    <row r="7452">
      <c r="A7452" s="4" t="s">
        <v>14798</v>
      </c>
      <c r="B7452" s="5" t="s">
        <v>14799</v>
      </c>
      <c r="C7452" s="6">
        <v>880.0</v>
      </c>
      <c r="D7452" s="6">
        <v>3.965517241</v>
      </c>
      <c r="E7452" s="6">
        <v>29.0</v>
      </c>
    </row>
    <row r="7453">
      <c r="A7453" s="4" t="s">
        <v>14800</v>
      </c>
      <c r="B7453" s="5" t="s">
        <v>14801</v>
      </c>
      <c r="C7453" s="6">
        <v>880.0</v>
      </c>
      <c r="D7453" s="6">
        <v>5.0</v>
      </c>
      <c r="E7453" s="6">
        <v>1.0</v>
      </c>
    </row>
    <row r="7454">
      <c r="A7454" s="4" t="s">
        <v>14802</v>
      </c>
      <c r="B7454" s="5" t="s">
        <v>14803</v>
      </c>
      <c r="C7454" s="6">
        <v>880.0</v>
      </c>
      <c r="D7454" s="6">
        <v>2.5</v>
      </c>
      <c r="E7454" s="6">
        <v>8.0</v>
      </c>
    </row>
    <row r="7455">
      <c r="A7455" s="4" t="s">
        <v>14804</v>
      </c>
      <c r="B7455" s="5" t="s">
        <v>14805</v>
      </c>
      <c r="C7455" s="6">
        <v>879.0</v>
      </c>
      <c r="D7455" s="6">
        <v>4.162162162</v>
      </c>
      <c r="E7455" s="6">
        <v>37.0</v>
      </c>
    </row>
    <row r="7456">
      <c r="A7456" s="4" t="s">
        <v>14806</v>
      </c>
      <c r="B7456" s="5" t="s">
        <v>14807</v>
      </c>
      <c r="C7456" s="6">
        <v>879.0</v>
      </c>
      <c r="D7456" s="6">
        <v>3.315789474</v>
      </c>
      <c r="E7456" s="6">
        <v>19.0</v>
      </c>
    </row>
    <row r="7457">
      <c r="A7457" s="4" t="s">
        <v>14808</v>
      </c>
      <c r="B7457" s="5" t="s">
        <v>14809</v>
      </c>
      <c r="C7457" s="6">
        <v>879.0</v>
      </c>
      <c r="D7457" s="6">
        <v>4.941176471</v>
      </c>
      <c r="E7457" s="6">
        <v>34.0</v>
      </c>
    </row>
    <row r="7458">
      <c r="A7458" s="4" t="s">
        <v>14810</v>
      </c>
      <c r="B7458" s="5" t="s">
        <v>14811</v>
      </c>
      <c r="C7458" s="6">
        <v>879.0</v>
      </c>
      <c r="D7458" s="6">
        <v>3.666666667</v>
      </c>
      <c r="E7458" s="6">
        <v>3.0</v>
      </c>
    </row>
    <row r="7459">
      <c r="A7459" s="4" t="s">
        <v>14812</v>
      </c>
      <c r="B7459" s="5" t="s">
        <v>14813</v>
      </c>
      <c r="C7459" s="6">
        <v>879.0</v>
      </c>
      <c r="D7459" s="6">
        <v>4.0</v>
      </c>
      <c r="E7459" s="6">
        <v>1.0</v>
      </c>
    </row>
    <row r="7460">
      <c r="A7460" s="4" t="s">
        <v>14814</v>
      </c>
      <c r="B7460" s="5" t="s">
        <v>14815</v>
      </c>
      <c r="C7460" s="6">
        <v>879.0</v>
      </c>
      <c r="D7460" s="6">
        <v>1.909090909</v>
      </c>
      <c r="E7460" s="6">
        <v>11.0</v>
      </c>
    </row>
    <row r="7461">
      <c r="A7461" s="4" t="s">
        <v>14816</v>
      </c>
      <c r="B7461" s="5" t="s">
        <v>14817</v>
      </c>
      <c r="C7461" s="6">
        <v>879.0</v>
      </c>
      <c r="D7461" s="6">
        <v>4.125</v>
      </c>
      <c r="E7461" s="6">
        <v>24.0</v>
      </c>
    </row>
    <row r="7462">
      <c r="A7462" s="4" t="s">
        <v>14818</v>
      </c>
      <c r="B7462" s="5" t="s">
        <v>14819</v>
      </c>
      <c r="C7462" s="6">
        <v>879.0</v>
      </c>
      <c r="D7462" s="6">
        <v>2.333333333</v>
      </c>
      <c r="E7462" s="6">
        <v>3.0</v>
      </c>
    </row>
    <row r="7463">
      <c r="A7463" s="4" t="s">
        <v>14820</v>
      </c>
      <c r="B7463" s="5" t="s">
        <v>14821</v>
      </c>
      <c r="C7463" s="6">
        <v>879.0</v>
      </c>
      <c r="D7463" s="6">
        <v>4.75</v>
      </c>
      <c r="E7463" s="6">
        <v>8.0</v>
      </c>
    </row>
    <row r="7464">
      <c r="A7464" s="4" t="s">
        <v>14822</v>
      </c>
      <c r="B7464" s="5" t="s">
        <v>14823</v>
      </c>
      <c r="C7464" s="6">
        <v>879.0</v>
      </c>
      <c r="D7464" s="6">
        <v>4.533333333</v>
      </c>
      <c r="E7464" s="6">
        <v>15.0</v>
      </c>
    </row>
    <row r="7465">
      <c r="A7465" s="4" t="s">
        <v>14824</v>
      </c>
      <c r="B7465" s="5" t="s">
        <v>14825</v>
      </c>
      <c r="C7465" s="6">
        <v>878.0</v>
      </c>
      <c r="D7465" s="6">
        <v>4.0</v>
      </c>
      <c r="E7465" s="6">
        <v>7.0</v>
      </c>
    </row>
    <row r="7466">
      <c r="A7466" s="4" t="s">
        <v>14826</v>
      </c>
      <c r="B7466" s="5" t="s">
        <v>14827</v>
      </c>
      <c r="C7466" s="6">
        <v>878.0</v>
      </c>
      <c r="D7466" s="6">
        <v>3.285714286</v>
      </c>
      <c r="E7466" s="6">
        <v>7.0</v>
      </c>
    </row>
    <row r="7467">
      <c r="A7467" s="4" t="s">
        <v>14828</v>
      </c>
      <c r="B7467" s="5" t="s">
        <v>14829</v>
      </c>
      <c r="C7467" s="6">
        <v>878.0</v>
      </c>
      <c r="D7467" s="6">
        <v>4.260869565</v>
      </c>
      <c r="E7467" s="6">
        <v>23.0</v>
      </c>
    </row>
    <row r="7468">
      <c r="A7468" s="4" t="s">
        <v>14830</v>
      </c>
      <c r="B7468" s="5" t="s">
        <v>14831</v>
      </c>
      <c r="C7468" s="6">
        <v>878.0</v>
      </c>
      <c r="D7468" s="6">
        <v>1.75</v>
      </c>
      <c r="E7468" s="6">
        <v>4.0</v>
      </c>
    </row>
    <row r="7469">
      <c r="A7469" s="4" t="s">
        <v>14832</v>
      </c>
      <c r="B7469" s="5" t="s">
        <v>14833</v>
      </c>
      <c r="C7469" s="6">
        <v>878.0</v>
      </c>
      <c r="D7469" s="6">
        <v>4.622222222</v>
      </c>
      <c r="E7469" s="6">
        <v>45.0</v>
      </c>
    </row>
    <row r="7470">
      <c r="A7470" s="4" t="s">
        <v>14834</v>
      </c>
      <c r="B7470" s="5" t="s">
        <v>14835</v>
      </c>
      <c r="C7470" s="6">
        <v>877.0</v>
      </c>
      <c r="D7470" s="6">
        <v>2.3125</v>
      </c>
      <c r="E7470" s="6">
        <v>16.0</v>
      </c>
    </row>
    <row r="7471">
      <c r="A7471" s="4" t="s">
        <v>14836</v>
      </c>
      <c r="B7471" s="5" t="s">
        <v>14837</v>
      </c>
      <c r="C7471" s="6">
        <v>877.0</v>
      </c>
      <c r="D7471" s="6">
        <v>4.615384615</v>
      </c>
      <c r="E7471" s="6">
        <v>13.0</v>
      </c>
    </row>
    <row r="7472">
      <c r="A7472" s="4" t="s">
        <v>14838</v>
      </c>
      <c r="B7472" s="5" t="s">
        <v>14839</v>
      </c>
      <c r="C7472" s="6">
        <v>877.0</v>
      </c>
      <c r="D7472" s="6">
        <v>4.0</v>
      </c>
      <c r="E7472" s="6">
        <v>4.0</v>
      </c>
    </row>
    <row r="7473">
      <c r="A7473" s="4" t="s">
        <v>14840</v>
      </c>
      <c r="B7473" s="5" t="s">
        <v>14841</v>
      </c>
      <c r="C7473" s="6">
        <v>877.0</v>
      </c>
      <c r="D7473" s="6">
        <v>4.5</v>
      </c>
      <c r="E7473" s="6">
        <v>2.0</v>
      </c>
    </row>
    <row r="7474">
      <c r="A7474" s="4" t="s">
        <v>14842</v>
      </c>
      <c r="B7474" s="5" t="s">
        <v>14843</v>
      </c>
      <c r="C7474" s="6">
        <v>877.0</v>
      </c>
      <c r="D7474" s="6">
        <v>4.333333333</v>
      </c>
      <c r="E7474" s="6">
        <v>15.0</v>
      </c>
    </row>
    <row r="7475">
      <c r="A7475" s="4" t="s">
        <v>14844</v>
      </c>
      <c r="B7475" s="12" t="s">
        <v>14845</v>
      </c>
      <c r="C7475" s="6">
        <v>877.0</v>
      </c>
      <c r="D7475" s="6">
        <v>4.7</v>
      </c>
      <c r="E7475" s="6">
        <v>6.0</v>
      </c>
    </row>
    <row r="7476">
      <c r="A7476" s="4" t="s">
        <v>14846</v>
      </c>
      <c r="B7476" s="5" t="s">
        <v>14847</v>
      </c>
      <c r="C7476" s="6">
        <v>877.0</v>
      </c>
      <c r="D7476" s="6">
        <v>4.058823529</v>
      </c>
      <c r="E7476" s="6">
        <v>17.0</v>
      </c>
    </row>
    <row r="7477">
      <c r="A7477" s="4" t="s">
        <v>3068</v>
      </c>
      <c r="B7477" s="5" t="s">
        <v>14848</v>
      </c>
      <c r="C7477" s="6">
        <v>876.0</v>
      </c>
      <c r="D7477" s="6">
        <v>4.166666667</v>
      </c>
      <c r="E7477" s="6">
        <v>6.0</v>
      </c>
    </row>
    <row r="7478">
      <c r="A7478" s="4" t="s">
        <v>14849</v>
      </c>
      <c r="B7478" s="5" t="s">
        <v>14850</v>
      </c>
      <c r="C7478" s="6">
        <v>876.0</v>
      </c>
      <c r="D7478" s="6">
        <v>5.0</v>
      </c>
      <c r="E7478" s="6">
        <v>17.0</v>
      </c>
    </row>
    <row r="7479">
      <c r="A7479" s="4" t="s">
        <v>14851</v>
      </c>
      <c r="B7479" s="5" t="s">
        <v>14852</v>
      </c>
      <c r="C7479" s="6">
        <v>876.0</v>
      </c>
      <c r="D7479" s="6">
        <v>3.863636364</v>
      </c>
      <c r="E7479" s="6">
        <v>22.0</v>
      </c>
    </row>
    <row r="7480">
      <c r="A7480" s="4" t="s">
        <v>14853</v>
      </c>
      <c r="B7480" s="5" t="s">
        <v>14854</v>
      </c>
      <c r="C7480" s="6">
        <v>876.0</v>
      </c>
      <c r="D7480" s="6">
        <v>4.733333333</v>
      </c>
      <c r="E7480" s="6">
        <v>15.0</v>
      </c>
    </row>
    <row r="7481">
      <c r="A7481" s="4" t="s">
        <v>14855</v>
      </c>
      <c r="B7481" s="5" t="s">
        <v>14856</v>
      </c>
      <c r="C7481" s="6">
        <v>876.0</v>
      </c>
      <c r="D7481" s="6">
        <v>3.8</v>
      </c>
      <c r="E7481" s="6">
        <v>10.0</v>
      </c>
    </row>
    <row r="7482">
      <c r="A7482" s="4" t="s">
        <v>14857</v>
      </c>
      <c r="B7482" s="5" t="s">
        <v>14858</v>
      </c>
      <c r="C7482" s="6">
        <v>875.0</v>
      </c>
      <c r="D7482" s="6">
        <v>4.833333333</v>
      </c>
      <c r="E7482" s="6">
        <v>6.0</v>
      </c>
    </row>
    <row r="7483">
      <c r="A7483" s="4" t="s">
        <v>227</v>
      </c>
      <c r="B7483" s="5" t="s">
        <v>14859</v>
      </c>
      <c r="C7483" s="6">
        <v>875.0</v>
      </c>
      <c r="D7483" s="6">
        <v>4.363636364</v>
      </c>
      <c r="E7483" s="6">
        <v>11.0</v>
      </c>
    </row>
    <row r="7484">
      <c r="A7484" s="4" t="s">
        <v>14860</v>
      </c>
      <c r="B7484" s="5" t="s">
        <v>14861</v>
      </c>
      <c r="C7484" s="6">
        <v>875.0</v>
      </c>
      <c r="D7484" s="6">
        <v>4.333333333</v>
      </c>
      <c r="E7484" s="6">
        <v>6.0</v>
      </c>
    </row>
    <row r="7485">
      <c r="A7485" s="4" t="s">
        <v>14862</v>
      </c>
      <c r="B7485" s="5" t="s">
        <v>14863</v>
      </c>
      <c r="C7485" s="6">
        <v>875.0</v>
      </c>
      <c r="D7485" s="9"/>
      <c r="E7485" s="9"/>
    </row>
    <row r="7486">
      <c r="A7486" s="4" t="s">
        <v>14864</v>
      </c>
      <c r="B7486" s="5" t="s">
        <v>14865</v>
      </c>
      <c r="C7486" s="6">
        <v>875.0</v>
      </c>
      <c r="D7486" s="6">
        <v>3.222222222</v>
      </c>
      <c r="E7486" s="6">
        <v>18.0</v>
      </c>
    </row>
    <row r="7487">
      <c r="A7487" s="4" t="s">
        <v>14866</v>
      </c>
      <c r="B7487" s="5" t="s">
        <v>14867</v>
      </c>
      <c r="C7487" s="6">
        <v>874.0</v>
      </c>
      <c r="D7487" s="9"/>
      <c r="E7487" s="9"/>
    </row>
    <row r="7488">
      <c r="A7488" s="4" t="s">
        <v>14868</v>
      </c>
      <c r="B7488" s="5" t="s">
        <v>14869</v>
      </c>
      <c r="C7488" s="6">
        <v>874.0</v>
      </c>
      <c r="D7488" s="6">
        <v>4.2</v>
      </c>
      <c r="E7488" s="6">
        <v>5.0</v>
      </c>
    </row>
    <row r="7489">
      <c r="A7489" s="4" t="s">
        <v>14870</v>
      </c>
      <c r="B7489" s="5" t="s">
        <v>14871</v>
      </c>
      <c r="C7489" s="6">
        <v>873.0</v>
      </c>
      <c r="D7489" s="6">
        <v>3.272727273</v>
      </c>
      <c r="E7489" s="6">
        <v>11.0</v>
      </c>
    </row>
    <row r="7490">
      <c r="A7490" s="4" t="s">
        <v>14872</v>
      </c>
      <c r="B7490" s="5" t="s">
        <v>14873</v>
      </c>
      <c r="C7490" s="6">
        <v>873.0</v>
      </c>
      <c r="D7490" s="9"/>
      <c r="E7490" s="9"/>
    </row>
    <row r="7491">
      <c r="A7491" s="4" t="s">
        <v>14874</v>
      </c>
      <c r="B7491" s="5" t="s">
        <v>14875</v>
      </c>
      <c r="C7491" s="6">
        <v>873.0</v>
      </c>
      <c r="D7491" s="6">
        <v>4.454545455</v>
      </c>
      <c r="E7491" s="6">
        <v>11.0</v>
      </c>
    </row>
    <row r="7492">
      <c r="A7492" s="4" t="s">
        <v>14876</v>
      </c>
      <c r="B7492" s="5" t="s">
        <v>14877</v>
      </c>
      <c r="C7492" s="6">
        <v>873.0</v>
      </c>
      <c r="D7492" s="6">
        <v>4.25</v>
      </c>
      <c r="E7492" s="6">
        <v>12.0</v>
      </c>
    </row>
    <row r="7493">
      <c r="A7493" s="4" t="s">
        <v>14878</v>
      </c>
      <c r="B7493" s="5" t="s">
        <v>14879</v>
      </c>
      <c r="C7493" s="6">
        <v>873.0</v>
      </c>
      <c r="D7493" s="9"/>
      <c r="E7493" s="9"/>
    </row>
    <row r="7494">
      <c r="A7494" s="4" t="s">
        <v>14880</v>
      </c>
      <c r="B7494" s="5" t="s">
        <v>14881</v>
      </c>
      <c r="C7494" s="6">
        <v>873.0</v>
      </c>
      <c r="D7494" s="6">
        <v>5.0</v>
      </c>
      <c r="E7494" s="6">
        <v>1.0</v>
      </c>
    </row>
    <row r="7495">
      <c r="A7495" s="4" t="s">
        <v>14882</v>
      </c>
      <c r="B7495" s="5" t="s">
        <v>14883</v>
      </c>
      <c r="C7495" s="6">
        <v>872.0</v>
      </c>
      <c r="D7495" s="6">
        <v>2.6</v>
      </c>
      <c r="E7495" s="6">
        <v>5.0</v>
      </c>
    </row>
    <row r="7496">
      <c r="A7496" s="4" t="s">
        <v>14884</v>
      </c>
      <c r="B7496" s="5" t="s">
        <v>14885</v>
      </c>
      <c r="C7496" s="6">
        <v>872.0</v>
      </c>
      <c r="D7496" s="6">
        <v>2.75</v>
      </c>
      <c r="E7496" s="6">
        <v>12.0</v>
      </c>
    </row>
    <row r="7497">
      <c r="A7497" s="4" t="s">
        <v>14886</v>
      </c>
      <c r="B7497" s="5" t="s">
        <v>14887</v>
      </c>
      <c r="C7497" s="6">
        <v>872.0</v>
      </c>
      <c r="D7497" s="6">
        <v>4.8</v>
      </c>
      <c r="E7497" s="6">
        <v>5.0</v>
      </c>
    </row>
    <row r="7498">
      <c r="A7498" s="4" t="s">
        <v>14888</v>
      </c>
      <c r="B7498" s="5" t="s">
        <v>14889</v>
      </c>
      <c r="C7498" s="6">
        <v>872.0</v>
      </c>
      <c r="D7498" s="6">
        <v>3.75</v>
      </c>
      <c r="E7498" s="6">
        <v>8.0</v>
      </c>
    </row>
    <row r="7499">
      <c r="A7499" s="4" t="s">
        <v>14890</v>
      </c>
      <c r="B7499" s="5" t="s">
        <v>14891</v>
      </c>
      <c r="C7499" s="6">
        <v>870.0</v>
      </c>
      <c r="D7499" s="6">
        <v>4.0</v>
      </c>
      <c r="E7499" s="6">
        <v>4.0</v>
      </c>
    </row>
    <row r="7500">
      <c r="A7500" s="4" t="s">
        <v>14892</v>
      </c>
      <c r="B7500" s="5" t="s">
        <v>14893</v>
      </c>
      <c r="C7500" s="6">
        <v>868.0</v>
      </c>
      <c r="D7500" s="6">
        <v>4.833333333</v>
      </c>
      <c r="E7500" s="6">
        <v>6.0</v>
      </c>
    </row>
    <row r="7501">
      <c r="A7501" s="4" t="s">
        <v>14894</v>
      </c>
      <c r="B7501" s="5" t="s">
        <v>14895</v>
      </c>
      <c r="C7501" s="6">
        <v>868.0</v>
      </c>
      <c r="D7501" s="6">
        <v>3.888888889</v>
      </c>
      <c r="E7501" s="6">
        <v>18.0</v>
      </c>
    </row>
    <row r="7502">
      <c r="A7502" s="4" t="s">
        <v>14896</v>
      </c>
      <c r="B7502" s="5" t="s">
        <v>14897</v>
      </c>
      <c r="C7502" s="6">
        <v>868.0</v>
      </c>
      <c r="D7502" s="6">
        <v>4.111111111</v>
      </c>
      <c r="E7502" s="6">
        <v>9.0</v>
      </c>
    </row>
    <row r="7503">
      <c r="A7503" s="4" t="s">
        <v>14898</v>
      </c>
      <c r="B7503" s="5" t="s">
        <v>14899</v>
      </c>
      <c r="C7503" s="6">
        <v>867.0</v>
      </c>
      <c r="D7503" s="6">
        <v>4.515151515</v>
      </c>
      <c r="E7503" s="6">
        <v>33.0</v>
      </c>
    </row>
    <row r="7504">
      <c r="A7504" s="4" t="s">
        <v>14900</v>
      </c>
      <c r="B7504" s="5" t="s">
        <v>14901</v>
      </c>
      <c r="C7504" s="6">
        <v>867.0</v>
      </c>
      <c r="D7504" s="6">
        <v>5.0</v>
      </c>
      <c r="E7504" s="6">
        <v>1.0</v>
      </c>
    </row>
    <row r="7505">
      <c r="A7505" s="4" t="s">
        <v>14902</v>
      </c>
      <c r="B7505" s="5" t="s">
        <v>14903</v>
      </c>
      <c r="C7505" s="6">
        <v>867.0</v>
      </c>
      <c r="D7505" s="6">
        <v>3.6</v>
      </c>
      <c r="E7505" s="6">
        <v>5.0</v>
      </c>
    </row>
    <row r="7506">
      <c r="A7506" s="4" t="s">
        <v>14904</v>
      </c>
      <c r="B7506" s="5" t="s">
        <v>14905</v>
      </c>
      <c r="C7506" s="6">
        <v>867.0</v>
      </c>
      <c r="D7506" s="9"/>
      <c r="E7506" s="9"/>
    </row>
    <row r="7507">
      <c r="A7507" s="4" t="s">
        <v>14906</v>
      </c>
      <c r="B7507" s="5" t="s">
        <v>14907</v>
      </c>
      <c r="C7507" s="6">
        <v>866.0</v>
      </c>
      <c r="D7507" s="6">
        <v>5.0</v>
      </c>
      <c r="E7507" s="6">
        <v>2.0</v>
      </c>
    </row>
    <row r="7508">
      <c r="A7508" s="4" t="s">
        <v>14908</v>
      </c>
      <c r="B7508" s="5" t="s">
        <v>14909</v>
      </c>
      <c r="C7508" s="6">
        <v>866.0</v>
      </c>
      <c r="D7508" s="6">
        <v>4.0</v>
      </c>
      <c r="E7508" s="6">
        <v>3.0</v>
      </c>
    </row>
    <row r="7509">
      <c r="A7509" s="4" t="s">
        <v>14910</v>
      </c>
      <c r="B7509" s="5" t="s">
        <v>14911</v>
      </c>
      <c r="C7509" s="6">
        <v>866.0</v>
      </c>
      <c r="D7509" s="6">
        <v>3.333333333</v>
      </c>
      <c r="E7509" s="6">
        <v>3.0</v>
      </c>
    </row>
    <row r="7510">
      <c r="A7510" s="4" t="s">
        <v>14912</v>
      </c>
      <c r="B7510" s="5" t="s">
        <v>14913</v>
      </c>
      <c r="C7510" s="6">
        <v>866.0</v>
      </c>
      <c r="D7510" s="6">
        <v>5.0</v>
      </c>
      <c r="E7510" s="6">
        <v>1.0</v>
      </c>
    </row>
    <row r="7511">
      <c r="A7511" s="4" t="s">
        <v>14914</v>
      </c>
      <c r="B7511" s="5" t="s">
        <v>14915</v>
      </c>
      <c r="C7511" s="6">
        <v>865.0</v>
      </c>
      <c r="D7511" s="6">
        <v>5.0</v>
      </c>
      <c r="E7511" s="6">
        <v>9.0</v>
      </c>
    </row>
    <row r="7512">
      <c r="A7512" s="4" t="s">
        <v>14916</v>
      </c>
      <c r="B7512" s="5" t="s">
        <v>14917</v>
      </c>
      <c r="C7512" s="6">
        <v>865.0</v>
      </c>
      <c r="D7512" s="6">
        <v>3.5</v>
      </c>
      <c r="E7512" s="6">
        <v>6.0</v>
      </c>
    </row>
    <row r="7513">
      <c r="A7513" s="4" t="s">
        <v>14918</v>
      </c>
      <c r="B7513" s="5" t="s">
        <v>14919</v>
      </c>
      <c r="C7513" s="6">
        <v>864.0</v>
      </c>
      <c r="D7513" s="6">
        <v>1.605263158</v>
      </c>
      <c r="E7513" s="6">
        <v>38.0</v>
      </c>
    </row>
    <row r="7514">
      <c r="A7514" s="4" t="s">
        <v>14920</v>
      </c>
      <c r="B7514" s="5" t="s">
        <v>14921</v>
      </c>
      <c r="C7514" s="6">
        <v>864.0</v>
      </c>
      <c r="D7514" s="6">
        <v>4.75</v>
      </c>
      <c r="E7514" s="6">
        <v>8.0</v>
      </c>
    </row>
    <row r="7515">
      <c r="A7515" s="4" t="s">
        <v>14922</v>
      </c>
      <c r="B7515" s="5" t="s">
        <v>14923</v>
      </c>
      <c r="C7515" s="6">
        <v>864.0</v>
      </c>
      <c r="D7515" s="6">
        <v>4.32</v>
      </c>
      <c r="E7515" s="6">
        <v>25.0</v>
      </c>
    </row>
    <row r="7516">
      <c r="A7516" s="4" t="s">
        <v>14924</v>
      </c>
      <c r="B7516" s="5" t="s">
        <v>14925</v>
      </c>
      <c r="C7516" s="6">
        <v>864.0</v>
      </c>
      <c r="D7516" s="9"/>
      <c r="E7516" s="9"/>
    </row>
    <row r="7517">
      <c r="A7517" s="4" t="s">
        <v>14926</v>
      </c>
      <c r="B7517" s="5" t="s">
        <v>14927</v>
      </c>
      <c r="C7517" s="6">
        <v>863.0</v>
      </c>
      <c r="D7517" s="6">
        <v>4.952380952</v>
      </c>
      <c r="E7517" s="6">
        <v>21.0</v>
      </c>
    </row>
    <row r="7518">
      <c r="A7518" s="4" t="s">
        <v>14928</v>
      </c>
      <c r="B7518" s="5" t="s">
        <v>14929</v>
      </c>
      <c r="C7518" s="6">
        <v>863.0</v>
      </c>
      <c r="D7518" s="6">
        <v>4.0</v>
      </c>
      <c r="E7518" s="6">
        <v>4.0</v>
      </c>
    </row>
    <row r="7519">
      <c r="A7519" s="4" t="s">
        <v>14930</v>
      </c>
      <c r="B7519" s="5" t="s">
        <v>14931</v>
      </c>
      <c r="C7519" s="6">
        <v>863.0</v>
      </c>
      <c r="D7519" s="6">
        <v>3.741935484</v>
      </c>
      <c r="E7519" s="6">
        <v>31.0</v>
      </c>
    </row>
    <row r="7520">
      <c r="A7520" s="4" t="s">
        <v>14932</v>
      </c>
      <c r="B7520" s="5" t="s">
        <v>14933</v>
      </c>
      <c r="C7520" s="6">
        <v>863.0</v>
      </c>
      <c r="D7520" s="6">
        <v>4.875</v>
      </c>
      <c r="E7520" s="6">
        <v>32.0</v>
      </c>
    </row>
    <row r="7521">
      <c r="A7521" s="4" t="s">
        <v>14934</v>
      </c>
      <c r="B7521" s="5" t="s">
        <v>14935</v>
      </c>
      <c r="C7521" s="6">
        <v>863.0</v>
      </c>
      <c r="D7521" s="6">
        <v>5.0</v>
      </c>
      <c r="E7521" s="6">
        <v>1.0</v>
      </c>
    </row>
    <row r="7522">
      <c r="A7522" s="4" t="s">
        <v>14936</v>
      </c>
      <c r="B7522" s="5" t="s">
        <v>14937</v>
      </c>
      <c r="C7522" s="6">
        <v>862.0</v>
      </c>
      <c r="D7522" s="6">
        <v>5.0</v>
      </c>
      <c r="E7522" s="6">
        <v>3.0</v>
      </c>
    </row>
    <row r="7523">
      <c r="A7523" s="4" t="s">
        <v>14938</v>
      </c>
      <c r="B7523" s="5" t="s">
        <v>14939</v>
      </c>
      <c r="C7523" s="6">
        <v>862.0</v>
      </c>
      <c r="D7523" s="9"/>
      <c r="E7523" s="9"/>
    </row>
    <row r="7524">
      <c r="A7524" s="4" t="s">
        <v>14940</v>
      </c>
      <c r="B7524" s="5" t="s">
        <v>14941</v>
      </c>
      <c r="C7524" s="6">
        <v>862.0</v>
      </c>
      <c r="D7524" s="6">
        <v>5.0</v>
      </c>
      <c r="E7524" s="6">
        <v>1.0</v>
      </c>
    </row>
    <row r="7525">
      <c r="A7525" s="4" t="s">
        <v>14942</v>
      </c>
      <c r="B7525" s="5" t="s">
        <v>14943</v>
      </c>
      <c r="C7525" s="6">
        <v>862.0</v>
      </c>
      <c r="D7525" s="6">
        <v>5.0</v>
      </c>
      <c r="E7525" s="6">
        <v>3.0</v>
      </c>
    </row>
    <row r="7526">
      <c r="A7526" s="4" t="s">
        <v>14944</v>
      </c>
      <c r="B7526" s="5" t="s">
        <v>14945</v>
      </c>
      <c r="C7526" s="6">
        <v>862.0</v>
      </c>
      <c r="D7526" s="6">
        <v>3.666666667</v>
      </c>
      <c r="E7526" s="6">
        <v>3.0</v>
      </c>
    </row>
    <row r="7527">
      <c r="A7527" s="4" t="s">
        <v>14946</v>
      </c>
      <c r="B7527" s="5" t="s">
        <v>14947</v>
      </c>
      <c r="C7527" s="6">
        <v>861.0</v>
      </c>
      <c r="D7527" s="6">
        <v>3.2</v>
      </c>
      <c r="E7527" s="6">
        <v>10.0</v>
      </c>
    </row>
    <row r="7528">
      <c r="A7528" s="4" t="s">
        <v>14948</v>
      </c>
      <c r="B7528" s="5" t="s">
        <v>14949</v>
      </c>
      <c r="C7528" s="6">
        <v>861.0</v>
      </c>
      <c r="D7528" s="9"/>
      <c r="E7528" s="9"/>
    </row>
    <row r="7529">
      <c r="A7529" s="4" t="s">
        <v>14950</v>
      </c>
      <c r="B7529" s="5" t="s">
        <v>14951</v>
      </c>
      <c r="C7529" s="6">
        <v>861.0</v>
      </c>
      <c r="D7529" s="6">
        <v>5.0</v>
      </c>
      <c r="E7529" s="6">
        <v>2.0</v>
      </c>
    </row>
    <row r="7530">
      <c r="A7530" s="4" t="s">
        <v>14952</v>
      </c>
      <c r="B7530" s="5" t="s">
        <v>14953</v>
      </c>
      <c r="C7530" s="6">
        <v>861.0</v>
      </c>
      <c r="D7530" s="6">
        <v>3.555555556</v>
      </c>
      <c r="E7530" s="6">
        <v>9.0</v>
      </c>
    </row>
    <row r="7531">
      <c r="A7531" s="4" t="s">
        <v>14954</v>
      </c>
      <c r="B7531" s="5" t="s">
        <v>14955</v>
      </c>
      <c r="C7531" s="6">
        <v>860.0</v>
      </c>
      <c r="D7531" s="6">
        <v>5.0</v>
      </c>
      <c r="E7531" s="6">
        <v>1.0</v>
      </c>
    </row>
    <row r="7532">
      <c r="A7532" s="4" t="s">
        <v>14956</v>
      </c>
      <c r="B7532" s="5" t="s">
        <v>14957</v>
      </c>
      <c r="C7532" s="6">
        <v>859.0</v>
      </c>
      <c r="D7532" s="6">
        <v>4.972222222</v>
      </c>
      <c r="E7532" s="6">
        <v>36.0</v>
      </c>
    </row>
    <row r="7533">
      <c r="A7533" s="4" t="s">
        <v>14958</v>
      </c>
      <c r="B7533" s="5" t="s">
        <v>14959</v>
      </c>
      <c r="C7533" s="6">
        <v>859.0</v>
      </c>
      <c r="D7533" s="6">
        <v>3.166666667</v>
      </c>
      <c r="E7533" s="6">
        <v>6.0</v>
      </c>
    </row>
    <row r="7534">
      <c r="A7534" s="4" t="s">
        <v>14960</v>
      </c>
      <c r="B7534" s="5" t="s">
        <v>14961</v>
      </c>
      <c r="C7534" s="6">
        <v>859.0</v>
      </c>
      <c r="D7534" s="6">
        <v>3.789473684</v>
      </c>
      <c r="E7534" s="6">
        <v>76.0</v>
      </c>
    </row>
    <row r="7535">
      <c r="A7535" s="4" t="s">
        <v>14962</v>
      </c>
      <c r="B7535" s="5" t="s">
        <v>14963</v>
      </c>
      <c r="C7535" s="6">
        <v>859.0</v>
      </c>
      <c r="D7535" s="6">
        <v>4.75</v>
      </c>
      <c r="E7535" s="6">
        <v>4.0</v>
      </c>
    </row>
    <row r="7536">
      <c r="A7536" s="4" t="s">
        <v>14964</v>
      </c>
      <c r="B7536" s="5" t="s">
        <v>14965</v>
      </c>
      <c r="C7536" s="6">
        <v>858.0</v>
      </c>
      <c r="D7536" s="6">
        <v>5.0</v>
      </c>
      <c r="E7536" s="6">
        <v>1.0</v>
      </c>
    </row>
    <row r="7537">
      <c r="A7537" s="4" t="s">
        <v>14966</v>
      </c>
      <c r="B7537" s="5" t="s">
        <v>14967</v>
      </c>
      <c r="C7537" s="6">
        <v>858.0</v>
      </c>
      <c r="D7537" s="6">
        <v>4.690909091</v>
      </c>
      <c r="E7537" s="6">
        <v>55.0</v>
      </c>
    </row>
    <row r="7538">
      <c r="A7538" s="4" t="s">
        <v>14968</v>
      </c>
      <c r="B7538" s="5" t="s">
        <v>14969</v>
      </c>
      <c r="C7538" s="6">
        <v>858.0</v>
      </c>
      <c r="D7538" s="6">
        <v>4.5</v>
      </c>
      <c r="E7538" s="6">
        <v>20.0</v>
      </c>
    </row>
    <row r="7539">
      <c r="A7539" s="4" t="s">
        <v>14970</v>
      </c>
      <c r="B7539" s="5" t="s">
        <v>14971</v>
      </c>
      <c r="C7539" s="6">
        <v>858.0</v>
      </c>
      <c r="D7539" s="6">
        <v>4.4</v>
      </c>
      <c r="E7539" s="6">
        <v>10.0</v>
      </c>
    </row>
    <row r="7540">
      <c r="A7540" s="4" t="s">
        <v>14972</v>
      </c>
      <c r="B7540" s="5" t="s">
        <v>14973</v>
      </c>
      <c r="C7540" s="6">
        <v>857.0</v>
      </c>
      <c r="D7540" s="6">
        <v>5.0</v>
      </c>
      <c r="E7540" s="6">
        <v>9.0</v>
      </c>
    </row>
    <row r="7541">
      <c r="A7541" s="4" t="s">
        <v>14974</v>
      </c>
      <c r="B7541" s="5" t="s">
        <v>14975</v>
      </c>
      <c r="C7541" s="6">
        <v>857.0</v>
      </c>
      <c r="D7541" s="6">
        <v>5.0</v>
      </c>
      <c r="E7541" s="6">
        <v>14.0</v>
      </c>
    </row>
    <row r="7542">
      <c r="A7542" s="4" t="s">
        <v>14976</v>
      </c>
      <c r="B7542" s="5" t="s">
        <v>14977</v>
      </c>
      <c r="C7542" s="6">
        <v>857.0</v>
      </c>
      <c r="D7542" s="6">
        <v>4.5</v>
      </c>
      <c r="E7542" s="6">
        <v>4.0</v>
      </c>
    </row>
    <row r="7543">
      <c r="A7543" s="4" t="s">
        <v>14978</v>
      </c>
      <c r="B7543" s="5" t="s">
        <v>14979</v>
      </c>
      <c r="C7543" s="6">
        <v>856.0</v>
      </c>
      <c r="D7543" s="6">
        <v>5.0</v>
      </c>
      <c r="E7543" s="6">
        <v>1.0</v>
      </c>
    </row>
    <row r="7544">
      <c r="A7544" s="4" t="s">
        <v>12644</v>
      </c>
      <c r="B7544" s="5" t="s">
        <v>14980</v>
      </c>
      <c r="C7544" s="6">
        <v>856.0</v>
      </c>
      <c r="D7544" s="6">
        <v>4.428571429</v>
      </c>
      <c r="E7544" s="6">
        <v>7.0</v>
      </c>
    </row>
    <row r="7545">
      <c r="A7545" s="4" t="s">
        <v>14981</v>
      </c>
      <c r="B7545" s="5" t="s">
        <v>14982</v>
      </c>
      <c r="C7545" s="6">
        <v>856.0</v>
      </c>
      <c r="D7545" s="6">
        <v>4.428571429</v>
      </c>
      <c r="E7545" s="6">
        <v>7.0</v>
      </c>
    </row>
    <row r="7546">
      <c r="A7546" s="4" t="s">
        <v>14983</v>
      </c>
      <c r="B7546" s="5" t="s">
        <v>14984</v>
      </c>
      <c r="C7546" s="6">
        <v>856.0</v>
      </c>
      <c r="D7546" s="9"/>
      <c r="E7546" s="9"/>
    </row>
    <row r="7547">
      <c r="A7547" s="4" t="s">
        <v>14985</v>
      </c>
      <c r="B7547" s="5" t="s">
        <v>14986</v>
      </c>
      <c r="C7547" s="6">
        <v>856.0</v>
      </c>
      <c r="D7547" s="6">
        <v>4.84375</v>
      </c>
      <c r="E7547" s="6">
        <v>32.0</v>
      </c>
    </row>
    <row r="7548">
      <c r="A7548" s="4" t="s">
        <v>14987</v>
      </c>
      <c r="B7548" s="5" t="s">
        <v>14988</v>
      </c>
      <c r="C7548" s="6">
        <v>856.0</v>
      </c>
      <c r="D7548" s="6">
        <v>4.111111111</v>
      </c>
      <c r="E7548" s="6">
        <v>18.0</v>
      </c>
    </row>
    <row r="7549">
      <c r="A7549" s="4" t="s">
        <v>14989</v>
      </c>
      <c r="B7549" s="5" t="s">
        <v>14990</v>
      </c>
      <c r="C7549" s="6">
        <v>855.0</v>
      </c>
      <c r="D7549" s="6">
        <v>4.0</v>
      </c>
      <c r="E7549" s="6">
        <v>2.0</v>
      </c>
    </row>
    <row r="7550">
      <c r="A7550" s="4" t="s">
        <v>14991</v>
      </c>
      <c r="B7550" s="5" t="s">
        <v>14992</v>
      </c>
      <c r="C7550" s="6">
        <v>855.0</v>
      </c>
      <c r="D7550" s="6">
        <v>4.739130435</v>
      </c>
      <c r="E7550" s="6">
        <v>23.0</v>
      </c>
    </row>
    <row r="7551">
      <c r="A7551" s="4" t="s">
        <v>14993</v>
      </c>
      <c r="B7551" s="5" t="s">
        <v>14994</v>
      </c>
      <c r="C7551" s="6">
        <v>855.0</v>
      </c>
      <c r="D7551" s="6">
        <v>4.444444444</v>
      </c>
      <c r="E7551" s="6">
        <v>9.0</v>
      </c>
    </row>
    <row r="7552">
      <c r="A7552" s="4" t="s">
        <v>14995</v>
      </c>
      <c r="B7552" s="5" t="s">
        <v>14996</v>
      </c>
      <c r="C7552" s="6">
        <v>855.0</v>
      </c>
      <c r="D7552" s="9"/>
      <c r="E7552" s="9"/>
    </row>
    <row r="7553">
      <c r="A7553" s="4" t="s">
        <v>14997</v>
      </c>
      <c r="B7553" s="5" t="s">
        <v>14998</v>
      </c>
      <c r="C7553" s="6">
        <v>855.0</v>
      </c>
      <c r="D7553" s="6">
        <v>5.0</v>
      </c>
      <c r="E7553" s="6">
        <v>12.0</v>
      </c>
    </row>
    <row r="7554">
      <c r="A7554" s="4" t="s">
        <v>14999</v>
      </c>
      <c r="B7554" s="5" t="s">
        <v>15000</v>
      </c>
      <c r="C7554" s="6">
        <v>855.0</v>
      </c>
      <c r="D7554" s="6">
        <v>4.727272727</v>
      </c>
      <c r="E7554" s="6">
        <v>11.0</v>
      </c>
    </row>
    <row r="7555">
      <c r="A7555" s="4" t="s">
        <v>15001</v>
      </c>
      <c r="B7555" s="5" t="s">
        <v>15002</v>
      </c>
      <c r="C7555" s="6">
        <v>855.0</v>
      </c>
      <c r="D7555" s="6">
        <v>2.651162791</v>
      </c>
      <c r="E7555" s="6">
        <v>43.0</v>
      </c>
    </row>
    <row r="7556">
      <c r="A7556" s="4" t="s">
        <v>15003</v>
      </c>
      <c r="B7556" s="5" t="s">
        <v>15004</v>
      </c>
      <c r="C7556" s="6">
        <v>854.0</v>
      </c>
      <c r="D7556" s="6">
        <v>4.5</v>
      </c>
      <c r="E7556" s="6">
        <v>10.0</v>
      </c>
    </row>
    <row r="7557">
      <c r="A7557" s="4" t="s">
        <v>15005</v>
      </c>
      <c r="B7557" s="5" t="s">
        <v>15006</v>
      </c>
      <c r="C7557" s="6">
        <v>853.0</v>
      </c>
      <c r="D7557" s="6">
        <v>4.9</v>
      </c>
      <c r="E7557" s="6">
        <v>10.0</v>
      </c>
    </row>
    <row r="7558">
      <c r="A7558" s="4" t="s">
        <v>15007</v>
      </c>
      <c r="B7558" s="5" t="s">
        <v>15008</v>
      </c>
      <c r="C7558" s="6">
        <v>853.0</v>
      </c>
      <c r="D7558" s="6">
        <v>4.076923077</v>
      </c>
      <c r="E7558" s="6">
        <v>13.0</v>
      </c>
    </row>
    <row r="7559">
      <c r="A7559" s="4" t="s">
        <v>15009</v>
      </c>
      <c r="B7559" s="5" t="s">
        <v>15010</v>
      </c>
      <c r="C7559" s="6">
        <v>853.0</v>
      </c>
      <c r="D7559" s="6">
        <v>3.333333333</v>
      </c>
      <c r="E7559" s="6">
        <v>9.0</v>
      </c>
    </row>
    <row r="7560">
      <c r="A7560" s="4" t="s">
        <v>15011</v>
      </c>
      <c r="B7560" s="5" t="s">
        <v>15012</v>
      </c>
      <c r="C7560" s="6">
        <v>853.0</v>
      </c>
      <c r="D7560" s="9"/>
      <c r="E7560" s="9"/>
    </row>
    <row r="7561">
      <c r="A7561" s="4" t="s">
        <v>15013</v>
      </c>
      <c r="B7561" s="5" t="s">
        <v>15014</v>
      </c>
      <c r="C7561" s="6">
        <v>853.0</v>
      </c>
      <c r="D7561" s="6">
        <v>5.0</v>
      </c>
      <c r="E7561" s="6">
        <v>4.0</v>
      </c>
    </row>
    <row r="7562">
      <c r="A7562" s="4" t="s">
        <v>15015</v>
      </c>
      <c r="B7562" s="5" t="s">
        <v>15016</v>
      </c>
      <c r="C7562" s="6">
        <v>852.0</v>
      </c>
      <c r="D7562" s="6">
        <v>4.142857143</v>
      </c>
      <c r="E7562" s="6">
        <v>7.0</v>
      </c>
    </row>
    <row r="7563">
      <c r="A7563" s="4" t="s">
        <v>15017</v>
      </c>
      <c r="B7563" s="5" t="s">
        <v>15018</v>
      </c>
      <c r="C7563" s="6">
        <v>852.0</v>
      </c>
      <c r="D7563" s="6">
        <v>4.166666667</v>
      </c>
      <c r="E7563" s="6">
        <v>12.0</v>
      </c>
    </row>
    <row r="7564">
      <c r="A7564" s="4" t="s">
        <v>15019</v>
      </c>
      <c r="B7564" s="5" t="s">
        <v>15020</v>
      </c>
      <c r="C7564" s="6">
        <v>852.0</v>
      </c>
      <c r="D7564" s="6">
        <v>1.0</v>
      </c>
      <c r="E7564" s="6">
        <v>1.0</v>
      </c>
    </row>
    <row r="7565">
      <c r="A7565" s="4" t="s">
        <v>15021</v>
      </c>
      <c r="B7565" s="5" t="s">
        <v>15022</v>
      </c>
      <c r="C7565" s="6">
        <v>851.0</v>
      </c>
      <c r="D7565" s="6">
        <v>1.0</v>
      </c>
      <c r="E7565" s="6">
        <v>3.0</v>
      </c>
    </row>
    <row r="7566">
      <c r="A7566" s="4" t="s">
        <v>15023</v>
      </c>
      <c r="B7566" s="5" t="s">
        <v>15024</v>
      </c>
      <c r="C7566" s="6">
        <v>851.0</v>
      </c>
      <c r="D7566" s="6">
        <v>4.166666667</v>
      </c>
      <c r="E7566" s="6">
        <v>6.0</v>
      </c>
    </row>
    <row r="7567">
      <c r="A7567" s="4" t="s">
        <v>15025</v>
      </c>
      <c r="B7567" s="5" t="s">
        <v>15026</v>
      </c>
      <c r="C7567" s="6">
        <v>851.0</v>
      </c>
      <c r="D7567" s="6">
        <v>5.0</v>
      </c>
      <c r="E7567" s="6">
        <v>1.0</v>
      </c>
    </row>
    <row r="7568">
      <c r="A7568" s="4" t="s">
        <v>15027</v>
      </c>
      <c r="B7568" s="5" t="s">
        <v>15028</v>
      </c>
      <c r="C7568" s="6">
        <v>851.0</v>
      </c>
      <c r="D7568" s="6">
        <v>4.8</v>
      </c>
      <c r="E7568" s="6">
        <v>10.0</v>
      </c>
    </row>
    <row r="7569">
      <c r="A7569" s="4" t="s">
        <v>15029</v>
      </c>
      <c r="B7569" s="5" t="s">
        <v>15030</v>
      </c>
      <c r="C7569" s="6">
        <v>850.0</v>
      </c>
      <c r="D7569" s="6">
        <v>1.8</v>
      </c>
      <c r="E7569" s="6">
        <v>5.0</v>
      </c>
    </row>
    <row r="7570">
      <c r="A7570" s="4" t="s">
        <v>15031</v>
      </c>
      <c r="B7570" s="5" t="s">
        <v>15032</v>
      </c>
      <c r="C7570" s="6">
        <v>850.0</v>
      </c>
      <c r="D7570" s="9"/>
      <c r="E7570" s="9"/>
    </row>
    <row r="7571">
      <c r="A7571" s="4" t="s">
        <v>15033</v>
      </c>
      <c r="B7571" s="5" t="s">
        <v>15034</v>
      </c>
      <c r="C7571" s="6">
        <v>850.0</v>
      </c>
      <c r="D7571" s="6">
        <v>4.333333333</v>
      </c>
      <c r="E7571" s="6">
        <v>6.0</v>
      </c>
    </row>
    <row r="7572">
      <c r="A7572" s="4" t="s">
        <v>15035</v>
      </c>
      <c r="B7572" s="5" t="s">
        <v>15036</v>
      </c>
      <c r="C7572" s="6">
        <v>849.0</v>
      </c>
      <c r="D7572" s="6">
        <v>4.533333333</v>
      </c>
      <c r="E7572" s="6">
        <v>15.0</v>
      </c>
    </row>
    <row r="7573">
      <c r="A7573" s="4" t="s">
        <v>15037</v>
      </c>
      <c r="B7573" s="5" t="s">
        <v>15038</v>
      </c>
      <c r="C7573" s="6">
        <v>849.0</v>
      </c>
      <c r="D7573" s="6">
        <v>4.666666667</v>
      </c>
      <c r="E7573" s="6">
        <v>3.0</v>
      </c>
    </row>
    <row r="7574">
      <c r="A7574" s="4" t="s">
        <v>15039</v>
      </c>
      <c r="B7574" s="5" t="s">
        <v>15040</v>
      </c>
      <c r="C7574" s="6">
        <v>849.0</v>
      </c>
      <c r="D7574" s="6">
        <v>5.0</v>
      </c>
      <c r="E7574" s="6">
        <v>3.0</v>
      </c>
    </row>
    <row r="7575">
      <c r="A7575" s="4" t="s">
        <v>15041</v>
      </c>
      <c r="B7575" s="5" t="s">
        <v>15042</v>
      </c>
      <c r="C7575" s="6">
        <v>849.0</v>
      </c>
      <c r="D7575" s="6">
        <v>4.2</v>
      </c>
      <c r="E7575" s="6">
        <v>15.0</v>
      </c>
    </row>
    <row r="7576">
      <c r="A7576" s="4" t="s">
        <v>15043</v>
      </c>
      <c r="B7576" s="5" t="s">
        <v>15044</v>
      </c>
      <c r="C7576" s="6">
        <v>848.0</v>
      </c>
      <c r="D7576" s="6">
        <v>4.6</v>
      </c>
      <c r="E7576" s="6">
        <v>10.0</v>
      </c>
    </row>
    <row r="7577">
      <c r="A7577" s="4" t="s">
        <v>15045</v>
      </c>
      <c r="B7577" s="5" t="s">
        <v>15046</v>
      </c>
      <c r="C7577" s="6">
        <v>848.0</v>
      </c>
      <c r="D7577" s="6">
        <v>3.866666667</v>
      </c>
      <c r="E7577" s="6">
        <v>15.0</v>
      </c>
    </row>
    <row r="7578">
      <c r="A7578" s="4" t="s">
        <v>15047</v>
      </c>
      <c r="B7578" s="5" t="s">
        <v>15048</v>
      </c>
      <c r="C7578" s="6">
        <v>848.0</v>
      </c>
      <c r="D7578" s="6">
        <v>5.0</v>
      </c>
      <c r="E7578" s="6">
        <v>6.0</v>
      </c>
    </row>
    <row r="7579">
      <c r="A7579" s="4" t="s">
        <v>15049</v>
      </c>
      <c r="B7579" s="5" t="s">
        <v>15050</v>
      </c>
      <c r="C7579" s="6">
        <v>848.0</v>
      </c>
      <c r="D7579" s="6">
        <v>4.0625</v>
      </c>
      <c r="E7579" s="6">
        <v>16.0</v>
      </c>
    </row>
    <row r="7580">
      <c r="A7580" s="4" t="s">
        <v>15051</v>
      </c>
      <c r="B7580" s="5" t="s">
        <v>15052</v>
      </c>
      <c r="C7580" s="6">
        <v>848.0</v>
      </c>
      <c r="D7580" s="6">
        <v>5.0</v>
      </c>
      <c r="E7580" s="6">
        <v>2.0</v>
      </c>
    </row>
    <row r="7581">
      <c r="A7581" s="4" t="s">
        <v>15053</v>
      </c>
      <c r="B7581" s="5" t="s">
        <v>15054</v>
      </c>
      <c r="C7581" s="6">
        <v>847.0</v>
      </c>
      <c r="D7581" s="6">
        <v>5.0</v>
      </c>
      <c r="E7581" s="6">
        <v>4.0</v>
      </c>
    </row>
    <row r="7582">
      <c r="A7582" s="4" t="s">
        <v>15055</v>
      </c>
      <c r="B7582" s="5" t="s">
        <v>15056</v>
      </c>
      <c r="C7582" s="6">
        <v>847.0</v>
      </c>
      <c r="D7582" s="6">
        <v>3.833333333</v>
      </c>
      <c r="E7582" s="6">
        <v>18.0</v>
      </c>
    </row>
    <row r="7583">
      <c r="A7583" s="4" t="s">
        <v>15057</v>
      </c>
      <c r="B7583" s="5" t="s">
        <v>15058</v>
      </c>
      <c r="C7583" s="6">
        <v>847.0</v>
      </c>
      <c r="D7583" s="6">
        <v>4.245614035</v>
      </c>
      <c r="E7583" s="6">
        <v>57.0</v>
      </c>
    </row>
    <row r="7584">
      <c r="A7584" s="4" t="s">
        <v>15059</v>
      </c>
      <c r="B7584" s="5" t="s">
        <v>15060</v>
      </c>
      <c r="C7584" s="6">
        <v>846.0</v>
      </c>
      <c r="D7584" s="6">
        <v>5.0</v>
      </c>
      <c r="E7584" s="6">
        <v>2.0</v>
      </c>
    </row>
    <row r="7585">
      <c r="A7585" s="4" t="s">
        <v>15061</v>
      </c>
      <c r="B7585" s="5" t="s">
        <v>15062</v>
      </c>
      <c r="C7585" s="6">
        <v>846.0</v>
      </c>
      <c r="D7585" s="6">
        <v>4.576923077</v>
      </c>
      <c r="E7585" s="6">
        <v>26.0</v>
      </c>
    </row>
    <row r="7586">
      <c r="A7586" s="4" t="s">
        <v>15063</v>
      </c>
      <c r="B7586" s="5" t="s">
        <v>15064</v>
      </c>
      <c r="C7586" s="6">
        <v>845.0</v>
      </c>
      <c r="D7586" s="6">
        <v>5.0</v>
      </c>
      <c r="E7586" s="6">
        <v>1.0</v>
      </c>
    </row>
    <row r="7587">
      <c r="A7587" s="4" t="s">
        <v>15065</v>
      </c>
      <c r="B7587" s="5" t="s">
        <v>15066</v>
      </c>
      <c r="C7587" s="6">
        <v>845.0</v>
      </c>
      <c r="D7587" s="6">
        <v>3.863636364</v>
      </c>
      <c r="E7587" s="6">
        <v>22.0</v>
      </c>
    </row>
    <row r="7588">
      <c r="A7588" s="4" t="s">
        <v>15067</v>
      </c>
      <c r="B7588" s="5" t="s">
        <v>15068</v>
      </c>
      <c r="C7588" s="6">
        <v>845.0</v>
      </c>
      <c r="D7588" s="6">
        <v>3.75</v>
      </c>
      <c r="E7588" s="6">
        <v>12.0</v>
      </c>
    </row>
    <row r="7589">
      <c r="A7589" s="4" t="s">
        <v>15069</v>
      </c>
      <c r="B7589" s="5" t="s">
        <v>15070</v>
      </c>
      <c r="C7589" s="6">
        <v>844.0</v>
      </c>
      <c r="D7589" s="6">
        <v>4.875</v>
      </c>
      <c r="E7589" s="6">
        <v>16.0</v>
      </c>
    </row>
    <row r="7590">
      <c r="A7590" s="4" t="s">
        <v>15071</v>
      </c>
      <c r="B7590" s="5" t="s">
        <v>15072</v>
      </c>
      <c r="C7590" s="6">
        <v>844.0</v>
      </c>
      <c r="D7590" s="9"/>
      <c r="E7590" s="9"/>
    </row>
    <row r="7591">
      <c r="A7591" s="4" t="s">
        <v>15073</v>
      </c>
      <c r="B7591" s="5" t="s">
        <v>15074</v>
      </c>
      <c r="C7591" s="6">
        <v>844.0</v>
      </c>
      <c r="D7591" s="6">
        <v>4.928571429</v>
      </c>
      <c r="E7591" s="6">
        <v>14.0</v>
      </c>
    </row>
    <row r="7592">
      <c r="A7592" s="4" t="s">
        <v>15075</v>
      </c>
      <c r="B7592" s="5" t="s">
        <v>15076</v>
      </c>
      <c r="C7592" s="6">
        <v>844.0</v>
      </c>
      <c r="D7592" s="6">
        <v>5.0</v>
      </c>
      <c r="E7592" s="6">
        <v>6.0</v>
      </c>
    </row>
    <row r="7593">
      <c r="A7593" s="4" t="s">
        <v>15077</v>
      </c>
      <c r="B7593" s="5" t="s">
        <v>15078</v>
      </c>
      <c r="C7593" s="6">
        <v>844.0</v>
      </c>
      <c r="D7593" s="6">
        <v>4.777777778</v>
      </c>
      <c r="E7593" s="6">
        <v>9.0</v>
      </c>
    </row>
    <row r="7594">
      <c r="A7594" s="4" t="s">
        <v>15079</v>
      </c>
      <c r="B7594" s="5" t="s">
        <v>15080</v>
      </c>
      <c r="C7594" s="6">
        <v>844.0</v>
      </c>
      <c r="D7594" s="6">
        <v>1.818181818</v>
      </c>
      <c r="E7594" s="6">
        <v>11.0</v>
      </c>
    </row>
    <row r="7595">
      <c r="A7595" s="4" t="s">
        <v>15081</v>
      </c>
      <c r="B7595" s="5" t="s">
        <v>15082</v>
      </c>
      <c r="C7595" s="6">
        <v>844.0</v>
      </c>
      <c r="D7595" s="6">
        <v>3.0</v>
      </c>
      <c r="E7595" s="6">
        <v>11.0</v>
      </c>
    </row>
    <row r="7596">
      <c r="A7596" s="4" t="s">
        <v>15083</v>
      </c>
      <c r="B7596" s="5" t="s">
        <v>15084</v>
      </c>
      <c r="C7596" s="6">
        <v>843.0</v>
      </c>
      <c r="D7596" s="6">
        <v>3.333333333</v>
      </c>
      <c r="E7596" s="6">
        <v>48.0</v>
      </c>
    </row>
    <row r="7597">
      <c r="A7597" s="4" t="s">
        <v>15085</v>
      </c>
      <c r="B7597" s="5" t="s">
        <v>15086</v>
      </c>
      <c r="C7597" s="6">
        <v>843.0</v>
      </c>
      <c r="D7597" s="6">
        <v>5.0</v>
      </c>
      <c r="E7597" s="6">
        <v>1.0</v>
      </c>
    </row>
    <row r="7598">
      <c r="A7598" s="4" t="s">
        <v>15087</v>
      </c>
      <c r="B7598" s="5" t="s">
        <v>15088</v>
      </c>
      <c r="C7598" s="6">
        <v>842.0</v>
      </c>
      <c r="D7598" s="6">
        <v>4.833333333</v>
      </c>
      <c r="E7598" s="6">
        <v>6.0</v>
      </c>
    </row>
    <row r="7599">
      <c r="A7599" s="4" t="s">
        <v>15089</v>
      </c>
      <c r="B7599" s="5" t="s">
        <v>15090</v>
      </c>
      <c r="C7599" s="6">
        <v>841.0</v>
      </c>
      <c r="D7599" s="6">
        <v>4.8</v>
      </c>
      <c r="E7599" s="6">
        <v>5.0</v>
      </c>
    </row>
    <row r="7600">
      <c r="A7600" s="4" t="s">
        <v>15091</v>
      </c>
      <c r="B7600" s="5" t="s">
        <v>15092</v>
      </c>
      <c r="C7600" s="6">
        <v>841.0</v>
      </c>
      <c r="D7600" s="6">
        <v>3.0</v>
      </c>
      <c r="E7600" s="6">
        <v>4.0</v>
      </c>
    </row>
    <row r="7601">
      <c r="A7601" s="4" t="s">
        <v>15093</v>
      </c>
      <c r="B7601" s="5" t="s">
        <v>15094</v>
      </c>
      <c r="C7601" s="6">
        <v>841.0</v>
      </c>
      <c r="D7601" s="6">
        <v>1.0</v>
      </c>
      <c r="E7601" s="6">
        <v>1.0</v>
      </c>
    </row>
    <row r="7602">
      <c r="A7602" s="4" t="s">
        <v>15095</v>
      </c>
      <c r="B7602" s="5" t="s">
        <v>15096</v>
      </c>
      <c r="C7602" s="6">
        <v>841.0</v>
      </c>
      <c r="D7602" s="6">
        <v>4.75</v>
      </c>
      <c r="E7602" s="6">
        <v>4.0</v>
      </c>
    </row>
    <row r="7603">
      <c r="A7603" s="4" t="s">
        <v>15097</v>
      </c>
      <c r="B7603" s="5" t="s">
        <v>15098</v>
      </c>
      <c r="C7603" s="6">
        <v>841.0</v>
      </c>
      <c r="D7603" s="6">
        <v>4.869158879</v>
      </c>
      <c r="E7603" s="6">
        <v>107.0</v>
      </c>
    </row>
    <row r="7604">
      <c r="A7604" s="4" t="s">
        <v>15099</v>
      </c>
      <c r="B7604" s="5" t="s">
        <v>15100</v>
      </c>
      <c r="C7604" s="6">
        <v>841.0</v>
      </c>
      <c r="D7604" s="9"/>
      <c r="E7604" s="9"/>
    </row>
    <row r="7605">
      <c r="A7605" s="4" t="s">
        <v>15101</v>
      </c>
      <c r="B7605" s="5" t="s">
        <v>15102</v>
      </c>
      <c r="C7605" s="6">
        <v>841.0</v>
      </c>
      <c r="D7605" s="9"/>
      <c r="E7605" s="9"/>
    </row>
    <row r="7606">
      <c r="A7606" s="4" t="s">
        <v>15103</v>
      </c>
      <c r="B7606" s="5" t="s">
        <v>15104</v>
      </c>
      <c r="C7606" s="6">
        <v>840.0</v>
      </c>
      <c r="D7606" s="6">
        <v>3.875</v>
      </c>
      <c r="E7606" s="6">
        <v>8.0</v>
      </c>
    </row>
    <row r="7607">
      <c r="A7607" s="4" t="s">
        <v>15105</v>
      </c>
      <c r="B7607" s="5" t="s">
        <v>15106</v>
      </c>
      <c r="C7607" s="6">
        <v>840.0</v>
      </c>
      <c r="D7607" s="6">
        <v>4.75</v>
      </c>
      <c r="E7607" s="6">
        <v>8.0</v>
      </c>
    </row>
    <row r="7608">
      <c r="A7608" s="4" t="s">
        <v>15107</v>
      </c>
      <c r="B7608" s="5" t="s">
        <v>15108</v>
      </c>
      <c r="C7608" s="6">
        <v>839.0</v>
      </c>
      <c r="D7608" s="6">
        <v>4.3</v>
      </c>
      <c r="E7608" s="6">
        <v>10.0</v>
      </c>
    </row>
    <row r="7609">
      <c r="A7609" s="4" t="s">
        <v>15109</v>
      </c>
      <c r="B7609" s="5" t="s">
        <v>15110</v>
      </c>
      <c r="C7609" s="6">
        <v>839.0</v>
      </c>
      <c r="D7609" s="6">
        <v>4.5</v>
      </c>
      <c r="E7609" s="6">
        <v>28.0</v>
      </c>
    </row>
    <row r="7610">
      <c r="A7610" s="4" t="s">
        <v>15111</v>
      </c>
      <c r="B7610" s="5" t="s">
        <v>15112</v>
      </c>
      <c r="C7610" s="6">
        <v>839.0</v>
      </c>
      <c r="D7610" s="6">
        <v>3.666666667</v>
      </c>
      <c r="E7610" s="6">
        <v>9.0</v>
      </c>
    </row>
    <row r="7611">
      <c r="A7611" s="4" t="s">
        <v>15113</v>
      </c>
      <c r="B7611" s="5" t="s">
        <v>15114</v>
      </c>
      <c r="C7611" s="6">
        <v>839.0</v>
      </c>
      <c r="D7611" s="6">
        <v>5.0</v>
      </c>
      <c r="E7611" s="6">
        <v>2.0</v>
      </c>
    </row>
    <row r="7612">
      <c r="A7612" s="4" t="s">
        <v>15115</v>
      </c>
      <c r="B7612" s="5" t="s">
        <v>15116</v>
      </c>
      <c r="C7612" s="6">
        <v>839.0</v>
      </c>
      <c r="D7612" s="6">
        <v>3.090909091</v>
      </c>
      <c r="E7612" s="6">
        <v>11.0</v>
      </c>
    </row>
    <row r="7613">
      <c r="A7613" s="4" t="s">
        <v>15117</v>
      </c>
      <c r="B7613" s="5" t="s">
        <v>15118</v>
      </c>
      <c r="C7613" s="6">
        <v>838.0</v>
      </c>
      <c r="D7613" s="6">
        <v>3.666666667</v>
      </c>
      <c r="E7613" s="6">
        <v>3.0</v>
      </c>
    </row>
    <row r="7614">
      <c r="A7614" s="4" t="s">
        <v>15119</v>
      </c>
      <c r="B7614" s="5" t="s">
        <v>15120</v>
      </c>
      <c r="C7614" s="6">
        <v>838.0</v>
      </c>
      <c r="D7614" s="6">
        <v>4.666666667</v>
      </c>
      <c r="E7614" s="6">
        <v>6.0</v>
      </c>
    </row>
    <row r="7615">
      <c r="A7615" s="4" t="s">
        <v>15121</v>
      </c>
      <c r="B7615" s="5" t="s">
        <v>15122</v>
      </c>
      <c r="C7615" s="6">
        <v>838.0</v>
      </c>
      <c r="D7615" s="6">
        <v>4.380952381</v>
      </c>
      <c r="E7615" s="6">
        <v>21.0</v>
      </c>
    </row>
    <row r="7616">
      <c r="A7616" s="4" t="s">
        <v>15123</v>
      </c>
      <c r="B7616" s="5" t="s">
        <v>15124</v>
      </c>
      <c r="C7616" s="6">
        <v>838.0</v>
      </c>
      <c r="D7616" s="6">
        <v>3.333333333</v>
      </c>
      <c r="E7616" s="6">
        <v>9.0</v>
      </c>
    </row>
    <row r="7617">
      <c r="A7617" s="4" t="s">
        <v>15125</v>
      </c>
      <c r="B7617" s="5" t="s">
        <v>15126</v>
      </c>
      <c r="C7617" s="6">
        <v>838.0</v>
      </c>
      <c r="D7617" s="6">
        <v>4.0</v>
      </c>
      <c r="E7617" s="6">
        <v>5.0</v>
      </c>
    </row>
    <row r="7618">
      <c r="A7618" s="4" t="s">
        <v>15127</v>
      </c>
      <c r="B7618" s="5" t="s">
        <v>15128</v>
      </c>
      <c r="C7618" s="6">
        <v>838.0</v>
      </c>
      <c r="D7618" s="6">
        <v>1.0</v>
      </c>
      <c r="E7618" s="6">
        <v>2.0</v>
      </c>
    </row>
    <row r="7619">
      <c r="A7619" s="4" t="s">
        <v>15129</v>
      </c>
      <c r="B7619" s="5" t="s">
        <v>15130</v>
      </c>
      <c r="C7619" s="6">
        <v>838.0</v>
      </c>
      <c r="D7619" s="6">
        <v>4.2</v>
      </c>
      <c r="E7619" s="6">
        <v>10.0</v>
      </c>
    </row>
    <row r="7620">
      <c r="A7620" s="4" t="s">
        <v>15131</v>
      </c>
      <c r="B7620" s="5" t="s">
        <v>15132</v>
      </c>
      <c r="C7620" s="6">
        <v>838.0</v>
      </c>
      <c r="D7620" s="6">
        <v>5.0</v>
      </c>
      <c r="E7620" s="6">
        <v>1.0</v>
      </c>
    </row>
    <row r="7621">
      <c r="A7621" s="4" t="s">
        <v>15133</v>
      </c>
      <c r="B7621" s="5" t="s">
        <v>15134</v>
      </c>
      <c r="C7621" s="6">
        <v>837.0</v>
      </c>
      <c r="D7621" s="6">
        <v>3.2</v>
      </c>
      <c r="E7621" s="6">
        <v>10.0</v>
      </c>
    </row>
    <row r="7622">
      <c r="A7622" s="4" t="s">
        <v>15135</v>
      </c>
      <c r="B7622" s="5" t="s">
        <v>15136</v>
      </c>
      <c r="C7622" s="6">
        <v>837.0</v>
      </c>
      <c r="D7622" s="6">
        <v>3.857142857</v>
      </c>
      <c r="E7622" s="6">
        <v>14.0</v>
      </c>
    </row>
    <row r="7623">
      <c r="A7623" s="4" t="s">
        <v>15137</v>
      </c>
      <c r="B7623" s="5" t="s">
        <v>15138</v>
      </c>
      <c r="C7623" s="6">
        <v>837.0</v>
      </c>
      <c r="D7623" s="6">
        <v>3.4</v>
      </c>
      <c r="E7623" s="6">
        <v>5.0</v>
      </c>
    </row>
    <row r="7624">
      <c r="A7624" s="4" t="s">
        <v>15139</v>
      </c>
      <c r="B7624" s="5" t="s">
        <v>15140</v>
      </c>
      <c r="C7624" s="6">
        <v>837.0</v>
      </c>
      <c r="D7624" s="6">
        <v>5.0</v>
      </c>
      <c r="E7624" s="6">
        <v>1.0</v>
      </c>
    </row>
    <row r="7625">
      <c r="A7625" s="4" t="s">
        <v>15141</v>
      </c>
      <c r="B7625" s="5" t="s">
        <v>15142</v>
      </c>
      <c r="C7625" s="6">
        <v>836.0</v>
      </c>
      <c r="D7625" s="6">
        <v>3.571428571</v>
      </c>
      <c r="E7625" s="6">
        <v>7.0</v>
      </c>
    </row>
    <row r="7626">
      <c r="A7626" s="4" t="s">
        <v>15143</v>
      </c>
      <c r="B7626" s="5" t="s">
        <v>15144</v>
      </c>
      <c r="C7626" s="6">
        <v>836.0</v>
      </c>
      <c r="D7626" s="6">
        <v>4.222222222</v>
      </c>
      <c r="E7626" s="6">
        <v>18.0</v>
      </c>
    </row>
    <row r="7627">
      <c r="A7627" s="4" t="s">
        <v>15145</v>
      </c>
      <c r="B7627" s="5" t="s">
        <v>15146</v>
      </c>
      <c r="C7627" s="6">
        <v>836.0</v>
      </c>
      <c r="D7627" s="6">
        <v>3.444444444</v>
      </c>
      <c r="E7627" s="6">
        <v>9.0</v>
      </c>
    </row>
    <row r="7628">
      <c r="A7628" s="4" t="s">
        <v>15147</v>
      </c>
      <c r="B7628" s="5" t="s">
        <v>15148</v>
      </c>
      <c r="C7628" s="6">
        <v>835.0</v>
      </c>
      <c r="D7628" s="6">
        <v>2.823529412</v>
      </c>
      <c r="E7628" s="6">
        <v>17.0</v>
      </c>
    </row>
    <row r="7629">
      <c r="A7629" s="4" t="s">
        <v>15149</v>
      </c>
      <c r="B7629" s="5" t="s">
        <v>15150</v>
      </c>
      <c r="C7629" s="6">
        <v>835.0</v>
      </c>
      <c r="D7629" s="6">
        <v>5.0</v>
      </c>
      <c r="E7629" s="6">
        <v>1.0</v>
      </c>
    </row>
    <row r="7630">
      <c r="A7630" s="4" t="s">
        <v>15151</v>
      </c>
      <c r="B7630" s="5" t="s">
        <v>15152</v>
      </c>
      <c r="C7630" s="6">
        <v>835.0</v>
      </c>
      <c r="D7630" s="6">
        <v>5.0</v>
      </c>
      <c r="E7630" s="6">
        <v>3.0</v>
      </c>
    </row>
    <row r="7631">
      <c r="A7631" s="4" t="s">
        <v>15153</v>
      </c>
      <c r="B7631" s="5" t="s">
        <v>15154</v>
      </c>
      <c r="C7631" s="6">
        <v>834.0</v>
      </c>
      <c r="D7631" s="6">
        <v>3.8</v>
      </c>
      <c r="E7631" s="6">
        <v>10.0</v>
      </c>
    </row>
    <row r="7632">
      <c r="A7632" s="4" t="s">
        <v>15155</v>
      </c>
      <c r="B7632" s="5" t="s">
        <v>15156</v>
      </c>
      <c r="C7632" s="6">
        <v>834.0</v>
      </c>
      <c r="D7632" s="6">
        <v>4.428571429</v>
      </c>
      <c r="E7632" s="6">
        <v>14.0</v>
      </c>
    </row>
    <row r="7633">
      <c r="A7633" s="4" t="s">
        <v>15157</v>
      </c>
      <c r="B7633" s="5" t="s">
        <v>15158</v>
      </c>
      <c r="C7633" s="6">
        <v>834.0</v>
      </c>
      <c r="D7633" s="6">
        <v>4.631578947</v>
      </c>
      <c r="E7633" s="6">
        <v>19.0</v>
      </c>
    </row>
    <row r="7634">
      <c r="A7634" s="4" t="s">
        <v>15159</v>
      </c>
      <c r="B7634" s="5" t="s">
        <v>15160</v>
      </c>
      <c r="C7634" s="6">
        <v>834.0</v>
      </c>
      <c r="D7634" s="6">
        <v>5.0</v>
      </c>
      <c r="E7634" s="6">
        <v>1.0</v>
      </c>
    </row>
    <row r="7635">
      <c r="A7635" s="4" t="s">
        <v>15161</v>
      </c>
      <c r="B7635" s="5" t="s">
        <v>15162</v>
      </c>
      <c r="C7635" s="6">
        <v>834.0</v>
      </c>
      <c r="D7635" s="6">
        <v>3.666666667</v>
      </c>
      <c r="E7635" s="6">
        <v>6.0</v>
      </c>
    </row>
    <row r="7636">
      <c r="A7636" s="4" t="s">
        <v>15163</v>
      </c>
      <c r="B7636" s="5" t="s">
        <v>15164</v>
      </c>
      <c r="C7636" s="6">
        <v>833.0</v>
      </c>
      <c r="D7636" s="6">
        <v>5.0</v>
      </c>
      <c r="E7636" s="6">
        <v>21.0</v>
      </c>
    </row>
    <row r="7637">
      <c r="A7637" s="4" t="s">
        <v>15165</v>
      </c>
      <c r="B7637" s="5" t="s">
        <v>15166</v>
      </c>
      <c r="C7637" s="6">
        <v>833.0</v>
      </c>
      <c r="D7637" s="6">
        <v>5.0</v>
      </c>
      <c r="E7637" s="6">
        <v>3.0</v>
      </c>
    </row>
    <row r="7638">
      <c r="A7638" s="4" t="s">
        <v>15167</v>
      </c>
      <c r="B7638" s="5" t="s">
        <v>15168</v>
      </c>
      <c r="C7638" s="6">
        <v>833.0</v>
      </c>
      <c r="D7638" s="6">
        <v>4.714285714</v>
      </c>
      <c r="E7638" s="6">
        <v>7.0</v>
      </c>
    </row>
    <row r="7639">
      <c r="A7639" s="4" t="s">
        <v>15169</v>
      </c>
      <c r="B7639" s="5" t="s">
        <v>15170</v>
      </c>
      <c r="C7639" s="6">
        <v>833.0</v>
      </c>
      <c r="D7639" s="9"/>
      <c r="E7639" s="9"/>
    </row>
    <row r="7640">
      <c r="A7640" s="4" t="s">
        <v>15171</v>
      </c>
      <c r="B7640" s="5" t="s">
        <v>15172</v>
      </c>
      <c r="C7640" s="6">
        <v>833.0</v>
      </c>
      <c r="D7640" s="6">
        <v>4.666666667</v>
      </c>
      <c r="E7640" s="6">
        <v>3.0</v>
      </c>
    </row>
    <row r="7641">
      <c r="A7641" s="4" t="s">
        <v>15173</v>
      </c>
      <c r="B7641" s="5" t="s">
        <v>15174</v>
      </c>
      <c r="C7641" s="6">
        <v>833.0</v>
      </c>
      <c r="D7641" s="6">
        <v>5.0</v>
      </c>
      <c r="E7641" s="6">
        <v>26.0</v>
      </c>
    </row>
    <row r="7642">
      <c r="A7642" s="4" t="s">
        <v>15175</v>
      </c>
      <c r="B7642" s="5" t="s">
        <v>15176</v>
      </c>
      <c r="C7642" s="6">
        <v>833.0</v>
      </c>
      <c r="D7642" s="6">
        <v>4.714285714</v>
      </c>
      <c r="E7642" s="6">
        <v>7.0</v>
      </c>
    </row>
    <row r="7643">
      <c r="A7643" s="4" t="s">
        <v>15177</v>
      </c>
      <c r="B7643" s="5" t="s">
        <v>15178</v>
      </c>
      <c r="C7643" s="6">
        <v>832.0</v>
      </c>
      <c r="D7643" s="6">
        <v>5.0</v>
      </c>
      <c r="E7643" s="6">
        <v>9.0</v>
      </c>
    </row>
    <row r="7644">
      <c r="A7644" s="4" t="s">
        <v>15179</v>
      </c>
      <c r="B7644" s="5" t="s">
        <v>15180</v>
      </c>
      <c r="C7644" s="6">
        <v>832.0</v>
      </c>
      <c r="D7644" s="6">
        <v>5.0</v>
      </c>
      <c r="E7644" s="6">
        <v>5.0</v>
      </c>
    </row>
    <row r="7645">
      <c r="A7645" s="4" t="s">
        <v>15181</v>
      </c>
      <c r="B7645" s="5" t="s">
        <v>15182</v>
      </c>
      <c r="C7645" s="6">
        <v>832.0</v>
      </c>
      <c r="D7645" s="6">
        <v>5.0</v>
      </c>
      <c r="E7645" s="6">
        <v>7.0</v>
      </c>
    </row>
    <row r="7646">
      <c r="A7646" s="4" t="s">
        <v>15183</v>
      </c>
      <c r="B7646" s="5" t="s">
        <v>15184</v>
      </c>
      <c r="C7646" s="6">
        <v>832.0</v>
      </c>
      <c r="D7646" s="6">
        <v>4.4</v>
      </c>
      <c r="E7646" s="6">
        <v>10.0</v>
      </c>
    </row>
    <row r="7647">
      <c r="A7647" s="4" t="s">
        <v>15185</v>
      </c>
      <c r="B7647" s="5" t="s">
        <v>15186</v>
      </c>
      <c r="C7647" s="6">
        <v>832.0</v>
      </c>
      <c r="D7647" s="6">
        <v>4.357142857</v>
      </c>
      <c r="E7647" s="6">
        <v>14.0</v>
      </c>
    </row>
    <row r="7648">
      <c r="A7648" s="4" t="s">
        <v>15187</v>
      </c>
      <c r="B7648" s="5" t="s">
        <v>15188</v>
      </c>
      <c r="C7648" s="6">
        <v>831.0</v>
      </c>
      <c r="D7648" s="6">
        <v>4.0</v>
      </c>
      <c r="E7648" s="6">
        <v>1.0</v>
      </c>
    </row>
    <row r="7649">
      <c r="A7649" s="4" t="s">
        <v>15189</v>
      </c>
      <c r="B7649" s="5" t="s">
        <v>15190</v>
      </c>
      <c r="C7649" s="6">
        <v>831.0</v>
      </c>
      <c r="D7649" s="6">
        <v>5.0</v>
      </c>
      <c r="E7649" s="6">
        <v>7.0</v>
      </c>
    </row>
    <row r="7650">
      <c r="A7650" s="4" t="s">
        <v>15191</v>
      </c>
      <c r="B7650" s="5" t="s">
        <v>15192</v>
      </c>
      <c r="C7650" s="6">
        <v>831.0</v>
      </c>
      <c r="D7650" s="6">
        <v>2.5</v>
      </c>
      <c r="E7650" s="6">
        <v>2.0</v>
      </c>
    </row>
    <row r="7651">
      <c r="A7651" s="4" t="s">
        <v>15193</v>
      </c>
      <c r="B7651" s="5" t="s">
        <v>15194</v>
      </c>
      <c r="C7651" s="6">
        <v>831.0</v>
      </c>
      <c r="D7651" s="6">
        <v>1.571428571</v>
      </c>
      <c r="E7651" s="6">
        <v>7.0</v>
      </c>
    </row>
    <row r="7652">
      <c r="A7652" s="4" t="s">
        <v>15195</v>
      </c>
      <c r="B7652" s="5" t="s">
        <v>15196</v>
      </c>
      <c r="C7652" s="6">
        <v>831.0</v>
      </c>
      <c r="D7652" s="6">
        <v>3.0</v>
      </c>
      <c r="E7652" s="6">
        <v>9.0</v>
      </c>
    </row>
    <row r="7653">
      <c r="A7653" s="4" t="s">
        <v>15197</v>
      </c>
      <c r="B7653" s="5" t="s">
        <v>15198</v>
      </c>
      <c r="C7653" s="6">
        <v>831.0</v>
      </c>
      <c r="D7653" s="6">
        <v>4.444444444</v>
      </c>
      <c r="E7653" s="6">
        <v>9.0</v>
      </c>
    </row>
    <row r="7654">
      <c r="A7654" s="4" t="s">
        <v>15199</v>
      </c>
      <c r="B7654" s="5" t="s">
        <v>15200</v>
      </c>
      <c r="C7654" s="6">
        <v>830.0</v>
      </c>
      <c r="D7654" s="6">
        <v>3.523809524</v>
      </c>
      <c r="E7654" s="6">
        <v>21.0</v>
      </c>
    </row>
    <row r="7655">
      <c r="A7655" s="4" t="s">
        <v>15201</v>
      </c>
      <c r="B7655" s="5" t="s">
        <v>15202</v>
      </c>
      <c r="C7655" s="6">
        <v>830.0</v>
      </c>
      <c r="D7655" s="6">
        <v>4.0</v>
      </c>
      <c r="E7655" s="6">
        <v>4.0</v>
      </c>
    </row>
    <row r="7656">
      <c r="A7656" s="4" t="s">
        <v>15203</v>
      </c>
      <c r="B7656" s="5" t="s">
        <v>15204</v>
      </c>
      <c r="C7656" s="6">
        <v>830.0</v>
      </c>
      <c r="D7656" s="6">
        <v>3.5</v>
      </c>
      <c r="E7656" s="6">
        <v>6.0</v>
      </c>
    </row>
    <row r="7657">
      <c r="A7657" s="4" t="s">
        <v>15205</v>
      </c>
      <c r="B7657" s="5" t="s">
        <v>15206</v>
      </c>
      <c r="C7657" s="6">
        <v>830.0</v>
      </c>
      <c r="D7657" s="6">
        <v>5.0</v>
      </c>
      <c r="E7657" s="6">
        <v>3.0</v>
      </c>
    </row>
    <row r="7658">
      <c r="A7658" s="4" t="s">
        <v>15207</v>
      </c>
      <c r="B7658" s="5" t="s">
        <v>15208</v>
      </c>
      <c r="C7658" s="6">
        <v>830.0</v>
      </c>
      <c r="D7658" s="6">
        <v>5.0</v>
      </c>
      <c r="E7658" s="6">
        <v>2.0</v>
      </c>
    </row>
    <row r="7659">
      <c r="A7659" s="4" t="s">
        <v>15209</v>
      </c>
      <c r="B7659" s="5" t="s">
        <v>15210</v>
      </c>
      <c r="C7659" s="6">
        <v>830.0</v>
      </c>
      <c r="D7659" s="6">
        <v>2.5</v>
      </c>
      <c r="E7659" s="6">
        <v>2.0</v>
      </c>
    </row>
    <row r="7660">
      <c r="A7660" s="4" t="s">
        <v>15211</v>
      </c>
      <c r="B7660" s="5" t="s">
        <v>15212</v>
      </c>
      <c r="C7660" s="6">
        <v>829.0</v>
      </c>
      <c r="D7660" s="6">
        <v>5.0</v>
      </c>
      <c r="E7660" s="6">
        <v>12.0</v>
      </c>
    </row>
    <row r="7661">
      <c r="A7661" s="4" t="s">
        <v>15213</v>
      </c>
      <c r="B7661" s="5" t="s">
        <v>15214</v>
      </c>
      <c r="C7661" s="6">
        <v>829.0</v>
      </c>
      <c r="D7661" s="6">
        <v>5.0</v>
      </c>
      <c r="E7661" s="6">
        <v>2.0</v>
      </c>
    </row>
    <row r="7662">
      <c r="A7662" s="4" t="s">
        <v>15215</v>
      </c>
      <c r="B7662" s="5" t="s">
        <v>15216</v>
      </c>
      <c r="C7662" s="6">
        <v>829.0</v>
      </c>
      <c r="D7662" s="6">
        <v>5.0</v>
      </c>
      <c r="E7662" s="6">
        <v>2.0</v>
      </c>
    </row>
    <row r="7663">
      <c r="A7663" s="4" t="s">
        <v>15217</v>
      </c>
      <c r="B7663" s="5" t="s">
        <v>15218</v>
      </c>
      <c r="C7663" s="6">
        <v>828.0</v>
      </c>
      <c r="D7663" s="6">
        <v>4.4375</v>
      </c>
      <c r="E7663" s="6">
        <v>16.0</v>
      </c>
    </row>
    <row r="7664">
      <c r="A7664" s="4" t="s">
        <v>15219</v>
      </c>
      <c r="B7664" s="5" t="s">
        <v>15220</v>
      </c>
      <c r="C7664" s="6">
        <v>828.0</v>
      </c>
      <c r="D7664" s="6">
        <v>3.666666667</v>
      </c>
      <c r="E7664" s="6">
        <v>9.0</v>
      </c>
    </row>
    <row r="7665">
      <c r="A7665" s="4" t="s">
        <v>15221</v>
      </c>
      <c r="B7665" s="5" t="s">
        <v>15222</v>
      </c>
      <c r="C7665" s="6">
        <v>828.0</v>
      </c>
      <c r="D7665" s="6">
        <v>4.65625</v>
      </c>
      <c r="E7665" s="6">
        <v>32.0</v>
      </c>
    </row>
    <row r="7666">
      <c r="A7666" s="4" t="s">
        <v>15223</v>
      </c>
      <c r="B7666" s="5" t="s">
        <v>15224</v>
      </c>
      <c r="C7666" s="6">
        <v>828.0</v>
      </c>
      <c r="D7666" s="6">
        <v>5.0</v>
      </c>
      <c r="E7666" s="6">
        <v>1.0</v>
      </c>
    </row>
    <row r="7667">
      <c r="A7667" s="4" t="s">
        <v>15225</v>
      </c>
      <c r="B7667" s="5" t="s">
        <v>15226</v>
      </c>
      <c r="C7667" s="6">
        <v>827.0</v>
      </c>
      <c r="D7667" s="6">
        <v>3.666666667</v>
      </c>
      <c r="E7667" s="6">
        <v>3.0</v>
      </c>
    </row>
    <row r="7668">
      <c r="A7668" s="4" t="s">
        <v>15227</v>
      </c>
      <c r="B7668" s="5" t="s">
        <v>15228</v>
      </c>
      <c r="C7668" s="6">
        <v>827.0</v>
      </c>
      <c r="D7668" s="6">
        <v>5.0</v>
      </c>
      <c r="E7668" s="6">
        <v>4.0</v>
      </c>
    </row>
    <row r="7669">
      <c r="A7669" s="4" t="s">
        <v>15229</v>
      </c>
      <c r="B7669" s="5" t="s">
        <v>15230</v>
      </c>
      <c r="C7669" s="6">
        <v>826.0</v>
      </c>
      <c r="D7669" s="6">
        <v>5.0</v>
      </c>
      <c r="E7669" s="6">
        <v>16.0</v>
      </c>
    </row>
    <row r="7670">
      <c r="A7670" s="4" t="s">
        <v>15231</v>
      </c>
      <c r="B7670" s="5" t="s">
        <v>15232</v>
      </c>
      <c r="C7670" s="6">
        <v>826.0</v>
      </c>
      <c r="D7670" s="9"/>
      <c r="E7670" s="9"/>
    </row>
    <row r="7671">
      <c r="A7671" s="4" t="s">
        <v>15233</v>
      </c>
      <c r="B7671" s="5" t="s">
        <v>15234</v>
      </c>
      <c r="C7671" s="6">
        <v>825.0</v>
      </c>
      <c r="D7671" s="9"/>
      <c r="E7671" s="9"/>
    </row>
    <row r="7672">
      <c r="A7672" s="4" t="s">
        <v>15235</v>
      </c>
      <c r="B7672" s="5" t="s">
        <v>15236</v>
      </c>
      <c r="C7672" s="6">
        <v>825.0</v>
      </c>
      <c r="D7672" s="9"/>
      <c r="E7672" s="9"/>
    </row>
    <row r="7673">
      <c r="A7673" s="4" t="s">
        <v>15237</v>
      </c>
      <c r="B7673" s="5" t="s">
        <v>15238</v>
      </c>
      <c r="C7673" s="6">
        <v>825.0</v>
      </c>
      <c r="D7673" s="6">
        <v>5.0</v>
      </c>
      <c r="E7673" s="6">
        <v>9.0</v>
      </c>
    </row>
    <row r="7674">
      <c r="A7674" s="4" t="s">
        <v>15239</v>
      </c>
      <c r="B7674" s="5" t="s">
        <v>15240</v>
      </c>
      <c r="C7674" s="6">
        <v>825.0</v>
      </c>
      <c r="D7674" s="6">
        <v>3.0</v>
      </c>
      <c r="E7674" s="6">
        <v>3.0</v>
      </c>
    </row>
    <row r="7675">
      <c r="A7675" s="4" t="s">
        <v>15241</v>
      </c>
      <c r="B7675" s="5" t="s">
        <v>15242</v>
      </c>
      <c r="C7675" s="6">
        <v>825.0</v>
      </c>
      <c r="D7675" s="6">
        <v>5.0</v>
      </c>
      <c r="E7675" s="6">
        <v>1.0</v>
      </c>
    </row>
    <row r="7676">
      <c r="A7676" s="4" t="s">
        <v>15243</v>
      </c>
      <c r="B7676" s="5" t="s">
        <v>15244</v>
      </c>
      <c r="C7676" s="6">
        <v>825.0</v>
      </c>
      <c r="D7676" s="6">
        <v>4.666666667</v>
      </c>
      <c r="E7676" s="6">
        <v>57.0</v>
      </c>
    </row>
    <row r="7677">
      <c r="A7677" s="4" t="s">
        <v>15245</v>
      </c>
      <c r="B7677" s="5" t="s">
        <v>15246</v>
      </c>
      <c r="C7677" s="6">
        <v>824.0</v>
      </c>
      <c r="D7677" s="6">
        <v>2.214285714</v>
      </c>
      <c r="E7677" s="6">
        <v>14.0</v>
      </c>
    </row>
    <row r="7678">
      <c r="A7678" s="4" t="s">
        <v>15247</v>
      </c>
      <c r="B7678" s="5" t="s">
        <v>15248</v>
      </c>
      <c r="C7678" s="6">
        <v>824.0</v>
      </c>
      <c r="D7678" s="6">
        <v>5.0</v>
      </c>
      <c r="E7678" s="6">
        <v>12.0</v>
      </c>
    </row>
    <row r="7679">
      <c r="A7679" s="4" t="s">
        <v>15249</v>
      </c>
      <c r="B7679" s="5" t="s">
        <v>15250</v>
      </c>
      <c r="C7679" s="6">
        <v>824.0</v>
      </c>
      <c r="D7679" s="6">
        <v>4.821428571</v>
      </c>
      <c r="E7679" s="6">
        <v>28.0</v>
      </c>
    </row>
    <row r="7680">
      <c r="A7680" s="4" t="s">
        <v>15251</v>
      </c>
      <c r="B7680" s="5" t="s">
        <v>15252</v>
      </c>
      <c r="C7680" s="6">
        <v>824.0</v>
      </c>
      <c r="D7680" s="6">
        <v>3.875</v>
      </c>
      <c r="E7680" s="6">
        <v>8.0</v>
      </c>
    </row>
    <row r="7681">
      <c r="A7681" s="4" t="s">
        <v>15253</v>
      </c>
      <c r="B7681" s="5" t="s">
        <v>15254</v>
      </c>
      <c r="C7681" s="6">
        <v>823.0</v>
      </c>
      <c r="D7681" s="6">
        <v>4.0</v>
      </c>
      <c r="E7681" s="6">
        <v>30.0</v>
      </c>
    </row>
    <row r="7682">
      <c r="A7682" s="4" t="s">
        <v>15255</v>
      </c>
      <c r="B7682" s="5" t="s">
        <v>15256</v>
      </c>
      <c r="C7682" s="6">
        <v>823.0</v>
      </c>
      <c r="D7682" s="6">
        <v>4.6</v>
      </c>
      <c r="E7682" s="6">
        <v>5.0</v>
      </c>
    </row>
    <row r="7683">
      <c r="A7683" s="4" t="s">
        <v>15257</v>
      </c>
      <c r="B7683" s="5" t="s">
        <v>15258</v>
      </c>
      <c r="C7683" s="6">
        <v>823.0</v>
      </c>
      <c r="D7683" s="6">
        <v>5.0</v>
      </c>
      <c r="E7683" s="6">
        <v>6.0</v>
      </c>
    </row>
    <row r="7684">
      <c r="A7684" s="4" t="s">
        <v>15259</v>
      </c>
      <c r="B7684" s="5" t="s">
        <v>15260</v>
      </c>
      <c r="C7684" s="6">
        <v>823.0</v>
      </c>
      <c r="D7684" s="6">
        <v>4.75</v>
      </c>
      <c r="E7684" s="6">
        <v>28.0</v>
      </c>
    </row>
    <row r="7685">
      <c r="A7685" s="4" t="s">
        <v>15261</v>
      </c>
      <c r="B7685" s="5" t="s">
        <v>15262</v>
      </c>
      <c r="C7685" s="6">
        <v>823.0</v>
      </c>
      <c r="D7685" s="6">
        <v>3.352941176</v>
      </c>
      <c r="E7685" s="6">
        <v>17.0</v>
      </c>
    </row>
    <row r="7686">
      <c r="A7686" s="4" t="s">
        <v>15263</v>
      </c>
      <c r="B7686" s="5" t="s">
        <v>15264</v>
      </c>
      <c r="C7686" s="6">
        <v>823.0</v>
      </c>
      <c r="D7686" s="6">
        <v>4.095238095</v>
      </c>
      <c r="E7686" s="6">
        <v>21.0</v>
      </c>
    </row>
    <row r="7687">
      <c r="A7687" s="4" t="s">
        <v>15265</v>
      </c>
      <c r="B7687" s="5" t="s">
        <v>15266</v>
      </c>
      <c r="C7687" s="6">
        <v>822.0</v>
      </c>
      <c r="D7687" s="6">
        <v>2.666666667</v>
      </c>
      <c r="E7687" s="6">
        <v>15.0</v>
      </c>
    </row>
    <row r="7688">
      <c r="A7688" s="4" t="s">
        <v>15267</v>
      </c>
      <c r="B7688" s="5" t="s">
        <v>15268</v>
      </c>
      <c r="C7688" s="6">
        <v>822.0</v>
      </c>
      <c r="D7688" s="6">
        <v>5.0</v>
      </c>
      <c r="E7688" s="6">
        <v>6.0</v>
      </c>
    </row>
    <row r="7689">
      <c r="A7689" s="4" t="s">
        <v>15269</v>
      </c>
      <c r="B7689" s="5" t="s">
        <v>15270</v>
      </c>
      <c r="C7689" s="6">
        <v>822.0</v>
      </c>
      <c r="D7689" s="6">
        <v>4.633333333</v>
      </c>
      <c r="E7689" s="6">
        <v>30.0</v>
      </c>
    </row>
    <row r="7690">
      <c r="A7690" s="4" t="s">
        <v>15271</v>
      </c>
      <c r="B7690" s="5" t="s">
        <v>15272</v>
      </c>
      <c r="C7690" s="6">
        <v>821.0</v>
      </c>
      <c r="D7690" s="9"/>
      <c r="E7690" s="9"/>
    </row>
    <row r="7691">
      <c r="A7691" s="4" t="s">
        <v>15273</v>
      </c>
      <c r="B7691" s="5" t="s">
        <v>15274</v>
      </c>
      <c r="C7691" s="6">
        <v>821.0</v>
      </c>
      <c r="D7691" s="6">
        <v>5.0</v>
      </c>
      <c r="E7691" s="6">
        <v>2.0</v>
      </c>
    </row>
    <row r="7692">
      <c r="A7692" s="4" t="s">
        <v>15275</v>
      </c>
      <c r="B7692" s="5" t="s">
        <v>15276</v>
      </c>
      <c r="C7692" s="6">
        <v>821.0</v>
      </c>
      <c r="D7692" s="9"/>
      <c r="E7692" s="9"/>
    </row>
    <row r="7693">
      <c r="A7693" s="4" t="s">
        <v>15277</v>
      </c>
      <c r="B7693" s="5" t="s">
        <v>15278</v>
      </c>
      <c r="C7693" s="6">
        <v>821.0</v>
      </c>
      <c r="D7693" s="6">
        <v>4.375</v>
      </c>
      <c r="E7693" s="6">
        <v>8.0</v>
      </c>
    </row>
    <row r="7694">
      <c r="A7694" s="4" t="s">
        <v>15279</v>
      </c>
      <c r="B7694" s="5" t="s">
        <v>15280</v>
      </c>
      <c r="C7694" s="6">
        <v>820.0</v>
      </c>
      <c r="D7694" s="6">
        <v>5.0</v>
      </c>
      <c r="E7694" s="6">
        <v>4.0</v>
      </c>
    </row>
    <row r="7695">
      <c r="A7695" s="4" t="s">
        <v>15281</v>
      </c>
      <c r="B7695" s="5" t="s">
        <v>15282</v>
      </c>
      <c r="C7695" s="6">
        <v>820.0</v>
      </c>
      <c r="D7695" s="6">
        <v>4.434782609</v>
      </c>
      <c r="E7695" s="6">
        <v>23.0</v>
      </c>
    </row>
    <row r="7696">
      <c r="A7696" s="4" t="s">
        <v>15283</v>
      </c>
      <c r="B7696" s="5" t="s">
        <v>15284</v>
      </c>
      <c r="C7696" s="6">
        <v>820.0</v>
      </c>
      <c r="D7696" s="6">
        <v>5.0</v>
      </c>
      <c r="E7696" s="6">
        <v>2.0</v>
      </c>
    </row>
    <row r="7697">
      <c r="A7697" s="4" t="s">
        <v>15285</v>
      </c>
      <c r="B7697" s="5" t="s">
        <v>15286</v>
      </c>
      <c r="C7697" s="6">
        <v>820.0</v>
      </c>
      <c r="D7697" s="6">
        <v>3.913043478</v>
      </c>
      <c r="E7697" s="6">
        <v>23.0</v>
      </c>
    </row>
    <row r="7698">
      <c r="A7698" s="4" t="s">
        <v>15287</v>
      </c>
      <c r="B7698" s="5" t="s">
        <v>15288</v>
      </c>
      <c r="C7698" s="6">
        <v>820.0</v>
      </c>
      <c r="D7698" s="6">
        <v>5.0</v>
      </c>
      <c r="E7698" s="6">
        <v>3.0</v>
      </c>
    </row>
    <row r="7699">
      <c r="A7699" s="4" t="s">
        <v>15289</v>
      </c>
      <c r="B7699" s="5" t="s">
        <v>15290</v>
      </c>
      <c r="C7699" s="6">
        <v>820.0</v>
      </c>
      <c r="D7699" s="6">
        <v>4.0</v>
      </c>
      <c r="E7699" s="6">
        <v>3.0</v>
      </c>
    </row>
    <row r="7700">
      <c r="A7700" s="4" t="s">
        <v>15291</v>
      </c>
      <c r="B7700" s="5" t="s">
        <v>15292</v>
      </c>
      <c r="C7700" s="6">
        <v>820.0</v>
      </c>
      <c r="D7700" s="6">
        <v>5.0</v>
      </c>
      <c r="E7700" s="6">
        <v>4.0</v>
      </c>
    </row>
    <row r="7701">
      <c r="A7701" s="4" t="s">
        <v>15293</v>
      </c>
      <c r="B7701" s="5" t="s">
        <v>15294</v>
      </c>
      <c r="C7701" s="6">
        <v>819.0</v>
      </c>
      <c r="D7701" s="6">
        <v>3.111111111</v>
      </c>
      <c r="E7701" s="6">
        <v>9.0</v>
      </c>
    </row>
    <row r="7702">
      <c r="A7702" s="4" t="s">
        <v>15295</v>
      </c>
      <c r="B7702" s="5" t="s">
        <v>15296</v>
      </c>
      <c r="C7702" s="6">
        <v>819.0</v>
      </c>
      <c r="D7702" s="6">
        <v>2.333333333</v>
      </c>
      <c r="E7702" s="6">
        <v>3.0</v>
      </c>
    </row>
    <row r="7703">
      <c r="A7703" s="4" t="s">
        <v>15297</v>
      </c>
      <c r="B7703" s="5" t="s">
        <v>15298</v>
      </c>
      <c r="C7703" s="6">
        <v>818.0</v>
      </c>
      <c r="D7703" s="6">
        <v>4.125</v>
      </c>
      <c r="E7703" s="6">
        <v>24.0</v>
      </c>
    </row>
    <row r="7704">
      <c r="A7704" s="4" t="s">
        <v>15299</v>
      </c>
      <c r="B7704" s="5" t="s">
        <v>15300</v>
      </c>
      <c r="C7704" s="6">
        <v>818.0</v>
      </c>
      <c r="D7704" s="6">
        <v>4.24137931</v>
      </c>
      <c r="E7704" s="6">
        <v>29.0</v>
      </c>
    </row>
    <row r="7705">
      <c r="A7705" s="4" t="s">
        <v>1187</v>
      </c>
      <c r="B7705" s="5" t="s">
        <v>15301</v>
      </c>
      <c r="C7705" s="6">
        <v>818.0</v>
      </c>
      <c r="D7705" s="6">
        <v>2.333333333</v>
      </c>
      <c r="E7705" s="6">
        <v>6.0</v>
      </c>
    </row>
    <row r="7706">
      <c r="A7706" s="4" t="s">
        <v>15302</v>
      </c>
      <c r="B7706" s="5" t="s">
        <v>15303</v>
      </c>
      <c r="C7706" s="6">
        <v>818.0</v>
      </c>
      <c r="D7706" s="6">
        <v>4.0</v>
      </c>
      <c r="E7706" s="6">
        <v>6.0</v>
      </c>
    </row>
    <row r="7707">
      <c r="A7707" s="4" t="s">
        <v>15304</v>
      </c>
      <c r="B7707" s="5" t="s">
        <v>15305</v>
      </c>
      <c r="C7707" s="6">
        <v>817.0</v>
      </c>
      <c r="D7707" s="6">
        <v>4.3125</v>
      </c>
      <c r="E7707" s="6">
        <v>16.0</v>
      </c>
    </row>
    <row r="7708">
      <c r="A7708" s="4" t="s">
        <v>15306</v>
      </c>
      <c r="B7708" s="5" t="s">
        <v>15307</v>
      </c>
      <c r="C7708" s="6">
        <v>817.0</v>
      </c>
      <c r="D7708" s="6">
        <v>5.0</v>
      </c>
      <c r="E7708" s="6">
        <v>1.0</v>
      </c>
    </row>
    <row r="7709">
      <c r="A7709" s="4" t="s">
        <v>15308</v>
      </c>
      <c r="B7709" s="5" t="s">
        <v>15309</v>
      </c>
      <c r="C7709" s="6">
        <v>816.0</v>
      </c>
      <c r="D7709" s="6">
        <v>4.714285714</v>
      </c>
      <c r="E7709" s="6">
        <v>7.0</v>
      </c>
    </row>
    <row r="7710">
      <c r="A7710" s="4" t="s">
        <v>15310</v>
      </c>
      <c r="B7710" s="5" t="s">
        <v>15311</v>
      </c>
      <c r="C7710" s="6">
        <v>816.0</v>
      </c>
      <c r="D7710" s="6">
        <v>4.8</v>
      </c>
      <c r="E7710" s="6">
        <v>5.0</v>
      </c>
    </row>
    <row r="7711">
      <c r="A7711" s="4" t="s">
        <v>15312</v>
      </c>
      <c r="B7711" s="5" t="s">
        <v>15313</v>
      </c>
      <c r="C7711" s="6">
        <v>816.0</v>
      </c>
      <c r="D7711" s="6">
        <v>4.5</v>
      </c>
      <c r="E7711" s="6">
        <v>2.0</v>
      </c>
    </row>
    <row r="7712">
      <c r="A7712" s="4" t="s">
        <v>15314</v>
      </c>
      <c r="B7712" s="5" t="s">
        <v>15315</v>
      </c>
      <c r="C7712" s="6">
        <v>815.0</v>
      </c>
      <c r="D7712" s="6">
        <v>3.975609756</v>
      </c>
      <c r="E7712" s="6">
        <v>41.0</v>
      </c>
    </row>
    <row r="7713">
      <c r="A7713" s="4" t="s">
        <v>15316</v>
      </c>
      <c r="B7713" s="5" t="s">
        <v>15317</v>
      </c>
      <c r="C7713" s="6">
        <v>815.0</v>
      </c>
      <c r="D7713" s="6">
        <v>4.285714286</v>
      </c>
      <c r="E7713" s="6">
        <v>7.0</v>
      </c>
    </row>
    <row r="7714">
      <c r="A7714" s="4" t="s">
        <v>15318</v>
      </c>
      <c r="B7714" s="5" t="s">
        <v>15319</v>
      </c>
      <c r="C7714" s="6">
        <v>815.0</v>
      </c>
      <c r="D7714" s="6">
        <v>3.909090909</v>
      </c>
      <c r="E7714" s="6">
        <v>11.0</v>
      </c>
    </row>
    <row r="7715">
      <c r="A7715" s="4" t="s">
        <v>15320</v>
      </c>
      <c r="B7715" s="5" t="s">
        <v>15321</v>
      </c>
      <c r="C7715" s="6">
        <v>815.0</v>
      </c>
      <c r="D7715" s="6">
        <v>2.714285714</v>
      </c>
      <c r="E7715" s="6">
        <v>14.0</v>
      </c>
    </row>
    <row r="7716">
      <c r="A7716" s="4" t="s">
        <v>15322</v>
      </c>
      <c r="B7716" s="5" t="s">
        <v>15323</v>
      </c>
      <c r="C7716" s="6">
        <v>814.0</v>
      </c>
      <c r="D7716" s="6">
        <v>5.0</v>
      </c>
      <c r="E7716" s="6">
        <v>3.0</v>
      </c>
    </row>
    <row r="7717">
      <c r="A7717" s="4" t="s">
        <v>15324</v>
      </c>
      <c r="B7717" s="5" t="s">
        <v>15325</v>
      </c>
      <c r="C7717" s="6">
        <v>814.0</v>
      </c>
      <c r="D7717" s="6">
        <v>3.857142857</v>
      </c>
      <c r="E7717" s="6">
        <v>7.0</v>
      </c>
    </row>
    <row r="7718">
      <c r="A7718" s="4" t="s">
        <v>15326</v>
      </c>
      <c r="B7718" s="5" t="s">
        <v>15327</v>
      </c>
      <c r="C7718" s="6">
        <v>814.0</v>
      </c>
      <c r="D7718" s="6">
        <v>3.833333333</v>
      </c>
      <c r="E7718" s="6">
        <v>6.0</v>
      </c>
    </row>
    <row r="7719">
      <c r="A7719" s="4" t="s">
        <v>15328</v>
      </c>
      <c r="B7719" s="5" t="s">
        <v>15329</v>
      </c>
      <c r="C7719" s="6">
        <v>814.0</v>
      </c>
      <c r="D7719" s="6">
        <v>4.0</v>
      </c>
      <c r="E7719" s="6">
        <v>1.0</v>
      </c>
    </row>
    <row r="7720">
      <c r="A7720" s="4" t="s">
        <v>15330</v>
      </c>
      <c r="B7720" s="5" t="s">
        <v>15331</v>
      </c>
      <c r="C7720" s="6">
        <v>814.0</v>
      </c>
      <c r="D7720" s="6">
        <v>5.0</v>
      </c>
      <c r="E7720" s="6">
        <v>5.0</v>
      </c>
    </row>
    <row r="7721">
      <c r="A7721" s="4" t="s">
        <v>15332</v>
      </c>
      <c r="B7721" s="5" t="s">
        <v>15333</v>
      </c>
      <c r="C7721" s="6">
        <v>814.0</v>
      </c>
      <c r="D7721" s="6">
        <v>3.85</v>
      </c>
      <c r="E7721" s="6">
        <v>20.0</v>
      </c>
    </row>
    <row r="7722">
      <c r="A7722" s="4" t="s">
        <v>15334</v>
      </c>
      <c r="B7722" s="5" t="s">
        <v>15335</v>
      </c>
      <c r="C7722" s="6">
        <v>813.0</v>
      </c>
      <c r="D7722" s="6">
        <v>5.0</v>
      </c>
      <c r="E7722" s="6">
        <v>2.0</v>
      </c>
    </row>
    <row r="7723">
      <c r="A7723" s="4" t="s">
        <v>15336</v>
      </c>
      <c r="B7723" s="5" t="s">
        <v>15337</v>
      </c>
      <c r="C7723" s="6">
        <v>813.0</v>
      </c>
      <c r="D7723" s="6">
        <v>5.0</v>
      </c>
      <c r="E7723" s="6">
        <v>5.0</v>
      </c>
    </row>
    <row r="7724">
      <c r="A7724" s="4" t="s">
        <v>15338</v>
      </c>
      <c r="B7724" s="5" t="s">
        <v>15339</v>
      </c>
      <c r="C7724" s="6">
        <v>813.0</v>
      </c>
      <c r="D7724" s="6">
        <v>3.0</v>
      </c>
      <c r="E7724" s="6">
        <v>2.0</v>
      </c>
    </row>
    <row r="7725">
      <c r="A7725" s="4" t="s">
        <v>15340</v>
      </c>
      <c r="B7725" s="5" t="s">
        <v>15341</v>
      </c>
      <c r="C7725" s="6">
        <v>813.0</v>
      </c>
      <c r="D7725" s="6">
        <v>4.75</v>
      </c>
      <c r="E7725" s="6">
        <v>8.0</v>
      </c>
    </row>
    <row r="7726">
      <c r="A7726" s="4" t="s">
        <v>15342</v>
      </c>
      <c r="B7726" s="5" t="s">
        <v>15343</v>
      </c>
      <c r="C7726" s="6">
        <v>812.0</v>
      </c>
      <c r="D7726" s="6">
        <v>3.090909091</v>
      </c>
      <c r="E7726" s="6">
        <v>11.0</v>
      </c>
    </row>
    <row r="7727">
      <c r="A7727" s="4" t="s">
        <v>15344</v>
      </c>
      <c r="B7727" s="5" t="s">
        <v>15345</v>
      </c>
      <c r="C7727" s="6">
        <v>812.0</v>
      </c>
      <c r="D7727" s="6">
        <v>4.063492063</v>
      </c>
      <c r="E7727" s="6">
        <v>63.0</v>
      </c>
    </row>
    <row r="7728">
      <c r="A7728" s="4" t="s">
        <v>15346</v>
      </c>
      <c r="B7728" s="5" t="s">
        <v>15347</v>
      </c>
      <c r="C7728" s="6">
        <v>811.0</v>
      </c>
      <c r="D7728" s="6">
        <v>4.827586207</v>
      </c>
      <c r="E7728" s="6">
        <v>29.0</v>
      </c>
    </row>
    <row r="7729">
      <c r="A7729" s="4" t="s">
        <v>15348</v>
      </c>
      <c r="B7729" s="5" t="s">
        <v>15349</v>
      </c>
      <c r="C7729" s="6">
        <v>811.0</v>
      </c>
      <c r="D7729" s="6">
        <v>3.384615385</v>
      </c>
      <c r="E7729" s="6">
        <v>13.0</v>
      </c>
    </row>
    <row r="7730">
      <c r="A7730" s="4" t="s">
        <v>15350</v>
      </c>
      <c r="B7730" s="5" t="s">
        <v>15351</v>
      </c>
      <c r="C7730" s="6">
        <v>811.0</v>
      </c>
      <c r="D7730" s="6">
        <v>3.4</v>
      </c>
      <c r="E7730" s="6">
        <v>10.0</v>
      </c>
    </row>
    <row r="7731">
      <c r="A7731" s="4" t="s">
        <v>15352</v>
      </c>
      <c r="B7731" s="5" t="s">
        <v>15353</v>
      </c>
      <c r="C7731" s="6">
        <v>811.0</v>
      </c>
      <c r="D7731" s="6">
        <v>5.0</v>
      </c>
      <c r="E7731" s="6">
        <v>12.0</v>
      </c>
    </row>
    <row r="7732">
      <c r="A7732" s="4" t="s">
        <v>15354</v>
      </c>
      <c r="B7732" s="5" t="s">
        <v>15355</v>
      </c>
      <c r="C7732" s="6">
        <v>810.0</v>
      </c>
      <c r="D7732" s="6">
        <v>4.0</v>
      </c>
      <c r="E7732" s="6">
        <v>9.0</v>
      </c>
    </row>
    <row r="7733">
      <c r="A7733" s="4" t="s">
        <v>15356</v>
      </c>
      <c r="B7733" s="5" t="s">
        <v>15357</v>
      </c>
      <c r="C7733" s="6">
        <v>810.0</v>
      </c>
      <c r="D7733" s="6">
        <v>3.3125</v>
      </c>
      <c r="E7733" s="6">
        <v>16.0</v>
      </c>
    </row>
    <row r="7734">
      <c r="A7734" s="4" t="s">
        <v>15358</v>
      </c>
      <c r="B7734" s="5" t="s">
        <v>15359</v>
      </c>
      <c r="C7734" s="6">
        <v>810.0</v>
      </c>
      <c r="D7734" s="6">
        <v>4.363636364</v>
      </c>
      <c r="E7734" s="6">
        <v>11.0</v>
      </c>
    </row>
    <row r="7735">
      <c r="A7735" s="4" t="s">
        <v>15360</v>
      </c>
      <c r="B7735" s="5" t="s">
        <v>15361</v>
      </c>
      <c r="C7735" s="6">
        <v>810.0</v>
      </c>
      <c r="D7735" s="6">
        <v>3.470588235</v>
      </c>
      <c r="E7735" s="6">
        <v>17.0</v>
      </c>
    </row>
    <row r="7736">
      <c r="A7736" s="4" t="s">
        <v>15362</v>
      </c>
      <c r="B7736" s="5" t="s">
        <v>15363</v>
      </c>
      <c r="C7736" s="6">
        <v>810.0</v>
      </c>
      <c r="D7736" s="6">
        <v>3.909090909</v>
      </c>
      <c r="E7736" s="6">
        <v>22.0</v>
      </c>
    </row>
    <row r="7737">
      <c r="A7737" s="4" t="s">
        <v>15364</v>
      </c>
      <c r="B7737" s="5" t="s">
        <v>15365</v>
      </c>
      <c r="C7737" s="6">
        <v>810.0</v>
      </c>
      <c r="D7737" s="6">
        <v>3.181818182</v>
      </c>
      <c r="E7737" s="6">
        <v>11.0</v>
      </c>
    </row>
    <row r="7738">
      <c r="A7738" s="4" t="s">
        <v>15366</v>
      </c>
      <c r="B7738" s="5" t="s">
        <v>15367</v>
      </c>
      <c r="C7738" s="6">
        <v>809.0</v>
      </c>
      <c r="D7738" s="6">
        <v>5.0</v>
      </c>
      <c r="E7738" s="6">
        <v>3.0</v>
      </c>
    </row>
    <row r="7739">
      <c r="A7739" s="4" t="s">
        <v>15368</v>
      </c>
      <c r="B7739" s="5" t="s">
        <v>15369</v>
      </c>
      <c r="C7739" s="6">
        <v>809.0</v>
      </c>
      <c r="D7739" s="6">
        <v>4.4</v>
      </c>
      <c r="E7739" s="6">
        <v>5.0</v>
      </c>
    </row>
    <row r="7740">
      <c r="A7740" s="4" t="s">
        <v>15370</v>
      </c>
      <c r="B7740" s="5" t="s">
        <v>15371</v>
      </c>
      <c r="C7740" s="6">
        <v>809.0</v>
      </c>
      <c r="D7740" s="6">
        <v>5.0</v>
      </c>
      <c r="E7740" s="6">
        <v>5.0</v>
      </c>
    </row>
    <row r="7741">
      <c r="A7741" s="4" t="s">
        <v>15372</v>
      </c>
      <c r="B7741" s="5" t="s">
        <v>15373</v>
      </c>
      <c r="C7741" s="6">
        <v>808.0</v>
      </c>
      <c r="D7741" s="6">
        <v>5.0</v>
      </c>
      <c r="E7741" s="6">
        <v>1.0</v>
      </c>
    </row>
    <row r="7742">
      <c r="A7742" s="4" t="s">
        <v>15374</v>
      </c>
      <c r="B7742" s="5" t="s">
        <v>15375</v>
      </c>
      <c r="C7742" s="6">
        <v>808.0</v>
      </c>
      <c r="D7742" s="6">
        <v>3.3125</v>
      </c>
      <c r="E7742" s="6">
        <v>16.0</v>
      </c>
    </row>
    <row r="7743">
      <c r="A7743" s="4" t="s">
        <v>15376</v>
      </c>
      <c r="B7743" s="5" t="s">
        <v>15377</v>
      </c>
      <c r="C7743" s="6">
        <v>808.0</v>
      </c>
      <c r="D7743" s="6">
        <v>4.666666667</v>
      </c>
      <c r="E7743" s="6">
        <v>3.0</v>
      </c>
    </row>
    <row r="7744">
      <c r="A7744" s="4" t="s">
        <v>15378</v>
      </c>
      <c r="B7744" s="5" t="s">
        <v>15379</v>
      </c>
      <c r="C7744" s="6">
        <v>808.0</v>
      </c>
      <c r="D7744" s="6">
        <v>5.0</v>
      </c>
      <c r="E7744" s="6">
        <v>1.0</v>
      </c>
    </row>
    <row r="7745">
      <c r="A7745" s="4" t="s">
        <v>15380</v>
      </c>
      <c r="B7745" s="5" t="s">
        <v>15381</v>
      </c>
      <c r="C7745" s="6">
        <v>807.0</v>
      </c>
      <c r="D7745" s="6">
        <v>4.6875</v>
      </c>
      <c r="E7745" s="6">
        <v>16.0</v>
      </c>
    </row>
    <row r="7746">
      <c r="A7746" s="4" t="s">
        <v>15382</v>
      </c>
      <c r="B7746" s="5" t="s">
        <v>15383</v>
      </c>
      <c r="C7746" s="6">
        <v>807.0</v>
      </c>
      <c r="D7746" s="6">
        <v>2.666666667</v>
      </c>
      <c r="E7746" s="6">
        <v>3.0</v>
      </c>
    </row>
    <row r="7747">
      <c r="A7747" s="4" t="s">
        <v>15384</v>
      </c>
      <c r="B7747" s="5" t="s">
        <v>15385</v>
      </c>
      <c r="C7747" s="6">
        <v>807.0</v>
      </c>
      <c r="D7747" s="6">
        <v>4.6</v>
      </c>
      <c r="E7747" s="6">
        <v>5.0</v>
      </c>
    </row>
    <row r="7748">
      <c r="A7748" s="4" t="s">
        <v>15386</v>
      </c>
      <c r="B7748" s="5" t="s">
        <v>15387</v>
      </c>
      <c r="C7748" s="6">
        <v>807.0</v>
      </c>
      <c r="D7748" s="6">
        <v>3.333333333</v>
      </c>
      <c r="E7748" s="6">
        <v>24.0</v>
      </c>
    </row>
    <row r="7749">
      <c r="A7749" s="4" t="s">
        <v>15388</v>
      </c>
      <c r="B7749" s="5" t="s">
        <v>15389</v>
      </c>
      <c r="C7749" s="6">
        <v>806.0</v>
      </c>
      <c r="D7749" s="6">
        <v>2.8</v>
      </c>
      <c r="E7749" s="6">
        <v>5.0</v>
      </c>
    </row>
    <row r="7750">
      <c r="A7750" s="4" t="s">
        <v>15390</v>
      </c>
      <c r="B7750" s="5" t="s">
        <v>15391</v>
      </c>
      <c r="C7750" s="6">
        <v>806.0</v>
      </c>
      <c r="D7750" s="6">
        <v>2.923076923</v>
      </c>
      <c r="E7750" s="6">
        <v>13.0</v>
      </c>
    </row>
    <row r="7751">
      <c r="A7751" s="4" t="s">
        <v>15392</v>
      </c>
      <c r="B7751" s="5" t="s">
        <v>15393</v>
      </c>
      <c r="C7751" s="6">
        <v>806.0</v>
      </c>
      <c r="D7751" s="9"/>
      <c r="E7751" s="9"/>
    </row>
    <row r="7752">
      <c r="A7752" s="4" t="s">
        <v>15394</v>
      </c>
      <c r="B7752" s="5" t="s">
        <v>15395</v>
      </c>
      <c r="C7752" s="6">
        <v>805.0</v>
      </c>
      <c r="D7752" s="6">
        <v>4.25</v>
      </c>
      <c r="E7752" s="6">
        <v>20.0</v>
      </c>
    </row>
    <row r="7753">
      <c r="A7753" s="4" t="s">
        <v>15396</v>
      </c>
      <c r="B7753" s="5" t="s">
        <v>15397</v>
      </c>
      <c r="C7753" s="6">
        <v>805.0</v>
      </c>
      <c r="D7753" s="6">
        <v>4.222222222</v>
      </c>
      <c r="E7753" s="6">
        <v>9.0</v>
      </c>
    </row>
    <row r="7754">
      <c r="A7754" s="4" t="s">
        <v>15398</v>
      </c>
      <c r="B7754" s="5" t="s">
        <v>15399</v>
      </c>
      <c r="C7754" s="6">
        <v>805.0</v>
      </c>
      <c r="D7754" s="6">
        <v>4.25</v>
      </c>
      <c r="E7754" s="6">
        <v>8.0</v>
      </c>
    </row>
    <row r="7755">
      <c r="A7755" s="4" t="s">
        <v>15400</v>
      </c>
      <c r="B7755" s="5" t="s">
        <v>15401</v>
      </c>
      <c r="C7755" s="6">
        <v>805.0</v>
      </c>
      <c r="D7755" s="6">
        <v>5.0</v>
      </c>
      <c r="E7755" s="6">
        <v>12.0</v>
      </c>
    </row>
    <row r="7756">
      <c r="A7756" s="4" t="s">
        <v>15402</v>
      </c>
      <c r="B7756" s="5" t="s">
        <v>15403</v>
      </c>
      <c r="C7756" s="6">
        <v>805.0</v>
      </c>
      <c r="D7756" s="6">
        <v>4.0</v>
      </c>
      <c r="E7756" s="6">
        <v>1.0</v>
      </c>
    </row>
    <row r="7757">
      <c r="A7757" s="4" t="s">
        <v>15404</v>
      </c>
      <c r="B7757" s="5" t="s">
        <v>15405</v>
      </c>
      <c r="C7757" s="6">
        <v>805.0</v>
      </c>
      <c r="D7757" s="6">
        <v>4.888888889</v>
      </c>
      <c r="E7757" s="6">
        <v>9.0</v>
      </c>
    </row>
    <row r="7758">
      <c r="A7758" s="4" t="s">
        <v>1030</v>
      </c>
      <c r="B7758" s="5" t="s">
        <v>15406</v>
      </c>
      <c r="C7758" s="6">
        <v>805.0</v>
      </c>
      <c r="D7758" s="9"/>
      <c r="E7758" s="9"/>
    </row>
    <row r="7759">
      <c r="A7759" s="4" t="s">
        <v>15407</v>
      </c>
      <c r="B7759" s="5" t="s">
        <v>15408</v>
      </c>
      <c r="C7759" s="6">
        <v>804.0</v>
      </c>
      <c r="D7759" s="6">
        <v>3.5</v>
      </c>
      <c r="E7759" s="6">
        <v>8.0</v>
      </c>
    </row>
    <row r="7760">
      <c r="A7760" s="4" t="s">
        <v>15409</v>
      </c>
      <c r="B7760" s="5" t="s">
        <v>15410</v>
      </c>
      <c r="C7760" s="6">
        <v>803.0</v>
      </c>
      <c r="D7760" s="6">
        <v>3.666666667</v>
      </c>
      <c r="E7760" s="6">
        <v>3.0</v>
      </c>
    </row>
    <row r="7761">
      <c r="A7761" s="4" t="s">
        <v>15411</v>
      </c>
      <c r="B7761" s="5" t="s">
        <v>15412</v>
      </c>
      <c r="C7761" s="6">
        <v>803.0</v>
      </c>
      <c r="D7761" s="6">
        <v>2.333333333</v>
      </c>
      <c r="E7761" s="6">
        <v>12.0</v>
      </c>
    </row>
    <row r="7762">
      <c r="A7762" s="4" t="s">
        <v>15413</v>
      </c>
      <c r="B7762" s="5" t="s">
        <v>15414</v>
      </c>
      <c r="C7762" s="6">
        <v>802.0</v>
      </c>
      <c r="D7762" s="6">
        <v>4.181818182</v>
      </c>
      <c r="E7762" s="6">
        <v>11.0</v>
      </c>
    </row>
    <row r="7763">
      <c r="A7763" s="4" t="s">
        <v>15415</v>
      </c>
      <c r="B7763" s="5" t="s">
        <v>15416</v>
      </c>
      <c r="C7763" s="6">
        <v>802.0</v>
      </c>
      <c r="D7763" s="9"/>
      <c r="E7763" s="9"/>
    </row>
    <row r="7764">
      <c r="A7764" s="4" t="s">
        <v>15417</v>
      </c>
      <c r="B7764" s="5" t="s">
        <v>15418</v>
      </c>
      <c r="C7764" s="6">
        <v>802.0</v>
      </c>
      <c r="D7764" s="6">
        <v>4.375</v>
      </c>
      <c r="E7764" s="6">
        <v>8.0</v>
      </c>
    </row>
    <row r="7765">
      <c r="A7765" s="4" t="s">
        <v>15419</v>
      </c>
      <c r="B7765" s="5" t="s">
        <v>15420</v>
      </c>
      <c r="C7765" s="6">
        <v>802.0</v>
      </c>
      <c r="D7765" s="6">
        <v>5.0</v>
      </c>
      <c r="E7765" s="6">
        <v>10.0</v>
      </c>
    </row>
    <row r="7766">
      <c r="A7766" s="4" t="s">
        <v>15421</v>
      </c>
      <c r="B7766" s="5" t="s">
        <v>15422</v>
      </c>
      <c r="C7766" s="6">
        <v>801.0</v>
      </c>
      <c r="D7766" s="6">
        <v>2.954545455</v>
      </c>
      <c r="E7766" s="6">
        <v>22.0</v>
      </c>
    </row>
    <row r="7767">
      <c r="A7767" s="4" t="s">
        <v>15423</v>
      </c>
      <c r="B7767" s="5" t="s">
        <v>15424</v>
      </c>
      <c r="C7767" s="6">
        <v>801.0</v>
      </c>
      <c r="D7767" s="6">
        <v>4.0625</v>
      </c>
      <c r="E7767" s="6">
        <v>16.0</v>
      </c>
    </row>
    <row r="7768">
      <c r="A7768" s="4" t="s">
        <v>15425</v>
      </c>
      <c r="B7768" s="5" t="s">
        <v>15426</v>
      </c>
      <c r="C7768" s="6">
        <v>801.0</v>
      </c>
      <c r="D7768" s="9"/>
      <c r="E7768" s="9"/>
    </row>
    <row r="7769">
      <c r="A7769" s="4" t="s">
        <v>15427</v>
      </c>
      <c r="B7769" s="5" t="s">
        <v>15428</v>
      </c>
      <c r="C7769" s="6">
        <v>801.0</v>
      </c>
      <c r="D7769" s="6">
        <v>4.770398482</v>
      </c>
      <c r="E7769" s="6">
        <v>527.0</v>
      </c>
    </row>
    <row r="7770">
      <c r="A7770" s="4" t="s">
        <v>15429</v>
      </c>
      <c r="B7770" s="5" t="s">
        <v>15430</v>
      </c>
      <c r="C7770" s="6">
        <v>800.0</v>
      </c>
      <c r="D7770" s="6">
        <v>4.8</v>
      </c>
      <c r="E7770" s="6">
        <v>5.0</v>
      </c>
    </row>
    <row r="7771">
      <c r="A7771" s="4" t="s">
        <v>15431</v>
      </c>
      <c r="B7771" s="5" t="s">
        <v>15432</v>
      </c>
      <c r="C7771" s="6">
        <v>800.0</v>
      </c>
      <c r="D7771" s="6">
        <v>4.181818182</v>
      </c>
      <c r="E7771" s="6">
        <v>11.0</v>
      </c>
    </row>
    <row r="7772">
      <c r="A7772" s="4" t="s">
        <v>15433</v>
      </c>
      <c r="B7772" s="5" t="s">
        <v>15434</v>
      </c>
      <c r="C7772" s="6">
        <v>800.0</v>
      </c>
      <c r="D7772" s="9"/>
      <c r="E7772" s="9"/>
    </row>
    <row r="7773">
      <c r="A7773" s="4" t="s">
        <v>15435</v>
      </c>
      <c r="B7773" s="5" t="s">
        <v>15436</v>
      </c>
      <c r="C7773" s="6">
        <v>799.0</v>
      </c>
      <c r="D7773" s="6">
        <v>3.904761905</v>
      </c>
      <c r="E7773" s="6">
        <v>21.0</v>
      </c>
    </row>
    <row r="7774">
      <c r="A7774" s="4" t="s">
        <v>15437</v>
      </c>
      <c r="B7774" s="5" t="s">
        <v>15438</v>
      </c>
      <c r="C7774" s="6">
        <v>798.0</v>
      </c>
      <c r="D7774" s="6">
        <v>4.0</v>
      </c>
      <c r="E7774" s="6">
        <v>4.0</v>
      </c>
    </row>
    <row r="7775">
      <c r="A7775" s="4" t="s">
        <v>15439</v>
      </c>
      <c r="B7775" s="5" t="s">
        <v>15440</v>
      </c>
      <c r="C7775" s="6">
        <v>798.0</v>
      </c>
      <c r="D7775" s="6">
        <v>4.222222222</v>
      </c>
      <c r="E7775" s="6">
        <v>9.0</v>
      </c>
    </row>
    <row r="7776">
      <c r="A7776" s="4" t="s">
        <v>15441</v>
      </c>
      <c r="B7776" s="5" t="s">
        <v>15442</v>
      </c>
      <c r="C7776" s="6">
        <v>798.0</v>
      </c>
      <c r="D7776" s="6">
        <v>4.428571429</v>
      </c>
      <c r="E7776" s="6">
        <v>7.0</v>
      </c>
    </row>
    <row r="7777">
      <c r="A7777" s="4" t="s">
        <v>15443</v>
      </c>
      <c r="B7777" s="5" t="s">
        <v>15444</v>
      </c>
      <c r="C7777" s="6">
        <v>798.0</v>
      </c>
      <c r="D7777" s="6">
        <v>3.428571429</v>
      </c>
      <c r="E7777" s="6">
        <v>14.0</v>
      </c>
    </row>
    <row r="7778">
      <c r="A7778" s="4" t="s">
        <v>15445</v>
      </c>
      <c r="B7778" s="5" t="s">
        <v>15446</v>
      </c>
      <c r="C7778" s="6">
        <v>798.0</v>
      </c>
      <c r="D7778" s="6">
        <v>4.863636364</v>
      </c>
      <c r="E7778" s="6">
        <v>22.0</v>
      </c>
    </row>
    <row r="7779">
      <c r="A7779" s="4" t="s">
        <v>15447</v>
      </c>
      <c r="B7779" s="5" t="s">
        <v>15448</v>
      </c>
      <c r="C7779" s="6">
        <v>798.0</v>
      </c>
      <c r="D7779" s="6">
        <v>4.428571429</v>
      </c>
      <c r="E7779" s="6">
        <v>7.0</v>
      </c>
    </row>
    <row r="7780">
      <c r="A7780" s="4" t="s">
        <v>15449</v>
      </c>
      <c r="B7780" s="5" t="s">
        <v>15450</v>
      </c>
      <c r="C7780" s="6">
        <v>797.0</v>
      </c>
      <c r="D7780" s="6">
        <v>5.0</v>
      </c>
      <c r="E7780" s="6">
        <v>3.0</v>
      </c>
    </row>
    <row r="7781">
      <c r="A7781" s="4" t="s">
        <v>15451</v>
      </c>
      <c r="B7781" s="5" t="s">
        <v>15452</v>
      </c>
      <c r="C7781" s="6">
        <v>797.0</v>
      </c>
      <c r="D7781" s="9"/>
      <c r="E7781" s="9"/>
    </row>
    <row r="7782">
      <c r="A7782" s="4" t="s">
        <v>15453</v>
      </c>
      <c r="B7782" s="5" t="s">
        <v>15454</v>
      </c>
      <c r="C7782" s="6">
        <v>797.0</v>
      </c>
      <c r="D7782" s="6">
        <v>5.0</v>
      </c>
      <c r="E7782" s="6">
        <v>2.0</v>
      </c>
    </row>
    <row r="7783">
      <c r="A7783" s="4" t="s">
        <v>15455</v>
      </c>
      <c r="B7783" s="5" t="s">
        <v>15456</v>
      </c>
      <c r="C7783" s="6">
        <v>796.0</v>
      </c>
      <c r="D7783" s="6">
        <v>1.666666667</v>
      </c>
      <c r="E7783" s="6">
        <v>3.0</v>
      </c>
    </row>
    <row r="7784">
      <c r="A7784" s="4" t="s">
        <v>15457</v>
      </c>
      <c r="B7784" s="5" t="s">
        <v>15458</v>
      </c>
      <c r="C7784" s="6">
        <v>796.0</v>
      </c>
      <c r="D7784" s="6">
        <v>3.666666667</v>
      </c>
      <c r="E7784" s="6">
        <v>9.0</v>
      </c>
    </row>
    <row r="7785">
      <c r="A7785" s="4" t="s">
        <v>15459</v>
      </c>
      <c r="B7785" s="5" t="s">
        <v>15460</v>
      </c>
      <c r="C7785" s="6">
        <v>796.0</v>
      </c>
      <c r="D7785" s="6">
        <v>4.625</v>
      </c>
      <c r="E7785" s="6">
        <v>8.0</v>
      </c>
    </row>
    <row r="7786">
      <c r="A7786" s="4" t="s">
        <v>15461</v>
      </c>
      <c r="B7786" s="5" t="s">
        <v>15462</v>
      </c>
      <c r="C7786" s="6">
        <v>796.0</v>
      </c>
      <c r="D7786" s="6">
        <v>4.0</v>
      </c>
      <c r="E7786" s="6">
        <v>6.0</v>
      </c>
    </row>
    <row r="7787">
      <c r="A7787" s="4" t="s">
        <v>15463</v>
      </c>
      <c r="B7787" s="5" t="s">
        <v>15464</v>
      </c>
      <c r="C7787" s="6">
        <v>796.0</v>
      </c>
      <c r="D7787" s="6">
        <v>5.0</v>
      </c>
      <c r="E7787" s="6">
        <v>7.0</v>
      </c>
    </row>
    <row r="7788">
      <c r="A7788" s="4" t="s">
        <v>15465</v>
      </c>
      <c r="B7788" s="5" t="s">
        <v>15466</v>
      </c>
      <c r="C7788" s="6">
        <v>796.0</v>
      </c>
      <c r="D7788" s="6">
        <v>4.2</v>
      </c>
      <c r="E7788" s="6">
        <v>5.0</v>
      </c>
    </row>
    <row r="7789">
      <c r="A7789" s="4" t="s">
        <v>15467</v>
      </c>
      <c r="B7789" s="5" t="s">
        <v>15468</v>
      </c>
      <c r="C7789" s="6">
        <v>796.0</v>
      </c>
      <c r="D7789" s="6">
        <v>4.833333333</v>
      </c>
      <c r="E7789" s="6">
        <v>12.0</v>
      </c>
    </row>
    <row r="7790">
      <c r="A7790" s="4" t="s">
        <v>15469</v>
      </c>
      <c r="B7790" s="5" t="s">
        <v>15470</v>
      </c>
      <c r="C7790" s="6">
        <v>796.0</v>
      </c>
      <c r="D7790" s="6">
        <v>4.0</v>
      </c>
      <c r="E7790" s="6">
        <v>4.0</v>
      </c>
    </row>
    <row r="7791">
      <c r="A7791" s="4" t="s">
        <v>15471</v>
      </c>
      <c r="B7791" s="5" t="s">
        <v>15472</v>
      </c>
      <c r="C7791" s="6">
        <v>796.0</v>
      </c>
      <c r="D7791" s="6">
        <v>4.666666667</v>
      </c>
      <c r="E7791" s="6">
        <v>3.0</v>
      </c>
    </row>
    <row r="7792">
      <c r="A7792" s="4" t="s">
        <v>15473</v>
      </c>
      <c r="B7792" s="5" t="s">
        <v>15474</v>
      </c>
      <c r="C7792" s="6">
        <v>795.0</v>
      </c>
      <c r="D7792" s="6">
        <v>4.125</v>
      </c>
      <c r="E7792" s="6">
        <v>8.0</v>
      </c>
    </row>
    <row r="7793">
      <c r="A7793" s="4" t="s">
        <v>15475</v>
      </c>
      <c r="B7793" s="5" t="s">
        <v>15476</v>
      </c>
      <c r="C7793" s="6">
        <v>795.0</v>
      </c>
      <c r="D7793" s="6">
        <v>5.0</v>
      </c>
      <c r="E7793" s="6">
        <v>1.0</v>
      </c>
    </row>
    <row r="7794">
      <c r="A7794" s="4" t="s">
        <v>15477</v>
      </c>
      <c r="B7794" s="5" t="s">
        <v>15478</v>
      </c>
      <c r="C7794" s="6">
        <v>795.0</v>
      </c>
      <c r="D7794" s="6">
        <v>4.0</v>
      </c>
      <c r="E7794" s="6">
        <v>2.0</v>
      </c>
    </row>
    <row r="7795">
      <c r="A7795" s="4" t="s">
        <v>15479</v>
      </c>
      <c r="B7795" s="5" t="s">
        <v>15480</v>
      </c>
      <c r="C7795" s="6">
        <v>795.0</v>
      </c>
      <c r="D7795" s="6">
        <v>5.0</v>
      </c>
      <c r="E7795" s="6">
        <v>1.0</v>
      </c>
    </row>
    <row r="7796">
      <c r="A7796" s="4" t="s">
        <v>15481</v>
      </c>
      <c r="B7796" s="5" t="s">
        <v>15482</v>
      </c>
      <c r="C7796" s="6">
        <v>795.0</v>
      </c>
      <c r="D7796" s="6">
        <v>5.0</v>
      </c>
      <c r="E7796" s="6">
        <v>2.0</v>
      </c>
    </row>
    <row r="7797">
      <c r="A7797" s="4" t="s">
        <v>15483</v>
      </c>
      <c r="B7797" s="5" t="s">
        <v>15484</v>
      </c>
      <c r="C7797" s="6">
        <v>794.0</v>
      </c>
      <c r="D7797" s="6">
        <v>3.777777778</v>
      </c>
      <c r="E7797" s="6">
        <v>9.0</v>
      </c>
    </row>
    <row r="7798">
      <c r="A7798" s="4" t="s">
        <v>15485</v>
      </c>
      <c r="B7798" s="5" t="s">
        <v>15486</v>
      </c>
      <c r="C7798" s="6">
        <v>794.0</v>
      </c>
      <c r="D7798" s="6">
        <v>3.857142857</v>
      </c>
      <c r="E7798" s="6">
        <v>14.0</v>
      </c>
    </row>
    <row r="7799">
      <c r="A7799" s="4" t="s">
        <v>15487</v>
      </c>
      <c r="B7799" s="5" t="s">
        <v>15488</v>
      </c>
      <c r="C7799" s="6">
        <v>794.0</v>
      </c>
      <c r="D7799" s="6">
        <v>5.0</v>
      </c>
      <c r="E7799" s="6">
        <v>1.0</v>
      </c>
    </row>
    <row r="7800">
      <c r="A7800" s="4" t="s">
        <v>15489</v>
      </c>
      <c r="B7800" s="5" t="s">
        <v>15490</v>
      </c>
      <c r="C7800" s="6">
        <v>794.0</v>
      </c>
      <c r="D7800" s="6">
        <v>3.571428571</v>
      </c>
      <c r="E7800" s="6">
        <v>14.0</v>
      </c>
    </row>
    <row r="7801">
      <c r="A7801" s="4" t="s">
        <v>15491</v>
      </c>
      <c r="B7801" s="5" t="s">
        <v>15492</v>
      </c>
      <c r="C7801" s="6">
        <v>794.0</v>
      </c>
      <c r="D7801" s="6">
        <v>5.0</v>
      </c>
      <c r="E7801" s="6">
        <v>23.0</v>
      </c>
    </row>
    <row r="7802">
      <c r="A7802" s="4" t="s">
        <v>15493</v>
      </c>
      <c r="B7802" s="5" t="s">
        <v>15494</v>
      </c>
      <c r="C7802" s="6">
        <v>794.0</v>
      </c>
      <c r="D7802" s="6">
        <v>4.75</v>
      </c>
      <c r="E7802" s="6">
        <v>16.0</v>
      </c>
    </row>
    <row r="7803">
      <c r="A7803" s="4" t="s">
        <v>15495</v>
      </c>
      <c r="B7803" s="5" t="s">
        <v>15496</v>
      </c>
      <c r="C7803" s="6">
        <v>794.0</v>
      </c>
      <c r="D7803" s="6">
        <v>3.333333333</v>
      </c>
      <c r="E7803" s="6">
        <v>21.0</v>
      </c>
    </row>
    <row r="7804">
      <c r="A7804" s="4" t="s">
        <v>15497</v>
      </c>
      <c r="B7804" s="5" t="s">
        <v>15498</v>
      </c>
      <c r="C7804" s="6">
        <v>794.0</v>
      </c>
      <c r="D7804" s="6">
        <v>2.714285714</v>
      </c>
      <c r="E7804" s="6">
        <v>7.0</v>
      </c>
    </row>
    <row r="7805">
      <c r="A7805" s="4" t="s">
        <v>15499</v>
      </c>
      <c r="B7805" s="5" t="s">
        <v>15500</v>
      </c>
      <c r="C7805" s="6">
        <v>794.0</v>
      </c>
      <c r="D7805" s="6">
        <v>4.6</v>
      </c>
      <c r="E7805" s="6">
        <v>5.0</v>
      </c>
    </row>
    <row r="7806">
      <c r="A7806" s="4" t="s">
        <v>15501</v>
      </c>
      <c r="B7806" s="5" t="s">
        <v>15502</v>
      </c>
      <c r="C7806" s="6">
        <v>793.0</v>
      </c>
      <c r="D7806" s="6">
        <v>4.684210526</v>
      </c>
      <c r="E7806" s="6">
        <v>38.0</v>
      </c>
    </row>
    <row r="7807">
      <c r="A7807" s="4" t="s">
        <v>15503</v>
      </c>
      <c r="B7807" s="5" t="s">
        <v>15504</v>
      </c>
      <c r="C7807" s="6">
        <v>793.0</v>
      </c>
      <c r="D7807" s="6">
        <v>5.0</v>
      </c>
      <c r="E7807" s="6">
        <v>1.0</v>
      </c>
    </row>
    <row r="7808">
      <c r="A7808" s="4" t="s">
        <v>15505</v>
      </c>
      <c r="B7808" s="5" t="s">
        <v>15506</v>
      </c>
      <c r="C7808" s="6">
        <v>792.0</v>
      </c>
      <c r="D7808" s="6">
        <v>3.6</v>
      </c>
      <c r="E7808" s="6">
        <v>5.0</v>
      </c>
    </row>
    <row r="7809">
      <c r="A7809" s="4" t="s">
        <v>15507</v>
      </c>
      <c r="B7809" s="5" t="s">
        <v>15508</v>
      </c>
      <c r="C7809" s="6">
        <v>792.0</v>
      </c>
      <c r="D7809" s="6">
        <v>3.829787234</v>
      </c>
      <c r="E7809" s="6">
        <v>47.0</v>
      </c>
    </row>
    <row r="7810">
      <c r="A7810" s="4" t="s">
        <v>15509</v>
      </c>
      <c r="B7810" s="5" t="s">
        <v>15510</v>
      </c>
      <c r="C7810" s="6">
        <v>791.0</v>
      </c>
      <c r="D7810" s="6">
        <v>5.0</v>
      </c>
      <c r="E7810" s="6">
        <v>6.0</v>
      </c>
    </row>
    <row r="7811">
      <c r="A7811" s="5" t="s">
        <v>15511</v>
      </c>
      <c r="B7811" s="5" t="s">
        <v>15512</v>
      </c>
      <c r="C7811" s="6">
        <v>791.0</v>
      </c>
      <c r="D7811" s="6">
        <v>4.555555556</v>
      </c>
      <c r="E7811" s="6">
        <v>9.0</v>
      </c>
    </row>
    <row r="7812">
      <c r="A7812" s="4" t="s">
        <v>15513</v>
      </c>
      <c r="B7812" s="5" t="s">
        <v>15514</v>
      </c>
      <c r="C7812" s="6">
        <v>791.0</v>
      </c>
      <c r="D7812" s="6">
        <v>4.555555556</v>
      </c>
      <c r="E7812" s="6">
        <v>9.0</v>
      </c>
    </row>
    <row r="7813">
      <c r="A7813" s="4" t="s">
        <v>15515</v>
      </c>
      <c r="B7813" s="5" t="s">
        <v>15516</v>
      </c>
      <c r="C7813" s="6">
        <v>791.0</v>
      </c>
      <c r="D7813" s="6">
        <v>1.8</v>
      </c>
      <c r="E7813" s="6">
        <v>5.0</v>
      </c>
    </row>
    <row r="7814">
      <c r="A7814" s="5" t="s">
        <v>15517</v>
      </c>
      <c r="B7814" s="5" t="s">
        <v>15518</v>
      </c>
      <c r="C7814" s="6">
        <v>791.0</v>
      </c>
      <c r="D7814" s="6">
        <v>4.711267606</v>
      </c>
      <c r="E7814" s="6">
        <v>142.0</v>
      </c>
    </row>
    <row r="7815">
      <c r="A7815" s="4" t="s">
        <v>15519</v>
      </c>
      <c r="B7815" s="5" t="s">
        <v>15520</v>
      </c>
      <c r="C7815" s="6">
        <v>790.0</v>
      </c>
      <c r="D7815" s="6">
        <v>3.923076923</v>
      </c>
      <c r="E7815" s="6">
        <v>13.0</v>
      </c>
    </row>
    <row r="7816">
      <c r="A7816" s="4" t="s">
        <v>15521</v>
      </c>
      <c r="B7816" s="5" t="s">
        <v>15522</v>
      </c>
      <c r="C7816" s="6">
        <v>790.0</v>
      </c>
      <c r="D7816" s="6">
        <v>3.9</v>
      </c>
      <c r="E7816" s="6">
        <v>10.0</v>
      </c>
    </row>
    <row r="7817">
      <c r="A7817" s="4" t="s">
        <v>15523</v>
      </c>
      <c r="B7817" s="5" t="s">
        <v>15524</v>
      </c>
      <c r="C7817" s="6">
        <v>789.0</v>
      </c>
      <c r="D7817" s="6">
        <v>5.0</v>
      </c>
      <c r="E7817" s="6">
        <v>12.0</v>
      </c>
    </row>
    <row r="7818">
      <c r="A7818" s="4" t="s">
        <v>15525</v>
      </c>
      <c r="B7818" s="5" t="s">
        <v>15526</v>
      </c>
      <c r="C7818" s="6">
        <v>789.0</v>
      </c>
      <c r="D7818" s="6">
        <v>3.863636364</v>
      </c>
      <c r="E7818" s="6">
        <v>22.0</v>
      </c>
    </row>
    <row r="7819">
      <c r="A7819" s="4" t="s">
        <v>15527</v>
      </c>
      <c r="B7819" s="5" t="s">
        <v>15528</v>
      </c>
      <c r="C7819" s="6">
        <v>789.0</v>
      </c>
      <c r="D7819" s="6">
        <v>3.5</v>
      </c>
      <c r="E7819" s="6">
        <v>10.0</v>
      </c>
    </row>
    <row r="7820">
      <c r="A7820" s="4" t="s">
        <v>15529</v>
      </c>
      <c r="B7820" s="5" t="s">
        <v>15530</v>
      </c>
      <c r="C7820" s="6">
        <v>789.0</v>
      </c>
      <c r="D7820" s="6">
        <v>3.923076923</v>
      </c>
      <c r="E7820" s="6">
        <v>13.0</v>
      </c>
    </row>
    <row r="7821">
      <c r="A7821" s="4" t="s">
        <v>15531</v>
      </c>
      <c r="B7821" s="5" t="s">
        <v>15532</v>
      </c>
      <c r="C7821" s="6">
        <v>788.0</v>
      </c>
      <c r="D7821" s="6">
        <v>4.0</v>
      </c>
      <c r="E7821" s="6">
        <v>8.0</v>
      </c>
    </row>
    <row r="7822">
      <c r="A7822" s="4" t="s">
        <v>15533</v>
      </c>
      <c r="B7822" s="5" t="s">
        <v>15534</v>
      </c>
      <c r="C7822" s="6">
        <v>788.0</v>
      </c>
      <c r="D7822" s="6">
        <v>4.272727273</v>
      </c>
      <c r="E7822" s="6">
        <v>11.0</v>
      </c>
    </row>
    <row r="7823">
      <c r="A7823" s="4" t="s">
        <v>15535</v>
      </c>
      <c r="B7823" s="5" t="s">
        <v>15536</v>
      </c>
      <c r="C7823" s="6">
        <v>788.0</v>
      </c>
      <c r="D7823" s="6">
        <v>4.692307692</v>
      </c>
      <c r="E7823" s="6">
        <v>39.0</v>
      </c>
    </row>
    <row r="7824">
      <c r="A7824" s="4" t="s">
        <v>15537</v>
      </c>
      <c r="B7824" s="5" t="s">
        <v>15538</v>
      </c>
      <c r="C7824" s="6">
        <v>788.0</v>
      </c>
      <c r="D7824" s="6">
        <v>1.0</v>
      </c>
      <c r="E7824" s="6">
        <v>1.0</v>
      </c>
    </row>
    <row r="7825">
      <c r="A7825" s="4" t="s">
        <v>15539</v>
      </c>
      <c r="B7825" s="5" t="s">
        <v>15540</v>
      </c>
      <c r="C7825" s="6">
        <v>788.0</v>
      </c>
      <c r="D7825" s="6">
        <v>3.133333333</v>
      </c>
      <c r="E7825" s="6">
        <v>15.0</v>
      </c>
    </row>
    <row r="7826">
      <c r="A7826" s="4" t="s">
        <v>15541</v>
      </c>
      <c r="B7826" s="5" t="s">
        <v>15542</v>
      </c>
      <c r="C7826" s="6">
        <v>788.0</v>
      </c>
      <c r="D7826" s="6">
        <v>2.777777778</v>
      </c>
      <c r="E7826" s="6">
        <v>9.0</v>
      </c>
    </row>
    <row r="7827">
      <c r="A7827" s="4" t="s">
        <v>15543</v>
      </c>
      <c r="B7827" s="5" t="s">
        <v>15544</v>
      </c>
      <c r="C7827" s="6">
        <v>787.0</v>
      </c>
      <c r="D7827" s="6">
        <v>4.454545455</v>
      </c>
      <c r="E7827" s="6">
        <v>11.0</v>
      </c>
    </row>
    <row r="7828">
      <c r="A7828" s="4" t="s">
        <v>15545</v>
      </c>
      <c r="B7828" s="5" t="s">
        <v>15546</v>
      </c>
      <c r="C7828" s="6">
        <v>787.0</v>
      </c>
      <c r="D7828" s="6">
        <v>4.7</v>
      </c>
      <c r="E7828" s="6">
        <v>40.0</v>
      </c>
    </row>
    <row r="7829">
      <c r="A7829" s="4" t="s">
        <v>15547</v>
      </c>
      <c r="B7829" s="5" t="s">
        <v>15548</v>
      </c>
      <c r="C7829" s="6">
        <v>786.0</v>
      </c>
      <c r="D7829" s="6">
        <v>4.0</v>
      </c>
      <c r="E7829" s="6">
        <v>4.0</v>
      </c>
    </row>
    <row r="7830">
      <c r="A7830" s="4" t="s">
        <v>15549</v>
      </c>
      <c r="B7830" s="5" t="s">
        <v>15550</v>
      </c>
      <c r="C7830" s="6">
        <v>786.0</v>
      </c>
      <c r="D7830" s="6">
        <v>5.0</v>
      </c>
      <c r="E7830" s="6">
        <v>26.0</v>
      </c>
    </row>
    <row r="7831">
      <c r="A7831" s="4" t="s">
        <v>15551</v>
      </c>
      <c r="B7831" s="5" t="s">
        <v>15552</v>
      </c>
      <c r="C7831" s="6">
        <v>786.0</v>
      </c>
      <c r="D7831" s="6">
        <v>5.0</v>
      </c>
      <c r="E7831" s="6">
        <v>4.0</v>
      </c>
    </row>
    <row r="7832">
      <c r="A7832" s="4" t="s">
        <v>15553</v>
      </c>
      <c r="B7832" s="5" t="s">
        <v>15554</v>
      </c>
      <c r="C7832" s="6">
        <v>786.0</v>
      </c>
      <c r="D7832" s="6">
        <v>4.125</v>
      </c>
      <c r="E7832" s="6">
        <v>8.0</v>
      </c>
    </row>
    <row r="7833">
      <c r="A7833" s="4" t="s">
        <v>15555</v>
      </c>
      <c r="B7833" s="5" t="s">
        <v>15556</v>
      </c>
      <c r="C7833" s="6">
        <v>786.0</v>
      </c>
      <c r="D7833" s="6">
        <v>4.714285714</v>
      </c>
      <c r="E7833" s="6">
        <v>7.0</v>
      </c>
    </row>
    <row r="7834">
      <c r="A7834" s="4" t="s">
        <v>15557</v>
      </c>
      <c r="B7834" s="5" t="s">
        <v>15558</v>
      </c>
      <c r="C7834" s="6">
        <v>786.0</v>
      </c>
      <c r="D7834" s="6">
        <v>5.0</v>
      </c>
      <c r="E7834" s="6">
        <v>3.0</v>
      </c>
    </row>
    <row r="7835">
      <c r="A7835" s="4" t="s">
        <v>15559</v>
      </c>
      <c r="B7835" s="5" t="s">
        <v>15560</v>
      </c>
      <c r="C7835" s="6">
        <v>785.0</v>
      </c>
      <c r="D7835" s="6">
        <v>4.75</v>
      </c>
      <c r="E7835" s="6">
        <v>4.0</v>
      </c>
    </row>
    <row r="7836">
      <c r="A7836" s="4" t="s">
        <v>15561</v>
      </c>
      <c r="B7836" s="5" t="s">
        <v>15562</v>
      </c>
      <c r="C7836" s="6">
        <v>785.0</v>
      </c>
      <c r="D7836" s="6">
        <v>4.189655172</v>
      </c>
      <c r="E7836" s="6">
        <v>58.0</v>
      </c>
    </row>
    <row r="7837">
      <c r="A7837" s="4" t="s">
        <v>15563</v>
      </c>
      <c r="B7837" s="5" t="s">
        <v>15564</v>
      </c>
      <c r="C7837" s="6">
        <v>785.0</v>
      </c>
      <c r="D7837" s="6">
        <v>4.5</v>
      </c>
      <c r="E7837" s="6">
        <v>6.0</v>
      </c>
    </row>
    <row r="7838">
      <c r="A7838" s="4" t="s">
        <v>15565</v>
      </c>
      <c r="B7838" s="5" t="s">
        <v>15566</v>
      </c>
      <c r="C7838" s="6">
        <v>784.0</v>
      </c>
      <c r="D7838" s="6">
        <v>4.0</v>
      </c>
      <c r="E7838" s="6">
        <v>1.0</v>
      </c>
    </row>
    <row r="7839">
      <c r="A7839" s="4" t="s">
        <v>15567</v>
      </c>
      <c r="B7839" s="5" t="s">
        <v>15568</v>
      </c>
      <c r="C7839" s="6">
        <v>784.0</v>
      </c>
      <c r="D7839" s="6">
        <v>3.954545455</v>
      </c>
      <c r="E7839" s="6">
        <v>22.0</v>
      </c>
    </row>
    <row r="7840">
      <c r="A7840" s="4" t="s">
        <v>15569</v>
      </c>
      <c r="B7840" s="5" t="s">
        <v>15570</v>
      </c>
      <c r="C7840" s="6">
        <v>784.0</v>
      </c>
      <c r="D7840" s="6">
        <v>4.294117647</v>
      </c>
      <c r="E7840" s="6">
        <v>17.0</v>
      </c>
    </row>
    <row r="7841">
      <c r="A7841" s="4" t="s">
        <v>15571</v>
      </c>
      <c r="B7841" s="5" t="s">
        <v>15572</v>
      </c>
      <c r="C7841" s="6">
        <v>784.0</v>
      </c>
      <c r="D7841" s="6">
        <v>4.5</v>
      </c>
      <c r="E7841" s="6">
        <v>8.0</v>
      </c>
    </row>
    <row r="7842">
      <c r="A7842" s="4" t="s">
        <v>15573</v>
      </c>
      <c r="B7842" s="5" t="s">
        <v>15574</v>
      </c>
      <c r="C7842" s="6">
        <v>784.0</v>
      </c>
      <c r="D7842" s="6">
        <v>5.0</v>
      </c>
      <c r="E7842" s="6">
        <v>1.0</v>
      </c>
    </row>
    <row r="7843">
      <c r="A7843" s="4" t="s">
        <v>15575</v>
      </c>
      <c r="B7843" s="5" t="s">
        <v>15576</v>
      </c>
      <c r="C7843" s="6">
        <v>784.0</v>
      </c>
      <c r="D7843" s="6">
        <v>4.0</v>
      </c>
      <c r="E7843" s="6">
        <v>4.0</v>
      </c>
    </row>
    <row r="7844">
      <c r="A7844" s="4" t="s">
        <v>15577</v>
      </c>
      <c r="B7844" s="5" t="s">
        <v>15578</v>
      </c>
      <c r="C7844" s="6">
        <v>784.0</v>
      </c>
      <c r="D7844" s="6">
        <v>3.416666667</v>
      </c>
      <c r="E7844" s="6">
        <v>72.0</v>
      </c>
    </row>
    <row r="7845">
      <c r="A7845" s="4" t="s">
        <v>15579</v>
      </c>
      <c r="B7845" s="5" t="s">
        <v>15580</v>
      </c>
      <c r="C7845" s="6">
        <v>784.0</v>
      </c>
      <c r="D7845" s="6">
        <v>4.0</v>
      </c>
      <c r="E7845" s="6">
        <v>2.0</v>
      </c>
    </row>
    <row r="7846">
      <c r="A7846" s="4" t="s">
        <v>15581</v>
      </c>
      <c r="B7846" s="5" t="s">
        <v>15582</v>
      </c>
      <c r="C7846" s="6">
        <v>784.0</v>
      </c>
      <c r="D7846" s="6">
        <v>4.581818182</v>
      </c>
      <c r="E7846" s="6">
        <v>55.0</v>
      </c>
    </row>
    <row r="7847">
      <c r="A7847" s="4" t="s">
        <v>15583</v>
      </c>
      <c r="B7847" s="5" t="s">
        <v>15584</v>
      </c>
      <c r="C7847" s="6">
        <v>784.0</v>
      </c>
      <c r="D7847" s="6">
        <v>5.0</v>
      </c>
      <c r="E7847" s="6">
        <v>1.0</v>
      </c>
    </row>
    <row r="7848">
      <c r="A7848" s="4" t="s">
        <v>15585</v>
      </c>
      <c r="B7848" s="5" t="s">
        <v>15586</v>
      </c>
      <c r="C7848" s="6">
        <v>783.0</v>
      </c>
      <c r="D7848" s="6">
        <v>4.230769231</v>
      </c>
      <c r="E7848" s="6">
        <v>13.0</v>
      </c>
    </row>
    <row r="7849">
      <c r="A7849" s="4" t="s">
        <v>15587</v>
      </c>
      <c r="B7849" s="5" t="s">
        <v>15588</v>
      </c>
      <c r="C7849" s="6">
        <v>783.0</v>
      </c>
      <c r="D7849" s="6">
        <v>4.666666667</v>
      </c>
      <c r="E7849" s="6">
        <v>3.0</v>
      </c>
    </row>
    <row r="7850">
      <c r="A7850" s="4" t="s">
        <v>15589</v>
      </c>
      <c r="B7850" s="5" t="s">
        <v>15590</v>
      </c>
      <c r="C7850" s="6">
        <v>783.0</v>
      </c>
      <c r="D7850" s="6">
        <v>4.153846154</v>
      </c>
      <c r="E7850" s="6">
        <v>13.0</v>
      </c>
    </row>
    <row r="7851">
      <c r="A7851" s="4" t="s">
        <v>15591</v>
      </c>
      <c r="B7851" s="5" t="s">
        <v>15592</v>
      </c>
      <c r="C7851" s="6">
        <v>783.0</v>
      </c>
      <c r="D7851" s="6">
        <v>4.0</v>
      </c>
      <c r="E7851" s="6">
        <v>8.0</v>
      </c>
    </row>
    <row r="7852">
      <c r="A7852" s="5" t="s">
        <v>15593</v>
      </c>
      <c r="B7852" s="5" t="s">
        <v>15594</v>
      </c>
      <c r="C7852" s="6">
        <v>783.0</v>
      </c>
      <c r="D7852" s="6">
        <v>5.0</v>
      </c>
      <c r="E7852" s="6">
        <v>4.0</v>
      </c>
    </row>
    <row r="7853">
      <c r="A7853" s="4" t="s">
        <v>15595</v>
      </c>
      <c r="B7853" s="5" t="s">
        <v>15596</v>
      </c>
      <c r="C7853" s="6">
        <v>782.0</v>
      </c>
      <c r="D7853" s="6">
        <v>5.0</v>
      </c>
      <c r="E7853" s="6">
        <v>2.0</v>
      </c>
    </row>
    <row r="7854">
      <c r="A7854" s="4" t="s">
        <v>15597</v>
      </c>
      <c r="B7854" s="5" t="s">
        <v>15598</v>
      </c>
      <c r="C7854" s="6">
        <v>782.0</v>
      </c>
      <c r="D7854" s="6">
        <v>5.0</v>
      </c>
      <c r="E7854" s="6">
        <v>5.0</v>
      </c>
    </row>
    <row r="7855">
      <c r="A7855" s="4" t="s">
        <v>15599</v>
      </c>
      <c r="B7855" s="5" t="s">
        <v>15600</v>
      </c>
      <c r="C7855" s="6">
        <v>782.0</v>
      </c>
      <c r="D7855" s="6">
        <v>4.888888889</v>
      </c>
      <c r="E7855" s="6">
        <v>18.0</v>
      </c>
    </row>
    <row r="7856">
      <c r="A7856" s="4" t="s">
        <v>15601</v>
      </c>
      <c r="B7856" s="5" t="s">
        <v>15602</v>
      </c>
      <c r="C7856" s="6">
        <v>782.0</v>
      </c>
      <c r="D7856" s="6">
        <v>4.0</v>
      </c>
      <c r="E7856" s="6">
        <v>9.0</v>
      </c>
    </row>
    <row r="7857">
      <c r="A7857" s="4" t="s">
        <v>15603</v>
      </c>
      <c r="B7857" s="5" t="s">
        <v>15604</v>
      </c>
      <c r="C7857" s="6">
        <v>782.0</v>
      </c>
      <c r="D7857" s="6">
        <v>5.0</v>
      </c>
      <c r="E7857" s="6">
        <v>2.0</v>
      </c>
    </row>
    <row r="7858">
      <c r="A7858" s="4" t="s">
        <v>15605</v>
      </c>
      <c r="B7858" s="5" t="s">
        <v>15606</v>
      </c>
      <c r="C7858" s="6">
        <v>782.0</v>
      </c>
      <c r="D7858" s="6">
        <v>3.25</v>
      </c>
      <c r="E7858" s="6">
        <v>8.0</v>
      </c>
    </row>
    <row r="7859">
      <c r="A7859" s="4" t="s">
        <v>15607</v>
      </c>
      <c r="B7859" s="5" t="s">
        <v>15608</v>
      </c>
      <c r="C7859" s="6">
        <v>782.0</v>
      </c>
      <c r="D7859" s="6">
        <v>3.714285714</v>
      </c>
      <c r="E7859" s="6">
        <v>21.0</v>
      </c>
    </row>
    <row r="7860">
      <c r="A7860" s="4" t="s">
        <v>15609</v>
      </c>
      <c r="B7860" s="5" t="s">
        <v>15610</v>
      </c>
      <c r="C7860" s="6">
        <v>782.0</v>
      </c>
      <c r="D7860" s="6">
        <v>4.866666667</v>
      </c>
      <c r="E7860" s="6">
        <v>15.0</v>
      </c>
    </row>
    <row r="7861">
      <c r="A7861" s="4" t="s">
        <v>15611</v>
      </c>
      <c r="B7861" s="5" t="s">
        <v>15612</v>
      </c>
      <c r="C7861" s="6">
        <v>781.0</v>
      </c>
      <c r="D7861" s="6">
        <v>5.0</v>
      </c>
      <c r="E7861" s="6">
        <v>1.0</v>
      </c>
    </row>
    <row r="7862">
      <c r="A7862" s="4" t="s">
        <v>15613</v>
      </c>
      <c r="B7862" s="5" t="s">
        <v>15614</v>
      </c>
      <c r="C7862" s="6">
        <v>781.0</v>
      </c>
      <c r="D7862" s="6">
        <v>4.769230769</v>
      </c>
      <c r="E7862" s="6">
        <v>13.0</v>
      </c>
    </row>
    <row r="7863">
      <c r="A7863" s="4" t="s">
        <v>15615</v>
      </c>
      <c r="B7863" s="5" t="s">
        <v>15616</v>
      </c>
      <c r="C7863" s="6">
        <v>781.0</v>
      </c>
      <c r="D7863" s="6">
        <v>4.571428571</v>
      </c>
      <c r="E7863" s="6">
        <v>21.0</v>
      </c>
    </row>
    <row r="7864">
      <c r="A7864" s="4" t="s">
        <v>15617</v>
      </c>
      <c r="B7864" s="5" t="s">
        <v>15618</v>
      </c>
      <c r="C7864" s="6">
        <v>780.0</v>
      </c>
      <c r="D7864" s="6">
        <v>2.75</v>
      </c>
      <c r="E7864" s="6">
        <v>28.0</v>
      </c>
    </row>
    <row r="7865">
      <c r="A7865" s="4" t="s">
        <v>15619</v>
      </c>
      <c r="B7865" s="5" t="s">
        <v>15620</v>
      </c>
      <c r="C7865" s="6">
        <v>780.0</v>
      </c>
      <c r="D7865" s="6">
        <v>4.090909091</v>
      </c>
      <c r="E7865" s="6">
        <v>11.0</v>
      </c>
    </row>
    <row r="7866">
      <c r="A7866" s="4" t="s">
        <v>15621</v>
      </c>
      <c r="B7866" s="5" t="s">
        <v>15622</v>
      </c>
      <c r="C7866" s="6">
        <v>780.0</v>
      </c>
      <c r="D7866" s="6">
        <v>4.952380952</v>
      </c>
      <c r="E7866" s="6">
        <v>21.0</v>
      </c>
    </row>
    <row r="7867">
      <c r="A7867" s="4" t="s">
        <v>15623</v>
      </c>
      <c r="B7867" s="5" t="s">
        <v>15624</v>
      </c>
      <c r="C7867" s="6">
        <v>780.0</v>
      </c>
      <c r="D7867" s="6">
        <v>5.0</v>
      </c>
      <c r="E7867" s="6">
        <v>1.0</v>
      </c>
    </row>
    <row r="7868">
      <c r="A7868" s="4" t="s">
        <v>15625</v>
      </c>
      <c r="B7868" s="5" t="s">
        <v>15626</v>
      </c>
      <c r="C7868" s="6">
        <v>780.0</v>
      </c>
      <c r="D7868" s="6">
        <v>3.75</v>
      </c>
      <c r="E7868" s="6">
        <v>4.0</v>
      </c>
    </row>
    <row r="7869">
      <c r="A7869" s="4" t="s">
        <v>15627</v>
      </c>
      <c r="B7869" s="5" t="s">
        <v>15628</v>
      </c>
      <c r="C7869" s="6">
        <v>779.0</v>
      </c>
      <c r="D7869" s="6">
        <v>4.789473684</v>
      </c>
      <c r="E7869" s="6">
        <v>19.0</v>
      </c>
    </row>
    <row r="7870">
      <c r="A7870" s="4" t="s">
        <v>15629</v>
      </c>
      <c r="B7870" s="5" t="s">
        <v>15630</v>
      </c>
      <c r="C7870" s="6">
        <v>779.0</v>
      </c>
      <c r="D7870" s="6">
        <v>4.142857143</v>
      </c>
      <c r="E7870" s="6">
        <v>7.0</v>
      </c>
    </row>
    <row r="7871">
      <c r="A7871" s="4" t="s">
        <v>15631</v>
      </c>
      <c r="B7871" s="5" t="s">
        <v>15632</v>
      </c>
      <c r="C7871" s="6">
        <v>779.0</v>
      </c>
      <c r="D7871" s="6">
        <v>4.25</v>
      </c>
      <c r="E7871" s="6">
        <v>20.0</v>
      </c>
    </row>
    <row r="7872">
      <c r="A7872" s="4" t="s">
        <v>15633</v>
      </c>
      <c r="B7872" s="5" t="s">
        <v>15634</v>
      </c>
      <c r="C7872" s="6">
        <v>779.0</v>
      </c>
      <c r="D7872" s="6">
        <v>5.0</v>
      </c>
      <c r="E7872" s="6">
        <v>7.0</v>
      </c>
    </row>
    <row r="7873">
      <c r="A7873" s="4" t="s">
        <v>15635</v>
      </c>
      <c r="B7873" s="5" t="s">
        <v>15636</v>
      </c>
      <c r="C7873" s="6">
        <v>779.0</v>
      </c>
      <c r="D7873" s="6">
        <v>5.0</v>
      </c>
      <c r="E7873" s="6">
        <v>1.0</v>
      </c>
    </row>
    <row r="7874">
      <c r="A7874" s="4" t="s">
        <v>15637</v>
      </c>
      <c r="B7874" s="5" t="s">
        <v>15638</v>
      </c>
      <c r="C7874" s="6">
        <v>779.0</v>
      </c>
      <c r="D7874" s="6">
        <v>5.0</v>
      </c>
      <c r="E7874" s="6">
        <v>6.0</v>
      </c>
    </row>
    <row r="7875">
      <c r="A7875" s="4" t="s">
        <v>15639</v>
      </c>
      <c r="B7875" s="5" t="s">
        <v>15640</v>
      </c>
      <c r="C7875" s="6">
        <v>778.0</v>
      </c>
      <c r="D7875" s="6">
        <v>3.4</v>
      </c>
      <c r="E7875" s="6">
        <v>5.0</v>
      </c>
    </row>
    <row r="7876">
      <c r="A7876" s="4" t="s">
        <v>15641</v>
      </c>
      <c r="B7876" s="5" t="s">
        <v>15642</v>
      </c>
      <c r="C7876" s="6">
        <v>778.0</v>
      </c>
      <c r="D7876" s="6">
        <v>3.75</v>
      </c>
      <c r="E7876" s="6">
        <v>4.0</v>
      </c>
    </row>
    <row r="7877">
      <c r="A7877" s="4" t="s">
        <v>15643</v>
      </c>
      <c r="B7877" s="5" t="s">
        <v>15644</v>
      </c>
      <c r="C7877" s="6">
        <v>777.0</v>
      </c>
      <c r="D7877" s="6">
        <v>3.555555556</v>
      </c>
      <c r="E7877" s="6">
        <v>9.0</v>
      </c>
    </row>
    <row r="7878">
      <c r="A7878" s="4" t="s">
        <v>15645</v>
      </c>
      <c r="B7878" s="5" t="s">
        <v>15646</v>
      </c>
      <c r="C7878" s="6">
        <v>777.0</v>
      </c>
      <c r="D7878" s="6">
        <v>3.619047619</v>
      </c>
      <c r="E7878" s="6">
        <v>21.0</v>
      </c>
    </row>
    <row r="7879">
      <c r="A7879" s="4" t="s">
        <v>15647</v>
      </c>
      <c r="B7879" s="5" t="s">
        <v>15648</v>
      </c>
      <c r="C7879" s="6">
        <v>777.0</v>
      </c>
      <c r="D7879" s="6">
        <v>4.0</v>
      </c>
      <c r="E7879" s="6">
        <v>3.0</v>
      </c>
    </row>
    <row r="7880">
      <c r="A7880" s="4" t="s">
        <v>15649</v>
      </c>
      <c r="B7880" s="5" t="s">
        <v>15650</v>
      </c>
      <c r="C7880" s="6">
        <v>776.0</v>
      </c>
      <c r="D7880" s="6">
        <v>4.5</v>
      </c>
      <c r="E7880" s="6">
        <v>2.0</v>
      </c>
    </row>
    <row r="7881">
      <c r="A7881" s="4" t="s">
        <v>15651</v>
      </c>
      <c r="B7881" s="5" t="s">
        <v>15652</v>
      </c>
      <c r="C7881" s="6">
        <v>776.0</v>
      </c>
      <c r="D7881" s="6">
        <v>4.818181818</v>
      </c>
      <c r="E7881" s="6">
        <v>11.0</v>
      </c>
    </row>
    <row r="7882">
      <c r="A7882" s="4" t="s">
        <v>15653</v>
      </c>
      <c r="B7882" s="5" t="s">
        <v>15654</v>
      </c>
      <c r="C7882" s="6">
        <v>776.0</v>
      </c>
      <c r="D7882" s="6">
        <v>5.0</v>
      </c>
      <c r="E7882" s="6">
        <v>6.0</v>
      </c>
    </row>
    <row r="7883">
      <c r="A7883" s="4" t="s">
        <v>15655</v>
      </c>
      <c r="B7883" s="5" t="s">
        <v>15656</v>
      </c>
      <c r="C7883" s="6">
        <v>776.0</v>
      </c>
      <c r="D7883" s="6">
        <v>3.470588235</v>
      </c>
      <c r="E7883" s="6">
        <v>17.0</v>
      </c>
    </row>
    <row r="7884">
      <c r="A7884" s="4" t="s">
        <v>15657</v>
      </c>
      <c r="B7884" s="5" t="s">
        <v>15658</v>
      </c>
      <c r="C7884" s="6">
        <v>776.0</v>
      </c>
      <c r="D7884" s="6">
        <v>3.0</v>
      </c>
      <c r="E7884" s="6">
        <v>8.0</v>
      </c>
    </row>
    <row r="7885">
      <c r="A7885" s="4" t="s">
        <v>13157</v>
      </c>
      <c r="B7885" s="5" t="s">
        <v>15659</v>
      </c>
      <c r="C7885" s="6">
        <v>776.0</v>
      </c>
      <c r="D7885" s="6">
        <v>4.0</v>
      </c>
      <c r="E7885" s="6">
        <v>2.0</v>
      </c>
    </row>
    <row r="7886">
      <c r="A7886" s="4" t="s">
        <v>15660</v>
      </c>
      <c r="B7886" s="5" t="s">
        <v>15661</v>
      </c>
      <c r="C7886" s="6">
        <v>776.0</v>
      </c>
      <c r="D7886" s="6">
        <v>4.8</v>
      </c>
      <c r="E7886" s="6">
        <v>5.0</v>
      </c>
    </row>
    <row r="7887">
      <c r="A7887" s="4" t="s">
        <v>15662</v>
      </c>
      <c r="B7887" s="5" t="s">
        <v>15663</v>
      </c>
      <c r="C7887" s="6">
        <v>776.0</v>
      </c>
      <c r="D7887" s="6">
        <v>3.483870968</v>
      </c>
      <c r="E7887" s="6">
        <v>31.0</v>
      </c>
    </row>
    <row r="7888">
      <c r="A7888" s="4" t="s">
        <v>15664</v>
      </c>
      <c r="B7888" s="5" t="s">
        <v>15665</v>
      </c>
      <c r="C7888" s="6">
        <v>776.0</v>
      </c>
      <c r="D7888" s="6">
        <v>4.583333333</v>
      </c>
      <c r="E7888" s="6">
        <v>12.0</v>
      </c>
    </row>
    <row r="7889">
      <c r="A7889" s="4" t="s">
        <v>15666</v>
      </c>
      <c r="B7889" s="5" t="s">
        <v>15667</v>
      </c>
      <c r="C7889" s="6">
        <v>775.0</v>
      </c>
      <c r="D7889" s="6">
        <v>4.588235294</v>
      </c>
      <c r="E7889" s="6">
        <v>34.0</v>
      </c>
    </row>
    <row r="7890">
      <c r="A7890" s="4" t="s">
        <v>15668</v>
      </c>
      <c r="B7890" s="5" t="s">
        <v>15669</v>
      </c>
      <c r="C7890" s="6">
        <v>775.0</v>
      </c>
      <c r="D7890" s="6">
        <v>3.9</v>
      </c>
      <c r="E7890" s="6">
        <v>20.0</v>
      </c>
    </row>
    <row r="7891">
      <c r="A7891" s="4" t="s">
        <v>15670</v>
      </c>
      <c r="B7891" s="5" t="s">
        <v>15671</v>
      </c>
      <c r="C7891" s="6">
        <v>774.0</v>
      </c>
      <c r="D7891" s="6">
        <v>5.0</v>
      </c>
      <c r="E7891" s="6">
        <v>3.0</v>
      </c>
    </row>
    <row r="7892">
      <c r="A7892" s="4" t="s">
        <v>15672</v>
      </c>
      <c r="B7892" s="5" t="s">
        <v>15673</v>
      </c>
      <c r="C7892" s="6">
        <v>774.0</v>
      </c>
      <c r="D7892" s="6">
        <v>4.454545455</v>
      </c>
      <c r="E7892" s="6">
        <v>11.0</v>
      </c>
    </row>
    <row r="7893">
      <c r="A7893" s="4" t="s">
        <v>15674</v>
      </c>
      <c r="B7893" s="5" t="s">
        <v>15675</v>
      </c>
      <c r="C7893" s="6">
        <v>773.0</v>
      </c>
      <c r="D7893" s="6">
        <v>4.235294118</v>
      </c>
      <c r="E7893" s="6">
        <v>17.0</v>
      </c>
    </row>
    <row r="7894">
      <c r="A7894" s="4" t="s">
        <v>15676</v>
      </c>
      <c r="B7894" s="5" t="s">
        <v>15677</v>
      </c>
      <c r="C7894" s="6">
        <v>773.0</v>
      </c>
      <c r="D7894" s="6">
        <v>4.909090909</v>
      </c>
      <c r="E7894" s="6">
        <v>11.0</v>
      </c>
    </row>
    <row r="7895">
      <c r="A7895" s="4" t="s">
        <v>15678</v>
      </c>
      <c r="B7895" s="5" t="s">
        <v>15679</v>
      </c>
      <c r="C7895" s="6">
        <v>773.0</v>
      </c>
      <c r="D7895" s="6">
        <v>4.076923077</v>
      </c>
      <c r="E7895" s="6">
        <v>13.0</v>
      </c>
    </row>
    <row r="7896">
      <c r="A7896" s="4" t="s">
        <v>15680</v>
      </c>
      <c r="B7896" s="5" t="s">
        <v>15681</v>
      </c>
      <c r="C7896" s="6">
        <v>772.0</v>
      </c>
      <c r="D7896" s="6">
        <v>4.384615385</v>
      </c>
      <c r="E7896" s="6">
        <v>13.0</v>
      </c>
    </row>
    <row r="7897">
      <c r="A7897" s="4" t="s">
        <v>15682</v>
      </c>
      <c r="B7897" s="5" t="s">
        <v>15683</v>
      </c>
      <c r="C7897" s="6">
        <v>772.0</v>
      </c>
      <c r="D7897" s="6">
        <v>3.4375</v>
      </c>
      <c r="E7897" s="6">
        <v>16.0</v>
      </c>
    </row>
    <row r="7898">
      <c r="A7898" s="4" t="s">
        <v>15684</v>
      </c>
      <c r="B7898" s="5" t="s">
        <v>15685</v>
      </c>
      <c r="C7898" s="6">
        <v>772.0</v>
      </c>
      <c r="D7898" s="6">
        <v>5.0</v>
      </c>
      <c r="E7898" s="6">
        <v>3.0</v>
      </c>
    </row>
    <row r="7899">
      <c r="A7899" s="4" t="s">
        <v>15686</v>
      </c>
      <c r="B7899" s="5" t="s">
        <v>15687</v>
      </c>
      <c r="C7899" s="6">
        <v>772.0</v>
      </c>
      <c r="D7899" s="6">
        <v>5.0</v>
      </c>
      <c r="E7899" s="6">
        <v>9.0</v>
      </c>
    </row>
    <row r="7900">
      <c r="A7900" s="4" t="s">
        <v>15688</v>
      </c>
      <c r="B7900" s="5" t="s">
        <v>15689</v>
      </c>
      <c r="C7900" s="6">
        <v>772.0</v>
      </c>
      <c r="D7900" s="6">
        <v>5.0</v>
      </c>
      <c r="E7900" s="6">
        <v>27.0</v>
      </c>
    </row>
    <row r="7901">
      <c r="A7901" s="4" t="s">
        <v>15690</v>
      </c>
      <c r="B7901" s="5" t="s">
        <v>15691</v>
      </c>
      <c r="C7901" s="6">
        <v>772.0</v>
      </c>
      <c r="D7901" s="6">
        <v>3.714285714</v>
      </c>
      <c r="E7901" s="6">
        <v>7.0</v>
      </c>
    </row>
    <row r="7902">
      <c r="A7902" s="4" t="s">
        <v>15692</v>
      </c>
      <c r="B7902" s="5" t="s">
        <v>15693</v>
      </c>
      <c r="C7902" s="6">
        <v>772.0</v>
      </c>
      <c r="D7902" s="6">
        <v>4.2</v>
      </c>
      <c r="E7902" s="6">
        <v>5.0</v>
      </c>
    </row>
    <row r="7903">
      <c r="A7903" s="4" t="s">
        <v>9000</v>
      </c>
      <c r="B7903" s="5" t="s">
        <v>15694</v>
      </c>
      <c r="C7903" s="6">
        <v>772.0</v>
      </c>
      <c r="D7903" s="6">
        <v>5.0</v>
      </c>
      <c r="E7903" s="6">
        <v>1.0</v>
      </c>
    </row>
    <row r="7904">
      <c r="A7904" s="4" t="s">
        <v>15695</v>
      </c>
      <c r="B7904" s="5" t="s">
        <v>15696</v>
      </c>
      <c r="C7904" s="6">
        <v>771.0</v>
      </c>
      <c r="D7904" s="6">
        <v>5.0</v>
      </c>
      <c r="E7904" s="6">
        <v>9.0</v>
      </c>
    </row>
    <row r="7905">
      <c r="A7905" s="4" t="s">
        <v>15697</v>
      </c>
      <c r="B7905" s="5" t="s">
        <v>15698</v>
      </c>
      <c r="C7905" s="6">
        <v>771.0</v>
      </c>
      <c r="D7905" s="6">
        <v>4.4375</v>
      </c>
      <c r="E7905" s="6">
        <v>16.0</v>
      </c>
    </row>
    <row r="7906">
      <c r="A7906" s="4" t="s">
        <v>15699</v>
      </c>
      <c r="B7906" s="5" t="s">
        <v>15700</v>
      </c>
      <c r="C7906" s="6">
        <v>771.0</v>
      </c>
      <c r="D7906" s="6">
        <v>1.333333333</v>
      </c>
      <c r="E7906" s="6">
        <v>3.0</v>
      </c>
    </row>
    <row r="7907">
      <c r="A7907" s="4" t="s">
        <v>15701</v>
      </c>
      <c r="B7907" s="5" t="s">
        <v>15702</v>
      </c>
      <c r="C7907" s="6">
        <v>771.0</v>
      </c>
      <c r="D7907" s="6">
        <v>3.2</v>
      </c>
      <c r="E7907" s="6">
        <v>5.0</v>
      </c>
    </row>
    <row r="7908">
      <c r="A7908" s="4" t="s">
        <v>15703</v>
      </c>
      <c r="B7908" s="5" t="s">
        <v>15704</v>
      </c>
      <c r="C7908" s="6">
        <v>771.0</v>
      </c>
      <c r="D7908" s="9"/>
      <c r="E7908" s="9"/>
    </row>
    <row r="7909">
      <c r="A7909" s="4" t="s">
        <v>15705</v>
      </c>
      <c r="B7909" s="5" t="s">
        <v>15706</v>
      </c>
      <c r="C7909" s="6">
        <v>770.0</v>
      </c>
      <c r="D7909" s="6">
        <v>4.117647059</v>
      </c>
      <c r="E7909" s="6">
        <v>17.0</v>
      </c>
    </row>
    <row r="7910">
      <c r="A7910" s="4" t="s">
        <v>15707</v>
      </c>
      <c r="B7910" s="5" t="s">
        <v>15708</v>
      </c>
      <c r="C7910" s="6">
        <v>770.0</v>
      </c>
      <c r="D7910" s="6">
        <v>5.0</v>
      </c>
      <c r="E7910" s="6">
        <v>1.0</v>
      </c>
    </row>
    <row r="7911">
      <c r="A7911" s="4" t="s">
        <v>15709</v>
      </c>
      <c r="B7911" s="5" t="s">
        <v>15710</v>
      </c>
      <c r="C7911" s="6">
        <v>770.0</v>
      </c>
      <c r="D7911" s="6">
        <v>3.916666667</v>
      </c>
      <c r="E7911" s="6">
        <v>12.0</v>
      </c>
    </row>
    <row r="7912">
      <c r="A7912" s="4" t="s">
        <v>15711</v>
      </c>
      <c r="B7912" s="5" t="s">
        <v>15712</v>
      </c>
      <c r="C7912" s="6">
        <v>770.0</v>
      </c>
      <c r="D7912" s="6">
        <v>5.0</v>
      </c>
      <c r="E7912" s="6">
        <v>2.0</v>
      </c>
    </row>
    <row r="7913">
      <c r="A7913" s="4" t="s">
        <v>15713</v>
      </c>
      <c r="B7913" s="5" t="s">
        <v>15714</v>
      </c>
      <c r="C7913" s="6">
        <v>769.0</v>
      </c>
      <c r="D7913" s="9"/>
      <c r="E7913" s="9"/>
    </row>
    <row r="7914">
      <c r="A7914" s="4" t="s">
        <v>15715</v>
      </c>
      <c r="B7914" s="5" t="s">
        <v>15716</v>
      </c>
      <c r="C7914" s="6">
        <v>769.0</v>
      </c>
      <c r="D7914" s="6">
        <v>2.0</v>
      </c>
      <c r="E7914" s="6">
        <v>4.0</v>
      </c>
    </row>
    <row r="7915">
      <c r="A7915" s="4" t="s">
        <v>15717</v>
      </c>
      <c r="B7915" s="5" t="s">
        <v>15718</v>
      </c>
      <c r="C7915" s="6">
        <v>769.0</v>
      </c>
      <c r="D7915" s="6">
        <v>3.884615385</v>
      </c>
      <c r="E7915" s="6">
        <v>26.0</v>
      </c>
    </row>
    <row r="7916">
      <c r="A7916" s="4" t="s">
        <v>15719</v>
      </c>
      <c r="B7916" s="5" t="s">
        <v>15720</v>
      </c>
      <c r="C7916" s="6">
        <v>769.0</v>
      </c>
      <c r="D7916" s="6">
        <v>2.0</v>
      </c>
      <c r="E7916" s="6">
        <v>5.0</v>
      </c>
    </row>
    <row r="7917">
      <c r="A7917" s="4" t="s">
        <v>15721</v>
      </c>
      <c r="B7917" s="5" t="s">
        <v>15722</v>
      </c>
      <c r="C7917" s="6">
        <v>769.0</v>
      </c>
      <c r="D7917" s="9"/>
      <c r="E7917" s="9"/>
    </row>
    <row r="7918">
      <c r="A7918" s="4" t="s">
        <v>15723</v>
      </c>
      <c r="B7918" s="5" t="s">
        <v>15724</v>
      </c>
      <c r="C7918" s="6">
        <v>769.0</v>
      </c>
      <c r="D7918" s="6">
        <v>3.5</v>
      </c>
      <c r="E7918" s="6">
        <v>2.0</v>
      </c>
    </row>
    <row r="7919">
      <c r="A7919" s="4" t="s">
        <v>15725</v>
      </c>
      <c r="B7919" s="5" t="s">
        <v>15726</v>
      </c>
      <c r="C7919" s="6">
        <v>769.0</v>
      </c>
      <c r="D7919" s="6">
        <v>4.714285714</v>
      </c>
      <c r="E7919" s="6">
        <v>14.0</v>
      </c>
    </row>
    <row r="7920">
      <c r="A7920" s="4" t="s">
        <v>15727</v>
      </c>
      <c r="B7920" s="5" t="s">
        <v>15728</v>
      </c>
      <c r="C7920" s="6">
        <v>769.0</v>
      </c>
      <c r="D7920" s="6">
        <v>5.0</v>
      </c>
      <c r="E7920" s="6">
        <v>11.0</v>
      </c>
    </row>
    <row r="7921">
      <c r="A7921" s="4" t="s">
        <v>15729</v>
      </c>
      <c r="B7921" s="5" t="s">
        <v>15730</v>
      </c>
      <c r="C7921" s="6">
        <v>768.0</v>
      </c>
      <c r="D7921" s="6">
        <v>3.416666667</v>
      </c>
      <c r="E7921" s="6">
        <v>12.0</v>
      </c>
    </row>
    <row r="7922">
      <c r="A7922" s="4" t="s">
        <v>15731</v>
      </c>
      <c r="B7922" s="5" t="s">
        <v>15732</v>
      </c>
      <c r="C7922" s="6">
        <v>768.0</v>
      </c>
      <c r="D7922" s="6">
        <v>4.5</v>
      </c>
      <c r="E7922" s="6">
        <v>12.0</v>
      </c>
    </row>
    <row r="7923">
      <c r="A7923" s="4" t="s">
        <v>15733</v>
      </c>
      <c r="B7923" s="5" t="s">
        <v>15734</v>
      </c>
      <c r="C7923" s="6">
        <v>768.0</v>
      </c>
      <c r="D7923" s="6">
        <v>4.0</v>
      </c>
      <c r="E7923" s="6">
        <v>5.0</v>
      </c>
    </row>
    <row r="7924">
      <c r="A7924" s="4" t="s">
        <v>15735</v>
      </c>
      <c r="B7924" s="5" t="s">
        <v>15736</v>
      </c>
      <c r="C7924" s="6">
        <v>768.0</v>
      </c>
      <c r="D7924" s="6">
        <v>4.727272727</v>
      </c>
      <c r="E7924" s="6">
        <v>11.0</v>
      </c>
    </row>
    <row r="7925">
      <c r="A7925" s="4" t="s">
        <v>15737</v>
      </c>
      <c r="B7925" s="5" t="s">
        <v>15738</v>
      </c>
      <c r="C7925" s="6">
        <v>767.0</v>
      </c>
      <c r="D7925" s="6">
        <v>4.8</v>
      </c>
      <c r="E7925" s="6">
        <v>15.0</v>
      </c>
    </row>
    <row r="7926">
      <c r="A7926" s="4" t="s">
        <v>15739</v>
      </c>
      <c r="B7926" s="5" t="s">
        <v>15740</v>
      </c>
      <c r="C7926" s="6">
        <v>767.0</v>
      </c>
      <c r="D7926" s="6">
        <v>3.2</v>
      </c>
      <c r="E7926" s="6">
        <v>5.0</v>
      </c>
    </row>
    <row r="7927">
      <c r="A7927" s="4" t="s">
        <v>15741</v>
      </c>
      <c r="B7927" s="5" t="s">
        <v>15742</v>
      </c>
      <c r="C7927" s="6">
        <v>767.0</v>
      </c>
      <c r="D7927" s="6">
        <v>4.4</v>
      </c>
      <c r="E7927" s="6">
        <v>10.0</v>
      </c>
    </row>
    <row r="7928">
      <c r="A7928" s="4" t="s">
        <v>15743</v>
      </c>
      <c r="B7928" s="5" t="s">
        <v>15744</v>
      </c>
      <c r="C7928" s="6">
        <v>767.0</v>
      </c>
      <c r="D7928" s="6">
        <v>4.555555556</v>
      </c>
      <c r="E7928" s="6">
        <v>9.0</v>
      </c>
    </row>
    <row r="7929">
      <c r="A7929" s="4" t="s">
        <v>15745</v>
      </c>
      <c r="B7929" s="5" t="s">
        <v>15746</v>
      </c>
      <c r="C7929" s="6">
        <v>767.0</v>
      </c>
      <c r="D7929" s="6">
        <v>4.421052632</v>
      </c>
      <c r="E7929" s="6">
        <v>38.0</v>
      </c>
    </row>
    <row r="7930">
      <c r="A7930" s="4" t="s">
        <v>15747</v>
      </c>
      <c r="B7930" s="5" t="s">
        <v>15748</v>
      </c>
      <c r="C7930" s="6">
        <v>767.0</v>
      </c>
      <c r="D7930" s="6">
        <v>5.0</v>
      </c>
      <c r="E7930" s="6">
        <v>5.0</v>
      </c>
    </row>
    <row r="7931">
      <c r="A7931" s="4" t="s">
        <v>15749</v>
      </c>
      <c r="B7931" s="5" t="s">
        <v>15750</v>
      </c>
      <c r="C7931" s="6">
        <v>767.0</v>
      </c>
      <c r="D7931" s="6">
        <v>4.125</v>
      </c>
      <c r="E7931" s="6">
        <v>8.0</v>
      </c>
    </row>
    <row r="7932">
      <c r="A7932" s="4" t="s">
        <v>15751</v>
      </c>
      <c r="B7932" s="5" t="s">
        <v>15752</v>
      </c>
      <c r="C7932" s="6">
        <v>767.0</v>
      </c>
      <c r="D7932" s="6">
        <v>4.0</v>
      </c>
      <c r="E7932" s="6">
        <v>2.0</v>
      </c>
    </row>
    <row r="7933">
      <c r="A7933" s="4" t="s">
        <v>15753</v>
      </c>
      <c r="B7933" s="5" t="s">
        <v>15754</v>
      </c>
      <c r="C7933" s="6">
        <v>766.0</v>
      </c>
      <c r="D7933" s="6">
        <v>4.285714286</v>
      </c>
      <c r="E7933" s="6">
        <v>28.0</v>
      </c>
    </row>
    <row r="7934">
      <c r="A7934" s="4" t="s">
        <v>15755</v>
      </c>
      <c r="B7934" s="5" t="s">
        <v>15756</v>
      </c>
      <c r="C7934" s="6">
        <v>766.0</v>
      </c>
      <c r="D7934" s="6">
        <v>5.0</v>
      </c>
      <c r="E7934" s="6">
        <v>1.0</v>
      </c>
    </row>
    <row r="7935">
      <c r="A7935" s="4" t="s">
        <v>15757</v>
      </c>
      <c r="B7935" s="5" t="s">
        <v>15758</v>
      </c>
      <c r="C7935" s="6">
        <v>765.0</v>
      </c>
      <c r="D7935" s="6">
        <v>3.0</v>
      </c>
      <c r="E7935" s="6">
        <v>3.0</v>
      </c>
    </row>
    <row r="7936">
      <c r="A7936" s="4" t="s">
        <v>15759</v>
      </c>
      <c r="B7936" s="5" t="s">
        <v>15760</v>
      </c>
      <c r="C7936" s="6">
        <v>765.0</v>
      </c>
      <c r="D7936" s="6">
        <v>5.0</v>
      </c>
      <c r="E7936" s="6">
        <v>1.0</v>
      </c>
    </row>
    <row r="7937">
      <c r="A7937" s="4" t="s">
        <v>15761</v>
      </c>
      <c r="B7937" s="5" t="s">
        <v>15762</v>
      </c>
      <c r="C7937" s="6">
        <v>764.0</v>
      </c>
      <c r="D7937" s="6">
        <v>5.0</v>
      </c>
      <c r="E7937" s="6">
        <v>3.0</v>
      </c>
    </row>
    <row r="7938">
      <c r="A7938" s="4" t="s">
        <v>15763</v>
      </c>
      <c r="B7938" s="5" t="s">
        <v>15764</v>
      </c>
      <c r="C7938" s="6">
        <v>764.0</v>
      </c>
      <c r="D7938" s="6">
        <v>5.0</v>
      </c>
      <c r="E7938" s="6">
        <v>2.0</v>
      </c>
    </row>
    <row r="7939">
      <c r="A7939" s="4" t="s">
        <v>15765</v>
      </c>
      <c r="B7939" s="5" t="s">
        <v>15766</v>
      </c>
      <c r="C7939" s="6">
        <v>764.0</v>
      </c>
      <c r="D7939" s="6">
        <v>3.2</v>
      </c>
      <c r="E7939" s="6">
        <v>10.0</v>
      </c>
    </row>
    <row r="7940">
      <c r="A7940" s="4" t="s">
        <v>15767</v>
      </c>
      <c r="B7940" s="5" t="s">
        <v>15768</v>
      </c>
      <c r="C7940" s="6">
        <v>764.0</v>
      </c>
      <c r="D7940" s="6">
        <v>5.0</v>
      </c>
      <c r="E7940" s="6">
        <v>1.0</v>
      </c>
    </row>
    <row r="7941">
      <c r="A7941" s="4" t="s">
        <v>15769</v>
      </c>
      <c r="B7941" s="5" t="s">
        <v>15770</v>
      </c>
      <c r="C7941" s="6">
        <v>764.0</v>
      </c>
      <c r="D7941" s="6">
        <v>4.666666667</v>
      </c>
      <c r="E7941" s="6">
        <v>9.0</v>
      </c>
    </row>
    <row r="7942">
      <c r="A7942" s="4" t="s">
        <v>15771</v>
      </c>
      <c r="B7942" s="5" t="s">
        <v>15772</v>
      </c>
      <c r="C7942" s="6">
        <v>764.0</v>
      </c>
      <c r="D7942" s="6">
        <v>3.666666667</v>
      </c>
      <c r="E7942" s="6">
        <v>3.0</v>
      </c>
    </row>
    <row r="7943">
      <c r="A7943" s="4" t="s">
        <v>15773</v>
      </c>
      <c r="B7943" s="5" t="s">
        <v>15774</v>
      </c>
      <c r="C7943" s="6">
        <v>764.0</v>
      </c>
      <c r="D7943" s="6">
        <v>3.730769231</v>
      </c>
      <c r="E7943" s="6">
        <v>52.0</v>
      </c>
    </row>
    <row r="7944">
      <c r="A7944" s="4" t="s">
        <v>15775</v>
      </c>
      <c r="B7944" s="5" t="s">
        <v>15776</v>
      </c>
      <c r="C7944" s="6">
        <v>763.0</v>
      </c>
      <c r="D7944" s="6">
        <v>3.541666667</v>
      </c>
      <c r="E7944" s="6">
        <v>24.0</v>
      </c>
    </row>
    <row r="7945">
      <c r="A7945" s="4" t="s">
        <v>15777</v>
      </c>
      <c r="B7945" s="5" t="s">
        <v>15778</v>
      </c>
      <c r="C7945" s="6">
        <v>763.0</v>
      </c>
      <c r="D7945" s="6">
        <v>3.666666667</v>
      </c>
      <c r="E7945" s="6">
        <v>3.0</v>
      </c>
    </row>
    <row r="7946">
      <c r="A7946" s="4" t="s">
        <v>15779</v>
      </c>
      <c r="B7946" s="5" t="s">
        <v>15780</v>
      </c>
      <c r="C7946" s="6">
        <v>763.0</v>
      </c>
      <c r="D7946" s="9"/>
      <c r="E7946" s="9"/>
    </row>
    <row r="7947">
      <c r="A7947" s="4" t="s">
        <v>15781</v>
      </c>
      <c r="B7947" s="5" t="s">
        <v>15782</v>
      </c>
      <c r="C7947" s="6">
        <v>763.0</v>
      </c>
      <c r="D7947" s="6">
        <v>5.0</v>
      </c>
      <c r="E7947" s="6">
        <v>1.0</v>
      </c>
    </row>
    <row r="7948">
      <c r="A7948" s="4" t="s">
        <v>15783</v>
      </c>
      <c r="B7948" s="5" t="s">
        <v>15784</v>
      </c>
      <c r="C7948" s="6">
        <v>763.0</v>
      </c>
      <c r="D7948" s="6">
        <v>3.25</v>
      </c>
      <c r="E7948" s="6">
        <v>4.0</v>
      </c>
    </row>
    <row r="7949">
      <c r="A7949" s="4" t="s">
        <v>15785</v>
      </c>
      <c r="B7949" s="5" t="s">
        <v>15786</v>
      </c>
      <c r="C7949" s="6">
        <v>763.0</v>
      </c>
      <c r="D7949" s="6">
        <v>3.105263158</v>
      </c>
      <c r="E7949" s="6">
        <v>19.0</v>
      </c>
    </row>
    <row r="7950">
      <c r="A7950" s="4" t="s">
        <v>15787</v>
      </c>
      <c r="B7950" s="5" t="s">
        <v>15788</v>
      </c>
      <c r="C7950" s="6">
        <v>762.0</v>
      </c>
      <c r="D7950" s="6">
        <v>4.0</v>
      </c>
      <c r="E7950" s="6">
        <v>1.0</v>
      </c>
    </row>
    <row r="7951">
      <c r="A7951" s="4" t="s">
        <v>15789</v>
      </c>
      <c r="B7951" s="5" t="s">
        <v>15790</v>
      </c>
      <c r="C7951" s="6">
        <v>762.0</v>
      </c>
      <c r="D7951" s="6">
        <v>5.0</v>
      </c>
      <c r="E7951" s="6">
        <v>1.0</v>
      </c>
    </row>
    <row r="7952">
      <c r="A7952" s="4" t="s">
        <v>15791</v>
      </c>
      <c r="B7952" s="5" t="s">
        <v>15792</v>
      </c>
      <c r="C7952" s="6">
        <v>762.0</v>
      </c>
      <c r="D7952" s="6">
        <v>4.666666667</v>
      </c>
      <c r="E7952" s="6">
        <v>6.0</v>
      </c>
    </row>
    <row r="7953">
      <c r="A7953" s="4" t="s">
        <v>15793</v>
      </c>
      <c r="B7953" s="5" t="s">
        <v>15794</v>
      </c>
      <c r="C7953" s="6">
        <v>762.0</v>
      </c>
      <c r="D7953" s="6">
        <v>4.0</v>
      </c>
      <c r="E7953" s="6">
        <v>8.0</v>
      </c>
    </row>
    <row r="7954">
      <c r="A7954" s="4" t="s">
        <v>15795</v>
      </c>
      <c r="B7954" s="5" t="s">
        <v>15796</v>
      </c>
      <c r="C7954" s="6">
        <v>762.0</v>
      </c>
      <c r="D7954" s="6">
        <v>2.65</v>
      </c>
      <c r="E7954" s="6">
        <v>40.0</v>
      </c>
    </row>
    <row r="7955">
      <c r="A7955" s="4" t="s">
        <v>15797</v>
      </c>
      <c r="B7955" s="5" t="s">
        <v>15798</v>
      </c>
      <c r="C7955" s="6">
        <v>762.0</v>
      </c>
      <c r="D7955" s="6">
        <v>4.461538462</v>
      </c>
      <c r="E7955" s="6">
        <v>13.0</v>
      </c>
    </row>
    <row r="7956">
      <c r="A7956" s="4" t="s">
        <v>15799</v>
      </c>
      <c r="B7956" s="5" t="s">
        <v>15800</v>
      </c>
      <c r="C7956" s="6">
        <v>761.0</v>
      </c>
      <c r="D7956" s="6">
        <v>4.473684211</v>
      </c>
      <c r="E7956" s="6">
        <v>19.0</v>
      </c>
    </row>
    <row r="7957">
      <c r="A7957" s="4" t="s">
        <v>15801</v>
      </c>
      <c r="B7957" s="5" t="s">
        <v>15802</v>
      </c>
      <c r="C7957" s="6">
        <v>761.0</v>
      </c>
      <c r="D7957" s="6">
        <v>2.105263158</v>
      </c>
      <c r="E7957" s="6">
        <v>38.0</v>
      </c>
    </row>
    <row r="7958">
      <c r="A7958" s="4" t="s">
        <v>15803</v>
      </c>
      <c r="B7958" s="5" t="s">
        <v>15804</v>
      </c>
      <c r="C7958" s="6">
        <v>761.0</v>
      </c>
      <c r="D7958" s="6">
        <v>5.0</v>
      </c>
      <c r="E7958" s="6">
        <v>10.0</v>
      </c>
    </row>
    <row r="7959">
      <c r="A7959" s="4" t="s">
        <v>15805</v>
      </c>
      <c r="B7959" s="5" t="s">
        <v>15806</v>
      </c>
      <c r="C7959" s="6">
        <v>761.0</v>
      </c>
      <c r="D7959" s="9"/>
      <c r="E7959" s="9"/>
    </row>
    <row r="7960">
      <c r="A7960" s="4" t="s">
        <v>15807</v>
      </c>
      <c r="B7960" s="5" t="s">
        <v>15808</v>
      </c>
      <c r="C7960" s="6">
        <v>760.0</v>
      </c>
      <c r="D7960" s="6">
        <v>3.666666667</v>
      </c>
      <c r="E7960" s="6">
        <v>3.0</v>
      </c>
    </row>
    <row r="7961">
      <c r="A7961" s="4" t="s">
        <v>15809</v>
      </c>
      <c r="B7961" s="5" t="s">
        <v>15810</v>
      </c>
      <c r="C7961" s="6">
        <v>760.0</v>
      </c>
      <c r="D7961" s="6">
        <v>5.0</v>
      </c>
      <c r="E7961" s="6">
        <v>5.0</v>
      </c>
    </row>
    <row r="7962">
      <c r="A7962" s="4" t="s">
        <v>15811</v>
      </c>
      <c r="B7962" s="5" t="s">
        <v>15812</v>
      </c>
      <c r="C7962" s="6">
        <v>760.0</v>
      </c>
      <c r="D7962" s="6">
        <v>3.0</v>
      </c>
      <c r="E7962" s="6">
        <v>2.0</v>
      </c>
    </row>
    <row r="7963">
      <c r="A7963" s="4" t="s">
        <v>15813</v>
      </c>
      <c r="B7963" s="5" t="s">
        <v>15814</v>
      </c>
      <c r="C7963" s="6">
        <v>760.0</v>
      </c>
      <c r="D7963" s="6">
        <v>4.285714286</v>
      </c>
      <c r="E7963" s="6">
        <v>7.0</v>
      </c>
    </row>
    <row r="7964">
      <c r="A7964" s="4" t="s">
        <v>15815</v>
      </c>
      <c r="B7964" s="5" t="s">
        <v>15816</v>
      </c>
      <c r="C7964" s="6">
        <v>760.0</v>
      </c>
      <c r="D7964" s="6">
        <v>4.333333333</v>
      </c>
      <c r="E7964" s="6">
        <v>3.0</v>
      </c>
    </row>
    <row r="7965">
      <c r="A7965" s="4" t="s">
        <v>15817</v>
      </c>
      <c r="B7965" s="5" t="s">
        <v>15818</v>
      </c>
      <c r="C7965" s="6">
        <v>759.0</v>
      </c>
      <c r="D7965" s="6">
        <v>2.6</v>
      </c>
      <c r="E7965" s="6">
        <v>5.0</v>
      </c>
    </row>
    <row r="7966">
      <c r="A7966" s="4" t="s">
        <v>15819</v>
      </c>
      <c r="B7966" s="5" t="s">
        <v>15820</v>
      </c>
      <c r="C7966" s="6">
        <v>759.0</v>
      </c>
      <c r="D7966" s="6">
        <v>3.0</v>
      </c>
      <c r="E7966" s="6">
        <v>4.0</v>
      </c>
    </row>
    <row r="7967">
      <c r="A7967" s="4" t="s">
        <v>15821</v>
      </c>
      <c r="B7967" s="5" t="s">
        <v>15822</v>
      </c>
      <c r="C7967" s="6">
        <v>759.0</v>
      </c>
      <c r="D7967" s="6">
        <v>2.65</v>
      </c>
      <c r="E7967" s="6">
        <v>20.0</v>
      </c>
    </row>
    <row r="7968">
      <c r="A7968" s="4" t="s">
        <v>15823</v>
      </c>
      <c r="B7968" s="5" t="s">
        <v>15824</v>
      </c>
      <c r="C7968" s="6">
        <v>758.0</v>
      </c>
      <c r="D7968" s="9"/>
      <c r="E7968" s="9"/>
    </row>
    <row r="7969">
      <c r="A7969" s="4" t="s">
        <v>15825</v>
      </c>
      <c r="B7969" s="5" t="s">
        <v>15826</v>
      </c>
      <c r="C7969" s="6">
        <v>758.0</v>
      </c>
      <c r="D7969" s="6">
        <v>4.5</v>
      </c>
      <c r="E7969" s="6">
        <v>22.0</v>
      </c>
    </row>
    <row r="7970">
      <c r="A7970" s="4" t="s">
        <v>15827</v>
      </c>
      <c r="B7970" s="5" t="s">
        <v>15828</v>
      </c>
      <c r="C7970" s="6">
        <v>758.0</v>
      </c>
      <c r="D7970" s="6">
        <v>4.136363636</v>
      </c>
      <c r="E7970" s="6">
        <v>44.0</v>
      </c>
    </row>
    <row r="7971">
      <c r="A7971" s="4" t="s">
        <v>15829</v>
      </c>
      <c r="B7971" s="5" t="s">
        <v>15830</v>
      </c>
      <c r="C7971" s="6">
        <v>758.0</v>
      </c>
      <c r="D7971" s="6">
        <v>4.833333333</v>
      </c>
      <c r="E7971" s="6">
        <v>6.0</v>
      </c>
    </row>
    <row r="7972">
      <c r="A7972" s="4" t="s">
        <v>15831</v>
      </c>
      <c r="B7972" s="5" t="s">
        <v>15832</v>
      </c>
      <c r="C7972" s="6">
        <v>758.0</v>
      </c>
      <c r="D7972" s="6">
        <v>3.363636364</v>
      </c>
      <c r="E7972" s="6">
        <v>11.0</v>
      </c>
    </row>
    <row r="7973">
      <c r="A7973" s="4" t="s">
        <v>15833</v>
      </c>
      <c r="B7973" s="5" t="s">
        <v>15834</v>
      </c>
      <c r="C7973" s="6">
        <v>758.0</v>
      </c>
      <c r="D7973" s="6">
        <v>4.066666667</v>
      </c>
      <c r="E7973" s="6">
        <v>15.0</v>
      </c>
    </row>
    <row r="7974">
      <c r="A7974" s="4" t="s">
        <v>15835</v>
      </c>
      <c r="B7974" s="5" t="s">
        <v>15836</v>
      </c>
      <c r="C7974" s="6">
        <v>757.0</v>
      </c>
      <c r="D7974" s="6">
        <v>4.333333333</v>
      </c>
      <c r="E7974" s="6">
        <v>3.0</v>
      </c>
    </row>
    <row r="7975">
      <c r="A7975" s="4" t="s">
        <v>15837</v>
      </c>
      <c r="B7975" s="5" t="s">
        <v>15838</v>
      </c>
      <c r="C7975" s="6">
        <v>757.0</v>
      </c>
      <c r="D7975" s="6">
        <v>4.3</v>
      </c>
      <c r="E7975" s="6">
        <v>10.0</v>
      </c>
    </row>
    <row r="7976">
      <c r="A7976" s="4" t="s">
        <v>15839</v>
      </c>
      <c r="B7976" s="5" t="s">
        <v>15840</v>
      </c>
      <c r="C7976" s="6">
        <v>757.0</v>
      </c>
      <c r="D7976" s="6">
        <v>5.0</v>
      </c>
      <c r="E7976" s="6">
        <v>4.0</v>
      </c>
    </row>
    <row r="7977">
      <c r="A7977" s="4" t="s">
        <v>15841</v>
      </c>
      <c r="B7977" s="5" t="s">
        <v>15842</v>
      </c>
      <c r="C7977" s="6">
        <v>757.0</v>
      </c>
      <c r="D7977" s="6">
        <v>4.260869565</v>
      </c>
      <c r="E7977" s="6">
        <v>23.0</v>
      </c>
    </row>
    <row r="7978">
      <c r="A7978" s="4" t="s">
        <v>15843</v>
      </c>
      <c r="B7978" s="5" t="s">
        <v>15844</v>
      </c>
      <c r="C7978" s="6">
        <v>756.0</v>
      </c>
      <c r="D7978" s="6">
        <v>3.428571429</v>
      </c>
      <c r="E7978" s="6">
        <v>7.0</v>
      </c>
    </row>
    <row r="7979">
      <c r="A7979" s="4" t="s">
        <v>15845</v>
      </c>
      <c r="B7979" s="5" t="s">
        <v>15846</v>
      </c>
      <c r="C7979" s="6">
        <v>756.0</v>
      </c>
      <c r="D7979" s="6">
        <v>4.947368421</v>
      </c>
      <c r="E7979" s="6">
        <v>38.0</v>
      </c>
    </row>
    <row r="7980">
      <c r="A7980" s="4" t="s">
        <v>15847</v>
      </c>
      <c r="B7980" s="5" t="s">
        <v>15848</v>
      </c>
      <c r="C7980" s="6">
        <v>756.0</v>
      </c>
      <c r="D7980" s="6">
        <v>4.7</v>
      </c>
      <c r="E7980" s="6">
        <v>20.0</v>
      </c>
    </row>
    <row r="7981">
      <c r="A7981" s="4" t="s">
        <v>15849</v>
      </c>
      <c r="B7981" s="5" t="s">
        <v>15850</v>
      </c>
      <c r="C7981" s="6">
        <v>756.0</v>
      </c>
      <c r="D7981" s="9"/>
      <c r="E7981" s="9"/>
    </row>
    <row r="7982">
      <c r="A7982" s="4" t="s">
        <v>15851</v>
      </c>
      <c r="B7982" s="5" t="s">
        <v>15852</v>
      </c>
      <c r="C7982" s="6">
        <v>756.0</v>
      </c>
      <c r="D7982" s="6">
        <v>5.0</v>
      </c>
      <c r="E7982" s="6">
        <v>1.0</v>
      </c>
    </row>
    <row r="7983">
      <c r="A7983" s="4" t="s">
        <v>15853</v>
      </c>
      <c r="B7983" s="5" t="s">
        <v>15854</v>
      </c>
      <c r="C7983" s="6">
        <v>755.0</v>
      </c>
      <c r="D7983" s="6">
        <v>5.0</v>
      </c>
      <c r="E7983" s="6">
        <v>2.0</v>
      </c>
    </row>
    <row r="7984">
      <c r="A7984" s="4" t="s">
        <v>15855</v>
      </c>
      <c r="B7984" s="5" t="s">
        <v>15856</v>
      </c>
      <c r="C7984" s="6">
        <v>755.0</v>
      </c>
      <c r="D7984" s="6">
        <v>3.956521739</v>
      </c>
      <c r="E7984" s="6">
        <v>23.0</v>
      </c>
    </row>
    <row r="7985">
      <c r="A7985" s="4" t="s">
        <v>15857</v>
      </c>
      <c r="B7985" s="5" t="s">
        <v>15858</v>
      </c>
      <c r="C7985" s="6">
        <v>755.0</v>
      </c>
      <c r="D7985" s="6">
        <v>4.666666667</v>
      </c>
      <c r="E7985" s="6">
        <v>3.0</v>
      </c>
    </row>
    <row r="7986">
      <c r="A7986" s="4" t="s">
        <v>15859</v>
      </c>
      <c r="B7986" s="5" t="s">
        <v>15860</v>
      </c>
      <c r="C7986" s="6">
        <v>755.0</v>
      </c>
      <c r="D7986" s="6">
        <v>3.0</v>
      </c>
      <c r="E7986" s="6">
        <v>2.0</v>
      </c>
    </row>
    <row r="7987">
      <c r="A7987" s="4" t="s">
        <v>15861</v>
      </c>
      <c r="B7987" s="5" t="s">
        <v>15862</v>
      </c>
      <c r="C7987" s="6">
        <v>755.0</v>
      </c>
      <c r="D7987" s="6">
        <v>4.0</v>
      </c>
      <c r="E7987" s="6">
        <v>5.0</v>
      </c>
    </row>
    <row r="7988">
      <c r="A7988" s="4" t="s">
        <v>15863</v>
      </c>
      <c r="B7988" s="5" t="s">
        <v>15864</v>
      </c>
      <c r="C7988" s="6">
        <v>754.0</v>
      </c>
      <c r="D7988" s="6">
        <v>3.666666667</v>
      </c>
      <c r="E7988" s="6">
        <v>3.0</v>
      </c>
    </row>
    <row r="7989">
      <c r="A7989" s="4" t="s">
        <v>15865</v>
      </c>
      <c r="B7989" s="5" t="s">
        <v>15866</v>
      </c>
      <c r="C7989" s="6">
        <v>754.0</v>
      </c>
      <c r="D7989" s="6">
        <v>4.0</v>
      </c>
      <c r="E7989" s="6">
        <v>1.0</v>
      </c>
    </row>
    <row r="7990">
      <c r="A7990" s="4" t="s">
        <v>15867</v>
      </c>
      <c r="B7990" s="5" t="s">
        <v>15868</v>
      </c>
      <c r="C7990" s="6">
        <v>754.0</v>
      </c>
      <c r="D7990" s="6">
        <v>4.0</v>
      </c>
      <c r="E7990" s="6">
        <v>11.0</v>
      </c>
    </row>
    <row r="7991">
      <c r="A7991" s="4" t="s">
        <v>15869</v>
      </c>
      <c r="B7991" s="5" t="s">
        <v>15870</v>
      </c>
      <c r="C7991" s="6">
        <v>754.0</v>
      </c>
      <c r="D7991" s="6">
        <v>4.625</v>
      </c>
      <c r="E7991" s="6">
        <v>8.0</v>
      </c>
    </row>
    <row r="7992">
      <c r="A7992" s="4" t="s">
        <v>15871</v>
      </c>
      <c r="B7992" s="5" t="s">
        <v>15872</v>
      </c>
      <c r="C7992" s="6">
        <v>754.0</v>
      </c>
      <c r="D7992" s="6">
        <v>5.0</v>
      </c>
      <c r="E7992" s="6">
        <v>4.0</v>
      </c>
    </row>
    <row r="7993">
      <c r="A7993" s="4" t="s">
        <v>15873</v>
      </c>
      <c r="B7993" s="5" t="s">
        <v>15874</v>
      </c>
      <c r="C7993" s="6">
        <v>753.0</v>
      </c>
      <c r="D7993" s="6">
        <v>2.794117647</v>
      </c>
      <c r="E7993" s="6">
        <v>34.0</v>
      </c>
    </row>
    <row r="7994">
      <c r="A7994" s="4" t="s">
        <v>15875</v>
      </c>
      <c r="B7994" s="5" t="s">
        <v>15876</v>
      </c>
      <c r="C7994" s="6">
        <v>753.0</v>
      </c>
      <c r="D7994" s="6">
        <v>4.368421053</v>
      </c>
      <c r="E7994" s="6">
        <v>38.0</v>
      </c>
    </row>
    <row r="7995">
      <c r="A7995" s="4" t="s">
        <v>15877</v>
      </c>
      <c r="B7995" s="5" t="s">
        <v>15878</v>
      </c>
      <c r="C7995" s="6">
        <v>753.0</v>
      </c>
      <c r="D7995" s="6">
        <v>4.8</v>
      </c>
      <c r="E7995" s="6">
        <v>5.0</v>
      </c>
    </row>
    <row r="7996">
      <c r="A7996" s="4" t="s">
        <v>15879</v>
      </c>
      <c r="B7996" s="5" t="s">
        <v>15880</v>
      </c>
      <c r="C7996" s="6">
        <v>753.0</v>
      </c>
      <c r="D7996" s="6">
        <v>3.5</v>
      </c>
      <c r="E7996" s="6">
        <v>2.0</v>
      </c>
    </row>
    <row r="7997">
      <c r="A7997" s="4" t="s">
        <v>15881</v>
      </c>
      <c r="B7997" s="5" t="s">
        <v>15882</v>
      </c>
      <c r="C7997" s="6">
        <v>753.0</v>
      </c>
      <c r="D7997" s="6">
        <v>4.5</v>
      </c>
      <c r="E7997" s="6">
        <v>12.0</v>
      </c>
    </row>
    <row r="7998">
      <c r="A7998" s="4" t="s">
        <v>15883</v>
      </c>
      <c r="B7998" s="5" t="s">
        <v>15884</v>
      </c>
      <c r="C7998" s="6">
        <v>753.0</v>
      </c>
      <c r="D7998" s="6">
        <v>4.4</v>
      </c>
      <c r="E7998" s="6">
        <v>12.0</v>
      </c>
    </row>
    <row r="7999">
      <c r="A7999" s="4" t="s">
        <v>15885</v>
      </c>
      <c r="B7999" s="5" t="s">
        <v>15886</v>
      </c>
      <c r="C7999" s="6">
        <v>752.0</v>
      </c>
      <c r="D7999" s="6">
        <v>4.846153846</v>
      </c>
      <c r="E7999" s="6">
        <v>13.0</v>
      </c>
    </row>
    <row r="8000">
      <c r="A8000" s="4" t="s">
        <v>15887</v>
      </c>
      <c r="B8000" s="5" t="s">
        <v>15888</v>
      </c>
      <c r="C8000" s="6">
        <v>752.0</v>
      </c>
      <c r="D8000" s="6">
        <v>4.023255814</v>
      </c>
      <c r="E8000" s="6">
        <v>43.0</v>
      </c>
    </row>
    <row r="8001">
      <c r="A8001" s="4" t="s">
        <v>15889</v>
      </c>
      <c r="B8001" s="5" t="s">
        <v>15890</v>
      </c>
      <c r="C8001" s="6">
        <v>751.0</v>
      </c>
      <c r="D8001" s="9"/>
      <c r="E8001" s="9"/>
    </row>
    <row r="8002">
      <c r="A8002" s="4" t="s">
        <v>15891</v>
      </c>
      <c r="B8002" s="5" t="s">
        <v>15892</v>
      </c>
      <c r="C8002" s="6">
        <v>750.0</v>
      </c>
      <c r="D8002" s="6">
        <v>4.333333333</v>
      </c>
      <c r="E8002" s="6">
        <v>6.0</v>
      </c>
    </row>
    <row r="8003">
      <c r="A8003" s="4" t="s">
        <v>15893</v>
      </c>
      <c r="B8003" s="5" t="s">
        <v>15894</v>
      </c>
      <c r="C8003" s="6">
        <v>750.0</v>
      </c>
      <c r="D8003" s="6">
        <v>4.692307692</v>
      </c>
      <c r="E8003" s="6">
        <v>13.0</v>
      </c>
    </row>
    <row r="8004">
      <c r="A8004" s="4" t="s">
        <v>15895</v>
      </c>
      <c r="B8004" s="5" t="s">
        <v>15896</v>
      </c>
      <c r="C8004" s="6">
        <v>750.0</v>
      </c>
      <c r="D8004" s="6">
        <v>5.0</v>
      </c>
      <c r="E8004" s="6">
        <v>2.0</v>
      </c>
    </row>
    <row r="8005">
      <c r="A8005" s="4" t="s">
        <v>15897</v>
      </c>
      <c r="B8005" s="5" t="s">
        <v>15898</v>
      </c>
      <c r="C8005" s="6">
        <v>749.0</v>
      </c>
      <c r="D8005" s="9"/>
      <c r="E8005" s="9"/>
    </row>
    <row r="8006">
      <c r="A8006" s="4" t="s">
        <v>15899</v>
      </c>
      <c r="B8006" s="5" t="s">
        <v>15900</v>
      </c>
      <c r="C8006" s="6">
        <v>749.0</v>
      </c>
      <c r="D8006" s="6">
        <v>3.3</v>
      </c>
      <c r="E8006" s="6">
        <v>20.0</v>
      </c>
    </row>
    <row r="8007">
      <c r="A8007" s="4" t="s">
        <v>15901</v>
      </c>
      <c r="B8007" s="5" t="s">
        <v>15902</v>
      </c>
      <c r="C8007" s="6">
        <v>749.0</v>
      </c>
      <c r="D8007" s="6">
        <v>3.666666667</v>
      </c>
      <c r="E8007" s="6">
        <v>9.0</v>
      </c>
    </row>
    <row r="8008">
      <c r="A8008" s="4" t="s">
        <v>15903</v>
      </c>
      <c r="B8008" s="5" t="s">
        <v>15904</v>
      </c>
      <c r="C8008" s="6">
        <v>749.0</v>
      </c>
      <c r="D8008" s="6">
        <v>4.818181818</v>
      </c>
      <c r="E8008" s="6">
        <v>11.0</v>
      </c>
    </row>
    <row r="8009">
      <c r="A8009" s="4" t="s">
        <v>15905</v>
      </c>
      <c r="B8009" s="5" t="s">
        <v>15906</v>
      </c>
      <c r="C8009" s="6">
        <v>749.0</v>
      </c>
      <c r="D8009" s="6">
        <v>4.533333333</v>
      </c>
      <c r="E8009" s="6">
        <v>15.0</v>
      </c>
    </row>
    <row r="8010">
      <c r="A8010" s="4" t="s">
        <v>15907</v>
      </c>
      <c r="B8010" s="5" t="s">
        <v>15908</v>
      </c>
      <c r="C8010" s="6">
        <v>749.0</v>
      </c>
      <c r="D8010" s="6">
        <v>2.0</v>
      </c>
      <c r="E8010" s="6">
        <v>3.0</v>
      </c>
    </row>
    <row r="8011">
      <c r="A8011" s="4" t="s">
        <v>15909</v>
      </c>
      <c r="B8011" s="5" t="s">
        <v>15910</v>
      </c>
      <c r="C8011" s="6">
        <v>749.0</v>
      </c>
      <c r="D8011" s="6">
        <v>4.0</v>
      </c>
      <c r="E8011" s="6">
        <v>10.0</v>
      </c>
    </row>
    <row r="8012">
      <c r="A8012" s="4" t="s">
        <v>15911</v>
      </c>
      <c r="B8012" s="5" t="s">
        <v>15912</v>
      </c>
      <c r="C8012" s="6">
        <v>749.0</v>
      </c>
      <c r="D8012" s="9"/>
      <c r="E8012" s="9"/>
    </row>
    <row r="8013">
      <c r="A8013" s="4" t="s">
        <v>15913</v>
      </c>
      <c r="B8013" s="5" t="s">
        <v>15914</v>
      </c>
      <c r="C8013" s="6">
        <v>749.0</v>
      </c>
      <c r="D8013" s="6">
        <v>5.0</v>
      </c>
      <c r="E8013" s="6">
        <v>1.0</v>
      </c>
    </row>
    <row r="8014">
      <c r="A8014" s="4" t="s">
        <v>15915</v>
      </c>
      <c r="B8014" s="5" t="s">
        <v>15916</v>
      </c>
      <c r="C8014" s="6">
        <v>748.0</v>
      </c>
      <c r="D8014" s="6">
        <v>4.388888889</v>
      </c>
      <c r="E8014" s="6">
        <v>54.0</v>
      </c>
    </row>
    <row r="8015">
      <c r="A8015" s="4" t="s">
        <v>15917</v>
      </c>
      <c r="B8015" s="5" t="s">
        <v>15918</v>
      </c>
      <c r="C8015" s="6">
        <v>748.0</v>
      </c>
      <c r="D8015" s="6">
        <v>5.0</v>
      </c>
      <c r="E8015" s="6">
        <v>2.0</v>
      </c>
    </row>
    <row r="8016">
      <c r="A8016" s="4" t="s">
        <v>15919</v>
      </c>
      <c r="B8016" s="5" t="s">
        <v>15920</v>
      </c>
      <c r="C8016" s="6">
        <v>748.0</v>
      </c>
      <c r="D8016" s="6">
        <v>3.444444444</v>
      </c>
      <c r="E8016" s="6">
        <v>18.0</v>
      </c>
    </row>
    <row r="8017">
      <c r="A8017" s="4" t="s">
        <v>2460</v>
      </c>
      <c r="B8017" s="5" t="s">
        <v>15921</v>
      </c>
      <c r="C8017" s="6">
        <v>748.0</v>
      </c>
      <c r="D8017" s="6">
        <v>3.3</v>
      </c>
      <c r="E8017" s="6">
        <v>10.0</v>
      </c>
    </row>
    <row r="8018">
      <c r="A8018" s="4" t="s">
        <v>15922</v>
      </c>
      <c r="B8018" s="5" t="s">
        <v>15923</v>
      </c>
      <c r="C8018" s="6">
        <v>747.0</v>
      </c>
      <c r="D8018" s="6">
        <v>3.314285714</v>
      </c>
      <c r="E8018" s="6">
        <v>35.0</v>
      </c>
    </row>
    <row r="8019">
      <c r="A8019" s="4" t="s">
        <v>15924</v>
      </c>
      <c r="B8019" s="5" t="s">
        <v>15925</v>
      </c>
      <c r="C8019" s="6">
        <v>747.0</v>
      </c>
      <c r="D8019" s="6">
        <v>3.4</v>
      </c>
      <c r="E8019" s="6">
        <v>5.0</v>
      </c>
    </row>
    <row r="8020">
      <c r="A8020" s="4" t="s">
        <v>15926</v>
      </c>
      <c r="B8020" s="5" t="s">
        <v>15927</v>
      </c>
      <c r="C8020" s="6">
        <v>747.0</v>
      </c>
      <c r="D8020" s="6">
        <v>4.5</v>
      </c>
      <c r="E8020" s="6">
        <v>56.0</v>
      </c>
    </row>
    <row r="8021">
      <c r="A8021" s="4" t="s">
        <v>15928</v>
      </c>
      <c r="B8021" s="5" t="s">
        <v>15929</v>
      </c>
      <c r="C8021" s="6">
        <v>747.0</v>
      </c>
      <c r="D8021" s="6">
        <v>4.914285714</v>
      </c>
      <c r="E8021" s="6">
        <v>35.0</v>
      </c>
    </row>
    <row r="8022">
      <c r="A8022" s="4" t="s">
        <v>15930</v>
      </c>
      <c r="B8022" s="5" t="s">
        <v>15931</v>
      </c>
      <c r="C8022" s="6">
        <v>747.0</v>
      </c>
      <c r="D8022" s="6">
        <v>3.571428571</v>
      </c>
      <c r="E8022" s="6">
        <v>14.0</v>
      </c>
    </row>
    <row r="8023">
      <c r="A8023" s="4" t="s">
        <v>15932</v>
      </c>
      <c r="B8023" s="5" t="s">
        <v>15933</v>
      </c>
      <c r="C8023" s="6">
        <v>746.0</v>
      </c>
      <c r="D8023" s="6">
        <v>4.5</v>
      </c>
      <c r="E8023" s="6">
        <v>12.0</v>
      </c>
    </row>
    <row r="8024">
      <c r="A8024" s="4" t="s">
        <v>15934</v>
      </c>
      <c r="B8024" s="5" t="s">
        <v>15935</v>
      </c>
      <c r="C8024" s="6">
        <v>746.0</v>
      </c>
      <c r="D8024" s="6">
        <v>4.823529412</v>
      </c>
      <c r="E8024" s="6">
        <v>17.0</v>
      </c>
    </row>
    <row r="8025">
      <c r="A8025" s="4" t="s">
        <v>15936</v>
      </c>
      <c r="B8025" s="5" t="s">
        <v>15937</v>
      </c>
      <c r="C8025" s="6">
        <v>746.0</v>
      </c>
      <c r="D8025" s="6">
        <v>3.714285714</v>
      </c>
      <c r="E8025" s="6">
        <v>7.0</v>
      </c>
    </row>
    <row r="8026">
      <c r="A8026" s="4" t="s">
        <v>15938</v>
      </c>
      <c r="B8026" s="5" t="s">
        <v>15939</v>
      </c>
      <c r="C8026" s="6">
        <v>746.0</v>
      </c>
      <c r="D8026" s="6">
        <v>4.0</v>
      </c>
      <c r="E8026" s="6">
        <v>3.0</v>
      </c>
    </row>
    <row r="8027">
      <c r="A8027" s="4" t="s">
        <v>15940</v>
      </c>
      <c r="B8027" s="5" t="s">
        <v>15941</v>
      </c>
      <c r="C8027" s="6">
        <v>746.0</v>
      </c>
      <c r="D8027" s="6">
        <v>5.0</v>
      </c>
      <c r="E8027" s="6">
        <v>1.0</v>
      </c>
    </row>
    <row r="8028">
      <c r="A8028" s="4" t="s">
        <v>15942</v>
      </c>
      <c r="B8028" s="5" t="s">
        <v>15943</v>
      </c>
      <c r="C8028" s="6">
        <v>745.0</v>
      </c>
      <c r="D8028" s="6">
        <v>4.5</v>
      </c>
      <c r="E8028" s="6">
        <v>2.0</v>
      </c>
    </row>
    <row r="8029">
      <c r="A8029" s="4" t="s">
        <v>15944</v>
      </c>
      <c r="B8029" s="5" t="s">
        <v>15945</v>
      </c>
      <c r="C8029" s="6">
        <v>745.0</v>
      </c>
      <c r="D8029" s="6">
        <v>4.545454545</v>
      </c>
      <c r="E8029" s="6">
        <v>11.0</v>
      </c>
    </row>
    <row r="8030">
      <c r="A8030" s="4" t="s">
        <v>15946</v>
      </c>
      <c r="B8030" s="5" t="s">
        <v>15947</v>
      </c>
      <c r="C8030" s="6">
        <v>744.0</v>
      </c>
      <c r="D8030" s="9"/>
      <c r="E8030" s="9"/>
    </row>
    <row r="8031">
      <c r="A8031" s="4" t="s">
        <v>15948</v>
      </c>
      <c r="B8031" s="5" t="s">
        <v>15949</v>
      </c>
      <c r="C8031" s="6">
        <v>744.0</v>
      </c>
      <c r="D8031" s="6">
        <v>5.0</v>
      </c>
      <c r="E8031" s="6">
        <v>14.0</v>
      </c>
    </row>
    <row r="8032">
      <c r="A8032" s="4" t="s">
        <v>15950</v>
      </c>
      <c r="B8032" s="5" t="s">
        <v>15951</v>
      </c>
      <c r="C8032" s="6">
        <v>744.0</v>
      </c>
      <c r="D8032" s="6">
        <v>5.0</v>
      </c>
      <c r="E8032" s="6">
        <v>1.0</v>
      </c>
    </row>
    <row r="8033">
      <c r="A8033" s="4" t="s">
        <v>15952</v>
      </c>
      <c r="B8033" s="5" t="s">
        <v>15953</v>
      </c>
      <c r="C8033" s="6">
        <v>744.0</v>
      </c>
      <c r="D8033" s="6">
        <v>3.454545455</v>
      </c>
      <c r="E8033" s="6">
        <v>11.0</v>
      </c>
    </row>
    <row r="8034">
      <c r="A8034" s="4" t="s">
        <v>14127</v>
      </c>
      <c r="B8034" s="5" t="s">
        <v>15954</v>
      </c>
      <c r="C8034" s="6">
        <v>744.0</v>
      </c>
      <c r="D8034" s="6">
        <v>5.0</v>
      </c>
      <c r="E8034" s="6">
        <v>3.0</v>
      </c>
    </row>
    <row r="8035">
      <c r="A8035" s="4" t="s">
        <v>15955</v>
      </c>
      <c r="B8035" s="5" t="s">
        <v>15956</v>
      </c>
      <c r="C8035" s="6">
        <v>744.0</v>
      </c>
      <c r="D8035" s="6">
        <v>4.5</v>
      </c>
      <c r="E8035" s="6">
        <v>2.0</v>
      </c>
    </row>
    <row r="8036">
      <c r="A8036" s="4" t="s">
        <v>15957</v>
      </c>
      <c r="B8036" s="5" t="s">
        <v>15958</v>
      </c>
      <c r="C8036" s="6">
        <v>744.0</v>
      </c>
      <c r="D8036" s="6">
        <v>5.0</v>
      </c>
      <c r="E8036" s="6">
        <v>7.0</v>
      </c>
    </row>
    <row r="8037">
      <c r="A8037" s="4" t="s">
        <v>15959</v>
      </c>
      <c r="B8037" s="5" t="s">
        <v>15960</v>
      </c>
      <c r="C8037" s="6">
        <v>744.0</v>
      </c>
      <c r="D8037" s="6">
        <v>3.5</v>
      </c>
      <c r="E8037" s="6">
        <v>12.0</v>
      </c>
    </row>
    <row r="8038">
      <c r="A8038" s="4" t="s">
        <v>15961</v>
      </c>
      <c r="B8038" s="5" t="s">
        <v>15962</v>
      </c>
      <c r="C8038" s="6">
        <v>743.0</v>
      </c>
      <c r="D8038" s="6">
        <v>4.612903226</v>
      </c>
      <c r="E8038" s="6">
        <v>31.0</v>
      </c>
    </row>
    <row r="8039">
      <c r="A8039" s="4" t="s">
        <v>15963</v>
      </c>
      <c r="B8039" s="5" t="s">
        <v>15964</v>
      </c>
      <c r="C8039" s="6">
        <v>743.0</v>
      </c>
      <c r="D8039" s="6">
        <v>5.0</v>
      </c>
      <c r="E8039" s="6">
        <v>4.0</v>
      </c>
    </row>
    <row r="8040">
      <c r="A8040" s="4" t="s">
        <v>15965</v>
      </c>
      <c r="B8040" s="5" t="s">
        <v>15966</v>
      </c>
      <c r="C8040" s="6">
        <v>743.0</v>
      </c>
      <c r="D8040" s="6">
        <v>4.0</v>
      </c>
      <c r="E8040" s="6">
        <v>2.0</v>
      </c>
    </row>
    <row r="8041">
      <c r="A8041" s="4" t="s">
        <v>15967</v>
      </c>
      <c r="B8041" s="5" t="s">
        <v>15968</v>
      </c>
      <c r="C8041" s="6">
        <v>742.0</v>
      </c>
      <c r="D8041" s="6">
        <v>3.636363636</v>
      </c>
      <c r="E8041" s="6">
        <v>33.0</v>
      </c>
    </row>
    <row r="8042">
      <c r="A8042" s="4" t="s">
        <v>15969</v>
      </c>
      <c r="B8042" s="5" t="s">
        <v>15970</v>
      </c>
      <c r="C8042" s="6">
        <v>742.0</v>
      </c>
      <c r="D8042" s="6">
        <v>5.0</v>
      </c>
      <c r="E8042" s="6">
        <v>1.0</v>
      </c>
    </row>
    <row r="8043">
      <c r="A8043" s="4" t="s">
        <v>15971</v>
      </c>
      <c r="B8043" s="5" t="s">
        <v>15972</v>
      </c>
      <c r="C8043" s="6">
        <v>742.0</v>
      </c>
      <c r="D8043" s="6">
        <v>5.0</v>
      </c>
      <c r="E8043" s="6">
        <v>4.0</v>
      </c>
    </row>
    <row r="8044">
      <c r="A8044" s="4" t="s">
        <v>15973</v>
      </c>
      <c r="B8044" s="5" t="s">
        <v>15974</v>
      </c>
      <c r="C8044" s="6">
        <v>742.0</v>
      </c>
      <c r="D8044" s="9"/>
      <c r="E8044" s="9"/>
    </row>
    <row r="8045">
      <c r="A8045" s="4" t="s">
        <v>15975</v>
      </c>
      <c r="B8045" s="5" t="s">
        <v>15976</v>
      </c>
      <c r="C8045" s="6">
        <v>742.0</v>
      </c>
      <c r="D8045" s="6">
        <v>5.0</v>
      </c>
      <c r="E8045" s="6">
        <v>6.0</v>
      </c>
    </row>
    <row r="8046">
      <c r="A8046" s="4" t="s">
        <v>15977</v>
      </c>
      <c r="B8046" s="5" t="s">
        <v>15978</v>
      </c>
      <c r="C8046" s="6">
        <v>742.0</v>
      </c>
      <c r="D8046" s="9"/>
      <c r="E8046" s="9"/>
    </row>
    <row r="8047">
      <c r="A8047" s="4" t="s">
        <v>15979</v>
      </c>
      <c r="B8047" s="5" t="s">
        <v>15980</v>
      </c>
      <c r="C8047" s="6">
        <v>741.0</v>
      </c>
      <c r="D8047" s="6">
        <v>3.0</v>
      </c>
      <c r="E8047" s="6">
        <v>4.0</v>
      </c>
    </row>
    <row r="8048">
      <c r="A8048" s="4" t="s">
        <v>15981</v>
      </c>
      <c r="B8048" s="5" t="s">
        <v>15982</v>
      </c>
      <c r="C8048" s="6">
        <v>741.0</v>
      </c>
      <c r="D8048" s="6">
        <v>2.9</v>
      </c>
      <c r="E8048" s="6">
        <v>10.0</v>
      </c>
    </row>
    <row r="8049">
      <c r="A8049" s="4" t="s">
        <v>15983</v>
      </c>
      <c r="B8049" s="5" t="s">
        <v>15984</v>
      </c>
      <c r="C8049" s="6">
        <v>741.0</v>
      </c>
      <c r="D8049" s="6">
        <v>5.0</v>
      </c>
      <c r="E8049" s="6">
        <v>6.0</v>
      </c>
    </row>
    <row r="8050">
      <c r="A8050" s="4" t="s">
        <v>15985</v>
      </c>
      <c r="B8050" s="5" t="s">
        <v>15986</v>
      </c>
      <c r="C8050" s="6">
        <v>741.0</v>
      </c>
      <c r="D8050" s="6">
        <v>4.428571429</v>
      </c>
      <c r="E8050" s="6">
        <v>21.0</v>
      </c>
    </row>
    <row r="8051">
      <c r="A8051" s="4" t="s">
        <v>15987</v>
      </c>
      <c r="B8051" s="5" t="s">
        <v>15988</v>
      </c>
      <c r="C8051" s="6">
        <v>741.0</v>
      </c>
      <c r="D8051" s="6">
        <v>5.0</v>
      </c>
      <c r="E8051" s="6">
        <v>2.0</v>
      </c>
    </row>
    <row r="8052">
      <c r="A8052" s="4" t="s">
        <v>15989</v>
      </c>
      <c r="B8052" s="5" t="s">
        <v>15990</v>
      </c>
      <c r="C8052" s="6">
        <v>741.0</v>
      </c>
      <c r="D8052" s="6">
        <v>2.0</v>
      </c>
      <c r="E8052" s="6">
        <v>12.0</v>
      </c>
    </row>
    <row r="8053">
      <c r="A8053" s="4" t="s">
        <v>15991</v>
      </c>
      <c r="B8053" s="5" t="s">
        <v>15992</v>
      </c>
      <c r="C8053" s="6">
        <v>740.0</v>
      </c>
      <c r="D8053" s="6">
        <v>5.0</v>
      </c>
      <c r="E8053" s="6">
        <v>6.0</v>
      </c>
    </row>
    <row r="8054">
      <c r="A8054" s="4" t="s">
        <v>15993</v>
      </c>
      <c r="B8054" s="5" t="s">
        <v>15994</v>
      </c>
      <c r="C8054" s="6">
        <v>740.0</v>
      </c>
      <c r="D8054" s="6">
        <v>3.857142857</v>
      </c>
      <c r="E8054" s="6">
        <v>14.0</v>
      </c>
    </row>
    <row r="8055">
      <c r="A8055" s="4" t="s">
        <v>15995</v>
      </c>
      <c r="B8055" s="5" t="s">
        <v>15996</v>
      </c>
      <c r="C8055" s="6">
        <v>740.0</v>
      </c>
      <c r="D8055" s="6">
        <v>5.0</v>
      </c>
      <c r="E8055" s="6">
        <v>1.0</v>
      </c>
    </row>
    <row r="8056">
      <c r="A8056" s="4" t="s">
        <v>15997</v>
      </c>
      <c r="B8056" s="5" t="s">
        <v>15998</v>
      </c>
      <c r="C8056" s="6">
        <v>740.0</v>
      </c>
      <c r="D8056" s="6">
        <v>3.555555556</v>
      </c>
      <c r="E8056" s="6">
        <v>9.0</v>
      </c>
    </row>
    <row r="8057">
      <c r="A8057" s="4" t="s">
        <v>15999</v>
      </c>
      <c r="B8057" s="5" t="s">
        <v>16000</v>
      </c>
      <c r="C8057" s="6">
        <v>740.0</v>
      </c>
      <c r="D8057" s="6">
        <v>3.833333333</v>
      </c>
      <c r="E8057" s="6">
        <v>6.0</v>
      </c>
    </row>
    <row r="8058">
      <c r="A8058" s="4" t="s">
        <v>16001</v>
      </c>
      <c r="B8058" s="5" t="s">
        <v>16002</v>
      </c>
      <c r="C8058" s="6">
        <v>740.0</v>
      </c>
      <c r="D8058" s="6">
        <v>5.0</v>
      </c>
      <c r="E8058" s="6">
        <v>2.0</v>
      </c>
    </row>
    <row r="8059">
      <c r="A8059" s="4" t="s">
        <v>16003</v>
      </c>
      <c r="B8059" s="5" t="s">
        <v>16004</v>
      </c>
      <c r="C8059" s="6">
        <v>739.0</v>
      </c>
      <c r="D8059" s="6">
        <v>2.45</v>
      </c>
      <c r="E8059" s="6">
        <v>20.0</v>
      </c>
    </row>
    <row r="8060">
      <c r="A8060" s="4" t="s">
        <v>16005</v>
      </c>
      <c r="B8060" s="5" t="s">
        <v>16006</v>
      </c>
      <c r="C8060" s="6">
        <v>739.0</v>
      </c>
      <c r="D8060" s="6">
        <v>3.0</v>
      </c>
      <c r="E8060" s="6">
        <v>6.0</v>
      </c>
    </row>
    <row r="8061">
      <c r="A8061" s="4" t="s">
        <v>16007</v>
      </c>
      <c r="B8061" s="5" t="s">
        <v>16008</v>
      </c>
      <c r="C8061" s="6">
        <v>739.0</v>
      </c>
      <c r="D8061" s="6">
        <v>3.666666667</v>
      </c>
      <c r="E8061" s="6">
        <v>6.0</v>
      </c>
    </row>
    <row r="8062">
      <c r="A8062" s="4" t="s">
        <v>16009</v>
      </c>
      <c r="B8062" s="5" t="s">
        <v>16010</v>
      </c>
      <c r="C8062" s="6">
        <v>738.0</v>
      </c>
      <c r="D8062" s="6">
        <v>4.75</v>
      </c>
      <c r="E8062" s="6">
        <v>8.0</v>
      </c>
    </row>
    <row r="8063">
      <c r="A8063" s="4" t="s">
        <v>16011</v>
      </c>
      <c r="B8063" s="5" t="s">
        <v>16012</v>
      </c>
      <c r="C8063" s="6">
        <v>738.0</v>
      </c>
      <c r="D8063" s="6">
        <v>4.2</v>
      </c>
      <c r="E8063" s="6">
        <v>10.0</v>
      </c>
    </row>
    <row r="8064">
      <c r="A8064" s="4" t="s">
        <v>16013</v>
      </c>
      <c r="B8064" s="5" t="s">
        <v>16014</v>
      </c>
      <c r="C8064" s="6">
        <v>738.0</v>
      </c>
      <c r="D8064" s="6">
        <v>2.615384615</v>
      </c>
      <c r="E8064" s="6">
        <v>26.0</v>
      </c>
    </row>
    <row r="8065">
      <c r="A8065" s="4" t="s">
        <v>16015</v>
      </c>
      <c r="B8065" s="5" t="s">
        <v>16016</v>
      </c>
      <c r="C8065" s="6">
        <v>737.0</v>
      </c>
      <c r="D8065" s="6">
        <v>1.727272727</v>
      </c>
      <c r="E8065" s="6">
        <v>11.0</v>
      </c>
    </row>
    <row r="8066">
      <c r="A8066" s="4" t="s">
        <v>16017</v>
      </c>
      <c r="B8066" s="5" t="s">
        <v>16018</v>
      </c>
      <c r="C8066" s="6">
        <v>737.0</v>
      </c>
      <c r="D8066" s="6">
        <v>3.857142857</v>
      </c>
      <c r="E8066" s="6">
        <v>7.0</v>
      </c>
    </row>
    <row r="8067">
      <c r="A8067" s="4" t="s">
        <v>16019</v>
      </c>
      <c r="B8067" s="5" t="s">
        <v>16020</v>
      </c>
      <c r="C8067" s="6">
        <v>737.0</v>
      </c>
      <c r="D8067" s="6">
        <v>4.1</v>
      </c>
      <c r="E8067" s="6">
        <v>10.0</v>
      </c>
    </row>
    <row r="8068">
      <c r="A8068" s="4" t="s">
        <v>16021</v>
      </c>
      <c r="B8068" s="5" t="s">
        <v>16022</v>
      </c>
      <c r="C8068" s="6">
        <v>737.0</v>
      </c>
      <c r="D8068" s="6">
        <v>4.5</v>
      </c>
      <c r="E8068" s="6">
        <v>2.0</v>
      </c>
    </row>
    <row r="8069">
      <c r="A8069" s="4" t="s">
        <v>16023</v>
      </c>
      <c r="B8069" s="5" t="s">
        <v>16024</v>
      </c>
      <c r="C8069" s="6">
        <v>736.0</v>
      </c>
      <c r="D8069" s="9"/>
      <c r="E8069" s="9"/>
    </row>
    <row r="8070">
      <c r="A8070" s="4" t="s">
        <v>16025</v>
      </c>
      <c r="B8070" s="5" t="s">
        <v>16026</v>
      </c>
      <c r="C8070" s="6">
        <v>736.0</v>
      </c>
      <c r="D8070" s="6">
        <v>4.608695652</v>
      </c>
      <c r="E8070" s="6">
        <v>23.0</v>
      </c>
    </row>
    <row r="8071">
      <c r="A8071" s="4" t="s">
        <v>16027</v>
      </c>
      <c r="B8071" s="5" t="s">
        <v>16028</v>
      </c>
      <c r="C8071" s="6">
        <v>736.0</v>
      </c>
      <c r="D8071" s="6">
        <v>5.0</v>
      </c>
      <c r="E8071" s="6">
        <v>1.0</v>
      </c>
    </row>
    <row r="8072">
      <c r="A8072" s="4" t="s">
        <v>16029</v>
      </c>
      <c r="B8072" s="5" t="s">
        <v>16030</v>
      </c>
      <c r="C8072" s="6">
        <v>736.0</v>
      </c>
      <c r="D8072" s="6">
        <v>5.0</v>
      </c>
      <c r="E8072" s="6">
        <v>2.0</v>
      </c>
    </row>
    <row r="8073">
      <c r="A8073" s="4" t="s">
        <v>16031</v>
      </c>
      <c r="B8073" s="5" t="s">
        <v>16032</v>
      </c>
      <c r="C8073" s="6">
        <v>735.0</v>
      </c>
      <c r="D8073" s="6">
        <v>4.227272727</v>
      </c>
      <c r="E8073" s="6">
        <v>132.0</v>
      </c>
    </row>
    <row r="8074">
      <c r="A8074" s="4" t="s">
        <v>16033</v>
      </c>
      <c r="B8074" s="5" t="s">
        <v>16034</v>
      </c>
      <c r="C8074" s="6">
        <v>735.0</v>
      </c>
      <c r="D8074" s="6">
        <v>4.857142857</v>
      </c>
      <c r="E8074" s="6">
        <v>7.0</v>
      </c>
    </row>
    <row r="8075">
      <c r="A8075" s="4" t="s">
        <v>16035</v>
      </c>
      <c r="B8075" s="5" t="s">
        <v>16036</v>
      </c>
      <c r="C8075" s="6">
        <v>735.0</v>
      </c>
      <c r="D8075" s="6">
        <v>5.0</v>
      </c>
      <c r="E8075" s="6">
        <v>4.0</v>
      </c>
    </row>
    <row r="8076">
      <c r="A8076" s="4" t="s">
        <v>16037</v>
      </c>
      <c r="B8076" s="5" t="s">
        <v>16038</v>
      </c>
      <c r="C8076" s="6">
        <v>735.0</v>
      </c>
      <c r="D8076" s="6">
        <v>5.0</v>
      </c>
      <c r="E8076" s="6">
        <v>4.0</v>
      </c>
    </row>
    <row r="8077">
      <c r="A8077" s="4" t="s">
        <v>16039</v>
      </c>
      <c r="B8077" s="5" t="s">
        <v>16040</v>
      </c>
      <c r="C8077" s="6">
        <v>735.0</v>
      </c>
      <c r="D8077" s="6">
        <v>5.0</v>
      </c>
      <c r="E8077" s="6">
        <v>1.0</v>
      </c>
    </row>
    <row r="8078">
      <c r="A8078" s="4" t="s">
        <v>16041</v>
      </c>
      <c r="B8078" s="5" t="s">
        <v>16042</v>
      </c>
      <c r="C8078" s="6">
        <v>735.0</v>
      </c>
      <c r="D8078" s="6">
        <v>3.181818182</v>
      </c>
      <c r="E8078" s="6">
        <v>11.0</v>
      </c>
    </row>
    <row r="8079">
      <c r="A8079" s="4" t="s">
        <v>16043</v>
      </c>
      <c r="B8079" s="5" t="s">
        <v>16044</v>
      </c>
      <c r="C8079" s="6">
        <v>735.0</v>
      </c>
      <c r="D8079" s="6">
        <v>4.222222222</v>
      </c>
      <c r="E8079" s="6">
        <v>9.0</v>
      </c>
    </row>
    <row r="8080">
      <c r="A8080" s="4" t="s">
        <v>16045</v>
      </c>
      <c r="B8080" s="5" t="s">
        <v>16046</v>
      </c>
      <c r="C8080" s="6">
        <v>735.0</v>
      </c>
      <c r="D8080" s="6">
        <v>2.454545455</v>
      </c>
      <c r="E8080" s="6">
        <v>11.0</v>
      </c>
    </row>
    <row r="8081">
      <c r="A8081" s="4" t="s">
        <v>16047</v>
      </c>
      <c r="B8081" s="5" t="s">
        <v>16048</v>
      </c>
      <c r="C8081" s="6">
        <v>734.0</v>
      </c>
      <c r="D8081" s="6">
        <v>5.0</v>
      </c>
      <c r="E8081" s="6">
        <v>1.0</v>
      </c>
    </row>
    <row r="8082">
      <c r="A8082" s="4" t="s">
        <v>16049</v>
      </c>
      <c r="B8082" s="5" t="s">
        <v>16050</v>
      </c>
      <c r="C8082" s="6">
        <v>734.0</v>
      </c>
      <c r="D8082" s="9"/>
      <c r="E8082" s="9"/>
    </row>
    <row r="8083">
      <c r="A8083" s="4" t="s">
        <v>16051</v>
      </c>
      <c r="B8083" s="5" t="s">
        <v>16052</v>
      </c>
      <c r="C8083" s="6">
        <v>733.0</v>
      </c>
      <c r="D8083" s="6">
        <v>3.4</v>
      </c>
      <c r="E8083" s="6">
        <v>5.0</v>
      </c>
    </row>
    <row r="8084">
      <c r="A8084" s="4" t="s">
        <v>16053</v>
      </c>
      <c r="B8084" s="5" t="s">
        <v>16054</v>
      </c>
      <c r="C8084" s="6">
        <v>733.0</v>
      </c>
      <c r="D8084" s="9"/>
      <c r="E8084" s="9"/>
    </row>
    <row r="8085">
      <c r="A8085" s="4" t="s">
        <v>16055</v>
      </c>
      <c r="B8085" s="5" t="s">
        <v>16056</v>
      </c>
      <c r="C8085" s="6">
        <v>733.0</v>
      </c>
      <c r="D8085" s="6">
        <v>4.0</v>
      </c>
      <c r="E8085" s="6">
        <v>3.0</v>
      </c>
    </row>
    <row r="8086">
      <c r="A8086" s="4" t="s">
        <v>16057</v>
      </c>
      <c r="B8086" s="5" t="s">
        <v>16058</v>
      </c>
      <c r="C8086" s="6">
        <v>732.0</v>
      </c>
      <c r="D8086" s="6">
        <v>4.962962963</v>
      </c>
      <c r="E8086" s="6">
        <v>27.0</v>
      </c>
    </row>
    <row r="8087">
      <c r="A8087" s="4" t="s">
        <v>16059</v>
      </c>
      <c r="B8087" s="5" t="s">
        <v>16060</v>
      </c>
      <c r="C8087" s="6">
        <v>732.0</v>
      </c>
      <c r="D8087" s="6">
        <v>4.80952381</v>
      </c>
      <c r="E8087" s="6">
        <v>21.0</v>
      </c>
    </row>
    <row r="8088">
      <c r="A8088" s="4" t="s">
        <v>16061</v>
      </c>
      <c r="B8088" s="5" t="s">
        <v>16062</v>
      </c>
      <c r="C8088" s="6">
        <v>732.0</v>
      </c>
      <c r="D8088" s="6">
        <v>4.5</v>
      </c>
      <c r="E8088" s="6">
        <v>2.0</v>
      </c>
    </row>
    <row r="8089">
      <c r="A8089" s="4" t="s">
        <v>16063</v>
      </c>
      <c r="B8089" s="5" t="s">
        <v>16064</v>
      </c>
      <c r="C8089" s="6">
        <v>732.0</v>
      </c>
      <c r="D8089" s="6">
        <v>4.576923077</v>
      </c>
      <c r="E8089" s="6">
        <v>26.0</v>
      </c>
    </row>
    <row r="8090">
      <c r="A8090" s="4" t="s">
        <v>16065</v>
      </c>
      <c r="B8090" s="5" t="s">
        <v>16066</v>
      </c>
      <c r="C8090" s="6">
        <v>732.0</v>
      </c>
      <c r="D8090" s="6">
        <v>2.875</v>
      </c>
      <c r="E8090" s="6">
        <v>8.0</v>
      </c>
    </row>
    <row r="8091">
      <c r="A8091" s="4" t="s">
        <v>16067</v>
      </c>
      <c r="B8091" s="5" t="s">
        <v>16068</v>
      </c>
      <c r="C8091" s="6">
        <v>732.0</v>
      </c>
      <c r="D8091" s="6">
        <v>4.263157895</v>
      </c>
      <c r="E8091" s="6">
        <v>19.0</v>
      </c>
    </row>
    <row r="8092">
      <c r="A8092" s="4" t="s">
        <v>16069</v>
      </c>
      <c r="B8092" s="5" t="s">
        <v>16070</v>
      </c>
      <c r="C8092" s="6">
        <v>732.0</v>
      </c>
      <c r="D8092" s="6">
        <v>4.666666667</v>
      </c>
      <c r="E8092" s="6">
        <v>3.0</v>
      </c>
    </row>
    <row r="8093">
      <c r="A8093" s="4" t="s">
        <v>16071</v>
      </c>
      <c r="B8093" s="5" t="s">
        <v>16072</v>
      </c>
      <c r="C8093" s="6">
        <v>731.0</v>
      </c>
      <c r="D8093" s="6">
        <v>3.714285714</v>
      </c>
      <c r="E8093" s="6">
        <v>7.0</v>
      </c>
    </row>
    <row r="8094">
      <c r="A8094" s="4" t="s">
        <v>16073</v>
      </c>
      <c r="B8094" s="5" t="s">
        <v>16074</v>
      </c>
      <c r="C8094" s="6">
        <v>731.0</v>
      </c>
      <c r="D8094" s="6">
        <v>4.0625</v>
      </c>
      <c r="E8094" s="6">
        <v>48.0</v>
      </c>
    </row>
    <row r="8095">
      <c r="A8095" s="4" t="s">
        <v>16075</v>
      </c>
      <c r="B8095" s="5" t="s">
        <v>16076</v>
      </c>
      <c r="C8095" s="6">
        <v>731.0</v>
      </c>
      <c r="D8095" s="6">
        <v>4.375</v>
      </c>
      <c r="E8095" s="6">
        <v>8.0</v>
      </c>
    </row>
    <row r="8096">
      <c r="A8096" s="4" t="s">
        <v>16077</v>
      </c>
      <c r="B8096" s="5" t="s">
        <v>16078</v>
      </c>
      <c r="C8096" s="6">
        <v>731.0</v>
      </c>
      <c r="D8096" s="9"/>
      <c r="E8096" s="9"/>
    </row>
    <row r="8097">
      <c r="A8097" s="4" t="s">
        <v>16079</v>
      </c>
      <c r="B8097" s="5" t="s">
        <v>16080</v>
      </c>
      <c r="C8097" s="6">
        <v>731.0</v>
      </c>
      <c r="D8097" s="6">
        <v>4.384615385</v>
      </c>
      <c r="E8097" s="6">
        <v>13.0</v>
      </c>
    </row>
    <row r="8098">
      <c r="A8098" s="4" t="s">
        <v>16081</v>
      </c>
      <c r="B8098" s="5" t="s">
        <v>16082</v>
      </c>
      <c r="C8098" s="6">
        <v>731.0</v>
      </c>
      <c r="D8098" s="6">
        <v>3.5</v>
      </c>
      <c r="E8098" s="6">
        <v>6.0</v>
      </c>
    </row>
    <row r="8099">
      <c r="A8099" s="4" t="s">
        <v>16083</v>
      </c>
      <c r="B8099" s="5" t="s">
        <v>16084</v>
      </c>
      <c r="C8099" s="6">
        <v>730.0</v>
      </c>
      <c r="D8099" s="6">
        <v>3.125</v>
      </c>
      <c r="E8099" s="6">
        <v>8.0</v>
      </c>
    </row>
    <row r="8100">
      <c r="A8100" s="4" t="s">
        <v>16085</v>
      </c>
      <c r="B8100" s="5" t="s">
        <v>16086</v>
      </c>
      <c r="C8100" s="6">
        <v>730.0</v>
      </c>
      <c r="D8100" s="6">
        <v>4.333333333</v>
      </c>
      <c r="E8100" s="6">
        <v>93.0</v>
      </c>
    </row>
    <row r="8101">
      <c r="A8101" s="4" t="s">
        <v>16087</v>
      </c>
      <c r="B8101" s="5" t="s">
        <v>16088</v>
      </c>
      <c r="C8101" s="6">
        <v>730.0</v>
      </c>
      <c r="D8101" s="6">
        <v>2.714285714</v>
      </c>
      <c r="E8101" s="6">
        <v>7.0</v>
      </c>
    </row>
    <row r="8102">
      <c r="A8102" s="4" t="s">
        <v>16089</v>
      </c>
      <c r="B8102" s="5" t="s">
        <v>16090</v>
      </c>
      <c r="C8102" s="6">
        <v>730.0</v>
      </c>
      <c r="D8102" s="6">
        <v>5.0</v>
      </c>
      <c r="E8102" s="6">
        <v>2.0</v>
      </c>
    </row>
    <row r="8103">
      <c r="A8103" s="4" t="s">
        <v>16091</v>
      </c>
      <c r="B8103" s="5" t="s">
        <v>16092</v>
      </c>
      <c r="C8103" s="6">
        <v>730.0</v>
      </c>
      <c r="D8103" s="6">
        <v>4.348837209</v>
      </c>
      <c r="E8103" s="6">
        <v>43.0</v>
      </c>
    </row>
    <row r="8104">
      <c r="A8104" s="4" t="s">
        <v>16093</v>
      </c>
      <c r="B8104" s="5" t="s">
        <v>16094</v>
      </c>
      <c r="C8104" s="6">
        <v>730.0</v>
      </c>
      <c r="D8104" s="6">
        <v>4.25</v>
      </c>
      <c r="E8104" s="6">
        <v>4.0</v>
      </c>
    </row>
    <row r="8105">
      <c r="A8105" s="4" t="s">
        <v>16095</v>
      </c>
      <c r="B8105" s="5" t="s">
        <v>16096</v>
      </c>
      <c r="C8105" s="6">
        <v>730.0</v>
      </c>
      <c r="D8105" s="6">
        <v>4.142857143</v>
      </c>
      <c r="E8105" s="6">
        <v>7.0</v>
      </c>
    </row>
    <row r="8106">
      <c r="A8106" s="4" t="s">
        <v>16097</v>
      </c>
      <c r="B8106" s="5" t="s">
        <v>16098</v>
      </c>
      <c r="C8106" s="6">
        <v>730.0</v>
      </c>
      <c r="D8106" s="6">
        <v>4.368421053</v>
      </c>
      <c r="E8106" s="6">
        <v>19.0</v>
      </c>
    </row>
    <row r="8107">
      <c r="A8107" s="4" t="s">
        <v>16099</v>
      </c>
      <c r="B8107" s="5" t="s">
        <v>16100</v>
      </c>
      <c r="C8107" s="6">
        <v>730.0</v>
      </c>
      <c r="D8107" s="6">
        <v>4.353658537</v>
      </c>
      <c r="E8107" s="6">
        <v>82.0</v>
      </c>
    </row>
    <row r="8108">
      <c r="A8108" s="4" t="s">
        <v>16101</v>
      </c>
      <c r="B8108" s="5" t="s">
        <v>16102</v>
      </c>
      <c r="C8108" s="6">
        <v>730.0</v>
      </c>
      <c r="D8108" s="6">
        <v>4.285714286</v>
      </c>
      <c r="E8108" s="6">
        <v>7.0</v>
      </c>
    </row>
    <row r="8109">
      <c r="A8109" s="4" t="s">
        <v>16103</v>
      </c>
      <c r="B8109" s="5" t="s">
        <v>16104</v>
      </c>
      <c r="C8109" s="6">
        <v>729.0</v>
      </c>
      <c r="D8109" s="6">
        <v>4.894736842</v>
      </c>
      <c r="E8109" s="6">
        <v>19.0</v>
      </c>
    </row>
    <row r="8110">
      <c r="A8110" s="4" t="s">
        <v>16105</v>
      </c>
      <c r="B8110" s="5" t="s">
        <v>16106</v>
      </c>
      <c r="C8110" s="6">
        <v>729.0</v>
      </c>
      <c r="D8110" s="6">
        <v>2.142857143</v>
      </c>
      <c r="E8110" s="6">
        <v>7.0</v>
      </c>
    </row>
    <row r="8111">
      <c r="A8111" s="4" t="s">
        <v>16107</v>
      </c>
      <c r="B8111" s="5" t="s">
        <v>16108</v>
      </c>
      <c r="C8111" s="6">
        <v>729.0</v>
      </c>
      <c r="D8111" s="6">
        <v>4.307692308</v>
      </c>
      <c r="E8111" s="6">
        <v>13.0</v>
      </c>
    </row>
    <row r="8112">
      <c r="A8112" s="4" t="s">
        <v>16109</v>
      </c>
      <c r="B8112" s="5" t="s">
        <v>16110</v>
      </c>
      <c r="C8112" s="6">
        <v>729.0</v>
      </c>
      <c r="D8112" s="6">
        <v>5.0</v>
      </c>
      <c r="E8112" s="6">
        <v>2.0</v>
      </c>
    </row>
    <row r="8113">
      <c r="A8113" s="4" t="s">
        <v>16111</v>
      </c>
      <c r="B8113" s="5" t="s">
        <v>16112</v>
      </c>
      <c r="C8113" s="6">
        <v>729.0</v>
      </c>
      <c r="D8113" s="6">
        <v>5.0</v>
      </c>
      <c r="E8113" s="6">
        <v>1.0</v>
      </c>
    </row>
    <row r="8114">
      <c r="A8114" s="4" t="s">
        <v>16113</v>
      </c>
      <c r="B8114" s="5" t="s">
        <v>16114</v>
      </c>
      <c r="C8114" s="6">
        <v>728.0</v>
      </c>
      <c r="D8114" s="6">
        <v>5.0</v>
      </c>
      <c r="E8114" s="6">
        <v>7.0</v>
      </c>
    </row>
    <row r="8115">
      <c r="A8115" s="4" t="s">
        <v>16115</v>
      </c>
      <c r="B8115" s="5" t="s">
        <v>16116</v>
      </c>
      <c r="C8115" s="6">
        <v>727.0</v>
      </c>
      <c r="D8115" s="6">
        <v>4.0</v>
      </c>
      <c r="E8115" s="6">
        <v>9.0</v>
      </c>
    </row>
    <row r="8116">
      <c r="A8116" s="4" t="s">
        <v>16117</v>
      </c>
      <c r="B8116" s="5" t="s">
        <v>16118</v>
      </c>
      <c r="C8116" s="6">
        <v>727.0</v>
      </c>
      <c r="D8116" s="6">
        <v>4.7</v>
      </c>
      <c r="E8116" s="6">
        <v>10.0</v>
      </c>
    </row>
    <row r="8117">
      <c r="A8117" s="4" t="s">
        <v>16119</v>
      </c>
      <c r="B8117" s="5" t="s">
        <v>16120</v>
      </c>
      <c r="C8117" s="6">
        <v>727.0</v>
      </c>
      <c r="D8117" s="6">
        <v>5.0</v>
      </c>
      <c r="E8117" s="6">
        <v>10.0</v>
      </c>
    </row>
    <row r="8118">
      <c r="A8118" s="4" t="s">
        <v>16121</v>
      </c>
      <c r="B8118" s="5" t="s">
        <v>16122</v>
      </c>
      <c r="C8118" s="6">
        <v>727.0</v>
      </c>
      <c r="D8118" s="6">
        <v>5.0</v>
      </c>
      <c r="E8118" s="6">
        <v>12.0</v>
      </c>
    </row>
    <row r="8119">
      <c r="A8119" s="4" t="s">
        <v>16123</v>
      </c>
      <c r="B8119" s="5" t="s">
        <v>16124</v>
      </c>
      <c r="C8119" s="6">
        <v>727.0</v>
      </c>
      <c r="D8119" s="6">
        <v>4.5</v>
      </c>
      <c r="E8119" s="6">
        <v>2.0</v>
      </c>
    </row>
    <row r="8120">
      <c r="A8120" s="4" t="s">
        <v>16125</v>
      </c>
      <c r="B8120" s="5" t="s">
        <v>16126</v>
      </c>
      <c r="C8120" s="6">
        <v>727.0</v>
      </c>
      <c r="D8120" s="6">
        <v>3.4</v>
      </c>
      <c r="E8120" s="6">
        <v>5.0</v>
      </c>
    </row>
    <row r="8121">
      <c r="A8121" s="4" t="s">
        <v>16127</v>
      </c>
      <c r="B8121" s="5" t="s">
        <v>16128</v>
      </c>
      <c r="C8121" s="6">
        <v>727.0</v>
      </c>
      <c r="D8121" s="6">
        <v>2.25</v>
      </c>
      <c r="E8121" s="6">
        <v>4.0</v>
      </c>
    </row>
    <row r="8122">
      <c r="A8122" s="4" t="s">
        <v>16129</v>
      </c>
      <c r="B8122" s="5" t="s">
        <v>16130</v>
      </c>
      <c r="C8122" s="6">
        <v>726.0</v>
      </c>
      <c r="D8122" s="6">
        <v>3.56741573</v>
      </c>
      <c r="E8122" s="6">
        <v>178.0</v>
      </c>
    </row>
    <row r="8123">
      <c r="A8123" s="4" t="s">
        <v>16131</v>
      </c>
      <c r="B8123" s="5" t="s">
        <v>16132</v>
      </c>
      <c r="C8123" s="6">
        <v>726.0</v>
      </c>
      <c r="D8123" s="6">
        <v>3.666666667</v>
      </c>
      <c r="E8123" s="6">
        <v>3.0</v>
      </c>
    </row>
    <row r="8124">
      <c r="A8124" s="4" t="s">
        <v>16133</v>
      </c>
      <c r="B8124" s="5" t="s">
        <v>16134</v>
      </c>
      <c r="C8124" s="6">
        <v>726.0</v>
      </c>
      <c r="D8124" s="6">
        <v>5.0</v>
      </c>
      <c r="E8124" s="6">
        <v>10.0</v>
      </c>
    </row>
    <row r="8125">
      <c r="A8125" s="4" t="s">
        <v>16135</v>
      </c>
      <c r="B8125" s="5" t="s">
        <v>16136</v>
      </c>
      <c r="C8125" s="6">
        <v>726.0</v>
      </c>
      <c r="D8125" s="6">
        <v>3.75</v>
      </c>
      <c r="E8125" s="6">
        <v>4.0</v>
      </c>
    </row>
    <row r="8126">
      <c r="A8126" s="4" t="s">
        <v>16137</v>
      </c>
      <c r="B8126" s="5" t="s">
        <v>16138</v>
      </c>
      <c r="C8126" s="6">
        <v>726.0</v>
      </c>
      <c r="D8126" s="6">
        <v>5.0</v>
      </c>
      <c r="E8126" s="6">
        <v>1.0</v>
      </c>
    </row>
    <row r="8127">
      <c r="A8127" s="4" t="s">
        <v>16139</v>
      </c>
      <c r="B8127" s="5" t="s">
        <v>16140</v>
      </c>
      <c r="C8127" s="6">
        <v>726.0</v>
      </c>
      <c r="D8127" s="6">
        <v>4.0</v>
      </c>
      <c r="E8127" s="6">
        <v>10.0</v>
      </c>
    </row>
    <row r="8128">
      <c r="A8128" s="4" t="s">
        <v>16141</v>
      </c>
      <c r="B8128" s="5" t="s">
        <v>16142</v>
      </c>
      <c r="C8128" s="6">
        <v>726.0</v>
      </c>
      <c r="D8128" s="6">
        <v>2.5</v>
      </c>
      <c r="E8128" s="6">
        <v>2.0</v>
      </c>
    </row>
    <row r="8129">
      <c r="A8129" s="4" t="s">
        <v>16143</v>
      </c>
      <c r="B8129" s="5" t="s">
        <v>16144</v>
      </c>
      <c r="C8129" s="6">
        <v>725.0</v>
      </c>
      <c r="D8129" s="6">
        <v>4.071428571</v>
      </c>
      <c r="E8129" s="6">
        <v>14.0</v>
      </c>
    </row>
    <row r="8130">
      <c r="A8130" s="4" t="s">
        <v>16145</v>
      </c>
      <c r="B8130" s="5" t="s">
        <v>16146</v>
      </c>
      <c r="C8130" s="6">
        <v>725.0</v>
      </c>
      <c r="D8130" s="6">
        <v>4.875</v>
      </c>
      <c r="E8130" s="6">
        <v>8.0</v>
      </c>
    </row>
    <row r="8131">
      <c r="A8131" s="4" t="s">
        <v>16147</v>
      </c>
      <c r="B8131" s="5" t="s">
        <v>16148</v>
      </c>
      <c r="C8131" s="6">
        <v>725.0</v>
      </c>
      <c r="D8131" s="6">
        <v>3.727272727</v>
      </c>
      <c r="E8131" s="6">
        <v>11.0</v>
      </c>
    </row>
    <row r="8132">
      <c r="A8132" s="4" t="s">
        <v>16149</v>
      </c>
      <c r="B8132" s="5" t="s">
        <v>16150</v>
      </c>
      <c r="C8132" s="6">
        <v>725.0</v>
      </c>
      <c r="D8132" s="6">
        <v>4.538461538</v>
      </c>
      <c r="E8132" s="6">
        <v>13.0</v>
      </c>
    </row>
    <row r="8133">
      <c r="A8133" s="4" t="s">
        <v>16151</v>
      </c>
      <c r="B8133" s="5" t="s">
        <v>16152</v>
      </c>
      <c r="C8133" s="6">
        <v>725.0</v>
      </c>
      <c r="D8133" s="9"/>
      <c r="E8133" s="9"/>
    </row>
    <row r="8134">
      <c r="A8134" s="4" t="s">
        <v>16153</v>
      </c>
      <c r="B8134" s="5" t="s">
        <v>16154</v>
      </c>
      <c r="C8134" s="6">
        <v>724.0</v>
      </c>
      <c r="D8134" s="6">
        <v>5.0</v>
      </c>
      <c r="E8134" s="6">
        <v>5.0</v>
      </c>
    </row>
    <row r="8135">
      <c r="A8135" s="4" t="s">
        <v>16155</v>
      </c>
      <c r="B8135" s="5" t="s">
        <v>16156</v>
      </c>
      <c r="C8135" s="6">
        <v>724.0</v>
      </c>
      <c r="D8135" s="6">
        <v>4.608695652</v>
      </c>
      <c r="E8135" s="6">
        <v>23.0</v>
      </c>
    </row>
    <row r="8136">
      <c r="A8136" s="4" t="s">
        <v>16157</v>
      </c>
      <c r="B8136" s="5" t="s">
        <v>16158</v>
      </c>
      <c r="C8136" s="6">
        <v>724.0</v>
      </c>
      <c r="D8136" s="6">
        <v>4.8</v>
      </c>
      <c r="E8136" s="6">
        <v>20.0</v>
      </c>
    </row>
    <row r="8137">
      <c r="A8137" s="4" t="s">
        <v>16159</v>
      </c>
      <c r="B8137" s="5" t="s">
        <v>16160</v>
      </c>
      <c r="C8137" s="6">
        <v>723.0</v>
      </c>
      <c r="D8137" s="6">
        <v>4.933333333</v>
      </c>
      <c r="E8137" s="6">
        <v>15.0</v>
      </c>
    </row>
    <row r="8138">
      <c r="A8138" s="4" t="s">
        <v>16161</v>
      </c>
      <c r="B8138" s="5" t="s">
        <v>16162</v>
      </c>
      <c r="C8138" s="6">
        <v>723.0</v>
      </c>
      <c r="D8138" s="6">
        <v>3.833333333</v>
      </c>
      <c r="E8138" s="6">
        <v>6.0</v>
      </c>
    </row>
    <row r="8139">
      <c r="A8139" s="4" t="s">
        <v>16163</v>
      </c>
      <c r="B8139" s="5" t="s">
        <v>16164</v>
      </c>
      <c r="C8139" s="6">
        <v>722.0</v>
      </c>
      <c r="D8139" s="9"/>
      <c r="E8139" s="9"/>
    </row>
    <row r="8140">
      <c r="A8140" s="4" t="s">
        <v>16165</v>
      </c>
      <c r="B8140" s="5" t="s">
        <v>16166</v>
      </c>
      <c r="C8140" s="6">
        <v>722.0</v>
      </c>
      <c r="D8140" s="6">
        <v>4.0</v>
      </c>
      <c r="E8140" s="6">
        <v>4.0</v>
      </c>
    </row>
    <row r="8141">
      <c r="A8141" s="4" t="s">
        <v>16167</v>
      </c>
      <c r="B8141" s="5" t="s">
        <v>16168</v>
      </c>
      <c r="C8141" s="6">
        <v>722.0</v>
      </c>
      <c r="D8141" s="6">
        <v>4.764705882</v>
      </c>
      <c r="E8141" s="6">
        <v>17.0</v>
      </c>
    </row>
    <row r="8142">
      <c r="A8142" s="4" t="s">
        <v>16169</v>
      </c>
      <c r="B8142" s="5" t="s">
        <v>16170</v>
      </c>
      <c r="C8142" s="6">
        <v>721.0</v>
      </c>
      <c r="D8142" s="6">
        <v>4.88372093</v>
      </c>
      <c r="E8142" s="6">
        <v>43.0</v>
      </c>
    </row>
    <row r="8143">
      <c r="A8143" s="4" t="s">
        <v>16171</v>
      </c>
      <c r="B8143" s="5" t="s">
        <v>16172</v>
      </c>
      <c r="C8143" s="6">
        <v>721.0</v>
      </c>
      <c r="D8143" s="6">
        <v>4.6</v>
      </c>
      <c r="E8143" s="6">
        <v>5.0</v>
      </c>
    </row>
    <row r="8144">
      <c r="A8144" s="4" t="s">
        <v>16173</v>
      </c>
      <c r="B8144" s="5" t="s">
        <v>16174</v>
      </c>
      <c r="C8144" s="6">
        <v>721.0</v>
      </c>
      <c r="D8144" s="6">
        <v>2.6</v>
      </c>
      <c r="E8144" s="6">
        <v>5.0</v>
      </c>
    </row>
    <row r="8145">
      <c r="A8145" s="4" t="s">
        <v>16175</v>
      </c>
      <c r="B8145" s="5" t="s">
        <v>16176</v>
      </c>
      <c r="C8145" s="6">
        <v>720.0</v>
      </c>
      <c r="D8145" s="6">
        <v>2.666666667</v>
      </c>
      <c r="E8145" s="6">
        <v>3.0</v>
      </c>
    </row>
    <row r="8146">
      <c r="A8146" s="4" t="s">
        <v>16177</v>
      </c>
      <c r="B8146" s="5" t="s">
        <v>16178</v>
      </c>
      <c r="C8146" s="6">
        <v>720.0</v>
      </c>
      <c r="D8146" s="6">
        <v>3.263157895</v>
      </c>
      <c r="E8146" s="6">
        <v>38.0</v>
      </c>
    </row>
    <row r="8147">
      <c r="A8147" s="4" t="s">
        <v>16179</v>
      </c>
      <c r="B8147" s="5" t="s">
        <v>16180</v>
      </c>
      <c r="C8147" s="6">
        <v>720.0</v>
      </c>
      <c r="D8147" s="6">
        <v>3.625</v>
      </c>
      <c r="E8147" s="6">
        <v>16.0</v>
      </c>
    </row>
    <row r="8148">
      <c r="A8148" s="4" t="s">
        <v>16181</v>
      </c>
      <c r="B8148" s="5" t="s">
        <v>16182</v>
      </c>
      <c r="C8148" s="6">
        <v>719.0</v>
      </c>
      <c r="D8148" s="6">
        <v>4.0</v>
      </c>
      <c r="E8148" s="6">
        <v>16.0</v>
      </c>
    </row>
    <row r="8149">
      <c r="A8149" s="4" t="s">
        <v>16183</v>
      </c>
      <c r="B8149" s="5" t="s">
        <v>16184</v>
      </c>
      <c r="C8149" s="6">
        <v>719.0</v>
      </c>
      <c r="D8149" s="6">
        <v>3.411764706</v>
      </c>
      <c r="E8149" s="6">
        <v>17.0</v>
      </c>
    </row>
    <row r="8150">
      <c r="A8150" s="4" t="s">
        <v>16185</v>
      </c>
      <c r="B8150" s="14" t="s">
        <v>16186</v>
      </c>
      <c r="C8150" s="17">
        <v>718.0</v>
      </c>
      <c r="D8150" s="6">
        <v>4.6</v>
      </c>
      <c r="E8150" s="6">
        <v>5.0</v>
      </c>
    </row>
    <row r="8151">
      <c r="A8151" s="4" t="s">
        <v>16187</v>
      </c>
      <c r="B8151" s="5" t="s">
        <v>16188</v>
      </c>
      <c r="C8151" s="6">
        <v>718.0</v>
      </c>
      <c r="D8151" s="6">
        <v>2.5</v>
      </c>
      <c r="E8151" s="6">
        <v>8.0</v>
      </c>
    </row>
    <row r="8152">
      <c r="A8152" s="4" t="s">
        <v>16189</v>
      </c>
      <c r="B8152" s="5" t="s">
        <v>16190</v>
      </c>
      <c r="C8152" s="6">
        <v>718.0</v>
      </c>
      <c r="D8152" s="6">
        <v>4.142857143</v>
      </c>
      <c r="E8152" s="6">
        <v>7.0</v>
      </c>
    </row>
    <row r="8153">
      <c r="A8153" s="4" t="s">
        <v>16191</v>
      </c>
      <c r="B8153" s="5" t="s">
        <v>16192</v>
      </c>
      <c r="C8153" s="6">
        <v>718.0</v>
      </c>
      <c r="D8153" s="6">
        <v>4.533333333</v>
      </c>
      <c r="E8153" s="6">
        <v>15.0</v>
      </c>
    </row>
    <row r="8154">
      <c r="A8154" s="4" t="s">
        <v>16193</v>
      </c>
      <c r="B8154" s="5" t="s">
        <v>16194</v>
      </c>
      <c r="C8154" s="6">
        <v>718.0</v>
      </c>
      <c r="D8154" s="6">
        <v>4.0625</v>
      </c>
      <c r="E8154" s="6">
        <v>16.0</v>
      </c>
    </row>
    <row r="8155">
      <c r="A8155" s="4" t="s">
        <v>16195</v>
      </c>
      <c r="B8155" s="5" t="s">
        <v>16196</v>
      </c>
      <c r="C8155" s="6">
        <v>718.0</v>
      </c>
      <c r="D8155" s="6">
        <v>4.529411765</v>
      </c>
      <c r="E8155" s="6">
        <v>17.0</v>
      </c>
    </row>
    <row r="8156">
      <c r="A8156" s="4" t="s">
        <v>16197</v>
      </c>
      <c r="B8156" s="5" t="s">
        <v>16198</v>
      </c>
      <c r="C8156" s="6">
        <v>718.0</v>
      </c>
      <c r="D8156" s="6">
        <v>3.333333333</v>
      </c>
      <c r="E8156" s="6">
        <v>3.0</v>
      </c>
    </row>
    <row r="8157">
      <c r="A8157" s="4" t="s">
        <v>16199</v>
      </c>
      <c r="B8157" s="5" t="s">
        <v>16200</v>
      </c>
      <c r="C8157" s="6">
        <v>718.0</v>
      </c>
      <c r="D8157" s="6">
        <v>4.0</v>
      </c>
      <c r="E8157" s="6">
        <v>2.0</v>
      </c>
    </row>
    <row r="8158">
      <c r="A8158" s="4" t="s">
        <v>16201</v>
      </c>
      <c r="B8158" s="5" t="s">
        <v>16202</v>
      </c>
      <c r="C8158" s="6">
        <v>718.0</v>
      </c>
      <c r="D8158" s="6">
        <v>3.285714286</v>
      </c>
      <c r="E8158" s="6">
        <v>7.0</v>
      </c>
    </row>
    <row r="8159">
      <c r="A8159" s="4" t="s">
        <v>16203</v>
      </c>
      <c r="B8159" s="5" t="s">
        <v>16204</v>
      </c>
      <c r="C8159" s="6">
        <v>718.0</v>
      </c>
      <c r="D8159" s="6">
        <v>2.4</v>
      </c>
      <c r="E8159" s="6">
        <v>10.0</v>
      </c>
    </row>
    <row r="8160">
      <c r="A8160" s="4" t="s">
        <v>16205</v>
      </c>
      <c r="B8160" s="5" t="s">
        <v>16206</v>
      </c>
      <c r="C8160" s="6">
        <v>717.0</v>
      </c>
      <c r="D8160" s="6">
        <v>3.777777778</v>
      </c>
      <c r="E8160" s="6">
        <v>18.0</v>
      </c>
    </row>
    <row r="8161">
      <c r="A8161" s="4" t="s">
        <v>16207</v>
      </c>
      <c r="B8161" s="5" t="s">
        <v>16208</v>
      </c>
      <c r="C8161" s="6">
        <v>717.0</v>
      </c>
      <c r="D8161" s="6">
        <v>5.0</v>
      </c>
      <c r="E8161" s="6">
        <v>1.0</v>
      </c>
    </row>
    <row r="8162">
      <c r="A8162" s="4" t="s">
        <v>16209</v>
      </c>
      <c r="B8162" s="5" t="s">
        <v>16210</v>
      </c>
      <c r="C8162" s="6">
        <v>717.0</v>
      </c>
      <c r="D8162" s="6">
        <v>2.0</v>
      </c>
      <c r="E8162" s="6">
        <v>5.0</v>
      </c>
    </row>
    <row r="8163">
      <c r="A8163" s="4" t="s">
        <v>16211</v>
      </c>
      <c r="B8163" s="5" t="s">
        <v>16212</v>
      </c>
      <c r="C8163" s="6">
        <v>717.0</v>
      </c>
      <c r="D8163" s="6">
        <v>5.0</v>
      </c>
      <c r="E8163" s="6">
        <v>1.0</v>
      </c>
    </row>
    <row r="8164">
      <c r="A8164" s="4" t="s">
        <v>16213</v>
      </c>
      <c r="B8164" s="5" t="s">
        <v>16214</v>
      </c>
      <c r="C8164" s="6">
        <v>717.0</v>
      </c>
      <c r="D8164" s="6">
        <v>4.416666667</v>
      </c>
      <c r="E8164" s="6">
        <v>12.0</v>
      </c>
    </row>
    <row r="8165">
      <c r="A8165" s="4" t="s">
        <v>16215</v>
      </c>
      <c r="B8165" s="5" t="s">
        <v>16216</v>
      </c>
      <c r="C8165" s="6">
        <v>717.0</v>
      </c>
      <c r="D8165" s="6">
        <v>2.5</v>
      </c>
      <c r="E8165" s="6">
        <v>2.0</v>
      </c>
    </row>
    <row r="8166">
      <c r="A8166" s="4" t="s">
        <v>16217</v>
      </c>
      <c r="B8166" s="5" t="s">
        <v>16218</v>
      </c>
      <c r="C8166" s="6">
        <v>717.0</v>
      </c>
      <c r="D8166" s="6">
        <v>4.912280702</v>
      </c>
      <c r="E8166" s="6">
        <v>57.0</v>
      </c>
    </row>
    <row r="8167">
      <c r="A8167" s="4" t="s">
        <v>16219</v>
      </c>
      <c r="B8167" s="5" t="s">
        <v>16220</v>
      </c>
      <c r="C8167" s="6">
        <v>717.0</v>
      </c>
      <c r="D8167" s="6">
        <v>5.0</v>
      </c>
      <c r="E8167" s="6">
        <v>2.0</v>
      </c>
    </row>
    <row r="8168">
      <c r="A8168" s="4" t="s">
        <v>16221</v>
      </c>
      <c r="B8168" s="5" t="s">
        <v>16222</v>
      </c>
      <c r="C8168" s="6">
        <v>716.0</v>
      </c>
      <c r="D8168" s="6">
        <v>3.0</v>
      </c>
      <c r="E8168" s="6">
        <v>2.0</v>
      </c>
    </row>
    <row r="8169">
      <c r="A8169" s="4" t="s">
        <v>16223</v>
      </c>
      <c r="B8169" s="5" t="s">
        <v>16224</v>
      </c>
      <c r="C8169" s="6">
        <v>716.0</v>
      </c>
      <c r="D8169" s="6">
        <v>4.431818182</v>
      </c>
      <c r="E8169" s="6">
        <v>44.0</v>
      </c>
    </row>
    <row r="8170">
      <c r="A8170" s="4" t="s">
        <v>16225</v>
      </c>
      <c r="B8170" s="5" t="s">
        <v>16226</v>
      </c>
      <c r="C8170" s="6">
        <v>716.0</v>
      </c>
      <c r="D8170" s="6">
        <v>3.75</v>
      </c>
      <c r="E8170" s="6">
        <v>4.0</v>
      </c>
    </row>
    <row r="8171">
      <c r="A8171" s="4" t="s">
        <v>16227</v>
      </c>
      <c r="B8171" s="5" t="s">
        <v>16228</v>
      </c>
      <c r="C8171" s="6">
        <v>716.0</v>
      </c>
      <c r="D8171" s="6">
        <v>4.411764706</v>
      </c>
      <c r="E8171" s="6">
        <v>51.0</v>
      </c>
    </row>
    <row r="8172">
      <c r="A8172" s="4" t="s">
        <v>16229</v>
      </c>
      <c r="B8172" s="5" t="s">
        <v>16230</v>
      </c>
      <c r="C8172" s="6">
        <v>716.0</v>
      </c>
      <c r="D8172" s="6">
        <v>5.0</v>
      </c>
      <c r="E8172" s="6">
        <v>4.0</v>
      </c>
    </row>
    <row r="8173">
      <c r="A8173" s="4" t="s">
        <v>16231</v>
      </c>
      <c r="B8173" s="5" t="s">
        <v>16232</v>
      </c>
      <c r="C8173" s="6">
        <v>716.0</v>
      </c>
      <c r="D8173" s="6">
        <v>2.923076923</v>
      </c>
      <c r="E8173" s="6">
        <v>13.0</v>
      </c>
    </row>
    <row r="8174">
      <c r="A8174" s="4" t="s">
        <v>16233</v>
      </c>
      <c r="B8174" s="5" t="s">
        <v>16234</v>
      </c>
      <c r="C8174" s="6">
        <v>715.0</v>
      </c>
      <c r="D8174" s="6">
        <v>4.0</v>
      </c>
      <c r="E8174" s="6">
        <v>10.0</v>
      </c>
    </row>
    <row r="8175">
      <c r="A8175" s="4" t="s">
        <v>16235</v>
      </c>
      <c r="B8175" s="5" t="s">
        <v>16236</v>
      </c>
      <c r="C8175" s="6">
        <v>715.0</v>
      </c>
      <c r="D8175" s="9"/>
      <c r="E8175" s="9"/>
    </row>
    <row r="8176">
      <c r="A8176" s="4" t="s">
        <v>16237</v>
      </c>
      <c r="B8176" s="5" t="s">
        <v>16238</v>
      </c>
      <c r="C8176" s="6">
        <v>715.0</v>
      </c>
      <c r="D8176" s="6">
        <v>3.571428571</v>
      </c>
      <c r="E8176" s="6">
        <v>14.0</v>
      </c>
    </row>
    <row r="8177">
      <c r="A8177" s="4" t="s">
        <v>16239</v>
      </c>
      <c r="B8177" s="5" t="s">
        <v>16240</v>
      </c>
      <c r="C8177" s="6">
        <v>715.0</v>
      </c>
      <c r="D8177" s="6">
        <v>4.533333333</v>
      </c>
      <c r="E8177" s="6">
        <v>15.0</v>
      </c>
    </row>
    <row r="8178">
      <c r="A8178" s="4" t="s">
        <v>16241</v>
      </c>
      <c r="B8178" s="5" t="s">
        <v>16242</v>
      </c>
      <c r="C8178" s="6">
        <v>715.0</v>
      </c>
      <c r="D8178" s="6">
        <v>4.181818182</v>
      </c>
      <c r="E8178" s="6">
        <v>11.0</v>
      </c>
    </row>
    <row r="8179">
      <c r="A8179" s="4" t="s">
        <v>16243</v>
      </c>
      <c r="B8179" s="5" t="s">
        <v>16244</v>
      </c>
      <c r="C8179" s="6">
        <v>715.0</v>
      </c>
      <c r="D8179" s="6">
        <v>5.0</v>
      </c>
      <c r="E8179" s="6">
        <v>3.0</v>
      </c>
    </row>
    <row r="8180">
      <c r="A8180" s="4" t="s">
        <v>16245</v>
      </c>
      <c r="B8180" s="5" t="s">
        <v>16246</v>
      </c>
      <c r="C8180" s="6">
        <v>714.0</v>
      </c>
      <c r="D8180" s="6">
        <v>3.0</v>
      </c>
      <c r="E8180" s="6">
        <v>2.0</v>
      </c>
    </row>
    <row r="8181">
      <c r="A8181" s="4" t="s">
        <v>16247</v>
      </c>
      <c r="B8181" s="5" t="s">
        <v>16248</v>
      </c>
      <c r="C8181" s="6">
        <v>714.0</v>
      </c>
      <c r="D8181" s="6">
        <v>4.75</v>
      </c>
      <c r="E8181" s="6">
        <v>76.0</v>
      </c>
    </row>
    <row r="8182">
      <c r="A8182" s="4" t="s">
        <v>16249</v>
      </c>
      <c r="B8182" s="5" t="s">
        <v>16250</v>
      </c>
      <c r="C8182" s="6">
        <v>714.0</v>
      </c>
      <c r="D8182" s="9"/>
      <c r="E8182" s="9"/>
    </row>
    <row r="8183">
      <c r="A8183" s="4" t="s">
        <v>16251</v>
      </c>
      <c r="B8183" s="5" t="s">
        <v>16252</v>
      </c>
      <c r="C8183" s="6">
        <v>714.0</v>
      </c>
      <c r="D8183" s="6">
        <v>4.529411765</v>
      </c>
      <c r="E8183" s="6">
        <v>17.0</v>
      </c>
    </row>
    <row r="8184">
      <c r="A8184" s="4" t="s">
        <v>16253</v>
      </c>
      <c r="B8184" s="5" t="s">
        <v>16254</v>
      </c>
      <c r="C8184" s="6">
        <v>714.0</v>
      </c>
      <c r="D8184" s="6">
        <v>3.833333333</v>
      </c>
      <c r="E8184" s="6">
        <v>6.0</v>
      </c>
    </row>
    <row r="8185">
      <c r="A8185" s="4" t="s">
        <v>16255</v>
      </c>
      <c r="B8185" s="5" t="s">
        <v>16256</v>
      </c>
      <c r="C8185" s="6">
        <v>714.0</v>
      </c>
      <c r="D8185" s="6">
        <v>4.384615385</v>
      </c>
      <c r="E8185" s="6">
        <v>13.0</v>
      </c>
    </row>
    <row r="8186">
      <c r="A8186" s="4" t="s">
        <v>16257</v>
      </c>
      <c r="B8186" s="5" t="s">
        <v>16258</v>
      </c>
      <c r="C8186" s="6">
        <v>713.0</v>
      </c>
      <c r="D8186" s="6">
        <v>4.1875</v>
      </c>
      <c r="E8186" s="6">
        <v>16.0</v>
      </c>
    </row>
    <row r="8187">
      <c r="A8187" s="4" t="s">
        <v>16259</v>
      </c>
      <c r="B8187" s="5" t="s">
        <v>16260</v>
      </c>
      <c r="C8187" s="6">
        <v>713.0</v>
      </c>
      <c r="D8187" s="6">
        <v>4.288888889</v>
      </c>
      <c r="E8187" s="6">
        <v>45.0</v>
      </c>
    </row>
    <row r="8188">
      <c r="A8188" s="4" t="s">
        <v>16261</v>
      </c>
      <c r="B8188" s="5" t="s">
        <v>16262</v>
      </c>
      <c r="C8188" s="6">
        <v>713.0</v>
      </c>
      <c r="D8188" s="6">
        <v>4.1875</v>
      </c>
      <c r="E8188" s="6">
        <v>16.0</v>
      </c>
    </row>
    <row r="8189">
      <c r="A8189" s="4" t="s">
        <v>16263</v>
      </c>
      <c r="B8189" s="5" t="s">
        <v>16264</v>
      </c>
      <c r="C8189" s="6">
        <v>713.0</v>
      </c>
      <c r="D8189" s="9"/>
      <c r="E8189" s="9"/>
    </row>
    <row r="8190">
      <c r="A8190" s="4" t="s">
        <v>16265</v>
      </c>
      <c r="B8190" s="5" t="s">
        <v>16266</v>
      </c>
      <c r="C8190" s="6">
        <v>713.0</v>
      </c>
      <c r="D8190" s="6">
        <v>4.464285714</v>
      </c>
      <c r="E8190" s="6">
        <v>84.0</v>
      </c>
    </row>
    <row r="8191">
      <c r="A8191" s="4" t="s">
        <v>16267</v>
      </c>
      <c r="B8191" s="5" t="s">
        <v>16268</v>
      </c>
      <c r="C8191" s="6">
        <v>712.0</v>
      </c>
      <c r="D8191" s="6">
        <v>5.0</v>
      </c>
      <c r="E8191" s="6">
        <v>2.0</v>
      </c>
    </row>
    <row r="8192">
      <c r="A8192" s="4" t="s">
        <v>16269</v>
      </c>
      <c r="B8192" s="5" t="s">
        <v>16270</v>
      </c>
      <c r="C8192" s="6">
        <v>712.0</v>
      </c>
      <c r="D8192" s="6">
        <v>5.0</v>
      </c>
      <c r="E8192" s="6">
        <v>2.0</v>
      </c>
    </row>
    <row r="8193">
      <c r="A8193" s="4" t="s">
        <v>16271</v>
      </c>
      <c r="B8193" s="5" t="s">
        <v>16272</v>
      </c>
      <c r="C8193" s="6">
        <v>712.0</v>
      </c>
      <c r="D8193" s="6">
        <v>4.2</v>
      </c>
      <c r="E8193" s="6">
        <v>20.0</v>
      </c>
    </row>
    <row r="8194">
      <c r="A8194" s="4" t="s">
        <v>16273</v>
      </c>
      <c r="B8194" s="5" t="s">
        <v>16274</v>
      </c>
      <c r="C8194" s="6">
        <v>712.0</v>
      </c>
      <c r="D8194" s="6">
        <v>4.0</v>
      </c>
      <c r="E8194" s="6">
        <v>11.0</v>
      </c>
    </row>
    <row r="8195">
      <c r="A8195" s="10" t="s">
        <v>16275</v>
      </c>
      <c r="B8195" s="5" t="s">
        <v>16276</v>
      </c>
      <c r="C8195" s="6">
        <v>712.0</v>
      </c>
      <c r="D8195" s="6">
        <v>4.571428571</v>
      </c>
      <c r="E8195" s="6">
        <v>14.0</v>
      </c>
    </row>
    <row r="8196">
      <c r="A8196" s="4" t="s">
        <v>16277</v>
      </c>
      <c r="B8196" s="5" t="s">
        <v>16278</v>
      </c>
      <c r="C8196" s="6">
        <v>712.0</v>
      </c>
      <c r="D8196" s="6">
        <v>4.326530612</v>
      </c>
      <c r="E8196" s="6">
        <v>49.0</v>
      </c>
    </row>
    <row r="8197">
      <c r="A8197" s="4" t="s">
        <v>16279</v>
      </c>
      <c r="B8197" s="5" t="s">
        <v>16280</v>
      </c>
      <c r="C8197" s="6">
        <v>712.0</v>
      </c>
      <c r="D8197" s="9"/>
      <c r="E8197" s="9"/>
    </row>
    <row r="8198">
      <c r="A8198" s="4" t="s">
        <v>16281</v>
      </c>
      <c r="B8198" s="5" t="s">
        <v>16282</v>
      </c>
      <c r="C8198" s="6">
        <v>711.0</v>
      </c>
      <c r="D8198" s="6">
        <v>5.0</v>
      </c>
      <c r="E8198" s="6">
        <v>6.0</v>
      </c>
    </row>
    <row r="8199">
      <c r="A8199" s="4" t="s">
        <v>16283</v>
      </c>
      <c r="B8199" s="5" t="s">
        <v>16284</v>
      </c>
      <c r="C8199" s="6">
        <v>711.0</v>
      </c>
      <c r="D8199" s="6">
        <v>4.166666667</v>
      </c>
      <c r="E8199" s="6">
        <v>6.0</v>
      </c>
    </row>
    <row r="8200">
      <c r="A8200" s="4" t="s">
        <v>16285</v>
      </c>
      <c r="B8200" s="5" t="s">
        <v>16286</v>
      </c>
      <c r="C8200" s="6">
        <v>711.0</v>
      </c>
      <c r="D8200" s="6">
        <v>4.0</v>
      </c>
      <c r="E8200" s="6">
        <v>5.0</v>
      </c>
    </row>
    <row r="8201">
      <c r="A8201" s="4" t="s">
        <v>16287</v>
      </c>
      <c r="B8201" s="5" t="s">
        <v>16288</v>
      </c>
      <c r="C8201" s="6">
        <v>711.0</v>
      </c>
      <c r="D8201" s="6">
        <v>2.666666667</v>
      </c>
      <c r="E8201" s="6">
        <v>3.0</v>
      </c>
    </row>
    <row r="8202">
      <c r="A8202" s="4" t="s">
        <v>16289</v>
      </c>
      <c r="B8202" s="5" t="s">
        <v>16290</v>
      </c>
      <c r="C8202" s="6">
        <v>710.0</v>
      </c>
      <c r="D8202" s="6">
        <v>3.2</v>
      </c>
      <c r="E8202" s="6">
        <v>5.0</v>
      </c>
    </row>
    <row r="8203">
      <c r="A8203" s="4" t="s">
        <v>16291</v>
      </c>
      <c r="B8203" s="5" t="s">
        <v>16292</v>
      </c>
      <c r="C8203" s="6">
        <v>710.0</v>
      </c>
      <c r="D8203" s="6">
        <v>5.0</v>
      </c>
      <c r="E8203" s="6">
        <v>1.0</v>
      </c>
    </row>
    <row r="8204">
      <c r="A8204" s="4" t="s">
        <v>16293</v>
      </c>
      <c r="B8204" s="5" t="s">
        <v>16294</v>
      </c>
      <c r="C8204" s="6">
        <v>710.0</v>
      </c>
      <c r="D8204" s="6">
        <v>4.118644068</v>
      </c>
      <c r="E8204" s="6">
        <v>59.0</v>
      </c>
    </row>
    <row r="8205">
      <c r="A8205" s="4" t="s">
        <v>5866</v>
      </c>
      <c r="B8205" s="5" t="s">
        <v>16295</v>
      </c>
      <c r="C8205" s="6">
        <v>710.0</v>
      </c>
      <c r="D8205" s="6">
        <v>2.75</v>
      </c>
      <c r="E8205" s="6">
        <v>8.0</v>
      </c>
    </row>
    <row r="8206">
      <c r="A8206" s="4" t="s">
        <v>16296</v>
      </c>
      <c r="B8206" s="5" t="s">
        <v>16297</v>
      </c>
      <c r="C8206" s="6">
        <v>709.0</v>
      </c>
      <c r="D8206" s="6">
        <v>4.7</v>
      </c>
      <c r="E8206" s="6">
        <v>20.0</v>
      </c>
    </row>
    <row r="8207">
      <c r="A8207" s="4" t="s">
        <v>16298</v>
      </c>
      <c r="B8207" s="5" t="s">
        <v>16299</v>
      </c>
      <c r="C8207" s="6">
        <v>709.0</v>
      </c>
      <c r="D8207" s="6">
        <v>4.555555556</v>
      </c>
      <c r="E8207" s="6">
        <v>9.0</v>
      </c>
    </row>
    <row r="8208">
      <c r="A8208" s="4" t="s">
        <v>16300</v>
      </c>
      <c r="B8208" s="5" t="s">
        <v>16301</v>
      </c>
      <c r="C8208" s="6">
        <v>709.0</v>
      </c>
      <c r="D8208" s="6">
        <v>5.0</v>
      </c>
      <c r="E8208" s="6">
        <v>6.0</v>
      </c>
    </row>
    <row r="8209">
      <c r="A8209" s="4" t="s">
        <v>16302</v>
      </c>
      <c r="B8209" s="5" t="s">
        <v>16303</v>
      </c>
      <c r="C8209" s="6">
        <v>709.0</v>
      </c>
      <c r="D8209" s="6">
        <v>4.625</v>
      </c>
      <c r="E8209" s="6">
        <v>8.0</v>
      </c>
    </row>
    <row r="8210">
      <c r="A8210" s="4" t="s">
        <v>16304</v>
      </c>
      <c r="B8210" s="5" t="s">
        <v>16305</v>
      </c>
      <c r="C8210" s="6">
        <v>709.0</v>
      </c>
      <c r="D8210" s="6">
        <v>3.666666667</v>
      </c>
      <c r="E8210" s="6">
        <v>3.0</v>
      </c>
    </row>
    <row r="8211">
      <c r="A8211" s="4" t="s">
        <v>16306</v>
      </c>
      <c r="B8211" s="5" t="s">
        <v>16307</v>
      </c>
      <c r="C8211" s="6">
        <v>709.0</v>
      </c>
      <c r="D8211" s="6">
        <v>3.578947368</v>
      </c>
      <c r="E8211" s="6">
        <v>19.0</v>
      </c>
    </row>
    <row r="8212">
      <c r="A8212" s="4" t="s">
        <v>16308</v>
      </c>
      <c r="B8212" s="5" t="s">
        <v>16309</v>
      </c>
      <c r="C8212" s="6">
        <v>708.0</v>
      </c>
      <c r="D8212" s="6">
        <v>4.0</v>
      </c>
      <c r="E8212" s="6">
        <v>4.0</v>
      </c>
    </row>
    <row r="8213">
      <c r="A8213" s="4" t="s">
        <v>16310</v>
      </c>
      <c r="B8213" s="5" t="s">
        <v>16311</v>
      </c>
      <c r="C8213" s="6">
        <v>708.0</v>
      </c>
      <c r="D8213" s="6">
        <v>4.823529412</v>
      </c>
      <c r="E8213" s="6">
        <v>51.0</v>
      </c>
    </row>
    <row r="8214">
      <c r="A8214" s="4" t="s">
        <v>16312</v>
      </c>
      <c r="B8214" s="5" t="s">
        <v>16313</v>
      </c>
      <c r="C8214" s="6">
        <v>708.0</v>
      </c>
      <c r="D8214" s="6">
        <v>3.666666667</v>
      </c>
      <c r="E8214" s="6">
        <v>3.0</v>
      </c>
    </row>
    <row r="8215">
      <c r="A8215" s="4" t="s">
        <v>16314</v>
      </c>
      <c r="B8215" s="5" t="s">
        <v>16315</v>
      </c>
      <c r="C8215" s="6">
        <v>708.0</v>
      </c>
      <c r="D8215" s="9"/>
      <c r="E8215" s="9"/>
    </row>
    <row r="8216">
      <c r="A8216" s="4" t="s">
        <v>16316</v>
      </c>
      <c r="B8216" s="5" t="s">
        <v>16317</v>
      </c>
      <c r="C8216" s="6">
        <v>708.0</v>
      </c>
      <c r="D8216" s="6">
        <v>4.965517241</v>
      </c>
      <c r="E8216" s="6">
        <v>29.0</v>
      </c>
    </row>
    <row r="8217">
      <c r="A8217" s="4" t="s">
        <v>16318</v>
      </c>
      <c r="B8217" s="5" t="s">
        <v>16319</v>
      </c>
      <c r="C8217" s="6">
        <v>708.0</v>
      </c>
      <c r="D8217" s="6">
        <v>4.695652174</v>
      </c>
      <c r="E8217" s="6">
        <v>23.0</v>
      </c>
    </row>
    <row r="8218">
      <c r="A8218" s="4" t="s">
        <v>16320</v>
      </c>
      <c r="B8218" s="5" t="s">
        <v>16321</v>
      </c>
      <c r="C8218" s="6">
        <v>708.0</v>
      </c>
      <c r="D8218" s="6">
        <v>4.382352941</v>
      </c>
      <c r="E8218" s="6">
        <v>34.0</v>
      </c>
    </row>
    <row r="8219">
      <c r="A8219" s="4" t="s">
        <v>16322</v>
      </c>
      <c r="B8219" s="5" t="s">
        <v>16323</v>
      </c>
      <c r="C8219" s="6">
        <v>708.0</v>
      </c>
      <c r="D8219" s="6">
        <v>4.75</v>
      </c>
      <c r="E8219" s="6">
        <v>8.0</v>
      </c>
    </row>
    <row r="8220">
      <c r="A8220" s="4" t="s">
        <v>16324</v>
      </c>
      <c r="B8220" s="5" t="s">
        <v>16325</v>
      </c>
      <c r="C8220" s="6">
        <v>708.0</v>
      </c>
      <c r="D8220" s="6">
        <v>4.852941176</v>
      </c>
      <c r="E8220" s="6">
        <v>34.0</v>
      </c>
    </row>
    <row r="8221">
      <c r="A8221" s="4" t="s">
        <v>16326</v>
      </c>
      <c r="B8221" s="5" t="s">
        <v>16327</v>
      </c>
      <c r="C8221" s="6">
        <v>708.0</v>
      </c>
      <c r="D8221" s="6">
        <v>4.1</v>
      </c>
      <c r="E8221" s="6">
        <v>10.0</v>
      </c>
    </row>
    <row r="8222">
      <c r="A8222" s="4" t="s">
        <v>16328</v>
      </c>
      <c r="B8222" s="5" t="s">
        <v>16329</v>
      </c>
      <c r="C8222" s="6">
        <v>707.0</v>
      </c>
      <c r="D8222" s="6">
        <v>4.142857143</v>
      </c>
      <c r="E8222" s="6">
        <v>14.0</v>
      </c>
    </row>
    <row r="8223">
      <c r="A8223" s="4" t="s">
        <v>16330</v>
      </c>
      <c r="B8223" s="5" t="s">
        <v>16331</v>
      </c>
      <c r="C8223" s="6">
        <v>707.0</v>
      </c>
      <c r="D8223" s="6">
        <v>4.0</v>
      </c>
      <c r="E8223" s="6">
        <v>4.0</v>
      </c>
    </row>
    <row r="8224">
      <c r="A8224" s="4" t="s">
        <v>16332</v>
      </c>
      <c r="B8224" s="5" t="s">
        <v>16333</v>
      </c>
      <c r="C8224" s="6">
        <v>707.0</v>
      </c>
      <c r="D8224" s="6">
        <v>1.583333333</v>
      </c>
      <c r="E8224" s="6">
        <v>12.0</v>
      </c>
    </row>
    <row r="8225">
      <c r="A8225" s="5" t="s">
        <v>16334</v>
      </c>
      <c r="B8225" s="5" t="s">
        <v>16335</v>
      </c>
      <c r="C8225" s="6">
        <v>707.0</v>
      </c>
      <c r="D8225" s="6">
        <v>4.0</v>
      </c>
      <c r="E8225" s="6">
        <v>3.0</v>
      </c>
    </row>
    <row r="8226">
      <c r="A8226" s="4" t="s">
        <v>16336</v>
      </c>
      <c r="B8226" s="5" t="s">
        <v>16337</v>
      </c>
      <c r="C8226" s="6">
        <v>707.0</v>
      </c>
      <c r="D8226" s="6">
        <v>5.0</v>
      </c>
      <c r="E8226" s="6">
        <v>2.0</v>
      </c>
    </row>
    <row r="8227">
      <c r="A8227" s="4" t="s">
        <v>16338</v>
      </c>
      <c r="B8227" s="5" t="s">
        <v>16339</v>
      </c>
      <c r="C8227" s="6">
        <v>707.0</v>
      </c>
      <c r="D8227" s="9"/>
      <c r="E8227" s="9"/>
    </row>
    <row r="8228">
      <c r="A8228" s="4" t="s">
        <v>16340</v>
      </c>
      <c r="B8228" s="5" t="s">
        <v>16341</v>
      </c>
      <c r="C8228" s="6">
        <v>706.0</v>
      </c>
      <c r="D8228" s="6">
        <v>5.0</v>
      </c>
      <c r="E8228" s="6">
        <v>6.0</v>
      </c>
    </row>
    <row r="8229">
      <c r="A8229" s="4" t="s">
        <v>16342</v>
      </c>
      <c r="B8229" s="5" t="s">
        <v>16343</v>
      </c>
      <c r="C8229" s="6">
        <v>706.0</v>
      </c>
      <c r="D8229" s="6">
        <v>3.5</v>
      </c>
      <c r="E8229" s="6">
        <v>4.0</v>
      </c>
    </row>
    <row r="8230">
      <c r="A8230" s="4" t="s">
        <v>16344</v>
      </c>
      <c r="B8230" s="5" t="s">
        <v>16345</v>
      </c>
      <c r="C8230" s="6">
        <v>706.0</v>
      </c>
      <c r="D8230" s="6">
        <v>4.933333333</v>
      </c>
      <c r="E8230" s="6">
        <v>15.0</v>
      </c>
    </row>
    <row r="8231">
      <c r="A8231" s="4" t="s">
        <v>16346</v>
      </c>
      <c r="B8231" s="5" t="s">
        <v>16347</v>
      </c>
      <c r="C8231" s="6">
        <v>706.0</v>
      </c>
      <c r="D8231" s="6">
        <v>4.454545455</v>
      </c>
      <c r="E8231" s="6">
        <v>11.0</v>
      </c>
    </row>
    <row r="8232">
      <c r="A8232" s="4" t="s">
        <v>16348</v>
      </c>
      <c r="B8232" s="5" t="s">
        <v>16349</v>
      </c>
      <c r="C8232" s="6">
        <v>705.0</v>
      </c>
      <c r="D8232" s="6">
        <v>4.333333333</v>
      </c>
      <c r="E8232" s="6">
        <v>3.0</v>
      </c>
    </row>
    <row r="8233">
      <c r="A8233" s="4" t="s">
        <v>16350</v>
      </c>
      <c r="B8233" s="5" t="s">
        <v>16351</v>
      </c>
      <c r="C8233" s="6">
        <v>705.0</v>
      </c>
      <c r="D8233" s="6">
        <v>3.444444444</v>
      </c>
      <c r="E8233" s="6">
        <v>9.0</v>
      </c>
    </row>
    <row r="8234">
      <c r="A8234" s="4" t="s">
        <v>16352</v>
      </c>
      <c r="B8234" s="5" t="s">
        <v>16353</v>
      </c>
      <c r="C8234" s="6">
        <v>705.0</v>
      </c>
      <c r="D8234" s="9"/>
      <c r="E8234" s="9"/>
    </row>
    <row r="8235">
      <c r="A8235" s="4" t="s">
        <v>16354</v>
      </c>
      <c r="B8235" s="5" t="s">
        <v>16355</v>
      </c>
      <c r="C8235" s="6">
        <v>705.0</v>
      </c>
      <c r="D8235" s="6">
        <v>4.25</v>
      </c>
      <c r="E8235" s="6">
        <v>8.0</v>
      </c>
    </row>
    <row r="8236">
      <c r="A8236" s="4" t="s">
        <v>16356</v>
      </c>
      <c r="B8236" s="5" t="s">
        <v>16357</v>
      </c>
      <c r="C8236" s="6">
        <v>705.0</v>
      </c>
      <c r="D8236" s="6">
        <v>4.25</v>
      </c>
      <c r="E8236" s="6">
        <v>4.0</v>
      </c>
    </row>
    <row r="8237">
      <c r="A8237" s="4" t="s">
        <v>16358</v>
      </c>
      <c r="B8237" s="5" t="s">
        <v>16359</v>
      </c>
      <c r="C8237" s="6">
        <v>705.0</v>
      </c>
      <c r="D8237" s="6">
        <v>4.272727273</v>
      </c>
      <c r="E8237" s="6">
        <v>22.0</v>
      </c>
    </row>
    <row r="8238">
      <c r="A8238" s="4" t="s">
        <v>16360</v>
      </c>
      <c r="B8238" s="5" t="s">
        <v>16361</v>
      </c>
      <c r="C8238" s="6">
        <v>704.0</v>
      </c>
      <c r="D8238" s="9"/>
      <c r="E8238" s="9"/>
    </row>
    <row r="8239">
      <c r="A8239" s="4" t="s">
        <v>16362</v>
      </c>
      <c r="B8239" s="5" t="s">
        <v>16363</v>
      </c>
      <c r="C8239" s="6">
        <v>704.0</v>
      </c>
      <c r="D8239" s="6">
        <v>4.0</v>
      </c>
      <c r="E8239" s="6">
        <v>3.0</v>
      </c>
    </row>
    <row r="8240">
      <c r="A8240" s="4" t="s">
        <v>16364</v>
      </c>
      <c r="B8240" s="5" t="s">
        <v>16365</v>
      </c>
      <c r="C8240" s="6">
        <v>704.0</v>
      </c>
      <c r="D8240" s="6">
        <v>4.0</v>
      </c>
      <c r="E8240" s="6">
        <v>2.0</v>
      </c>
    </row>
    <row r="8241">
      <c r="A8241" s="4" t="s">
        <v>16366</v>
      </c>
      <c r="B8241" s="5" t="s">
        <v>16367</v>
      </c>
      <c r="C8241" s="6">
        <v>703.0</v>
      </c>
      <c r="D8241" s="6">
        <v>3.909090909</v>
      </c>
      <c r="E8241" s="6">
        <v>11.0</v>
      </c>
    </row>
    <row r="8242">
      <c r="A8242" s="4" t="s">
        <v>16368</v>
      </c>
      <c r="B8242" s="5" t="s">
        <v>16369</v>
      </c>
      <c r="C8242" s="6">
        <v>703.0</v>
      </c>
      <c r="D8242" s="6">
        <v>4.916666667</v>
      </c>
      <c r="E8242" s="6">
        <v>12.0</v>
      </c>
    </row>
    <row r="8243">
      <c r="A8243" s="4" t="s">
        <v>16370</v>
      </c>
      <c r="B8243" s="5" t="s">
        <v>16371</v>
      </c>
      <c r="C8243" s="6">
        <v>703.0</v>
      </c>
      <c r="D8243" s="9"/>
      <c r="E8243" s="9"/>
    </row>
    <row r="8244">
      <c r="A8244" s="10" t="s">
        <v>16372</v>
      </c>
      <c r="B8244" s="5" t="s">
        <v>16373</v>
      </c>
      <c r="C8244" s="6">
        <v>703.0</v>
      </c>
      <c r="D8244" s="6">
        <v>5.0</v>
      </c>
      <c r="E8244" s="6">
        <v>11.0</v>
      </c>
    </row>
    <row r="8245">
      <c r="A8245" s="4" t="s">
        <v>16374</v>
      </c>
      <c r="B8245" s="5" t="s">
        <v>16375</v>
      </c>
      <c r="C8245" s="6">
        <v>703.0</v>
      </c>
      <c r="D8245" s="6">
        <v>4.142857143</v>
      </c>
      <c r="E8245" s="6">
        <v>7.0</v>
      </c>
    </row>
    <row r="8246">
      <c r="A8246" s="4" t="s">
        <v>16376</v>
      </c>
      <c r="B8246" s="5" t="s">
        <v>16377</v>
      </c>
      <c r="C8246" s="6">
        <v>703.0</v>
      </c>
      <c r="D8246" s="6">
        <v>4.5</v>
      </c>
      <c r="E8246" s="6">
        <v>4.0</v>
      </c>
    </row>
    <row r="8247">
      <c r="A8247" s="4" t="s">
        <v>16378</v>
      </c>
      <c r="B8247" s="5" t="s">
        <v>16379</v>
      </c>
      <c r="C8247" s="6">
        <v>703.0</v>
      </c>
      <c r="D8247" s="6">
        <v>5.0</v>
      </c>
      <c r="E8247" s="6">
        <v>6.0</v>
      </c>
    </row>
    <row r="8248">
      <c r="A8248" s="4" t="s">
        <v>16380</v>
      </c>
      <c r="B8248" s="5" t="s">
        <v>16381</v>
      </c>
      <c r="C8248" s="6">
        <v>703.0</v>
      </c>
      <c r="D8248" s="6">
        <v>1.0</v>
      </c>
      <c r="E8248" s="6">
        <v>1.0</v>
      </c>
    </row>
    <row r="8249">
      <c r="A8249" s="4" t="s">
        <v>16382</v>
      </c>
      <c r="B8249" s="5" t="s">
        <v>16383</v>
      </c>
      <c r="C8249" s="6">
        <v>703.0</v>
      </c>
      <c r="D8249" s="6">
        <v>4.5</v>
      </c>
      <c r="E8249" s="6">
        <v>2.0</v>
      </c>
    </row>
    <row r="8250">
      <c r="A8250" s="4" t="s">
        <v>16384</v>
      </c>
      <c r="B8250" s="5" t="s">
        <v>16385</v>
      </c>
      <c r="C8250" s="6">
        <v>702.0</v>
      </c>
      <c r="D8250" s="6">
        <v>2.9</v>
      </c>
      <c r="E8250" s="6">
        <v>40.0</v>
      </c>
    </row>
    <row r="8251">
      <c r="A8251" s="4" t="s">
        <v>16386</v>
      </c>
      <c r="B8251" s="5" t="s">
        <v>16387</v>
      </c>
      <c r="C8251" s="6">
        <v>702.0</v>
      </c>
      <c r="D8251" s="6">
        <v>3.37037037</v>
      </c>
      <c r="E8251" s="6">
        <v>27.0</v>
      </c>
    </row>
    <row r="8252">
      <c r="A8252" s="4" t="s">
        <v>16388</v>
      </c>
      <c r="B8252" s="5" t="s">
        <v>16389</v>
      </c>
      <c r="C8252" s="6">
        <v>702.0</v>
      </c>
      <c r="D8252" s="6">
        <v>4.2</v>
      </c>
      <c r="E8252" s="6">
        <v>10.0</v>
      </c>
    </row>
    <row r="8253">
      <c r="A8253" s="4" t="s">
        <v>16390</v>
      </c>
      <c r="B8253" s="5" t="s">
        <v>16391</v>
      </c>
      <c r="C8253" s="6">
        <v>701.0</v>
      </c>
      <c r="D8253" s="6">
        <v>3.75</v>
      </c>
      <c r="E8253" s="6">
        <v>8.0</v>
      </c>
    </row>
    <row r="8254">
      <c r="A8254" s="4" t="s">
        <v>16392</v>
      </c>
      <c r="B8254" s="5" t="s">
        <v>16393</v>
      </c>
      <c r="C8254" s="6">
        <v>701.0</v>
      </c>
      <c r="D8254" s="6">
        <v>3.904761905</v>
      </c>
      <c r="E8254" s="6">
        <v>21.0</v>
      </c>
    </row>
    <row r="8255">
      <c r="A8255" s="4" t="s">
        <v>16394</v>
      </c>
      <c r="B8255" s="5" t="s">
        <v>16395</v>
      </c>
      <c r="C8255" s="6">
        <v>701.0</v>
      </c>
      <c r="D8255" s="6">
        <v>3.5</v>
      </c>
      <c r="E8255" s="6">
        <v>6.0</v>
      </c>
    </row>
    <row r="8256">
      <c r="A8256" s="4" t="s">
        <v>16396</v>
      </c>
      <c r="B8256" s="5" t="s">
        <v>16397</v>
      </c>
      <c r="C8256" s="6">
        <v>701.0</v>
      </c>
      <c r="D8256" s="6">
        <v>4.8</v>
      </c>
      <c r="E8256" s="6">
        <v>5.0</v>
      </c>
    </row>
    <row r="8257">
      <c r="A8257" s="4" t="s">
        <v>16398</v>
      </c>
      <c r="B8257" s="5" t="s">
        <v>16399</v>
      </c>
      <c r="C8257" s="6">
        <v>701.0</v>
      </c>
      <c r="D8257" s="6">
        <v>4.0</v>
      </c>
      <c r="E8257" s="6">
        <v>4.0</v>
      </c>
    </row>
    <row r="8258">
      <c r="A8258" s="4" t="s">
        <v>16400</v>
      </c>
      <c r="B8258" s="5" t="s">
        <v>16401</v>
      </c>
      <c r="C8258" s="6">
        <v>700.0</v>
      </c>
      <c r="D8258" s="9"/>
      <c r="E8258" s="9"/>
    </row>
    <row r="8259">
      <c r="A8259" s="4" t="s">
        <v>16402</v>
      </c>
      <c r="B8259" s="5" t="s">
        <v>16403</v>
      </c>
      <c r="C8259" s="6">
        <v>700.0</v>
      </c>
      <c r="D8259" s="6">
        <v>5.0</v>
      </c>
      <c r="E8259" s="6">
        <v>6.0</v>
      </c>
    </row>
    <row r="8260">
      <c r="A8260" s="4" t="s">
        <v>16404</v>
      </c>
      <c r="B8260" s="5" t="s">
        <v>16405</v>
      </c>
      <c r="C8260" s="6">
        <v>700.0</v>
      </c>
      <c r="D8260" s="6">
        <v>5.0</v>
      </c>
      <c r="E8260" s="6">
        <v>3.0</v>
      </c>
    </row>
    <row r="8261">
      <c r="A8261" s="4" t="s">
        <v>16406</v>
      </c>
      <c r="B8261" s="5" t="s">
        <v>16407</v>
      </c>
      <c r="C8261" s="6">
        <v>700.0</v>
      </c>
      <c r="D8261" s="6">
        <v>4.375</v>
      </c>
      <c r="E8261" s="6">
        <v>8.0</v>
      </c>
    </row>
    <row r="8262">
      <c r="A8262" s="4" t="s">
        <v>16408</v>
      </c>
      <c r="B8262" s="5" t="s">
        <v>16409</v>
      </c>
      <c r="C8262" s="6">
        <v>700.0</v>
      </c>
      <c r="D8262" s="6">
        <v>5.0</v>
      </c>
      <c r="E8262" s="6">
        <v>5.0</v>
      </c>
    </row>
    <row r="8263">
      <c r="A8263" s="4" t="s">
        <v>16410</v>
      </c>
      <c r="B8263" s="5" t="s">
        <v>16411</v>
      </c>
      <c r="C8263" s="6">
        <v>699.0</v>
      </c>
      <c r="D8263" s="6">
        <v>3.5</v>
      </c>
      <c r="E8263" s="6">
        <v>10.0</v>
      </c>
    </row>
    <row r="8264">
      <c r="A8264" s="4" t="s">
        <v>16412</v>
      </c>
      <c r="B8264" s="5" t="s">
        <v>16413</v>
      </c>
      <c r="C8264" s="6">
        <v>699.0</v>
      </c>
      <c r="D8264" s="6">
        <v>4.958333333</v>
      </c>
      <c r="E8264" s="6">
        <v>24.0</v>
      </c>
    </row>
    <row r="8265">
      <c r="A8265" s="4" t="s">
        <v>16414</v>
      </c>
      <c r="B8265" s="5" t="s">
        <v>16415</v>
      </c>
      <c r="C8265" s="6">
        <v>699.0</v>
      </c>
      <c r="D8265" s="9"/>
      <c r="E8265" s="9"/>
    </row>
    <row r="8266">
      <c r="A8266" s="4" t="s">
        <v>16416</v>
      </c>
      <c r="B8266" s="5" t="s">
        <v>16417</v>
      </c>
      <c r="C8266" s="6">
        <v>699.0</v>
      </c>
      <c r="D8266" s="6">
        <v>4.714285714</v>
      </c>
      <c r="E8266" s="6">
        <v>7.0</v>
      </c>
    </row>
    <row r="8267">
      <c r="A8267" s="4" t="s">
        <v>16418</v>
      </c>
      <c r="B8267" s="5" t="s">
        <v>16419</v>
      </c>
      <c r="C8267" s="6">
        <v>698.0</v>
      </c>
      <c r="D8267" s="6">
        <v>4.6</v>
      </c>
      <c r="E8267" s="6">
        <v>11.0</v>
      </c>
    </row>
    <row r="8268">
      <c r="A8268" s="4" t="s">
        <v>16420</v>
      </c>
      <c r="B8268" s="5" t="s">
        <v>16421</v>
      </c>
      <c r="C8268" s="6">
        <v>698.0</v>
      </c>
      <c r="D8268" s="6">
        <v>4.0</v>
      </c>
      <c r="E8268" s="6">
        <v>3.0</v>
      </c>
    </row>
    <row r="8269">
      <c r="A8269" s="4" t="s">
        <v>16422</v>
      </c>
      <c r="B8269" s="5" t="s">
        <v>16423</v>
      </c>
      <c r="C8269" s="6">
        <v>698.0</v>
      </c>
      <c r="D8269" s="6">
        <v>5.0</v>
      </c>
      <c r="E8269" s="6">
        <v>2.0</v>
      </c>
    </row>
    <row r="8270">
      <c r="A8270" s="4" t="s">
        <v>16424</v>
      </c>
      <c r="B8270" s="5" t="s">
        <v>16425</v>
      </c>
      <c r="C8270" s="6">
        <v>698.0</v>
      </c>
      <c r="D8270" s="6">
        <v>5.0</v>
      </c>
      <c r="E8270" s="6">
        <v>2.0</v>
      </c>
    </row>
    <row r="8271">
      <c r="A8271" s="4" t="s">
        <v>16426</v>
      </c>
      <c r="B8271" s="5" t="s">
        <v>16427</v>
      </c>
      <c r="C8271" s="6">
        <v>698.0</v>
      </c>
      <c r="D8271" s="6">
        <v>4.777777778</v>
      </c>
      <c r="E8271" s="6">
        <v>9.0</v>
      </c>
    </row>
    <row r="8272">
      <c r="A8272" s="4" t="s">
        <v>16428</v>
      </c>
      <c r="B8272" s="5" t="s">
        <v>16429</v>
      </c>
      <c r="C8272" s="6">
        <v>698.0</v>
      </c>
      <c r="D8272" s="9"/>
      <c r="E8272" s="9"/>
    </row>
    <row r="8273">
      <c r="A8273" s="4" t="s">
        <v>16430</v>
      </c>
      <c r="B8273" s="5" t="s">
        <v>16431</v>
      </c>
      <c r="C8273" s="6">
        <v>698.0</v>
      </c>
      <c r="D8273" s="6">
        <v>4.727272727</v>
      </c>
      <c r="E8273" s="6">
        <v>11.0</v>
      </c>
    </row>
    <row r="8274">
      <c r="A8274" s="4" t="s">
        <v>16432</v>
      </c>
      <c r="B8274" s="5" t="s">
        <v>16433</v>
      </c>
      <c r="C8274" s="6">
        <v>697.0</v>
      </c>
      <c r="D8274" s="6">
        <v>4.238095238</v>
      </c>
      <c r="E8274" s="6">
        <v>21.0</v>
      </c>
    </row>
    <row r="8275">
      <c r="A8275" s="4" t="s">
        <v>16434</v>
      </c>
      <c r="B8275" s="5" t="s">
        <v>16435</v>
      </c>
      <c r="C8275" s="6">
        <v>697.0</v>
      </c>
      <c r="D8275" s="6">
        <v>5.0</v>
      </c>
      <c r="E8275" s="6">
        <v>8.0</v>
      </c>
    </row>
    <row r="8276">
      <c r="A8276" s="4" t="s">
        <v>16436</v>
      </c>
      <c r="B8276" s="5" t="s">
        <v>16437</v>
      </c>
      <c r="C8276" s="6">
        <v>697.0</v>
      </c>
      <c r="D8276" s="6">
        <v>4.571428571</v>
      </c>
      <c r="E8276" s="6">
        <v>7.0</v>
      </c>
    </row>
    <row r="8277">
      <c r="A8277" s="4" t="s">
        <v>16438</v>
      </c>
      <c r="B8277" s="5" t="s">
        <v>16439</v>
      </c>
      <c r="C8277" s="6">
        <v>696.0</v>
      </c>
      <c r="D8277" s="6">
        <v>4.0</v>
      </c>
      <c r="E8277" s="6">
        <v>7.0</v>
      </c>
    </row>
    <row r="8278">
      <c r="A8278" s="4" t="s">
        <v>16440</v>
      </c>
      <c r="B8278" s="5" t="s">
        <v>16441</v>
      </c>
      <c r="C8278" s="6">
        <v>696.0</v>
      </c>
      <c r="D8278" s="6">
        <v>4.307692308</v>
      </c>
      <c r="E8278" s="6">
        <v>26.0</v>
      </c>
    </row>
    <row r="8279">
      <c r="A8279" s="4" t="s">
        <v>16442</v>
      </c>
      <c r="B8279" s="5" t="s">
        <v>16443</v>
      </c>
      <c r="C8279" s="6">
        <v>696.0</v>
      </c>
      <c r="D8279" s="6">
        <v>5.0</v>
      </c>
      <c r="E8279" s="6">
        <v>4.0</v>
      </c>
    </row>
    <row r="8280">
      <c r="A8280" s="4" t="s">
        <v>16444</v>
      </c>
      <c r="B8280" s="5" t="s">
        <v>16445</v>
      </c>
      <c r="C8280" s="6">
        <v>695.0</v>
      </c>
      <c r="D8280" s="6">
        <v>2.875</v>
      </c>
      <c r="E8280" s="6">
        <v>8.0</v>
      </c>
    </row>
    <row r="8281">
      <c r="A8281" s="4" t="s">
        <v>16446</v>
      </c>
      <c r="B8281" s="5" t="s">
        <v>16447</v>
      </c>
      <c r="C8281" s="6">
        <v>695.0</v>
      </c>
      <c r="D8281" s="6">
        <v>5.0</v>
      </c>
      <c r="E8281" s="6">
        <v>9.0</v>
      </c>
    </row>
    <row r="8282">
      <c r="A8282" s="4" t="s">
        <v>16448</v>
      </c>
      <c r="B8282" s="5" t="s">
        <v>16449</v>
      </c>
      <c r="C8282" s="6">
        <v>695.0</v>
      </c>
      <c r="D8282" s="9"/>
      <c r="E8282" s="9"/>
    </row>
    <row r="8283">
      <c r="A8283" s="4" t="s">
        <v>16450</v>
      </c>
      <c r="B8283" s="5" t="s">
        <v>16451</v>
      </c>
      <c r="C8283" s="6">
        <v>695.0</v>
      </c>
      <c r="D8283" s="6">
        <v>3.166666667</v>
      </c>
      <c r="E8283" s="6">
        <v>6.0</v>
      </c>
    </row>
    <row r="8284">
      <c r="A8284" s="4" t="s">
        <v>16452</v>
      </c>
      <c r="B8284" s="5" t="s">
        <v>16453</v>
      </c>
      <c r="C8284" s="6">
        <v>695.0</v>
      </c>
      <c r="D8284" s="6">
        <v>4.916666667</v>
      </c>
      <c r="E8284" s="6">
        <v>12.0</v>
      </c>
    </row>
    <row r="8285">
      <c r="A8285" s="4" t="s">
        <v>16454</v>
      </c>
      <c r="B8285" s="5" t="s">
        <v>16455</v>
      </c>
      <c r="C8285" s="6">
        <v>695.0</v>
      </c>
      <c r="D8285" s="6">
        <v>4.0</v>
      </c>
      <c r="E8285" s="6">
        <v>4.0</v>
      </c>
    </row>
    <row r="8286">
      <c r="A8286" s="4" t="s">
        <v>16456</v>
      </c>
      <c r="B8286" s="5" t="s">
        <v>16457</v>
      </c>
      <c r="C8286" s="6">
        <v>694.0</v>
      </c>
      <c r="D8286" s="6">
        <v>3.0</v>
      </c>
      <c r="E8286" s="6">
        <v>4.0</v>
      </c>
    </row>
    <row r="8287">
      <c r="A8287" s="4" t="s">
        <v>16458</v>
      </c>
      <c r="B8287" s="5" t="s">
        <v>16459</v>
      </c>
      <c r="C8287" s="6">
        <v>694.0</v>
      </c>
      <c r="D8287" s="6">
        <v>1.9</v>
      </c>
      <c r="E8287" s="6">
        <v>10.0</v>
      </c>
    </row>
    <row r="8288">
      <c r="A8288" s="4" t="s">
        <v>16460</v>
      </c>
      <c r="B8288" s="5" t="s">
        <v>16461</v>
      </c>
      <c r="C8288" s="6">
        <v>694.0</v>
      </c>
      <c r="D8288" s="6">
        <v>5.0</v>
      </c>
      <c r="E8288" s="6">
        <v>8.0</v>
      </c>
    </row>
    <row r="8289">
      <c r="A8289" s="4" t="s">
        <v>16462</v>
      </c>
      <c r="B8289" s="5" t="s">
        <v>16463</v>
      </c>
      <c r="C8289" s="6">
        <v>694.0</v>
      </c>
      <c r="D8289" s="6">
        <v>5.0</v>
      </c>
      <c r="E8289" s="6">
        <v>11.0</v>
      </c>
    </row>
    <row r="8290">
      <c r="A8290" s="4" t="s">
        <v>16464</v>
      </c>
      <c r="B8290" s="5" t="s">
        <v>16465</v>
      </c>
      <c r="C8290" s="6">
        <v>693.0</v>
      </c>
      <c r="D8290" s="6">
        <v>4.0</v>
      </c>
      <c r="E8290" s="6">
        <v>25.0</v>
      </c>
    </row>
    <row r="8291">
      <c r="A8291" s="4" t="s">
        <v>16466</v>
      </c>
      <c r="B8291" s="5" t="s">
        <v>16467</v>
      </c>
      <c r="C8291" s="6">
        <v>693.0</v>
      </c>
      <c r="D8291" s="6">
        <v>4.384615385</v>
      </c>
      <c r="E8291" s="6">
        <v>13.0</v>
      </c>
    </row>
    <row r="8292">
      <c r="A8292" s="4" t="s">
        <v>16468</v>
      </c>
      <c r="B8292" s="5" t="s">
        <v>16469</v>
      </c>
      <c r="C8292" s="6">
        <v>693.0</v>
      </c>
      <c r="D8292" s="6">
        <v>3.857142857</v>
      </c>
      <c r="E8292" s="6">
        <v>7.0</v>
      </c>
    </row>
    <row r="8293">
      <c r="A8293" s="4" t="s">
        <v>16470</v>
      </c>
      <c r="B8293" s="5" t="s">
        <v>16471</v>
      </c>
      <c r="C8293" s="6">
        <v>693.0</v>
      </c>
      <c r="D8293" s="6">
        <v>5.0</v>
      </c>
      <c r="E8293" s="6">
        <v>5.0</v>
      </c>
    </row>
    <row r="8294">
      <c r="A8294" s="4" t="s">
        <v>16472</v>
      </c>
      <c r="B8294" s="5" t="s">
        <v>16473</v>
      </c>
      <c r="C8294" s="6">
        <v>693.0</v>
      </c>
      <c r="D8294" s="6">
        <v>5.0</v>
      </c>
      <c r="E8294" s="6">
        <v>1.0</v>
      </c>
    </row>
    <row r="8295">
      <c r="A8295" s="4" t="s">
        <v>16474</v>
      </c>
      <c r="B8295" s="5" t="s">
        <v>16475</v>
      </c>
      <c r="C8295" s="6">
        <v>693.0</v>
      </c>
      <c r="D8295" s="6">
        <v>5.0</v>
      </c>
      <c r="E8295" s="6">
        <v>7.0</v>
      </c>
    </row>
    <row r="8296">
      <c r="A8296" s="4" t="s">
        <v>16476</v>
      </c>
      <c r="B8296" s="5" t="s">
        <v>16477</v>
      </c>
      <c r="C8296" s="6">
        <v>693.0</v>
      </c>
      <c r="D8296" s="6">
        <v>4.736842105</v>
      </c>
      <c r="E8296" s="6">
        <v>19.0</v>
      </c>
    </row>
    <row r="8297">
      <c r="A8297" s="4" t="s">
        <v>16478</v>
      </c>
      <c r="B8297" s="5" t="s">
        <v>16479</v>
      </c>
      <c r="C8297" s="6">
        <v>693.0</v>
      </c>
      <c r="D8297" s="6">
        <v>5.0</v>
      </c>
      <c r="E8297" s="6">
        <v>4.0</v>
      </c>
    </row>
    <row r="8298">
      <c r="A8298" s="4" t="s">
        <v>16480</v>
      </c>
      <c r="B8298" s="5" t="s">
        <v>16481</v>
      </c>
      <c r="C8298" s="6">
        <v>693.0</v>
      </c>
      <c r="D8298" s="6">
        <v>3.5</v>
      </c>
      <c r="E8298" s="6">
        <v>6.0</v>
      </c>
    </row>
    <row r="8299">
      <c r="A8299" s="4" t="s">
        <v>16482</v>
      </c>
      <c r="B8299" s="5" t="s">
        <v>16483</v>
      </c>
      <c r="C8299" s="6">
        <v>692.0</v>
      </c>
      <c r="D8299" s="6">
        <v>4.6</v>
      </c>
      <c r="E8299" s="6">
        <v>5.0</v>
      </c>
    </row>
    <row r="8300">
      <c r="A8300" s="4" t="s">
        <v>16484</v>
      </c>
      <c r="B8300" s="5" t="s">
        <v>16485</v>
      </c>
      <c r="C8300" s="6">
        <v>692.0</v>
      </c>
      <c r="D8300" s="6">
        <v>5.0</v>
      </c>
      <c r="E8300" s="6">
        <v>1.0</v>
      </c>
    </row>
    <row r="8301">
      <c r="A8301" s="4" t="s">
        <v>16486</v>
      </c>
      <c r="B8301" s="5" t="s">
        <v>16487</v>
      </c>
      <c r="C8301" s="6">
        <v>692.0</v>
      </c>
      <c r="D8301" s="6">
        <v>4.0</v>
      </c>
      <c r="E8301" s="6">
        <v>1.0</v>
      </c>
    </row>
    <row r="8302">
      <c r="A8302" s="4" t="s">
        <v>16488</v>
      </c>
      <c r="B8302" s="5" t="s">
        <v>16489</v>
      </c>
      <c r="C8302" s="6">
        <v>692.0</v>
      </c>
      <c r="D8302" s="6">
        <v>3.6</v>
      </c>
      <c r="E8302" s="6">
        <v>15.0</v>
      </c>
    </row>
    <row r="8303">
      <c r="A8303" s="4" t="s">
        <v>16490</v>
      </c>
      <c r="B8303" s="5" t="s">
        <v>16491</v>
      </c>
      <c r="C8303" s="6">
        <v>692.0</v>
      </c>
      <c r="D8303" s="6">
        <v>4.428571429</v>
      </c>
      <c r="E8303" s="6">
        <v>7.0</v>
      </c>
    </row>
    <row r="8304">
      <c r="A8304" s="4" t="s">
        <v>16492</v>
      </c>
      <c r="B8304" s="5" t="s">
        <v>16493</v>
      </c>
      <c r="C8304" s="6">
        <v>692.0</v>
      </c>
      <c r="D8304" s="6">
        <v>3.866666667</v>
      </c>
      <c r="E8304" s="6">
        <v>15.0</v>
      </c>
    </row>
    <row r="8305">
      <c r="A8305" s="4" t="s">
        <v>16494</v>
      </c>
      <c r="B8305" s="5" t="s">
        <v>16495</v>
      </c>
      <c r="C8305" s="6">
        <v>692.0</v>
      </c>
      <c r="D8305" s="6">
        <v>3.8</v>
      </c>
      <c r="E8305" s="6">
        <v>5.0</v>
      </c>
    </row>
    <row r="8306">
      <c r="A8306" s="4" t="s">
        <v>16496</v>
      </c>
      <c r="B8306" s="5" t="s">
        <v>16497</v>
      </c>
      <c r="C8306" s="6">
        <v>692.0</v>
      </c>
      <c r="D8306" s="6">
        <v>3.888888889</v>
      </c>
      <c r="E8306" s="6">
        <v>18.0</v>
      </c>
    </row>
    <row r="8307">
      <c r="A8307" s="4" t="s">
        <v>16498</v>
      </c>
      <c r="B8307" s="5" t="s">
        <v>16499</v>
      </c>
      <c r="C8307" s="6">
        <v>692.0</v>
      </c>
      <c r="D8307" s="6">
        <v>3.272727273</v>
      </c>
      <c r="E8307" s="6">
        <v>11.0</v>
      </c>
    </row>
    <row r="8308">
      <c r="A8308" s="4" t="s">
        <v>16500</v>
      </c>
      <c r="B8308" s="5" t="s">
        <v>16501</v>
      </c>
      <c r="C8308" s="6">
        <v>692.0</v>
      </c>
      <c r="D8308" s="6">
        <v>4.571428571</v>
      </c>
      <c r="E8308" s="6">
        <v>7.0</v>
      </c>
    </row>
    <row r="8309">
      <c r="A8309" s="4" t="s">
        <v>16502</v>
      </c>
      <c r="B8309" s="5" t="s">
        <v>16503</v>
      </c>
      <c r="C8309" s="6">
        <v>692.0</v>
      </c>
      <c r="D8309" s="6">
        <v>5.0</v>
      </c>
      <c r="E8309" s="6">
        <v>2.0</v>
      </c>
    </row>
    <row r="8310">
      <c r="A8310" s="4" t="s">
        <v>16504</v>
      </c>
      <c r="B8310" s="5" t="s">
        <v>16505</v>
      </c>
      <c r="C8310" s="6">
        <v>691.0</v>
      </c>
      <c r="D8310" s="6">
        <v>5.0</v>
      </c>
      <c r="E8310" s="6">
        <v>7.0</v>
      </c>
    </row>
    <row r="8311">
      <c r="A8311" s="4" t="s">
        <v>16506</v>
      </c>
      <c r="B8311" s="5" t="s">
        <v>16507</v>
      </c>
      <c r="C8311" s="6">
        <v>691.0</v>
      </c>
      <c r="D8311" s="6">
        <v>5.0</v>
      </c>
      <c r="E8311" s="6">
        <v>6.0</v>
      </c>
    </row>
    <row r="8312">
      <c r="A8312" s="4" t="s">
        <v>16508</v>
      </c>
      <c r="B8312" s="5" t="s">
        <v>16509</v>
      </c>
      <c r="C8312" s="6">
        <v>691.0</v>
      </c>
      <c r="D8312" s="6">
        <v>1.0</v>
      </c>
      <c r="E8312" s="6">
        <v>2.0</v>
      </c>
    </row>
    <row r="8313">
      <c r="A8313" s="4" t="s">
        <v>16510</v>
      </c>
      <c r="B8313" s="5" t="s">
        <v>16511</v>
      </c>
      <c r="C8313" s="6">
        <v>691.0</v>
      </c>
      <c r="D8313" s="6">
        <v>5.0</v>
      </c>
      <c r="E8313" s="6">
        <v>4.0</v>
      </c>
    </row>
    <row r="8314">
      <c r="A8314" s="4" t="s">
        <v>16512</v>
      </c>
      <c r="B8314" s="5" t="s">
        <v>16513</v>
      </c>
      <c r="C8314" s="6">
        <v>691.0</v>
      </c>
      <c r="D8314" s="6">
        <v>2.481481481</v>
      </c>
      <c r="E8314" s="6">
        <v>27.0</v>
      </c>
    </row>
    <row r="8315">
      <c r="A8315" s="4" t="s">
        <v>16514</v>
      </c>
      <c r="B8315" s="5" t="s">
        <v>16515</v>
      </c>
      <c r="C8315" s="6">
        <v>691.0</v>
      </c>
      <c r="D8315" s="6">
        <v>2.333333333</v>
      </c>
      <c r="E8315" s="6">
        <v>3.0</v>
      </c>
    </row>
    <row r="8316">
      <c r="A8316" s="4" t="s">
        <v>16516</v>
      </c>
      <c r="B8316" s="5" t="s">
        <v>16517</v>
      </c>
      <c r="C8316" s="6">
        <v>691.0</v>
      </c>
      <c r="D8316" s="6">
        <v>3.5</v>
      </c>
      <c r="E8316" s="6">
        <v>2.0</v>
      </c>
    </row>
    <row r="8317">
      <c r="A8317" s="4" t="s">
        <v>16518</v>
      </c>
      <c r="B8317" s="5" t="s">
        <v>16519</v>
      </c>
      <c r="C8317" s="6">
        <v>690.0</v>
      </c>
      <c r="D8317" s="6">
        <v>4.6</v>
      </c>
      <c r="E8317" s="6">
        <v>5.0</v>
      </c>
    </row>
    <row r="8318">
      <c r="A8318" s="4" t="s">
        <v>16520</v>
      </c>
      <c r="B8318" s="5" t="s">
        <v>16521</v>
      </c>
      <c r="C8318" s="6">
        <v>690.0</v>
      </c>
      <c r="D8318" s="6">
        <v>2.588235294</v>
      </c>
      <c r="E8318" s="6">
        <v>17.0</v>
      </c>
    </row>
    <row r="8319">
      <c r="A8319" s="4" t="s">
        <v>16522</v>
      </c>
      <c r="B8319" s="5" t="s">
        <v>16523</v>
      </c>
      <c r="C8319" s="6">
        <v>690.0</v>
      </c>
      <c r="D8319" s="6">
        <v>5.0</v>
      </c>
      <c r="E8319" s="6">
        <v>1.0</v>
      </c>
    </row>
    <row r="8320">
      <c r="A8320" s="4" t="s">
        <v>2909</v>
      </c>
      <c r="B8320" s="5" t="s">
        <v>16524</v>
      </c>
      <c r="C8320" s="6">
        <v>690.0</v>
      </c>
      <c r="D8320" s="6">
        <v>4.25</v>
      </c>
      <c r="E8320" s="6">
        <v>4.0</v>
      </c>
    </row>
    <row r="8321">
      <c r="A8321" s="4" t="s">
        <v>16525</v>
      </c>
      <c r="B8321" s="5" t="s">
        <v>16526</v>
      </c>
      <c r="C8321" s="6">
        <v>690.0</v>
      </c>
      <c r="D8321" s="6">
        <v>2.333333333</v>
      </c>
      <c r="E8321" s="6">
        <v>9.0</v>
      </c>
    </row>
    <row r="8322">
      <c r="A8322" s="4" t="s">
        <v>16527</v>
      </c>
      <c r="B8322" s="5" t="s">
        <v>16528</v>
      </c>
      <c r="C8322" s="6">
        <v>689.0</v>
      </c>
      <c r="D8322" s="6">
        <v>1.8</v>
      </c>
      <c r="E8322" s="6">
        <v>5.0</v>
      </c>
    </row>
    <row r="8323">
      <c r="A8323" s="4" t="s">
        <v>16529</v>
      </c>
      <c r="B8323" s="5" t="s">
        <v>16530</v>
      </c>
      <c r="C8323" s="6">
        <v>689.0</v>
      </c>
      <c r="D8323" s="6">
        <v>3.5625</v>
      </c>
      <c r="E8323" s="6">
        <v>16.0</v>
      </c>
    </row>
    <row r="8324">
      <c r="A8324" s="4" t="s">
        <v>16531</v>
      </c>
      <c r="B8324" s="5" t="s">
        <v>16532</v>
      </c>
      <c r="C8324" s="6">
        <v>689.0</v>
      </c>
      <c r="D8324" s="6">
        <v>3.714285714</v>
      </c>
      <c r="E8324" s="6">
        <v>14.0</v>
      </c>
    </row>
    <row r="8325">
      <c r="A8325" s="4" t="s">
        <v>16533</v>
      </c>
      <c r="B8325" s="5" t="s">
        <v>16534</v>
      </c>
      <c r="C8325" s="6">
        <v>689.0</v>
      </c>
      <c r="D8325" s="9"/>
      <c r="E8325" s="9"/>
    </row>
    <row r="8326">
      <c r="A8326" s="4" t="s">
        <v>16535</v>
      </c>
      <c r="B8326" s="5" t="s">
        <v>16536</v>
      </c>
      <c r="C8326" s="6">
        <v>689.0</v>
      </c>
      <c r="D8326" s="6">
        <v>4.5</v>
      </c>
      <c r="E8326" s="6">
        <v>10.0</v>
      </c>
    </row>
    <row r="8327">
      <c r="A8327" s="4" t="s">
        <v>16537</v>
      </c>
      <c r="B8327" s="5" t="s">
        <v>16538</v>
      </c>
      <c r="C8327" s="6">
        <v>688.0</v>
      </c>
      <c r="D8327" s="6">
        <v>2.5</v>
      </c>
      <c r="E8327" s="6">
        <v>2.0</v>
      </c>
    </row>
    <row r="8328">
      <c r="A8328" s="4" t="s">
        <v>16539</v>
      </c>
      <c r="B8328" s="5" t="s">
        <v>16540</v>
      </c>
      <c r="C8328" s="6">
        <v>688.0</v>
      </c>
      <c r="D8328" s="6">
        <v>4.555555556</v>
      </c>
      <c r="E8328" s="6">
        <v>9.0</v>
      </c>
    </row>
    <row r="8329">
      <c r="A8329" s="4" t="s">
        <v>16541</v>
      </c>
      <c r="B8329" s="5" t="s">
        <v>16542</v>
      </c>
      <c r="C8329" s="6">
        <v>688.0</v>
      </c>
      <c r="D8329" s="9"/>
      <c r="E8329" s="9"/>
    </row>
    <row r="8330">
      <c r="A8330" s="4" t="s">
        <v>16543</v>
      </c>
      <c r="B8330" s="5" t="s">
        <v>16544</v>
      </c>
      <c r="C8330" s="6">
        <v>688.0</v>
      </c>
      <c r="D8330" s="6">
        <v>3.454545455</v>
      </c>
      <c r="E8330" s="6">
        <v>11.0</v>
      </c>
    </row>
    <row r="8331">
      <c r="A8331" s="4" t="s">
        <v>16545</v>
      </c>
      <c r="B8331" s="5" t="s">
        <v>16546</v>
      </c>
      <c r="C8331" s="6">
        <v>687.0</v>
      </c>
      <c r="D8331" s="6">
        <v>3.076923077</v>
      </c>
      <c r="E8331" s="6">
        <v>13.0</v>
      </c>
    </row>
    <row r="8332">
      <c r="A8332" s="4" t="s">
        <v>16547</v>
      </c>
      <c r="B8332" s="5" t="s">
        <v>16548</v>
      </c>
      <c r="C8332" s="6">
        <v>687.0</v>
      </c>
      <c r="D8332" s="6">
        <v>5.0</v>
      </c>
      <c r="E8332" s="6">
        <v>5.0</v>
      </c>
    </row>
    <row r="8333">
      <c r="A8333" s="4" t="s">
        <v>16549</v>
      </c>
      <c r="B8333" s="5" t="s">
        <v>16550</v>
      </c>
      <c r="C8333" s="6">
        <v>687.0</v>
      </c>
      <c r="D8333" s="6">
        <v>3.0</v>
      </c>
      <c r="E8333" s="6">
        <v>6.0</v>
      </c>
    </row>
    <row r="8334">
      <c r="A8334" s="4" t="s">
        <v>16551</v>
      </c>
      <c r="B8334" s="5" t="s">
        <v>16552</v>
      </c>
      <c r="C8334" s="6">
        <v>687.0</v>
      </c>
      <c r="D8334" s="6">
        <v>4.571428571</v>
      </c>
      <c r="E8334" s="6">
        <v>7.0</v>
      </c>
    </row>
    <row r="8335">
      <c r="A8335" s="4" t="s">
        <v>16553</v>
      </c>
      <c r="B8335" s="5" t="s">
        <v>16554</v>
      </c>
      <c r="C8335" s="6">
        <v>687.0</v>
      </c>
      <c r="D8335" s="6">
        <v>3.5</v>
      </c>
      <c r="E8335" s="6">
        <v>4.0</v>
      </c>
    </row>
    <row r="8336">
      <c r="A8336" s="4" t="s">
        <v>16555</v>
      </c>
      <c r="B8336" s="5" t="s">
        <v>16556</v>
      </c>
      <c r="C8336" s="6">
        <v>687.0</v>
      </c>
      <c r="D8336" s="6">
        <v>4.5</v>
      </c>
      <c r="E8336" s="6">
        <v>12.0</v>
      </c>
    </row>
    <row r="8337">
      <c r="A8337" s="4" t="s">
        <v>16557</v>
      </c>
      <c r="B8337" s="5" t="s">
        <v>16558</v>
      </c>
      <c r="C8337" s="6">
        <v>687.0</v>
      </c>
      <c r="D8337" s="6">
        <v>3.4</v>
      </c>
      <c r="E8337" s="6">
        <v>5.0</v>
      </c>
    </row>
    <row r="8338">
      <c r="A8338" s="4" t="s">
        <v>16559</v>
      </c>
      <c r="B8338" s="5" t="s">
        <v>16560</v>
      </c>
      <c r="C8338" s="6">
        <v>687.0</v>
      </c>
      <c r="D8338" s="9"/>
      <c r="E8338" s="9"/>
    </row>
    <row r="8339">
      <c r="A8339" s="4" t="s">
        <v>16561</v>
      </c>
      <c r="B8339" s="5" t="s">
        <v>16562</v>
      </c>
      <c r="C8339" s="6">
        <v>686.0</v>
      </c>
      <c r="D8339" s="6">
        <v>3.8</v>
      </c>
      <c r="E8339" s="6">
        <v>5.0</v>
      </c>
    </row>
    <row r="8340">
      <c r="A8340" s="4" t="s">
        <v>16563</v>
      </c>
      <c r="B8340" s="5" t="s">
        <v>16564</v>
      </c>
      <c r="C8340" s="6">
        <v>686.0</v>
      </c>
      <c r="D8340" s="6">
        <v>3.75</v>
      </c>
      <c r="E8340" s="6">
        <v>4.0</v>
      </c>
    </row>
    <row r="8341">
      <c r="A8341" s="4" t="s">
        <v>16565</v>
      </c>
      <c r="B8341" s="5" t="s">
        <v>16566</v>
      </c>
      <c r="C8341" s="6">
        <v>686.0</v>
      </c>
      <c r="D8341" s="9"/>
      <c r="E8341" s="9"/>
    </row>
    <row r="8342">
      <c r="A8342" s="4" t="s">
        <v>16567</v>
      </c>
      <c r="B8342" s="5" t="s">
        <v>16568</v>
      </c>
      <c r="C8342" s="6">
        <v>686.0</v>
      </c>
      <c r="D8342" s="6">
        <v>3.259259259</v>
      </c>
      <c r="E8342" s="6">
        <v>27.0</v>
      </c>
    </row>
    <row r="8343">
      <c r="A8343" s="4" t="s">
        <v>16569</v>
      </c>
      <c r="B8343" s="5" t="s">
        <v>16570</v>
      </c>
      <c r="C8343" s="6">
        <v>686.0</v>
      </c>
      <c r="D8343" s="6">
        <v>3.2</v>
      </c>
      <c r="E8343" s="6">
        <v>5.0</v>
      </c>
    </row>
    <row r="8344">
      <c r="A8344" s="4" t="s">
        <v>16571</v>
      </c>
      <c r="B8344" s="5" t="s">
        <v>16572</v>
      </c>
      <c r="C8344" s="6">
        <v>686.0</v>
      </c>
      <c r="D8344" s="9"/>
      <c r="E8344" s="9"/>
    </row>
    <row r="8345">
      <c r="A8345" s="4" t="s">
        <v>16573</v>
      </c>
      <c r="B8345" s="5" t="s">
        <v>16574</v>
      </c>
      <c r="C8345" s="6">
        <v>685.0</v>
      </c>
      <c r="D8345" s="6">
        <v>2.0</v>
      </c>
      <c r="E8345" s="6">
        <v>5.0</v>
      </c>
    </row>
    <row r="8346">
      <c r="A8346" s="4" t="s">
        <v>16575</v>
      </c>
      <c r="B8346" s="5" t="s">
        <v>16576</v>
      </c>
      <c r="C8346" s="6">
        <v>685.0</v>
      </c>
      <c r="D8346" s="6">
        <v>5.0</v>
      </c>
      <c r="E8346" s="6">
        <v>2.0</v>
      </c>
    </row>
    <row r="8347">
      <c r="A8347" s="4" t="s">
        <v>16577</v>
      </c>
      <c r="B8347" s="5" t="s">
        <v>16578</v>
      </c>
      <c r="C8347" s="6">
        <v>685.0</v>
      </c>
      <c r="D8347" s="6">
        <v>4.666666667</v>
      </c>
      <c r="E8347" s="6">
        <v>3.0</v>
      </c>
    </row>
    <row r="8348">
      <c r="A8348" s="4" t="s">
        <v>16579</v>
      </c>
      <c r="B8348" s="5" t="s">
        <v>16580</v>
      </c>
      <c r="C8348" s="6">
        <v>685.0</v>
      </c>
      <c r="D8348" s="6">
        <v>3.666666667</v>
      </c>
      <c r="E8348" s="6">
        <v>3.0</v>
      </c>
    </row>
    <row r="8349">
      <c r="A8349" s="4" t="s">
        <v>16581</v>
      </c>
      <c r="B8349" s="5" t="s">
        <v>16582</v>
      </c>
      <c r="C8349" s="6">
        <v>685.0</v>
      </c>
      <c r="D8349" s="6">
        <v>5.0</v>
      </c>
      <c r="E8349" s="6">
        <v>2.0</v>
      </c>
    </row>
    <row r="8350">
      <c r="A8350" s="4" t="s">
        <v>16583</v>
      </c>
      <c r="B8350" s="5" t="s">
        <v>16584</v>
      </c>
      <c r="C8350" s="6">
        <v>685.0</v>
      </c>
      <c r="D8350" s="6">
        <v>3.833333333</v>
      </c>
      <c r="E8350" s="6">
        <v>6.0</v>
      </c>
    </row>
    <row r="8351">
      <c r="A8351" s="4" t="s">
        <v>16585</v>
      </c>
      <c r="B8351" s="5" t="s">
        <v>16586</v>
      </c>
      <c r="C8351" s="6">
        <v>685.0</v>
      </c>
      <c r="D8351" s="6">
        <v>4.0</v>
      </c>
      <c r="E8351" s="6">
        <v>1.0</v>
      </c>
    </row>
    <row r="8352">
      <c r="A8352" s="4" t="s">
        <v>16587</v>
      </c>
      <c r="B8352" s="5" t="s">
        <v>16588</v>
      </c>
      <c r="C8352" s="6">
        <v>685.0</v>
      </c>
      <c r="D8352" s="6">
        <v>2.846153846</v>
      </c>
      <c r="E8352" s="6">
        <v>13.0</v>
      </c>
    </row>
    <row r="8353">
      <c r="A8353" s="4" t="s">
        <v>16589</v>
      </c>
      <c r="B8353" s="5" t="s">
        <v>16590</v>
      </c>
      <c r="C8353" s="6">
        <v>684.0</v>
      </c>
      <c r="D8353" s="6">
        <v>4.7</v>
      </c>
      <c r="E8353" s="6">
        <v>10.0</v>
      </c>
    </row>
    <row r="8354">
      <c r="A8354" s="4" t="s">
        <v>16591</v>
      </c>
      <c r="B8354" s="5" t="s">
        <v>16592</v>
      </c>
      <c r="C8354" s="6">
        <v>684.0</v>
      </c>
      <c r="D8354" s="6">
        <v>4.0</v>
      </c>
      <c r="E8354" s="6">
        <v>11.0</v>
      </c>
    </row>
    <row r="8355">
      <c r="A8355" s="4" t="s">
        <v>16593</v>
      </c>
      <c r="B8355" s="5" t="s">
        <v>16594</v>
      </c>
      <c r="C8355" s="6">
        <v>684.0</v>
      </c>
      <c r="D8355" s="6">
        <v>5.0</v>
      </c>
      <c r="E8355" s="6">
        <v>2.0</v>
      </c>
    </row>
    <row r="8356">
      <c r="A8356" s="4" t="s">
        <v>16595</v>
      </c>
      <c r="B8356" s="5" t="s">
        <v>16596</v>
      </c>
      <c r="C8356" s="6">
        <v>683.0</v>
      </c>
      <c r="D8356" s="9"/>
      <c r="E8356" s="9"/>
    </row>
    <row r="8357">
      <c r="A8357" s="4" t="s">
        <v>16597</v>
      </c>
      <c r="B8357" s="5" t="s">
        <v>16598</v>
      </c>
      <c r="C8357" s="6">
        <v>683.0</v>
      </c>
      <c r="D8357" s="6">
        <v>5.0</v>
      </c>
      <c r="E8357" s="6">
        <v>1.0</v>
      </c>
    </row>
    <row r="8358">
      <c r="A8358" s="4" t="s">
        <v>16599</v>
      </c>
      <c r="B8358" s="5" t="s">
        <v>16600</v>
      </c>
      <c r="C8358" s="6">
        <v>683.0</v>
      </c>
      <c r="D8358" s="6">
        <v>3.571428571</v>
      </c>
      <c r="E8358" s="6">
        <v>14.0</v>
      </c>
    </row>
    <row r="8359">
      <c r="A8359" s="4" t="s">
        <v>16601</v>
      </c>
      <c r="B8359" s="5" t="s">
        <v>16602</v>
      </c>
      <c r="C8359" s="6">
        <v>683.0</v>
      </c>
      <c r="D8359" s="6">
        <v>5.0</v>
      </c>
      <c r="E8359" s="6">
        <v>1.0</v>
      </c>
    </row>
    <row r="8360">
      <c r="A8360" s="4" t="s">
        <v>16603</v>
      </c>
      <c r="B8360" s="5" t="s">
        <v>16604</v>
      </c>
      <c r="C8360" s="6">
        <v>683.0</v>
      </c>
      <c r="D8360" s="6">
        <v>4.285714286</v>
      </c>
      <c r="E8360" s="6">
        <v>14.0</v>
      </c>
    </row>
    <row r="8361">
      <c r="A8361" s="4" t="s">
        <v>16605</v>
      </c>
      <c r="B8361" s="5" t="s">
        <v>16606</v>
      </c>
      <c r="C8361" s="6">
        <v>682.0</v>
      </c>
      <c r="D8361" s="6">
        <v>4.090909091</v>
      </c>
      <c r="E8361" s="6">
        <v>11.0</v>
      </c>
    </row>
    <row r="8362">
      <c r="A8362" s="4" t="s">
        <v>16607</v>
      </c>
      <c r="B8362" s="5" t="s">
        <v>16608</v>
      </c>
      <c r="C8362" s="6">
        <v>682.0</v>
      </c>
      <c r="D8362" s="6">
        <v>5.0</v>
      </c>
      <c r="E8362" s="6">
        <v>9.0</v>
      </c>
    </row>
    <row r="8363">
      <c r="A8363" s="4" t="s">
        <v>16609</v>
      </c>
      <c r="B8363" s="5" t="s">
        <v>16610</v>
      </c>
      <c r="C8363" s="6">
        <v>682.0</v>
      </c>
      <c r="D8363" s="6">
        <v>5.0</v>
      </c>
      <c r="E8363" s="6">
        <v>1.0</v>
      </c>
    </row>
    <row r="8364">
      <c r="A8364" s="4" t="s">
        <v>16611</v>
      </c>
      <c r="B8364" s="5" t="s">
        <v>16612</v>
      </c>
      <c r="C8364" s="6">
        <v>681.0</v>
      </c>
      <c r="D8364" s="6">
        <v>3.375</v>
      </c>
      <c r="E8364" s="6">
        <v>8.0</v>
      </c>
    </row>
    <row r="8365">
      <c r="A8365" s="4" t="s">
        <v>16613</v>
      </c>
      <c r="B8365" s="5" t="s">
        <v>16614</v>
      </c>
      <c r="C8365" s="6">
        <v>681.0</v>
      </c>
      <c r="D8365" s="6">
        <v>5.0</v>
      </c>
      <c r="E8365" s="6">
        <v>3.0</v>
      </c>
    </row>
    <row r="8366">
      <c r="A8366" s="4" t="s">
        <v>16615</v>
      </c>
      <c r="B8366" s="5" t="s">
        <v>16616</v>
      </c>
      <c r="C8366" s="6">
        <v>681.0</v>
      </c>
      <c r="D8366" s="6">
        <v>3.5</v>
      </c>
      <c r="E8366" s="6">
        <v>6.0</v>
      </c>
    </row>
    <row r="8367">
      <c r="A8367" s="4" t="s">
        <v>16617</v>
      </c>
      <c r="B8367" s="5" t="s">
        <v>16618</v>
      </c>
      <c r="C8367" s="6">
        <v>680.0</v>
      </c>
      <c r="D8367" s="6">
        <v>3.857142857</v>
      </c>
      <c r="E8367" s="6">
        <v>14.0</v>
      </c>
    </row>
    <row r="8368">
      <c r="A8368" s="4" t="s">
        <v>16619</v>
      </c>
      <c r="B8368" s="5" t="s">
        <v>16620</v>
      </c>
      <c r="C8368" s="6">
        <v>680.0</v>
      </c>
      <c r="D8368" s="6">
        <v>5.0</v>
      </c>
      <c r="E8368" s="6">
        <v>4.0</v>
      </c>
    </row>
    <row r="8369">
      <c r="A8369" s="4" t="s">
        <v>16621</v>
      </c>
      <c r="B8369" s="5" t="s">
        <v>16622</v>
      </c>
      <c r="C8369" s="6">
        <v>680.0</v>
      </c>
      <c r="D8369" s="6">
        <v>4.666666667</v>
      </c>
      <c r="E8369" s="6">
        <v>15.0</v>
      </c>
    </row>
    <row r="8370">
      <c r="A8370" s="4" t="s">
        <v>16623</v>
      </c>
      <c r="B8370" s="5" t="s">
        <v>16624</v>
      </c>
      <c r="C8370" s="6">
        <v>680.0</v>
      </c>
      <c r="D8370" s="6">
        <v>4.428571429</v>
      </c>
      <c r="E8370" s="6">
        <v>14.0</v>
      </c>
    </row>
    <row r="8371">
      <c r="A8371" s="4" t="s">
        <v>16625</v>
      </c>
      <c r="B8371" s="5" t="s">
        <v>16626</v>
      </c>
      <c r="C8371" s="6">
        <v>679.0</v>
      </c>
      <c r="D8371" s="6">
        <v>5.0</v>
      </c>
      <c r="E8371" s="6">
        <v>2.0</v>
      </c>
    </row>
    <row r="8372">
      <c r="A8372" s="4" t="s">
        <v>16627</v>
      </c>
      <c r="B8372" s="5" t="s">
        <v>16628</v>
      </c>
      <c r="C8372" s="6">
        <v>679.0</v>
      </c>
      <c r="D8372" s="6">
        <v>4.777777778</v>
      </c>
      <c r="E8372" s="6">
        <v>9.0</v>
      </c>
    </row>
    <row r="8373">
      <c r="A8373" s="4" t="s">
        <v>16629</v>
      </c>
      <c r="B8373" s="5" t="s">
        <v>16630</v>
      </c>
      <c r="C8373" s="6">
        <v>679.0</v>
      </c>
      <c r="D8373" s="6">
        <v>5.0</v>
      </c>
      <c r="E8373" s="6">
        <v>3.0</v>
      </c>
    </row>
    <row r="8374">
      <c r="A8374" s="4" t="s">
        <v>16631</v>
      </c>
      <c r="B8374" s="5" t="s">
        <v>16632</v>
      </c>
      <c r="C8374" s="6">
        <v>679.0</v>
      </c>
      <c r="D8374" s="6">
        <v>3.285714286</v>
      </c>
      <c r="E8374" s="6">
        <v>7.0</v>
      </c>
    </row>
    <row r="8375">
      <c r="A8375" s="4" t="s">
        <v>16633</v>
      </c>
      <c r="B8375" s="12" t="s">
        <v>16634</v>
      </c>
      <c r="C8375" s="6">
        <v>679.0</v>
      </c>
      <c r="D8375" s="6">
        <v>4.9</v>
      </c>
      <c r="E8375" s="6">
        <v>46.0</v>
      </c>
    </row>
    <row r="8376">
      <c r="A8376" s="4" t="s">
        <v>16635</v>
      </c>
      <c r="B8376" s="5" t="s">
        <v>16636</v>
      </c>
      <c r="C8376" s="6">
        <v>679.0</v>
      </c>
      <c r="D8376" s="6">
        <v>1.0</v>
      </c>
      <c r="E8376" s="6">
        <v>1.0</v>
      </c>
    </row>
    <row r="8377">
      <c r="A8377" s="4" t="s">
        <v>16637</v>
      </c>
      <c r="B8377" s="5" t="s">
        <v>16638</v>
      </c>
      <c r="C8377" s="6">
        <v>679.0</v>
      </c>
      <c r="D8377" s="6">
        <v>4.333333333</v>
      </c>
      <c r="E8377" s="6">
        <v>9.0</v>
      </c>
    </row>
    <row r="8378">
      <c r="A8378" s="4" t="s">
        <v>16639</v>
      </c>
      <c r="B8378" s="5" t="s">
        <v>16640</v>
      </c>
      <c r="C8378" s="6">
        <v>678.0</v>
      </c>
      <c r="D8378" s="6">
        <v>3.666666667</v>
      </c>
      <c r="E8378" s="6">
        <v>6.0</v>
      </c>
    </row>
    <row r="8379">
      <c r="A8379" s="4" t="s">
        <v>16641</v>
      </c>
      <c r="B8379" s="5" t="s">
        <v>16642</v>
      </c>
      <c r="C8379" s="6">
        <v>678.0</v>
      </c>
      <c r="D8379" s="6">
        <v>5.0</v>
      </c>
      <c r="E8379" s="6">
        <v>12.0</v>
      </c>
    </row>
    <row r="8380">
      <c r="A8380" s="4" t="s">
        <v>16643</v>
      </c>
      <c r="B8380" s="5" t="s">
        <v>16644</v>
      </c>
      <c r="C8380" s="6">
        <v>678.0</v>
      </c>
      <c r="D8380" s="6">
        <v>4.0</v>
      </c>
      <c r="E8380" s="6">
        <v>2.0</v>
      </c>
    </row>
    <row r="8381">
      <c r="A8381" s="4" t="s">
        <v>16645</v>
      </c>
      <c r="B8381" s="5" t="s">
        <v>16646</v>
      </c>
      <c r="C8381" s="6">
        <v>678.0</v>
      </c>
      <c r="D8381" s="6">
        <v>5.0</v>
      </c>
      <c r="E8381" s="6">
        <v>1.0</v>
      </c>
    </row>
    <row r="8382">
      <c r="A8382" s="4" t="s">
        <v>16647</v>
      </c>
      <c r="B8382" s="5" t="s">
        <v>16648</v>
      </c>
      <c r="C8382" s="6">
        <v>677.0</v>
      </c>
      <c r="D8382" s="6">
        <v>3.88</v>
      </c>
      <c r="E8382" s="6">
        <v>25.0</v>
      </c>
    </row>
    <row r="8383">
      <c r="A8383" s="4" t="s">
        <v>16649</v>
      </c>
      <c r="B8383" s="5" t="s">
        <v>16650</v>
      </c>
      <c r="C8383" s="6">
        <v>677.0</v>
      </c>
      <c r="D8383" s="6">
        <v>4.8125</v>
      </c>
      <c r="E8383" s="6">
        <v>16.0</v>
      </c>
    </row>
    <row r="8384">
      <c r="A8384" s="4" t="s">
        <v>16651</v>
      </c>
      <c r="B8384" s="5" t="s">
        <v>16652</v>
      </c>
      <c r="C8384" s="6">
        <v>677.0</v>
      </c>
      <c r="D8384" s="6">
        <v>4.2</v>
      </c>
      <c r="E8384" s="6">
        <v>10.0</v>
      </c>
    </row>
    <row r="8385">
      <c r="A8385" s="4" t="s">
        <v>16653</v>
      </c>
      <c r="B8385" s="5" t="s">
        <v>16654</v>
      </c>
      <c r="C8385" s="6">
        <v>677.0</v>
      </c>
      <c r="D8385" s="6">
        <v>3.0</v>
      </c>
      <c r="E8385" s="6">
        <v>2.0</v>
      </c>
    </row>
    <row r="8386">
      <c r="A8386" s="4" t="s">
        <v>16655</v>
      </c>
      <c r="B8386" s="5" t="s">
        <v>16656</v>
      </c>
      <c r="C8386" s="6">
        <v>677.0</v>
      </c>
      <c r="D8386" s="6">
        <v>5.0</v>
      </c>
      <c r="E8386" s="6">
        <v>2.0</v>
      </c>
    </row>
    <row r="8387">
      <c r="A8387" s="10" t="s">
        <v>16657</v>
      </c>
      <c r="B8387" s="5" t="s">
        <v>16658</v>
      </c>
      <c r="C8387" s="6">
        <v>676.0</v>
      </c>
      <c r="D8387" s="6">
        <v>4.833333333</v>
      </c>
      <c r="E8387" s="6">
        <v>6.0</v>
      </c>
    </row>
    <row r="8388">
      <c r="A8388" s="4" t="s">
        <v>16659</v>
      </c>
      <c r="B8388" s="5" t="s">
        <v>16660</v>
      </c>
      <c r="C8388" s="6">
        <v>676.0</v>
      </c>
      <c r="D8388" s="6">
        <v>3.6</v>
      </c>
      <c r="E8388" s="6">
        <v>10.0</v>
      </c>
    </row>
    <row r="8389">
      <c r="A8389" s="4" t="s">
        <v>16661</v>
      </c>
      <c r="B8389" s="5" t="s">
        <v>16662</v>
      </c>
      <c r="C8389" s="6">
        <v>676.0</v>
      </c>
      <c r="D8389" s="6">
        <v>4.558441558</v>
      </c>
      <c r="E8389" s="6">
        <v>77.0</v>
      </c>
    </row>
    <row r="8390">
      <c r="A8390" s="4" t="s">
        <v>16663</v>
      </c>
      <c r="B8390" s="5" t="s">
        <v>16664</v>
      </c>
      <c r="C8390" s="6">
        <v>676.0</v>
      </c>
      <c r="D8390" s="6">
        <v>4.6875</v>
      </c>
      <c r="E8390" s="6">
        <v>16.0</v>
      </c>
    </row>
    <row r="8391">
      <c r="A8391" s="4" t="s">
        <v>16665</v>
      </c>
      <c r="B8391" s="5" t="s">
        <v>16666</v>
      </c>
      <c r="C8391" s="6">
        <v>676.0</v>
      </c>
      <c r="D8391" s="6">
        <v>5.0</v>
      </c>
      <c r="E8391" s="6">
        <v>7.0</v>
      </c>
    </row>
    <row r="8392">
      <c r="A8392" s="4" t="s">
        <v>16667</v>
      </c>
      <c r="B8392" s="5" t="s">
        <v>16668</v>
      </c>
      <c r="C8392" s="6">
        <v>676.0</v>
      </c>
      <c r="D8392" s="6">
        <v>4.333333333</v>
      </c>
      <c r="E8392" s="6">
        <v>3.0</v>
      </c>
    </row>
    <row r="8393">
      <c r="A8393" s="4" t="s">
        <v>16669</v>
      </c>
      <c r="B8393" s="5" t="s">
        <v>16670</v>
      </c>
      <c r="C8393" s="6">
        <v>676.0</v>
      </c>
      <c r="D8393" s="6">
        <v>3.6</v>
      </c>
      <c r="E8393" s="6">
        <v>5.0</v>
      </c>
    </row>
    <row r="8394">
      <c r="A8394" s="4" t="s">
        <v>16671</v>
      </c>
      <c r="B8394" s="5" t="s">
        <v>16672</v>
      </c>
      <c r="C8394" s="6">
        <v>676.0</v>
      </c>
      <c r="D8394" s="6">
        <v>5.0</v>
      </c>
      <c r="E8394" s="6">
        <v>2.0</v>
      </c>
    </row>
    <row r="8395">
      <c r="A8395" s="4" t="s">
        <v>16673</v>
      </c>
      <c r="B8395" s="5" t="s">
        <v>16674</v>
      </c>
      <c r="C8395" s="6">
        <v>675.0</v>
      </c>
      <c r="D8395" s="6">
        <v>3.225806452</v>
      </c>
      <c r="E8395" s="6">
        <v>31.0</v>
      </c>
    </row>
    <row r="8396">
      <c r="A8396" s="4" t="s">
        <v>16675</v>
      </c>
      <c r="B8396" s="5" t="s">
        <v>16676</v>
      </c>
      <c r="C8396" s="6">
        <v>675.0</v>
      </c>
      <c r="D8396" s="6">
        <v>4.8</v>
      </c>
      <c r="E8396" s="6">
        <v>5.0</v>
      </c>
    </row>
    <row r="8397">
      <c r="A8397" s="10" t="s">
        <v>16677</v>
      </c>
      <c r="B8397" s="5" t="s">
        <v>16678</v>
      </c>
      <c r="C8397" s="6">
        <v>675.0</v>
      </c>
      <c r="D8397" s="6">
        <v>4.6</v>
      </c>
      <c r="E8397" s="6">
        <v>10.0</v>
      </c>
    </row>
    <row r="8398">
      <c r="A8398" s="4" t="s">
        <v>16679</v>
      </c>
      <c r="B8398" s="5" t="s">
        <v>16680</v>
      </c>
      <c r="C8398" s="6">
        <v>675.0</v>
      </c>
      <c r="D8398" s="6">
        <v>5.0</v>
      </c>
      <c r="E8398" s="6">
        <v>3.0</v>
      </c>
    </row>
    <row r="8399">
      <c r="A8399" s="4" t="s">
        <v>16681</v>
      </c>
      <c r="B8399" s="5" t="s">
        <v>16682</v>
      </c>
      <c r="C8399" s="6">
        <v>675.0</v>
      </c>
      <c r="D8399" s="6">
        <v>3.833333333</v>
      </c>
      <c r="E8399" s="6">
        <v>18.0</v>
      </c>
    </row>
    <row r="8400">
      <c r="A8400" s="4" t="s">
        <v>16683</v>
      </c>
      <c r="B8400" s="5" t="s">
        <v>16684</v>
      </c>
      <c r="C8400" s="6">
        <v>675.0</v>
      </c>
      <c r="D8400" s="6">
        <v>5.0</v>
      </c>
      <c r="E8400" s="6">
        <v>4.0</v>
      </c>
    </row>
    <row r="8401">
      <c r="A8401" s="4" t="s">
        <v>16685</v>
      </c>
      <c r="B8401" s="5" t="s">
        <v>16686</v>
      </c>
      <c r="C8401" s="6">
        <v>675.0</v>
      </c>
      <c r="D8401" s="6">
        <v>4.716981132</v>
      </c>
      <c r="E8401" s="6">
        <v>53.0</v>
      </c>
    </row>
    <row r="8402">
      <c r="A8402" s="4" t="s">
        <v>16687</v>
      </c>
      <c r="B8402" s="5" t="s">
        <v>16688</v>
      </c>
      <c r="C8402" s="6">
        <v>675.0</v>
      </c>
      <c r="D8402" s="6">
        <v>5.0</v>
      </c>
      <c r="E8402" s="6">
        <v>1.0</v>
      </c>
    </row>
    <row r="8403">
      <c r="A8403" s="4" t="s">
        <v>16689</v>
      </c>
      <c r="B8403" s="5" t="s">
        <v>16690</v>
      </c>
      <c r="C8403" s="6">
        <v>675.0</v>
      </c>
      <c r="D8403" s="6">
        <v>3.166666667</v>
      </c>
      <c r="E8403" s="6">
        <v>12.0</v>
      </c>
    </row>
    <row r="8404">
      <c r="A8404" s="4" t="s">
        <v>16691</v>
      </c>
      <c r="B8404" s="5" t="s">
        <v>16692</v>
      </c>
      <c r="C8404" s="6">
        <v>674.0</v>
      </c>
      <c r="D8404" s="6">
        <v>5.0</v>
      </c>
      <c r="E8404" s="6">
        <v>1.0</v>
      </c>
    </row>
    <row r="8405">
      <c r="A8405" s="4" t="s">
        <v>16693</v>
      </c>
      <c r="B8405" s="5" t="s">
        <v>16694</v>
      </c>
      <c r="C8405" s="6">
        <v>674.0</v>
      </c>
      <c r="D8405" s="6">
        <v>4.0</v>
      </c>
      <c r="E8405" s="6">
        <v>5.0</v>
      </c>
    </row>
    <row r="8406">
      <c r="A8406" s="4" t="s">
        <v>16695</v>
      </c>
      <c r="B8406" s="5" t="s">
        <v>16696</v>
      </c>
      <c r="C8406" s="6">
        <v>674.0</v>
      </c>
      <c r="D8406" s="6">
        <v>5.0</v>
      </c>
      <c r="E8406" s="6">
        <v>12.0</v>
      </c>
    </row>
    <row r="8407">
      <c r="A8407" s="4" t="s">
        <v>16697</v>
      </c>
      <c r="B8407" s="5" t="s">
        <v>16698</v>
      </c>
      <c r="C8407" s="6">
        <v>674.0</v>
      </c>
      <c r="D8407" s="6">
        <v>4.939393939</v>
      </c>
      <c r="E8407" s="6">
        <v>33.0</v>
      </c>
    </row>
    <row r="8408">
      <c r="A8408" s="4" t="s">
        <v>16699</v>
      </c>
      <c r="B8408" s="5" t="s">
        <v>16700</v>
      </c>
      <c r="C8408" s="6">
        <v>673.0</v>
      </c>
      <c r="D8408" s="6">
        <v>4.0</v>
      </c>
      <c r="E8408" s="6">
        <v>3.0</v>
      </c>
    </row>
    <row r="8409">
      <c r="A8409" s="4" t="s">
        <v>16701</v>
      </c>
      <c r="B8409" s="5" t="s">
        <v>16702</v>
      </c>
      <c r="C8409" s="6">
        <v>673.0</v>
      </c>
      <c r="D8409" s="6">
        <v>1.25</v>
      </c>
      <c r="E8409" s="6">
        <v>4.0</v>
      </c>
    </row>
    <row r="8410">
      <c r="A8410" s="4" t="s">
        <v>16703</v>
      </c>
      <c r="B8410" s="5" t="s">
        <v>16704</v>
      </c>
      <c r="C8410" s="6">
        <v>673.0</v>
      </c>
      <c r="D8410" s="6">
        <v>2.75</v>
      </c>
      <c r="E8410" s="6">
        <v>20.0</v>
      </c>
    </row>
    <row r="8411">
      <c r="A8411" s="4" t="s">
        <v>16705</v>
      </c>
      <c r="B8411" s="5" t="s">
        <v>16706</v>
      </c>
      <c r="C8411" s="6">
        <v>673.0</v>
      </c>
      <c r="D8411" s="6">
        <v>4.583333333</v>
      </c>
      <c r="E8411" s="6">
        <v>24.0</v>
      </c>
    </row>
    <row r="8412">
      <c r="A8412" s="4" t="s">
        <v>16707</v>
      </c>
      <c r="B8412" s="5" t="s">
        <v>16708</v>
      </c>
      <c r="C8412" s="6">
        <v>673.0</v>
      </c>
      <c r="D8412" s="6">
        <v>3.333333333</v>
      </c>
      <c r="E8412" s="6">
        <v>3.0</v>
      </c>
    </row>
    <row r="8413">
      <c r="A8413" s="4" t="s">
        <v>16709</v>
      </c>
      <c r="B8413" s="5" t="s">
        <v>16710</v>
      </c>
      <c r="C8413" s="6">
        <v>673.0</v>
      </c>
      <c r="D8413" s="6">
        <v>3.333333333</v>
      </c>
      <c r="E8413" s="6">
        <v>6.0</v>
      </c>
    </row>
    <row r="8414">
      <c r="A8414" s="4" t="s">
        <v>16711</v>
      </c>
      <c r="B8414" s="5" t="s">
        <v>16712</v>
      </c>
      <c r="C8414" s="6">
        <v>672.0</v>
      </c>
      <c r="D8414" s="6">
        <v>3.846153846</v>
      </c>
      <c r="E8414" s="6">
        <v>13.0</v>
      </c>
    </row>
    <row r="8415">
      <c r="A8415" s="4" t="s">
        <v>16713</v>
      </c>
      <c r="B8415" s="5" t="s">
        <v>16714</v>
      </c>
      <c r="C8415" s="6">
        <v>672.0</v>
      </c>
      <c r="D8415" s="6">
        <v>5.0</v>
      </c>
      <c r="E8415" s="6">
        <v>2.0</v>
      </c>
    </row>
    <row r="8416">
      <c r="A8416" s="4" t="s">
        <v>16715</v>
      </c>
      <c r="B8416" s="5" t="s">
        <v>16716</v>
      </c>
      <c r="C8416" s="6">
        <v>672.0</v>
      </c>
      <c r="D8416" s="6">
        <v>3.090909091</v>
      </c>
      <c r="E8416" s="6">
        <v>11.0</v>
      </c>
    </row>
    <row r="8417">
      <c r="A8417" s="4" t="s">
        <v>16717</v>
      </c>
      <c r="B8417" s="5" t="s">
        <v>16718</v>
      </c>
      <c r="C8417" s="6">
        <v>672.0</v>
      </c>
      <c r="D8417" s="6">
        <v>5.0</v>
      </c>
      <c r="E8417" s="6">
        <v>2.0</v>
      </c>
    </row>
    <row r="8418">
      <c r="A8418" s="4" t="s">
        <v>16719</v>
      </c>
      <c r="B8418" s="5" t="s">
        <v>16720</v>
      </c>
      <c r="C8418" s="6">
        <v>672.0</v>
      </c>
      <c r="D8418" s="9"/>
      <c r="E8418" s="9"/>
    </row>
    <row r="8419">
      <c r="A8419" s="4" t="s">
        <v>16721</v>
      </c>
      <c r="B8419" s="5" t="s">
        <v>16722</v>
      </c>
      <c r="C8419" s="6">
        <v>672.0</v>
      </c>
      <c r="D8419" s="6">
        <v>4.857142857</v>
      </c>
      <c r="E8419" s="6">
        <v>14.0</v>
      </c>
    </row>
    <row r="8420">
      <c r="A8420" s="4" t="s">
        <v>16723</v>
      </c>
      <c r="B8420" s="5" t="s">
        <v>16724</v>
      </c>
      <c r="C8420" s="6">
        <v>671.0</v>
      </c>
      <c r="D8420" s="6">
        <v>2.0</v>
      </c>
      <c r="E8420" s="6">
        <v>9.0</v>
      </c>
    </row>
    <row r="8421">
      <c r="A8421" s="4" t="s">
        <v>16725</v>
      </c>
      <c r="B8421" s="5" t="s">
        <v>16726</v>
      </c>
      <c r="C8421" s="6">
        <v>671.0</v>
      </c>
      <c r="D8421" s="6">
        <v>4.571428571</v>
      </c>
      <c r="E8421" s="6">
        <v>7.0</v>
      </c>
    </row>
    <row r="8422">
      <c r="A8422" s="4" t="s">
        <v>16727</v>
      </c>
      <c r="B8422" s="5" t="s">
        <v>16728</v>
      </c>
      <c r="C8422" s="6">
        <v>671.0</v>
      </c>
      <c r="D8422" s="6">
        <v>5.0</v>
      </c>
      <c r="E8422" s="6">
        <v>4.0</v>
      </c>
    </row>
    <row r="8423">
      <c r="A8423" s="4" t="s">
        <v>16729</v>
      </c>
      <c r="B8423" s="5" t="s">
        <v>16730</v>
      </c>
      <c r="C8423" s="6">
        <v>671.0</v>
      </c>
      <c r="D8423" s="6">
        <v>5.0</v>
      </c>
      <c r="E8423" s="6">
        <v>2.0</v>
      </c>
    </row>
    <row r="8424">
      <c r="A8424" s="4" t="s">
        <v>16731</v>
      </c>
      <c r="B8424" s="5" t="s">
        <v>16732</v>
      </c>
      <c r="C8424" s="6">
        <v>671.0</v>
      </c>
      <c r="D8424" s="6">
        <v>5.0</v>
      </c>
      <c r="E8424" s="6">
        <v>7.0</v>
      </c>
    </row>
    <row r="8425">
      <c r="A8425" s="4" t="s">
        <v>16733</v>
      </c>
      <c r="B8425" s="5" t="s">
        <v>16734</v>
      </c>
      <c r="C8425" s="6">
        <v>670.0</v>
      </c>
      <c r="D8425" s="6">
        <v>4.666666667</v>
      </c>
      <c r="E8425" s="6">
        <v>3.0</v>
      </c>
    </row>
    <row r="8426">
      <c r="A8426" s="4" t="s">
        <v>16735</v>
      </c>
      <c r="B8426" s="5" t="s">
        <v>16736</v>
      </c>
      <c r="C8426" s="6">
        <v>670.0</v>
      </c>
      <c r="D8426" s="6">
        <v>4.333333333</v>
      </c>
      <c r="E8426" s="6">
        <v>9.0</v>
      </c>
    </row>
    <row r="8427">
      <c r="A8427" s="4" t="s">
        <v>16737</v>
      </c>
      <c r="B8427" s="5" t="s">
        <v>16738</v>
      </c>
      <c r="C8427" s="6">
        <v>670.0</v>
      </c>
      <c r="D8427" s="6">
        <v>4.905405405</v>
      </c>
      <c r="E8427" s="6">
        <v>74.0</v>
      </c>
    </row>
    <row r="8428">
      <c r="A8428" s="4" t="s">
        <v>16739</v>
      </c>
      <c r="B8428" s="5" t="s">
        <v>16740</v>
      </c>
      <c r="C8428" s="6">
        <v>670.0</v>
      </c>
      <c r="D8428" s="9"/>
      <c r="E8428" s="9"/>
    </row>
    <row r="8429">
      <c r="A8429" s="4" t="s">
        <v>16741</v>
      </c>
      <c r="B8429" s="5" t="s">
        <v>16742</v>
      </c>
      <c r="C8429" s="6">
        <v>670.0</v>
      </c>
      <c r="D8429" s="6">
        <v>4.142857143</v>
      </c>
      <c r="E8429" s="6">
        <v>7.0</v>
      </c>
    </row>
    <row r="8430">
      <c r="A8430" s="4" t="s">
        <v>16743</v>
      </c>
      <c r="B8430" s="5" t="s">
        <v>16744</v>
      </c>
      <c r="C8430" s="6">
        <v>670.0</v>
      </c>
      <c r="D8430" s="6">
        <v>3.0</v>
      </c>
      <c r="E8430" s="6">
        <v>10.0</v>
      </c>
    </row>
    <row r="8431">
      <c r="A8431" s="4" t="s">
        <v>16745</v>
      </c>
      <c r="B8431" s="5" t="s">
        <v>16746</v>
      </c>
      <c r="C8431" s="6">
        <v>669.0</v>
      </c>
      <c r="D8431" s="6">
        <v>4.111111111</v>
      </c>
      <c r="E8431" s="6">
        <v>9.0</v>
      </c>
    </row>
    <row r="8432">
      <c r="A8432" s="4" t="s">
        <v>16747</v>
      </c>
      <c r="B8432" s="5" t="s">
        <v>16748</v>
      </c>
      <c r="C8432" s="6">
        <v>669.0</v>
      </c>
      <c r="D8432" s="6">
        <v>4.0</v>
      </c>
      <c r="E8432" s="6">
        <v>2.0</v>
      </c>
    </row>
    <row r="8433">
      <c r="A8433" s="4" t="s">
        <v>16749</v>
      </c>
      <c r="B8433" s="5" t="s">
        <v>16750</v>
      </c>
      <c r="C8433" s="6">
        <v>669.0</v>
      </c>
      <c r="D8433" s="6">
        <v>1.0</v>
      </c>
      <c r="E8433" s="6">
        <v>1.0</v>
      </c>
    </row>
    <row r="8434">
      <c r="A8434" s="4" t="s">
        <v>16751</v>
      </c>
      <c r="B8434" s="5" t="s">
        <v>16752</v>
      </c>
      <c r="C8434" s="6">
        <v>669.0</v>
      </c>
      <c r="D8434" s="6">
        <v>3.666666667</v>
      </c>
      <c r="E8434" s="6">
        <v>6.0</v>
      </c>
    </row>
    <row r="8435">
      <c r="A8435" s="4" t="s">
        <v>16753</v>
      </c>
      <c r="B8435" s="5" t="s">
        <v>16754</v>
      </c>
      <c r="C8435" s="6">
        <v>669.0</v>
      </c>
      <c r="D8435" s="6">
        <v>4.555555556</v>
      </c>
      <c r="E8435" s="6">
        <v>63.0</v>
      </c>
    </row>
    <row r="8436">
      <c r="A8436" s="4" t="s">
        <v>16755</v>
      </c>
      <c r="B8436" s="5" t="s">
        <v>16756</v>
      </c>
      <c r="C8436" s="6">
        <v>669.0</v>
      </c>
      <c r="D8436" s="6">
        <v>4.473684211</v>
      </c>
      <c r="E8436" s="6">
        <v>19.0</v>
      </c>
    </row>
    <row r="8437">
      <c r="A8437" s="4" t="s">
        <v>16757</v>
      </c>
      <c r="B8437" s="5" t="s">
        <v>16758</v>
      </c>
      <c r="C8437" s="6">
        <v>669.0</v>
      </c>
      <c r="D8437" s="9"/>
      <c r="E8437" s="9"/>
    </row>
    <row r="8438">
      <c r="A8438" s="4" t="s">
        <v>16759</v>
      </c>
      <c r="B8438" s="5" t="s">
        <v>16760</v>
      </c>
      <c r="C8438" s="6">
        <v>669.0</v>
      </c>
      <c r="D8438" s="6">
        <v>5.0</v>
      </c>
      <c r="E8438" s="6">
        <v>9.0</v>
      </c>
    </row>
    <row r="8439">
      <c r="A8439" s="4" t="s">
        <v>16761</v>
      </c>
      <c r="B8439" s="5" t="s">
        <v>16762</v>
      </c>
      <c r="C8439" s="6">
        <v>668.0</v>
      </c>
      <c r="D8439" s="6">
        <v>4.0</v>
      </c>
      <c r="E8439" s="6">
        <v>4.0</v>
      </c>
    </row>
    <row r="8440">
      <c r="A8440" s="4" t="s">
        <v>16763</v>
      </c>
      <c r="B8440" s="5" t="s">
        <v>16764</v>
      </c>
      <c r="C8440" s="6">
        <v>668.0</v>
      </c>
      <c r="D8440" s="6">
        <v>5.0</v>
      </c>
      <c r="E8440" s="6">
        <v>18.0</v>
      </c>
    </row>
    <row r="8441">
      <c r="A8441" s="4" t="s">
        <v>16765</v>
      </c>
      <c r="B8441" s="5" t="s">
        <v>16766</v>
      </c>
      <c r="C8441" s="6">
        <v>668.0</v>
      </c>
      <c r="D8441" s="6">
        <v>3.7</v>
      </c>
      <c r="E8441" s="6">
        <v>10.0</v>
      </c>
    </row>
    <row r="8442">
      <c r="A8442" s="4" t="s">
        <v>16767</v>
      </c>
      <c r="B8442" s="5" t="s">
        <v>16768</v>
      </c>
      <c r="C8442" s="6">
        <v>668.0</v>
      </c>
      <c r="D8442" s="6">
        <v>5.0</v>
      </c>
      <c r="E8442" s="6">
        <v>3.0</v>
      </c>
    </row>
    <row r="8443">
      <c r="A8443" s="4" t="s">
        <v>16769</v>
      </c>
      <c r="B8443" s="5" t="s">
        <v>16770</v>
      </c>
      <c r="C8443" s="6">
        <v>668.0</v>
      </c>
      <c r="D8443" s="6">
        <v>5.0</v>
      </c>
      <c r="E8443" s="6">
        <v>7.0</v>
      </c>
    </row>
    <row r="8444">
      <c r="A8444" s="4" t="s">
        <v>16771</v>
      </c>
      <c r="B8444" s="5" t="s">
        <v>16772</v>
      </c>
      <c r="C8444" s="6">
        <v>668.0</v>
      </c>
      <c r="D8444" s="6">
        <v>5.0</v>
      </c>
      <c r="E8444" s="6">
        <v>141.0</v>
      </c>
    </row>
    <row r="8445">
      <c r="A8445" s="4" t="s">
        <v>16773</v>
      </c>
      <c r="B8445" s="5" t="s">
        <v>16774</v>
      </c>
      <c r="C8445" s="6">
        <v>668.0</v>
      </c>
      <c r="D8445" s="6">
        <v>5.0</v>
      </c>
      <c r="E8445" s="6">
        <v>6.0</v>
      </c>
    </row>
    <row r="8446">
      <c r="A8446" s="4" t="s">
        <v>16775</v>
      </c>
      <c r="B8446" s="5" t="s">
        <v>16776</v>
      </c>
      <c r="C8446" s="6">
        <v>668.0</v>
      </c>
      <c r="D8446" s="6">
        <v>5.0</v>
      </c>
      <c r="E8446" s="6">
        <v>1.0</v>
      </c>
    </row>
    <row r="8447">
      <c r="A8447" s="4" t="s">
        <v>16777</v>
      </c>
      <c r="B8447" s="5" t="s">
        <v>16778</v>
      </c>
      <c r="C8447" s="6">
        <v>667.0</v>
      </c>
      <c r="D8447" s="6">
        <v>5.0</v>
      </c>
      <c r="E8447" s="6">
        <v>2.0</v>
      </c>
    </row>
    <row r="8448">
      <c r="A8448" s="4" t="s">
        <v>16779</v>
      </c>
      <c r="B8448" s="5" t="s">
        <v>16780</v>
      </c>
      <c r="C8448" s="6">
        <v>667.0</v>
      </c>
      <c r="D8448" s="6">
        <v>4.7</v>
      </c>
      <c r="E8448" s="6">
        <v>10.0</v>
      </c>
    </row>
    <row r="8449">
      <c r="A8449" s="4" t="s">
        <v>16781</v>
      </c>
      <c r="B8449" s="5" t="s">
        <v>16782</v>
      </c>
      <c r="C8449" s="6">
        <v>667.0</v>
      </c>
      <c r="D8449" s="6">
        <v>4.333333333</v>
      </c>
      <c r="E8449" s="6">
        <v>3.0</v>
      </c>
    </row>
    <row r="8450">
      <c r="A8450" s="4" t="s">
        <v>16783</v>
      </c>
      <c r="B8450" s="5" t="s">
        <v>16784</v>
      </c>
      <c r="C8450" s="6">
        <v>667.0</v>
      </c>
      <c r="D8450" s="6">
        <v>5.0</v>
      </c>
      <c r="E8450" s="6">
        <v>1.0</v>
      </c>
    </row>
    <row r="8451">
      <c r="A8451" s="4" t="s">
        <v>16785</v>
      </c>
      <c r="B8451" s="5" t="s">
        <v>16786</v>
      </c>
      <c r="C8451" s="6">
        <v>667.0</v>
      </c>
      <c r="D8451" s="6">
        <v>3.0</v>
      </c>
      <c r="E8451" s="6">
        <v>2.0</v>
      </c>
    </row>
    <row r="8452">
      <c r="A8452" s="4" t="s">
        <v>16787</v>
      </c>
      <c r="B8452" s="5" t="s">
        <v>16788</v>
      </c>
      <c r="C8452" s="6">
        <v>667.0</v>
      </c>
      <c r="D8452" s="6">
        <v>4.25</v>
      </c>
      <c r="E8452" s="6">
        <v>8.0</v>
      </c>
    </row>
    <row r="8453">
      <c r="A8453" s="4" t="s">
        <v>16789</v>
      </c>
      <c r="B8453" s="5" t="s">
        <v>16790</v>
      </c>
      <c r="C8453" s="6">
        <v>667.0</v>
      </c>
      <c r="D8453" s="6">
        <v>3.25</v>
      </c>
      <c r="E8453" s="6">
        <v>4.0</v>
      </c>
    </row>
    <row r="8454">
      <c r="A8454" s="4" t="s">
        <v>16791</v>
      </c>
      <c r="B8454" s="5" t="s">
        <v>16792</v>
      </c>
      <c r="C8454" s="6">
        <v>666.0</v>
      </c>
      <c r="D8454" s="6">
        <v>4.0</v>
      </c>
      <c r="E8454" s="6">
        <v>8.0</v>
      </c>
    </row>
    <row r="8455">
      <c r="A8455" s="4" t="s">
        <v>16793</v>
      </c>
      <c r="B8455" s="5" t="s">
        <v>16794</v>
      </c>
      <c r="C8455" s="6">
        <v>666.0</v>
      </c>
      <c r="D8455" s="6">
        <v>4.333333333</v>
      </c>
      <c r="E8455" s="6">
        <v>3.0</v>
      </c>
    </row>
    <row r="8456">
      <c r="A8456" s="4" t="s">
        <v>16795</v>
      </c>
      <c r="B8456" s="5" t="s">
        <v>16796</v>
      </c>
      <c r="C8456" s="6">
        <v>666.0</v>
      </c>
      <c r="D8456" s="6">
        <v>3.0</v>
      </c>
      <c r="E8456" s="6">
        <v>2.0</v>
      </c>
    </row>
    <row r="8457">
      <c r="A8457" s="4" t="s">
        <v>16797</v>
      </c>
      <c r="B8457" s="5" t="s">
        <v>16798</v>
      </c>
      <c r="C8457" s="6">
        <v>666.0</v>
      </c>
      <c r="D8457" s="6">
        <v>4.4</v>
      </c>
      <c r="E8457" s="6">
        <v>5.0</v>
      </c>
    </row>
    <row r="8458">
      <c r="A8458" s="4" t="s">
        <v>16799</v>
      </c>
      <c r="B8458" s="5" t="s">
        <v>16800</v>
      </c>
      <c r="C8458" s="6">
        <v>666.0</v>
      </c>
      <c r="D8458" s="6">
        <v>2.8125</v>
      </c>
      <c r="E8458" s="6">
        <v>16.0</v>
      </c>
    </row>
    <row r="8459">
      <c r="A8459" s="4" t="s">
        <v>16801</v>
      </c>
      <c r="B8459" s="5" t="s">
        <v>16802</v>
      </c>
      <c r="C8459" s="6">
        <v>666.0</v>
      </c>
      <c r="D8459" s="6">
        <v>5.0</v>
      </c>
      <c r="E8459" s="6">
        <v>7.0</v>
      </c>
    </row>
    <row r="8460">
      <c r="A8460" s="4" t="s">
        <v>16803</v>
      </c>
      <c r="B8460" s="5" t="s">
        <v>16804</v>
      </c>
      <c r="C8460" s="6">
        <v>666.0</v>
      </c>
      <c r="D8460" s="6">
        <v>3.5</v>
      </c>
      <c r="E8460" s="6">
        <v>4.0</v>
      </c>
    </row>
    <row r="8461">
      <c r="A8461" s="4" t="s">
        <v>16805</v>
      </c>
      <c r="B8461" s="5" t="s">
        <v>16806</v>
      </c>
      <c r="C8461" s="6">
        <v>665.0</v>
      </c>
      <c r="D8461" s="6">
        <v>5.0</v>
      </c>
      <c r="E8461" s="6">
        <v>4.0</v>
      </c>
    </row>
    <row r="8462">
      <c r="A8462" s="4" t="s">
        <v>16807</v>
      </c>
      <c r="B8462" s="5" t="s">
        <v>16808</v>
      </c>
      <c r="C8462" s="6">
        <v>665.0</v>
      </c>
      <c r="D8462" s="9"/>
      <c r="E8462" s="9"/>
    </row>
    <row r="8463">
      <c r="A8463" s="4" t="s">
        <v>16809</v>
      </c>
      <c r="B8463" s="5" t="s">
        <v>16810</v>
      </c>
      <c r="C8463" s="6">
        <v>665.0</v>
      </c>
      <c r="D8463" s="6">
        <v>5.0</v>
      </c>
      <c r="E8463" s="6">
        <v>2.0</v>
      </c>
    </row>
    <row r="8464">
      <c r="A8464" s="4" t="s">
        <v>16811</v>
      </c>
      <c r="B8464" s="5" t="s">
        <v>16812</v>
      </c>
      <c r="C8464" s="6">
        <v>665.0</v>
      </c>
      <c r="D8464" s="6">
        <v>3.166666667</v>
      </c>
      <c r="E8464" s="6">
        <v>6.0</v>
      </c>
    </row>
    <row r="8465">
      <c r="A8465" s="4" t="s">
        <v>16813</v>
      </c>
      <c r="B8465" s="5" t="s">
        <v>16814</v>
      </c>
      <c r="C8465" s="6">
        <v>665.0</v>
      </c>
      <c r="D8465" s="6">
        <v>5.0</v>
      </c>
      <c r="E8465" s="6">
        <v>3.0</v>
      </c>
    </row>
    <row r="8466">
      <c r="A8466" s="4" t="s">
        <v>431</v>
      </c>
      <c r="B8466" s="5" t="s">
        <v>16815</v>
      </c>
      <c r="C8466" s="6">
        <v>665.0</v>
      </c>
      <c r="D8466" s="6">
        <v>5.0</v>
      </c>
      <c r="E8466" s="6">
        <v>5.0</v>
      </c>
    </row>
    <row r="8467">
      <c r="A8467" s="4" t="s">
        <v>16816</v>
      </c>
      <c r="B8467" s="5" t="s">
        <v>16817</v>
      </c>
      <c r="C8467" s="6">
        <v>664.0</v>
      </c>
      <c r="D8467" s="6">
        <v>4.583333333</v>
      </c>
      <c r="E8467" s="6">
        <v>12.0</v>
      </c>
    </row>
    <row r="8468">
      <c r="A8468" s="4" t="s">
        <v>16818</v>
      </c>
      <c r="B8468" s="5" t="s">
        <v>16819</v>
      </c>
      <c r="C8468" s="6">
        <v>664.0</v>
      </c>
      <c r="D8468" s="6">
        <v>4.0</v>
      </c>
      <c r="E8468" s="6">
        <v>11.0</v>
      </c>
    </row>
    <row r="8469">
      <c r="A8469" s="4" t="s">
        <v>16820</v>
      </c>
      <c r="B8469" s="5" t="s">
        <v>16821</v>
      </c>
      <c r="C8469" s="6">
        <v>664.0</v>
      </c>
      <c r="D8469" s="6">
        <v>4.2</v>
      </c>
      <c r="E8469" s="6">
        <v>5.0</v>
      </c>
    </row>
    <row r="8470">
      <c r="A8470" s="4" t="s">
        <v>16822</v>
      </c>
      <c r="B8470" s="5" t="s">
        <v>16823</v>
      </c>
      <c r="C8470" s="6">
        <v>664.0</v>
      </c>
      <c r="D8470" s="6">
        <v>4.351351351</v>
      </c>
      <c r="E8470" s="6">
        <v>74.0</v>
      </c>
    </row>
    <row r="8471">
      <c r="A8471" s="4" t="s">
        <v>16824</v>
      </c>
      <c r="B8471" s="5" t="s">
        <v>16825</v>
      </c>
      <c r="C8471" s="6">
        <v>664.0</v>
      </c>
      <c r="D8471" s="6">
        <v>4.2</v>
      </c>
      <c r="E8471" s="6">
        <v>10.0</v>
      </c>
    </row>
    <row r="8472">
      <c r="A8472" s="4" t="s">
        <v>16826</v>
      </c>
      <c r="B8472" s="5" t="s">
        <v>16827</v>
      </c>
      <c r="C8472" s="6">
        <v>663.0</v>
      </c>
      <c r="D8472" s="6">
        <v>4.142857143</v>
      </c>
      <c r="E8472" s="6">
        <v>7.0</v>
      </c>
    </row>
    <row r="8473">
      <c r="A8473" s="4" t="s">
        <v>16828</v>
      </c>
      <c r="B8473" s="5" t="s">
        <v>16829</v>
      </c>
      <c r="C8473" s="6">
        <v>663.0</v>
      </c>
      <c r="D8473" s="6">
        <v>3.9</v>
      </c>
      <c r="E8473" s="6">
        <v>10.0</v>
      </c>
    </row>
    <row r="8474">
      <c r="A8474" s="4" t="s">
        <v>16830</v>
      </c>
      <c r="B8474" s="5" t="s">
        <v>16831</v>
      </c>
      <c r="C8474" s="6">
        <v>663.0</v>
      </c>
      <c r="D8474" s="6">
        <v>4.25</v>
      </c>
      <c r="E8474" s="6">
        <v>8.0</v>
      </c>
    </row>
    <row r="8475">
      <c r="A8475" s="4" t="s">
        <v>16832</v>
      </c>
      <c r="B8475" s="5" t="s">
        <v>16833</v>
      </c>
      <c r="C8475" s="6">
        <v>663.0</v>
      </c>
      <c r="D8475" s="6">
        <v>4.333333333</v>
      </c>
      <c r="E8475" s="6">
        <v>3.0</v>
      </c>
    </row>
    <row r="8476">
      <c r="A8476" s="4" t="s">
        <v>16834</v>
      </c>
      <c r="B8476" s="5" t="s">
        <v>16835</v>
      </c>
      <c r="C8476" s="6">
        <v>663.0</v>
      </c>
      <c r="D8476" s="6">
        <v>4.076923077</v>
      </c>
      <c r="E8476" s="6">
        <v>26.0</v>
      </c>
    </row>
    <row r="8477">
      <c r="A8477" s="4" t="s">
        <v>16836</v>
      </c>
      <c r="B8477" s="5" t="s">
        <v>16837</v>
      </c>
      <c r="C8477" s="6">
        <v>662.0</v>
      </c>
      <c r="D8477" s="6">
        <v>4.823529412</v>
      </c>
      <c r="E8477" s="6">
        <v>17.0</v>
      </c>
    </row>
    <row r="8478">
      <c r="A8478" s="4" t="s">
        <v>16838</v>
      </c>
      <c r="B8478" s="5" t="s">
        <v>16839</v>
      </c>
      <c r="C8478" s="6">
        <v>662.0</v>
      </c>
      <c r="D8478" s="6">
        <v>5.0</v>
      </c>
      <c r="E8478" s="6">
        <v>4.0</v>
      </c>
    </row>
    <row r="8479">
      <c r="A8479" s="4" t="s">
        <v>16840</v>
      </c>
      <c r="B8479" s="5" t="s">
        <v>16841</v>
      </c>
      <c r="C8479" s="6">
        <v>662.0</v>
      </c>
      <c r="D8479" s="6">
        <v>5.0</v>
      </c>
      <c r="E8479" s="6">
        <v>5.0</v>
      </c>
    </row>
    <row r="8480">
      <c r="A8480" s="4" t="s">
        <v>16842</v>
      </c>
      <c r="B8480" s="5" t="s">
        <v>16843</v>
      </c>
      <c r="C8480" s="6">
        <v>662.0</v>
      </c>
      <c r="D8480" s="6">
        <v>3.8125</v>
      </c>
      <c r="E8480" s="6">
        <v>16.0</v>
      </c>
    </row>
    <row r="8481">
      <c r="A8481" s="5" t="s">
        <v>16844</v>
      </c>
      <c r="B8481" s="5" t="s">
        <v>16845</v>
      </c>
      <c r="C8481" s="6">
        <v>662.0</v>
      </c>
      <c r="D8481" s="6">
        <v>5.0</v>
      </c>
      <c r="E8481" s="6">
        <v>4.0</v>
      </c>
    </row>
    <row r="8482">
      <c r="A8482" s="4" t="s">
        <v>16846</v>
      </c>
      <c r="B8482" s="5" t="s">
        <v>16847</v>
      </c>
      <c r="C8482" s="6">
        <v>661.0</v>
      </c>
      <c r="D8482" s="9"/>
      <c r="E8482" s="9"/>
    </row>
    <row r="8483">
      <c r="A8483" s="4" t="s">
        <v>16848</v>
      </c>
      <c r="B8483" s="5" t="s">
        <v>16849</v>
      </c>
      <c r="C8483" s="6">
        <v>661.0</v>
      </c>
      <c r="D8483" s="6">
        <v>4.454545455</v>
      </c>
      <c r="E8483" s="6">
        <v>11.0</v>
      </c>
    </row>
    <row r="8484">
      <c r="A8484" s="4" t="s">
        <v>16850</v>
      </c>
      <c r="B8484" s="5" t="s">
        <v>16851</v>
      </c>
      <c r="C8484" s="6">
        <v>661.0</v>
      </c>
      <c r="D8484" s="9"/>
      <c r="E8484" s="9"/>
    </row>
    <row r="8485">
      <c r="A8485" s="4" t="s">
        <v>16852</v>
      </c>
      <c r="B8485" s="5" t="s">
        <v>16853</v>
      </c>
      <c r="C8485" s="6">
        <v>661.0</v>
      </c>
      <c r="D8485" s="6">
        <v>5.0</v>
      </c>
      <c r="E8485" s="6">
        <v>4.0</v>
      </c>
    </row>
    <row r="8486">
      <c r="A8486" s="4" t="s">
        <v>16854</v>
      </c>
      <c r="B8486" s="5" t="s">
        <v>16855</v>
      </c>
      <c r="C8486" s="6">
        <v>661.0</v>
      </c>
      <c r="D8486" s="6">
        <v>4.0</v>
      </c>
      <c r="E8486" s="6">
        <v>1.0</v>
      </c>
    </row>
    <row r="8487">
      <c r="A8487" s="4" t="s">
        <v>16856</v>
      </c>
      <c r="B8487" s="5" t="s">
        <v>16857</v>
      </c>
      <c r="C8487" s="6">
        <v>661.0</v>
      </c>
      <c r="D8487" s="6">
        <v>5.0</v>
      </c>
      <c r="E8487" s="6">
        <v>3.0</v>
      </c>
    </row>
    <row r="8488">
      <c r="A8488" s="4" t="s">
        <v>16858</v>
      </c>
      <c r="B8488" s="5" t="s">
        <v>16859</v>
      </c>
      <c r="C8488" s="6">
        <v>661.0</v>
      </c>
      <c r="D8488" s="6">
        <v>4.923076923</v>
      </c>
      <c r="E8488" s="6">
        <v>13.0</v>
      </c>
    </row>
    <row r="8489">
      <c r="A8489" s="4" t="s">
        <v>16860</v>
      </c>
      <c r="B8489" s="5" t="s">
        <v>16861</v>
      </c>
      <c r="C8489" s="6">
        <v>661.0</v>
      </c>
      <c r="D8489" s="6">
        <v>3.0</v>
      </c>
      <c r="E8489" s="6">
        <v>2.0</v>
      </c>
    </row>
    <row r="8490">
      <c r="A8490" s="4" t="s">
        <v>16862</v>
      </c>
      <c r="B8490" s="5" t="s">
        <v>16863</v>
      </c>
      <c r="C8490" s="6">
        <v>661.0</v>
      </c>
      <c r="D8490" s="6">
        <v>4.25</v>
      </c>
      <c r="E8490" s="6">
        <v>8.0</v>
      </c>
    </row>
    <row r="8491">
      <c r="A8491" s="4" t="s">
        <v>16864</v>
      </c>
      <c r="B8491" s="5" t="s">
        <v>16865</v>
      </c>
      <c r="C8491" s="6">
        <v>661.0</v>
      </c>
      <c r="D8491" s="6">
        <v>2.555555556</v>
      </c>
      <c r="E8491" s="6">
        <v>18.0</v>
      </c>
    </row>
    <row r="8492">
      <c r="A8492" s="4" t="s">
        <v>16866</v>
      </c>
      <c r="B8492" s="5" t="s">
        <v>16867</v>
      </c>
      <c r="C8492" s="6">
        <v>661.0</v>
      </c>
      <c r="D8492" s="6">
        <v>3.583333333</v>
      </c>
      <c r="E8492" s="6">
        <v>12.0</v>
      </c>
    </row>
    <row r="8493">
      <c r="A8493" s="4" t="s">
        <v>16868</v>
      </c>
      <c r="B8493" s="5" t="s">
        <v>16869</v>
      </c>
      <c r="C8493" s="6">
        <v>660.0</v>
      </c>
      <c r="D8493" s="6">
        <v>2.545454545</v>
      </c>
      <c r="E8493" s="6">
        <v>11.0</v>
      </c>
    </row>
    <row r="8494">
      <c r="A8494" s="4" t="s">
        <v>16870</v>
      </c>
      <c r="B8494" s="5" t="s">
        <v>16871</v>
      </c>
      <c r="C8494" s="6">
        <v>660.0</v>
      </c>
      <c r="D8494" s="6">
        <v>4.166666667</v>
      </c>
      <c r="E8494" s="6">
        <v>6.0</v>
      </c>
    </row>
    <row r="8495">
      <c r="A8495" s="4" t="s">
        <v>16872</v>
      </c>
      <c r="B8495" s="5" t="s">
        <v>16873</v>
      </c>
      <c r="C8495" s="6">
        <v>660.0</v>
      </c>
      <c r="D8495" s="9"/>
      <c r="E8495" s="9"/>
    </row>
    <row r="8496">
      <c r="A8496" s="4" t="s">
        <v>16874</v>
      </c>
      <c r="B8496" s="5" t="s">
        <v>16875</v>
      </c>
      <c r="C8496" s="6">
        <v>660.0</v>
      </c>
      <c r="D8496" s="6">
        <v>4.333333333</v>
      </c>
      <c r="E8496" s="6">
        <v>6.0</v>
      </c>
    </row>
    <row r="8497">
      <c r="A8497" s="4" t="s">
        <v>16876</v>
      </c>
      <c r="B8497" s="5" t="s">
        <v>16877</v>
      </c>
      <c r="C8497" s="6">
        <v>660.0</v>
      </c>
      <c r="D8497" s="6">
        <v>4.0</v>
      </c>
      <c r="E8497" s="6">
        <v>7.0</v>
      </c>
    </row>
    <row r="8498">
      <c r="A8498" s="4" t="s">
        <v>16878</v>
      </c>
      <c r="B8498" s="5" t="s">
        <v>16879</v>
      </c>
      <c r="C8498" s="6">
        <v>660.0</v>
      </c>
      <c r="D8498" s="9"/>
      <c r="E8498" s="9"/>
    </row>
    <row r="8499">
      <c r="A8499" s="4" t="s">
        <v>16880</v>
      </c>
      <c r="B8499" s="5" t="s">
        <v>16881</v>
      </c>
      <c r="C8499" s="6">
        <v>660.0</v>
      </c>
      <c r="D8499" s="6">
        <v>3.5</v>
      </c>
      <c r="E8499" s="6">
        <v>6.0</v>
      </c>
    </row>
    <row r="8500">
      <c r="A8500" s="4" t="s">
        <v>16882</v>
      </c>
      <c r="B8500" s="5" t="s">
        <v>16883</v>
      </c>
      <c r="C8500" s="6">
        <v>660.0</v>
      </c>
      <c r="D8500" s="6">
        <v>3.8</v>
      </c>
      <c r="E8500" s="6">
        <v>10.0</v>
      </c>
    </row>
    <row r="8501">
      <c r="A8501" s="4" t="s">
        <v>16884</v>
      </c>
      <c r="B8501" s="5" t="s">
        <v>16885</v>
      </c>
      <c r="C8501" s="6">
        <v>660.0</v>
      </c>
      <c r="D8501" s="6">
        <v>3.8</v>
      </c>
      <c r="E8501" s="6">
        <v>5.0</v>
      </c>
    </row>
    <row r="8502">
      <c r="A8502" s="4" t="s">
        <v>16886</v>
      </c>
      <c r="B8502" s="5" t="s">
        <v>16887</v>
      </c>
      <c r="C8502" s="6">
        <v>660.0</v>
      </c>
      <c r="D8502" s="6">
        <v>4.5625</v>
      </c>
      <c r="E8502" s="6">
        <v>16.0</v>
      </c>
    </row>
    <row r="8503">
      <c r="A8503" s="4" t="s">
        <v>16888</v>
      </c>
      <c r="B8503" s="5" t="s">
        <v>16889</v>
      </c>
      <c r="C8503" s="6">
        <v>660.0</v>
      </c>
      <c r="D8503" s="6">
        <v>3.0</v>
      </c>
      <c r="E8503" s="6">
        <v>2.0</v>
      </c>
    </row>
    <row r="8504">
      <c r="A8504" s="4" t="s">
        <v>16890</v>
      </c>
      <c r="B8504" s="5" t="s">
        <v>16891</v>
      </c>
      <c r="C8504" s="6">
        <v>659.0</v>
      </c>
      <c r="D8504" s="6">
        <v>3.666666667</v>
      </c>
      <c r="E8504" s="6">
        <v>3.0</v>
      </c>
    </row>
    <row r="8505">
      <c r="A8505" s="4" t="s">
        <v>16892</v>
      </c>
      <c r="B8505" s="5" t="s">
        <v>16893</v>
      </c>
      <c r="C8505" s="6">
        <v>659.0</v>
      </c>
      <c r="D8505" s="6">
        <v>5.0</v>
      </c>
      <c r="E8505" s="6">
        <v>2.0</v>
      </c>
    </row>
    <row r="8506">
      <c r="A8506" s="4" t="s">
        <v>16894</v>
      </c>
      <c r="B8506" s="5" t="s">
        <v>16895</v>
      </c>
      <c r="C8506" s="6">
        <v>658.0</v>
      </c>
      <c r="D8506" s="6">
        <v>3.714285714</v>
      </c>
      <c r="E8506" s="6">
        <v>7.0</v>
      </c>
    </row>
    <row r="8507">
      <c r="A8507" s="4" t="s">
        <v>16896</v>
      </c>
      <c r="B8507" s="5" t="s">
        <v>16897</v>
      </c>
      <c r="C8507" s="6">
        <v>658.0</v>
      </c>
      <c r="D8507" s="6">
        <v>3.290322581</v>
      </c>
      <c r="E8507" s="6">
        <v>31.0</v>
      </c>
    </row>
    <row r="8508">
      <c r="A8508" s="4" t="s">
        <v>16898</v>
      </c>
      <c r="B8508" s="5" t="s">
        <v>16899</v>
      </c>
      <c r="C8508" s="6">
        <v>658.0</v>
      </c>
      <c r="D8508" s="6">
        <v>3.666666667</v>
      </c>
      <c r="E8508" s="6">
        <v>3.0</v>
      </c>
    </row>
    <row r="8509">
      <c r="A8509" s="4" t="s">
        <v>12227</v>
      </c>
      <c r="B8509" s="5" t="s">
        <v>16900</v>
      </c>
      <c r="C8509" s="6">
        <v>658.0</v>
      </c>
      <c r="D8509" s="6">
        <v>4.142857143</v>
      </c>
      <c r="E8509" s="6">
        <v>7.0</v>
      </c>
    </row>
    <row r="8510">
      <c r="A8510" s="4" t="s">
        <v>16901</v>
      </c>
      <c r="B8510" s="5" t="s">
        <v>16902</v>
      </c>
      <c r="C8510" s="6">
        <v>658.0</v>
      </c>
      <c r="D8510" s="6">
        <v>5.0</v>
      </c>
      <c r="E8510" s="6">
        <v>11.0</v>
      </c>
    </row>
    <row r="8511">
      <c r="A8511" s="4" t="s">
        <v>16903</v>
      </c>
      <c r="B8511" s="5" t="s">
        <v>16904</v>
      </c>
      <c r="C8511" s="6">
        <v>658.0</v>
      </c>
      <c r="D8511" s="6">
        <v>4.423423423</v>
      </c>
      <c r="E8511" s="6">
        <v>222.0</v>
      </c>
    </row>
    <row r="8512">
      <c r="A8512" s="4" t="s">
        <v>16905</v>
      </c>
      <c r="B8512" s="5" t="s">
        <v>16906</v>
      </c>
      <c r="C8512" s="6">
        <v>657.0</v>
      </c>
      <c r="D8512" s="6">
        <v>5.0</v>
      </c>
      <c r="E8512" s="6">
        <v>4.0</v>
      </c>
    </row>
    <row r="8513">
      <c r="A8513" s="4" t="s">
        <v>16907</v>
      </c>
      <c r="B8513" s="5" t="s">
        <v>16908</v>
      </c>
      <c r="C8513" s="6">
        <v>657.0</v>
      </c>
      <c r="D8513" s="6">
        <v>5.0</v>
      </c>
      <c r="E8513" s="6">
        <v>2.0</v>
      </c>
    </row>
    <row r="8514">
      <c r="A8514" s="4" t="s">
        <v>16909</v>
      </c>
      <c r="B8514" s="5" t="s">
        <v>16910</v>
      </c>
      <c r="C8514" s="6">
        <v>657.0</v>
      </c>
      <c r="D8514" s="6">
        <v>4.666666667</v>
      </c>
      <c r="E8514" s="6">
        <v>9.0</v>
      </c>
    </row>
    <row r="8515">
      <c r="A8515" s="4" t="s">
        <v>16911</v>
      </c>
      <c r="B8515" s="5" t="s">
        <v>16912</v>
      </c>
      <c r="C8515" s="6">
        <v>657.0</v>
      </c>
      <c r="D8515" s="6">
        <v>4.294117647</v>
      </c>
      <c r="E8515" s="6">
        <v>17.0</v>
      </c>
    </row>
    <row r="8516">
      <c r="A8516" s="4" t="s">
        <v>16913</v>
      </c>
      <c r="B8516" s="5" t="s">
        <v>16914</v>
      </c>
      <c r="C8516" s="6">
        <v>657.0</v>
      </c>
      <c r="D8516" s="6">
        <v>3.714285714</v>
      </c>
      <c r="E8516" s="6">
        <v>7.0</v>
      </c>
    </row>
    <row r="8517">
      <c r="A8517" s="4" t="s">
        <v>16915</v>
      </c>
      <c r="B8517" s="5" t="s">
        <v>16916</v>
      </c>
      <c r="C8517" s="6">
        <v>657.0</v>
      </c>
      <c r="D8517" s="6">
        <v>4.333333333</v>
      </c>
      <c r="E8517" s="6">
        <v>6.0</v>
      </c>
    </row>
    <row r="8518">
      <c r="A8518" s="4" t="s">
        <v>16917</v>
      </c>
      <c r="B8518" s="5" t="s">
        <v>16918</v>
      </c>
      <c r="C8518" s="6">
        <v>657.0</v>
      </c>
      <c r="D8518" s="6">
        <v>5.0</v>
      </c>
      <c r="E8518" s="6">
        <v>1.0</v>
      </c>
    </row>
    <row r="8519">
      <c r="A8519" s="4" t="s">
        <v>16919</v>
      </c>
      <c r="B8519" s="5" t="s">
        <v>16920</v>
      </c>
      <c r="C8519" s="6">
        <v>657.0</v>
      </c>
      <c r="D8519" s="6">
        <v>4.714285714</v>
      </c>
      <c r="E8519" s="6">
        <v>7.0</v>
      </c>
    </row>
    <row r="8520">
      <c r="A8520" s="4" t="s">
        <v>16921</v>
      </c>
      <c r="B8520" s="5" t="s">
        <v>16922</v>
      </c>
      <c r="C8520" s="6">
        <v>656.0</v>
      </c>
      <c r="D8520" s="9"/>
      <c r="E8520" s="9"/>
    </row>
    <row r="8521">
      <c r="A8521" s="4" t="s">
        <v>16923</v>
      </c>
      <c r="B8521" s="5" t="s">
        <v>16924</v>
      </c>
      <c r="C8521" s="6">
        <v>656.0</v>
      </c>
      <c r="D8521" s="6">
        <v>4.4375</v>
      </c>
      <c r="E8521" s="6">
        <v>16.0</v>
      </c>
    </row>
    <row r="8522">
      <c r="A8522" s="4" t="s">
        <v>16925</v>
      </c>
      <c r="B8522" s="5" t="s">
        <v>16926</v>
      </c>
      <c r="C8522" s="6">
        <v>656.0</v>
      </c>
      <c r="D8522" s="6">
        <v>3.727272727</v>
      </c>
      <c r="E8522" s="6">
        <v>11.0</v>
      </c>
    </row>
    <row r="8523">
      <c r="A8523" s="4" t="s">
        <v>16927</v>
      </c>
      <c r="B8523" s="5" t="s">
        <v>16928</v>
      </c>
      <c r="C8523" s="6">
        <v>656.0</v>
      </c>
      <c r="D8523" s="6">
        <v>2.285714286</v>
      </c>
      <c r="E8523" s="6">
        <v>7.0</v>
      </c>
    </row>
    <row r="8524">
      <c r="A8524" s="4" t="s">
        <v>16929</v>
      </c>
      <c r="B8524" s="5" t="s">
        <v>16930</v>
      </c>
      <c r="C8524" s="6">
        <v>656.0</v>
      </c>
      <c r="D8524" s="6">
        <v>4.852713178</v>
      </c>
      <c r="E8524" s="6">
        <v>129.0</v>
      </c>
    </row>
    <row r="8525">
      <c r="A8525" s="4" t="s">
        <v>16931</v>
      </c>
      <c r="B8525" s="5" t="s">
        <v>16932</v>
      </c>
      <c r="C8525" s="6">
        <v>656.0</v>
      </c>
      <c r="D8525" s="6">
        <v>4.541666667</v>
      </c>
      <c r="E8525" s="6">
        <v>24.0</v>
      </c>
    </row>
    <row r="8526">
      <c r="A8526" s="4" t="s">
        <v>16933</v>
      </c>
      <c r="B8526" s="5" t="s">
        <v>16934</v>
      </c>
      <c r="C8526" s="6">
        <v>656.0</v>
      </c>
      <c r="D8526" s="6">
        <v>4.714285714</v>
      </c>
      <c r="E8526" s="6">
        <v>35.0</v>
      </c>
    </row>
    <row r="8527">
      <c r="A8527" s="4" t="s">
        <v>16935</v>
      </c>
      <c r="B8527" s="5" t="s">
        <v>16936</v>
      </c>
      <c r="C8527" s="6">
        <v>656.0</v>
      </c>
      <c r="D8527" s="6">
        <v>4.375</v>
      </c>
      <c r="E8527" s="6">
        <v>8.0</v>
      </c>
    </row>
    <row r="8528">
      <c r="A8528" s="4" t="s">
        <v>16937</v>
      </c>
      <c r="B8528" s="5" t="s">
        <v>16938</v>
      </c>
      <c r="C8528" s="6">
        <v>656.0</v>
      </c>
      <c r="D8528" s="6">
        <v>3.666666667</v>
      </c>
      <c r="E8528" s="6">
        <v>3.0</v>
      </c>
    </row>
    <row r="8529">
      <c r="A8529" s="4" t="s">
        <v>16939</v>
      </c>
      <c r="B8529" s="5" t="s">
        <v>16940</v>
      </c>
      <c r="C8529" s="6">
        <v>655.0</v>
      </c>
      <c r="D8529" s="6">
        <v>4.714285714</v>
      </c>
      <c r="E8529" s="6">
        <v>7.0</v>
      </c>
    </row>
    <row r="8530">
      <c r="A8530" s="4" t="s">
        <v>16941</v>
      </c>
      <c r="B8530" s="5" t="s">
        <v>16942</v>
      </c>
      <c r="C8530" s="6">
        <v>655.0</v>
      </c>
      <c r="D8530" s="6">
        <v>1.5</v>
      </c>
      <c r="E8530" s="6">
        <v>6.0</v>
      </c>
    </row>
    <row r="8531">
      <c r="A8531" s="4" t="s">
        <v>16943</v>
      </c>
      <c r="B8531" s="5" t="s">
        <v>16944</v>
      </c>
      <c r="C8531" s="6">
        <v>655.0</v>
      </c>
      <c r="D8531" s="6">
        <v>5.0</v>
      </c>
      <c r="E8531" s="6">
        <v>1.0</v>
      </c>
    </row>
    <row r="8532">
      <c r="A8532" s="4" t="s">
        <v>16945</v>
      </c>
      <c r="B8532" s="5" t="s">
        <v>16946</v>
      </c>
      <c r="C8532" s="6">
        <v>654.0</v>
      </c>
      <c r="D8532" s="6">
        <v>1.857142857</v>
      </c>
      <c r="E8532" s="6">
        <v>7.0</v>
      </c>
    </row>
    <row r="8533">
      <c r="A8533" s="4" t="s">
        <v>16947</v>
      </c>
      <c r="B8533" s="5" t="s">
        <v>16948</v>
      </c>
      <c r="C8533" s="6">
        <v>654.0</v>
      </c>
      <c r="D8533" s="6">
        <v>3.227272727</v>
      </c>
      <c r="E8533" s="6">
        <v>22.0</v>
      </c>
    </row>
    <row r="8534">
      <c r="A8534" s="4" t="s">
        <v>16949</v>
      </c>
      <c r="B8534" s="5" t="s">
        <v>16950</v>
      </c>
      <c r="C8534" s="6">
        <v>654.0</v>
      </c>
      <c r="D8534" s="6">
        <v>5.0</v>
      </c>
      <c r="E8534" s="6">
        <v>14.0</v>
      </c>
    </row>
    <row r="8535">
      <c r="A8535" s="4" t="s">
        <v>16951</v>
      </c>
      <c r="B8535" s="5" t="s">
        <v>16952</v>
      </c>
      <c r="C8535" s="6">
        <v>654.0</v>
      </c>
      <c r="D8535" s="6">
        <v>4.85106383</v>
      </c>
      <c r="E8535" s="6">
        <v>47.0</v>
      </c>
    </row>
    <row r="8536">
      <c r="A8536" s="4" t="s">
        <v>16953</v>
      </c>
      <c r="B8536" s="5" t="s">
        <v>16954</v>
      </c>
      <c r="C8536" s="6">
        <v>654.0</v>
      </c>
      <c r="D8536" s="6">
        <v>4.615384615</v>
      </c>
      <c r="E8536" s="6">
        <v>13.0</v>
      </c>
    </row>
    <row r="8537">
      <c r="A8537" s="4" t="s">
        <v>16955</v>
      </c>
      <c r="B8537" s="5" t="s">
        <v>16956</v>
      </c>
      <c r="C8537" s="6">
        <v>654.0</v>
      </c>
      <c r="D8537" s="6">
        <v>3.7</v>
      </c>
      <c r="E8537" s="6">
        <v>10.0</v>
      </c>
    </row>
    <row r="8538">
      <c r="A8538" s="4" t="s">
        <v>16957</v>
      </c>
      <c r="B8538" s="5" t="s">
        <v>16958</v>
      </c>
      <c r="C8538" s="6">
        <v>654.0</v>
      </c>
      <c r="D8538" s="6">
        <v>5.0</v>
      </c>
      <c r="E8538" s="6">
        <v>3.0</v>
      </c>
    </row>
    <row r="8539">
      <c r="A8539" s="4" t="s">
        <v>16959</v>
      </c>
      <c r="B8539" s="5" t="s">
        <v>16960</v>
      </c>
      <c r="C8539" s="6">
        <v>653.0</v>
      </c>
      <c r="D8539" s="6">
        <v>4.891891892</v>
      </c>
      <c r="E8539" s="6">
        <v>37.0</v>
      </c>
    </row>
    <row r="8540">
      <c r="A8540" s="4" t="s">
        <v>16961</v>
      </c>
      <c r="B8540" s="5" t="s">
        <v>16962</v>
      </c>
      <c r="C8540" s="6">
        <v>653.0</v>
      </c>
      <c r="D8540" s="6">
        <v>5.0</v>
      </c>
      <c r="E8540" s="6">
        <v>7.0</v>
      </c>
    </row>
    <row r="8541">
      <c r="A8541" s="4" t="s">
        <v>16963</v>
      </c>
      <c r="B8541" s="5" t="s">
        <v>16964</v>
      </c>
      <c r="C8541" s="6">
        <v>653.0</v>
      </c>
      <c r="D8541" s="6">
        <v>4.727272727</v>
      </c>
      <c r="E8541" s="6">
        <v>11.0</v>
      </c>
    </row>
    <row r="8542">
      <c r="A8542" s="4" t="s">
        <v>16965</v>
      </c>
      <c r="B8542" s="5" t="s">
        <v>16966</v>
      </c>
      <c r="C8542" s="6">
        <v>653.0</v>
      </c>
      <c r="D8542" s="6">
        <v>5.0</v>
      </c>
      <c r="E8542" s="6">
        <v>1.0</v>
      </c>
    </row>
    <row r="8543">
      <c r="A8543" s="4" t="s">
        <v>16967</v>
      </c>
      <c r="B8543" s="5" t="s">
        <v>16968</v>
      </c>
      <c r="C8543" s="6">
        <v>653.0</v>
      </c>
      <c r="D8543" s="6">
        <v>4.0</v>
      </c>
      <c r="E8543" s="6">
        <v>8.0</v>
      </c>
    </row>
    <row r="8544">
      <c r="A8544" s="4" t="s">
        <v>16969</v>
      </c>
      <c r="B8544" s="5" t="s">
        <v>16970</v>
      </c>
      <c r="C8544" s="6">
        <v>653.0</v>
      </c>
      <c r="D8544" s="6">
        <v>4.8</v>
      </c>
      <c r="E8544" s="6">
        <v>5.0</v>
      </c>
    </row>
    <row r="8545">
      <c r="A8545" s="4" t="s">
        <v>16971</v>
      </c>
      <c r="B8545" s="5" t="s">
        <v>16972</v>
      </c>
      <c r="C8545" s="6">
        <v>653.0</v>
      </c>
      <c r="D8545" s="6">
        <v>2.5</v>
      </c>
      <c r="E8545" s="6">
        <v>6.0</v>
      </c>
    </row>
    <row r="8546">
      <c r="A8546" s="4" t="s">
        <v>16973</v>
      </c>
      <c r="B8546" s="5" t="s">
        <v>16974</v>
      </c>
      <c r="C8546" s="6">
        <v>653.0</v>
      </c>
      <c r="D8546" s="6">
        <v>4.642857143</v>
      </c>
      <c r="E8546" s="6">
        <v>14.0</v>
      </c>
    </row>
    <row r="8547">
      <c r="A8547" s="4" t="s">
        <v>16975</v>
      </c>
      <c r="B8547" s="5" t="s">
        <v>16976</v>
      </c>
      <c r="C8547" s="6">
        <v>653.0</v>
      </c>
      <c r="D8547" s="9"/>
      <c r="E8547" s="9"/>
    </row>
    <row r="8548">
      <c r="A8548" s="4" t="s">
        <v>16977</v>
      </c>
      <c r="B8548" s="5" t="s">
        <v>16978</v>
      </c>
      <c r="C8548" s="6">
        <v>653.0</v>
      </c>
      <c r="D8548" s="9"/>
      <c r="E8548" s="9"/>
    </row>
    <row r="8549">
      <c r="A8549" s="4" t="s">
        <v>16979</v>
      </c>
      <c r="B8549" s="5" t="s">
        <v>16980</v>
      </c>
      <c r="C8549" s="6">
        <v>653.0</v>
      </c>
      <c r="D8549" s="6">
        <v>4.6</v>
      </c>
      <c r="E8549" s="6">
        <v>5.0</v>
      </c>
    </row>
    <row r="8550">
      <c r="A8550" s="4" t="s">
        <v>16981</v>
      </c>
      <c r="B8550" s="5" t="s">
        <v>16982</v>
      </c>
      <c r="C8550" s="6">
        <v>652.0</v>
      </c>
      <c r="D8550" s="6">
        <v>5.0</v>
      </c>
      <c r="E8550" s="6">
        <v>2.0</v>
      </c>
    </row>
    <row r="8551">
      <c r="A8551" s="4" t="s">
        <v>16983</v>
      </c>
      <c r="B8551" s="5" t="s">
        <v>16984</v>
      </c>
      <c r="C8551" s="6">
        <v>652.0</v>
      </c>
      <c r="D8551" s="6">
        <v>5.0</v>
      </c>
      <c r="E8551" s="6">
        <v>2.0</v>
      </c>
    </row>
    <row r="8552">
      <c r="A8552" s="4" t="s">
        <v>16985</v>
      </c>
      <c r="B8552" s="5" t="s">
        <v>16986</v>
      </c>
      <c r="C8552" s="6">
        <v>651.0</v>
      </c>
      <c r="D8552" s="6">
        <v>4.0</v>
      </c>
      <c r="E8552" s="6">
        <v>9.0</v>
      </c>
    </row>
    <row r="8553">
      <c r="A8553" s="4" t="s">
        <v>16987</v>
      </c>
      <c r="B8553" s="5" t="s">
        <v>16988</v>
      </c>
      <c r="C8553" s="6">
        <v>651.0</v>
      </c>
      <c r="D8553" s="6">
        <v>5.0</v>
      </c>
      <c r="E8553" s="6">
        <v>4.0</v>
      </c>
    </row>
    <row r="8554">
      <c r="A8554" s="4" t="s">
        <v>16989</v>
      </c>
      <c r="B8554" s="5" t="s">
        <v>16990</v>
      </c>
      <c r="C8554" s="6">
        <v>651.0</v>
      </c>
      <c r="D8554" s="6">
        <v>5.0</v>
      </c>
      <c r="E8554" s="6">
        <v>3.0</v>
      </c>
    </row>
    <row r="8555">
      <c r="A8555" s="4" t="s">
        <v>16991</v>
      </c>
      <c r="B8555" s="5" t="s">
        <v>16992</v>
      </c>
      <c r="C8555" s="6">
        <v>650.0</v>
      </c>
      <c r="D8555" s="6">
        <v>4.538461538</v>
      </c>
      <c r="E8555" s="6">
        <v>13.0</v>
      </c>
    </row>
    <row r="8556">
      <c r="A8556" s="4" t="s">
        <v>16993</v>
      </c>
      <c r="B8556" s="5" t="s">
        <v>16994</v>
      </c>
      <c r="C8556" s="6">
        <v>650.0</v>
      </c>
      <c r="D8556" s="6">
        <v>3.8</v>
      </c>
      <c r="E8556" s="6">
        <v>5.0</v>
      </c>
    </row>
    <row r="8557">
      <c r="A8557" s="4" t="s">
        <v>16995</v>
      </c>
      <c r="B8557" s="5" t="s">
        <v>16996</v>
      </c>
      <c r="C8557" s="6">
        <v>650.0</v>
      </c>
      <c r="D8557" s="6">
        <v>5.0</v>
      </c>
      <c r="E8557" s="6">
        <v>4.0</v>
      </c>
    </row>
    <row r="8558">
      <c r="A8558" s="4" t="s">
        <v>3232</v>
      </c>
      <c r="B8558" s="5" t="s">
        <v>16997</v>
      </c>
      <c r="C8558" s="6">
        <v>650.0</v>
      </c>
      <c r="D8558" s="9"/>
      <c r="E8558" s="9"/>
    </row>
    <row r="8559">
      <c r="A8559" s="4" t="s">
        <v>16998</v>
      </c>
      <c r="B8559" s="5" t="s">
        <v>16999</v>
      </c>
      <c r="C8559" s="6">
        <v>650.0</v>
      </c>
      <c r="D8559" s="6">
        <v>3.5</v>
      </c>
      <c r="E8559" s="6">
        <v>4.0</v>
      </c>
    </row>
    <row r="8560">
      <c r="A8560" s="4" t="s">
        <v>17000</v>
      </c>
      <c r="B8560" s="5" t="s">
        <v>17001</v>
      </c>
      <c r="C8560" s="6">
        <v>650.0</v>
      </c>
      <c r="D8560" s="6">
        <v>5.0</v>
      </c>
      <c r="E8560" s="6">
        <v>2.0</v>
      </c>
    </row>
    <row r="8561">
      <c r="A8561" s="4" t="s">
        <v>17002</v>
      </c>
      <c r="B8561" s="5" t="s">
        <v>17003</v>
      </c>
      <c r="C8561" s="6">
        <v>650.0</v>
      </c>
      <c r="D8561" s="6">
        <v>3.0</v>
      </c>
      <c r="E8561" s="6">
        <v>28.0</v>
      </c>
    </row>
    <row r="8562">
      <c r="A8562" s="4" t="s">
        <v>17004</v>
      </c>
      <c r="B8562" s="12" t="s">
        <v>17005</v>
      </c>
      <c r="C8562" s="6">
        <v>650.0</v>
      </c>
      <c r="D8562" s="6">
        <v>4.8</v>
      </c>
      <c r="E8562" s="6">
        <v>5.0</v>
      </c>
    </row>
    <row r="8563">
      <c r="A8563" s="4" t="s">
        <v>17006</v>
      </c>
      <c r="B8563" s="5" t="s">
        <v>17007</v>
      </c>
      <c r="C8563" s="6">
        <v>650.0</v>
      </c>
      <c r="D8563" s="6">
        <v>4.5</v>
      </c>
      <c r="E8563" s="6">
        <v>4.0</v>
      </c>
    </row>
    <row r="8564">
      <c r="A8564" s="4" t="s">
        <v>17008</v>
      </c>
      <c r="B8564" s="5" t="s">
        <v>17009</v>
      </c>
      <c r="C8564" s="6">
        <v>650.0</v>
      </c>
      <c r="D8564" s="9"/>
      <c r="E8564" s="9"/>
    </row>
    <row r="8565">
      <c r="A8565" s="4" t="s">
        <v>15629</v>
      </c>
      <c r="B8565" s="5" t="s">
        <v>17010</v>
      </c>
      <c r="C8565" s="6">
        <v>649.0</v>
      </c>
      <c r="D8565" s="6">
        <v>2.5</v>
      </c>
      <c r="E8565" s="6">
        <v>4.0</v>
      </c>
    </row>
    <row r="8566">
      <c r="A8566" s="4" t="s">
        <v>17011</v>
      </c>
      <c r="B8566" s="5" t="s">
        <v>17012</v>
      </c>
      <c r="C8566" s="6">
        <v>649.0</v>
      </c>
      <c r="D8566" s="6">
        <v>5.0</v>
      </c>
      <c r="E8566" s="6">
        <v>1.0</v>
      </c>
    </row>
    <row r="8567">
      <c r="A8567" s="4" t="s">
        <v>17013</v>
      </c>
      <c r="B8567" s="5" t="s">
        <v>17014</v>
      </c>
      <c r="C8567" s="6">
        <v>649.0</v>
      </c>
      <c r="D8567" s="6">
        <v>4.307692308</v>
      </c>
      <c r="E8567" s="6">
        <v>13.0</v>
      </c>
    </row>
    <row r="8568">
      <c r="A8568" s="4" t="s">
        <v>17015</v>
      </c>
      <c r="B8568" s="5" t="s">
        <v>17016</v>
      </c>
      <c r="C8568" s="6">
        <v>649.0</v>
      </c>
      <c r="D8568" s="6">
        <v>5.0</v>
      </c>
      <c r="E8568" s="6">
        <v>2.0</v>
      </c>
    </row>
    <row r="8569">
      <c r="A8569" s="4" t="s">
        <v>17017</v>
      </c>
      <c r="B8569" s="5" t="s">
        <v>17018</v>
      </c>
      <c r="C8569" s="6">
        <v>649.0</v>
      </c>
      <c r="D8569" s="6">
        <v>5.0</v>
      </c>
      <c r="E8569" s="6">
        <v>5.0</v>
      </c>
    </row>
    <row r="8570">
      <c r="A8570" s="4" t="s">
        <v>17019</v>
      </c>
      <c r="B8570" s="5" t="s">
        <v>17020</v>
      </c>
      <c r="C8570" s="6">
        <v>649.0</v>
      </c>
      <c r="D8570" s="6">
        <v>4.333333333</v>
      </c>
      <c r="E8570" s="6">
        <v>21.0</v>
      </c>
    </row>
    <row r="8571">
      <c r="A8571" s="4" t="s">
        <v>17021</v>
      </c>
      <c r="B8571" s="5" t="s">
        <v>17022</v>
      </c>
      <c r="C8571" s="6">
        <v>648.0</v>
      </c>
      <c r="D8571" s="6">
        <v>4.0</v>
      </c>
      <c r="E8571" s="6">
        <v>3.0</v>
      </c>
    </row>
    <row r="8572">
      <c r="A8572" s="4" t="s">
        <v>17023</v>
      </c>
      <c r="B8572" s="5" t="s">
        <v>17024</v>
      </c>
      <c r="C8572" s="6">
        <v>648.0</v>
      </c>
      <c r="D8572" s="6">
        <v>3.583333333</v>
      </c>
      <c r="E8572" s="6">
        <v>12.0</v>
      </c>
    </row>
    <row r="8573">
      <c r="A8573" s="4" t="s">
        <v>17025</v>
      </c>
      <c r="B8573" s="5" t="s">
        <v>17026</v>
      </c>
      <c r="C8573" s="6">
        <v>648.0</v>
      </c>
      <c r="D8573" s="6">
        <v>5.0</v>
      </c>
      <c r="E8573" s="6">
        <v>10.0</v>
      </c>
    </row>
    <row r="8574">
      <c r="A8574" s="4" t="s">
        <v>17027</v>
      </c>
      <c r="B8574" s="5" t="s">
        <v>17028</v>
      </c>
      <c r="C8574" s="6">
        <v>648.0</v>
      </c>
      <c r="D8574" s="6">
        <v>3.833333333</v>
      </c>
      <c r="E8574" s="6">
        <v>12.0</v>
      </c>
    </row>
    <row r="8575">
      <c r="A8575" s="4" t="s">
        <v>17029</v>
      </c>
      <c r="B8575" s="5" t="s">
        <v>17030</v>
      </c>
      <c r="C8575" s="6">
        <v>647.0</v>
      </c>
      <c r="D8575" s="6">
        <v>4.923076923</v>
      </c>
      <c r="E8575" s="6">
        <v>13.0</v>
      </c>
    </row>
    <row r="8576">
      <c r="A8576" s="4" t="s">
        <v>17031</v>
      </c>
      <c r="B8576" s="5" t="s">
        <v>17032</v>
      </c>
      <c r="C8576" s="6">
        <v>647.0</v>
      </c>
      <c r="D8576" s="6">
        <v>2.375</v>
      </c>
      <c r="E8576" s="6">
        <v>32.0</v>
      </c>
    </row>
    <row r="8577">
      <c r="A8577" s="4" t="s">
        <v>17033</v>
      </c>
      <c r="B8577" s="5" t="s">
        <v>17034</v>
      </c>
      <c r="C8577" s="6">
        <v>647.0</v>
      </c>
      <c r="D8577" s="6">
        <v>3.857142857</v>
      </c>
      <c r="E8577" s="6">
        <v>7.0</v>
      </c>
    </row>
    <row r="8578">
      <c r="A8578" s="4" t="s">
        <v>17035</v>
      </c>
      <c r="B8578" s="5" t="s">
        <v>17036</v>
      </c>
      <c r="C8578" s="6">
        <v>647.0</v>
      </c>
      <c r="D8578" s="6">
        <v>5.0</v>
      </c>
      <c r="E8578" s="6">
        <v>1.0</v>
      </c>
    </row>
    <row r="8579">
      <c r="A8579" s="4" t="s">
        <v>6798</v>
      </c>
      <c r="B8579" s="5" t="s">
        <v>17037</v>
      </c>
      <c r="C8579" s="6">
        <v>647.0</v>
      </c>
      <c r="D8579" s="6">
        <v>2.714285714</v>
      </c>
      <c r="E8579" s="6">
        <v>7.0</v>
      </c>
    </row>
    <row r="8580">
      <c r="A8580" s="4" t="s">
        <v>17038</v>
      </c>
      <c r="B8580" s="5" t="s">
        <v>17039</v>
      </c>
      <c r="C8580" s="6">
        <v>647.0</v>
      </c>
      <c r="D8580" s="6">
        <v>2.125</v>
      </c>
      <c r="E8580" s="6">
        <v>8.0</v>
      </c>
    </row>
    <row r="8581">
      <c r="A8581" s="4" t="s">
        <v>17040</v>
      </c>
      <c r="B8581" s="5" t="s">
        <v>17041</v>
      </c>
      <c r="C8581" s="6">
        <v>646.0</v>
      </c>
      <c r="D8581" s="6">
        <v>5.0</v>
      </c>
      <c r="E8581" s="6">
        <v>1.0</v>
      </c>
    </row>
    <row r="8582">
      <c r="A8582" s="4" t="s">
        <v>17042</v>
      </c>
      <c r="B8582" s="5" t="s">
        <v>17043</v>
      </c>
      <c r="C8582" s="6">
        <v>646.0</v>
      </c>
      <c r="D8582" s="6">
        <v>4.75</v>
      </c>
      <c r="E8582" s="6">
        <v>8.0</v>
      </c>
    </row>
    <row r="8583">
      <c r="A8583" s="4" t="s">
        <v>17044</v>
      </c>
      <c r="B8583" s="5" t="s">
        <v>17045</v>
      </c>
      <c r="C8583" s="6">
        <v>646.0</v>
      </c>
      <c r="D8583" s="6">
        <v>4.611111111</v>
      </c>
      <c r="E8583" s="6">
        <v>18.0</v>
      </c>
    </row>
    <row r="8584">
      <c r="A8584" s="4" t="s">
        <v>17046</v>
      </c>
      <c r="B8584" s="5" t="s">
        <v>17047</v>
      </c>
      <c r="C8584" s="6">
        <v>646.0</v>
      </c>
      <c r="D8584" s="6">
        <v>5.0</v>
      </c>
      <c r="E8584" s="6">
        <v>12.0</v>
      </c>
    </row>
    <row r="8585">
      <c r="A8585" s="4" t="s">
        <v>17048</v>
      </c>
      <c r="B8585" s="5" t="s">
        <v>17049</v>
      </c>
      <c r="C8585" s="6">
        <v>646.0</v>
      </c>
      <c r="D8585" s="6">
        <v>4.166666667</v>
      </c>
      <c r="E8585" s="6">
        <v>6.0</v>
      </c>
    </row>
    <row r="8586">
      <c r="A8586" s="4" t="s">
        <v>17050</v>
      </c>
      <c r="B8586" s="5" t="s">
        <v>17051</v>
      </c>
      <c r="C8586" s="6">
        <v>646.0</v>
      </c>
      <c r="D8586" s="6">
        <v>2.5</v>
      </c>
      <c r="E8586" s="6">
        <v>4.0</v>
      </c>
    </row>
    <row r="8587">
      <c r="A8587" s="4" t="s">
        <v>17052</v>
      </c>
      <c r="B8587" s="5" t="s">
        <v>17053</v>
      </c>
      <c r="C8587" s="6">
        <v>645.0</v>
      </c>
      <c r="D8587" s="9"/>
      <c r="E8587" s="9"/>
    </row>
    <row r="8588">
      <c r="A8588" s="4" t="s">
        <v>17054</v>
      </c>
      <c r="B8588" s="5" t="s">
        <v>17055</v>
      </c>
      <c r="C8588" s="6">
        <v>645.0</v>
      </c>
      <c r="D8588" s="6">
        <v>4.155555556</v>
      </c>
      <c r="E8588" s="6">
        <v>90.0</v>
      </c>
    </row>
    <row r="8589">
      <c r="A8589" s="4" t="s">
        <v>17056</v>
      </c>
      <c r="B8589" s="5" t="s">
        <v>17057</v>
      </c>
      <c r="C8589" s="6">
        <v>645.0</v>
      </c>
      <c r="D8589" s="6">
        <v>4.4</v>
      </c>
      <c r="E8589" s="6">
        <v>5.0</v>
      </c>
    </row>
    <row r="8590">
      <c r="A8590" s="4" t="s">
        <v>17058</v>
      </c>
      <c r="B8590" s="5" t="s">
        <v>17059</v>
      </c>
      <c r="C8590" s="6">
        <v>645.0</v>
      </c>
      <c r="D8590" s="6">
        <v>5.0</v>
      </c>
      <c r="E8590" s="6">
        <v>2.0</v>
      </c>
    </row>
    <row r="8591">
      <c r="A8591" s="4" t="s">
        <v>17060</v>
      </c>
      <c r="B8591" s="5" t="s">
        <v>17061</v>
      </c>
      <c r="C8591" s="6">
        <v>645.0</v>
      </c>
      <c r="D8591" s="6">
        <v>5.0</v>
      </c>
      <c r="E8591" s="6">
        <v>4.0</v>
      </c>
    </row>
    <row r="8592">
      <c r="A8592" s="4" t="s">
        <v>1480</v>
      </c>
      <c r="B8592" s="5" t="s">
        <v>17062</v>
      </c>
      <c r="C8592" s="6">
        <v>644.0</v>
      </c>
      <c r="D8592" s="6">
        <v>5.0</v>
      </c>
      <c r="E8592" s="6">
        <v>3.0</v>
      </c>
    </row>
    <row r="8593">
      <c r="A8593" s="4" t="s">
        <v>17063</v>
      </c>
      <c r="B8593" s="5" t="s">
        <v>17064</v>
      </c>
      <c r="C8593" s="6">
        <v>644.0</v>
      </c>
      <c r="D8593" s="6">
        <v>3.0</v>
      </c>
      <c r="E8593" s="6">
        <v>1.0</v>
      </c>
    </row>
    <row r="8594">
      <c r="A8594" s="4" t="s">
        <v>17065</v>
      </c>
      <c r="B8594" s="5" t="s">
        <v>17066</v>
      </c>
      <c r="C8594" s="6">
        <v>644.0</v>
      </c>
      <c r="D8594" s="6">
        <v>4.3</v>
      </c>
      <c r="E8594" s="6">
        <v>10.0</v>
      </c>
    </row>
    <row r="8595">
      <c r="A8595" s="4" t="s">
        <v>17067</v>
      </c>
      <c r="B8595" s="5" t="s">
        <v>17068</v>
      </c>
      <c r="C8595" s="6">
        <v>643.0</v>
      </c>
      <c r="D8595" s="6">
        <v>4.666666667</v>
      </c>
      <c r="E8595" s="6">
        <v>6.0</v>
      </c>
    </row>
    <row r="8596">
      <c r="A8596" s="4" t="s">
        <v>17069</v>
      </c>
      <c r="B8596" s="5" t="s">
        <v>17070</v>
      </c>
      <c r="C8596" s="6">
        <v>643.0</v>
      </c>
      <c r="D8596" s="6">
        <v>3.5</v>
      </c>
      <c r="E8596" s="6">
        <v>2.0</v>
      </c>
    </row>
    <row r="8597">
      <c r="A8597" s="4" t="s">
        <v>17071</v>
      </c>
      <c r="B8597" s="5" t="s">
        <v>17072</v>
      </c>
      <c r="C8597" s="6">
        <v>643.0</v>
      </c>
      <c r="D8597" s="6">
        <v>4.285714286</v>
      </c>
      <c r="E8597" s="6">
        <v>7.0</v>
      </c>
    </row>
    <row r="8598">
      <c r="A8598" s="4" t="s">
        <v>17073</v>
      </c>
      <c r="B8598" s="5" t="s">
        <v>17074</v>
      </c>
      <c r="C8598" s="6">
        <v>643.0</v>
      </c>
      <c r="D8598" s="6">
        <v>4.194690265</v>
      </c>
      <c r="E8598" s="6">
        <v>113.0</v>
      </c>
    </row>
    <row r="8599">
      <c r="A8599" s="4" t="s">
        <v>17075</v>
      </c>
      <c r="B8599" s="5" t="s">
        <v>17076</v>
      </c>
      <c r="C8599" s="6">
        <v>643.0</v>
      </c>
      <c r="D8599" s="6">
        <v>3.692307692</v>
      </c>
      <c r="E8599" s="6">
        <v>13.0</v>
      </c>
    </row>
    <row r="8600">
      <c r="A8600" s="4" t="s">
        <v>17077</v>
      </c>
      <c r="B8600" s="5" t="s">
        <v>17078</v>
      </c>
      <c r="C8600" s="6">
        <v>643.0</v>
      </c>
      <c r="D8600" s="6">
        <v>3.571428571</v>
      </c>
      <c r="E8600" s="6">
        <v>7.0</v>
      </c>
    </row>
    <row r="8601">
      <c r="A8601" s="4" t="s">
        <v>17079</v>
      </c>
      <c r="B8601" s="5" t="s">
        <v>17080</v>
      </c>
      <c r="C8601" s="6">
        <v>643.0</v>
      </c>
      <c r="D8601" s="6">
        <v>5.0</v>
      </c>
      <c r="E8601" s="6">
        <v>1.0</v>
      </c>
    </row>
    <row r="8602">
      <c r="A8602" s="4" t="s">
        <v>17081</v>
      </c>
      <c r="B8602" s="5" t="s">
        <v>17082</v>
      </c>
      <c r="C8602" s="6">
        <v>643.0</v>
      </c>
      <c r="D8602" s="6">
        <v>4.75</v>
      </c>
      <c r="E8602" s="6">
        <v>8.0</v>
      </c>
    </row>
    <row r="8603">
      <c r="A8603" s="4" t="s">
        <v>17083</v>
      </c>
      <c r="B8603" s="5" t="s">
        <v>17084</v>
      </c>
      <c r="C8603" s="6">
        <v>642.0</v>
      </c>
      <c r="D8603" s="6">
        <v>5.0</v>
      </c>
      <c r="E8603" s="6">
        <v>3.0</v>
      </c>
    </row>
    <row r="8604">
      <c r="A8604" s="4" t="s">
        <v>17085</v>
      </c>
      <c r="B8604" s="5" t="s">
        <v>17086</v>
      </c>
      <c r="C8604" s="6">
        <v>642.0</v>
      </c>
      <c r="D8604" s="6">
        <v>4.3125</v>
      </c>
      <c r="E8604" s="6">
        <v>48.0</v>
      </c>
    </row>
    <row r="8605">
      <c r="A8605" s="4" t="s">
        <v>17087</v>
      </c>
      <c r="B8605" s="5" t="s">
        <v>17088</v>
      </c>
      <c r="C8605" s="6">
        <v>642.0</v>
      </c>
      <c r="D8605" s="6">
        <v>4.333333333</v>
      </c>
      <c r="E8605" s="6">
        <v>30.0</v>
      </c>
    </row>
    <row r="8606">
      <c r="A8606" s="4" t="s">
        <v>17089</v>
      </c>
      <c r="B8606" s="5" t="s">
        <v>17090</v>
      </c>
      <c r="C8606" s="6">
        <v>642.0</v>
      </c>
      <c r="D8606" s="6">
        <v>5.0</v>
      </c>
      <c r="E8606" s="6">
        <v>2.0</v>
      </c>
    </row>
    <row r="8607">
      <c r="A8607" s="4" t="s">
        <v>17091</v>
      </c>
      <c r="B8607" s="5" t="s">
        <v>17092</v>
      </c>
      <c r="C8607" s="6">
        <v>641.0</v>
      </c>
      <c r="D8607" s="6">
        <v>3.628571429</v>
      </c>
      <c r="E8607" s="6">
        <v>35.0</v>
      </c>
    </row>
    <row r="8608">
      <c r="A8608" s="4" t="s">
        <v>17093</v>
      </c>
      <c r="B8608" s="5" t="s">
        <v>17094</v>
      </c>
      <c r="C8608" s="6">
        <v>641.0</v>
      </c>
      <c r="D8608" s="6">
        <v>3.75</v>
      </c>
      <c r="E8608" s="6">
        <v>4.0</v>
      </c>
    </row>
    <row r="8609">
      <c r="A8609" s="4" t="s">
        <v>17095</v>
      </c>
      <c r="B8609" s="5" t="s">
        <v>17096</v>
      </c>
      <c r="C8609" s="6">
        <v>641.0</v>
      </c>
      <c r="D8609" s="6">
        <v>5.0</v>
      </c>
      <c r="E8609" s="6">
        <v>5.0</v>
      </c>
    </row>
    <row r="8610">
      <c r="A8610" s="4" t="s">
        <v>17097</v>
      </c>
      <c r="B8610" s="5" t="s">
        <v>17098</v>
      </c>
      <c r="C8610" s="6">
        <v>641.0</v>
      </c>
      <c r="D8610" s="6">
        <v>4.642857143</v>
      </c>
      <c r="E8610" s="6">
        <v>14.0</v>
      </c>
    </row>
    <row r="8611">
      <c r="A8611" s="4" t="s">
        <v>17099</v>
      </c>
      <c r="B8611" s="5" t="s">
        <v>17100</v>
      </c>
      <c r="C8611" s="6">
        <v>641.0</v>
      </c>
      <c r="D8611" s="6">
        <v>5.0</v>
      </c>
      <c r="E8611" s="6">
        <v>5.0</v>
      </c>
    </row>
    <row r="8612">
      <c r="A8612" s="4" t="s">
        <v>17101</v>
      </c>
      <c r="B8612" s="5" t="s">
        <v>17102</v>
      </c>
      <c r="C8612" s="6">
        <v>641.0</v>
      </c>
      <c r="D8612" s="6">
        <v>3.575757576</v>
      </c>
      <c r="E8612" s="6">
        <v>66.0</v>
      </c>
    </row>
    <row r="8613">
      <c r="A8613" s="4" t="s">
        <v>17103</v>
      </c>
      <c r="B8613" s="5" t="s">
        <v>17104</v>
      </c>
      <c r="C8613" s="6">
        <v>641.0</v>
      </c>
      <c r="D8613" s="6">
        <v>4.230769231</v>
      </c>
      <c r="E8613" s="6">
        <v>26.0</v>
      </c>
    </row>
    <row r="8614">
      <c r="A8614" s="4" t="s">
        <v>17105</v>
      </c>
      <c r="B8614" s="5" t="s">
        <v>17106</v>
      </c>
      <c r="C8614" s="6">
        <v>640.0</v>
      </c>
      <c r="D8614" s="6">
        <v>4.137931034</v>
      </c>
      <c r="E8614" s="6">
        <v>29.0</v>
      </c>
    </row>
    <row r="8615">
      <c r="A8615" s="4" t="s">
        <v>17107</v>
      </c>
      <c r="B8615" s="5" t="s">
        <v>17108</v>
      </c>
      <c r="C8615" s="6">
        <v>640.0</v>
      </c>
      <c r="D8615" s="9"/>
      <c r="E8615" s="9"/>
    </row>
    <row r="8616">
      <c r="A8616" s="4" t="s">
        <v>227</v>
      </c>
      <c r="B8616" s="5" t="s">
        <v>17109</v>
      </c>
      <c r="C8616" s="6">
        <v>640.0</v>
      </c>
      <c r="D8616" s="6">
        <v>5.0</v>
      </c>
      <c r="E8616" s="6">
        <v>3.0</v>
      </c>
    </row>
    <row r="8617">
      <c r="A8617" s="4" t="s">
        <v>17110</v>
      </c>
      <c r="B8617" s="5" t="s">
        <v>17111</v>
      </c>
      <c r="C8617" s="6">
        <v>640.0</v>
      </c>
      <c r="D8617" s="6">
        <v>3.0</v>
      </c>
      <c r="E8617" s="6">
        <v>1.0</v>
      </c>
    </row>
    <row r="8618">
      <c r="A8618" s="4" t="s">
        <v>17112</v>
      </c>
      <c r="B8618" s="5" t="s">
        <v>17113</v>
      </c>
      <c r="C8618" s="6">
        <v>640.0</v>
      </c>
      <c r="D8618" s="6">
        <v>4.571428571</v>
      </c>
      <c r="E8618" s="6">
        <v>7.0</v>
      </c>
    </row>
    <row r="8619">
      <c r="A8619" s="4" t="s">
        <v>17114</v>
      </c>
      <c r="B8619" s="5" t="s">
        <v>17115</v>
      </c>
      <c r="C8619" s="6">
        <v>640.0</v>
      </c>
      <c r="D8619" s="9"/>
      <c r="E8619" s="9"/>
    </row>
    <row r="8620">
      <c r="A8620" s="4" t="s">
        <v>17116</v>
      </c>
      <c r="B8620" s="5" t="s">
        <v>17117</v>
      </c>
      <c r="C8620" s="6">
        <v>640.0</v>
      </c>
      <c r="D8620" s="6">
        <v>3.4</v>
      </c>
      <c r="E8620" s="6">
        <v>5.0</v>
      </c>
    </row>
    <row r="8621">
      <c r="A8621" s="4" t="s">
        <v>17118</v>
      </c>
      <c r="B8621" s="5" t="s">
        <v>17119</v>
      </c>
      <c r="C8621" s="6">
        <v>640.0</v>
      </c>
      <c r="D8621" s="6">
        <v>5.0</v>
      </c>
      <c r="E8621" s="6">
        <v>1.0</v>
      </c>
    </row>
    <row r="8622">
      <c r="A8622" s="4" t="s">
        <v>17120</v>
      </c>
      <c r="B8622" s="5" t="s">
        <v>17121</v>
      </c>
      <c r="C8622" s="6">
        <v>640.0</v>
      </c>
      <c r="D8622" s="6">
        <v>3.0</v>
      </c>
      <c r="E8622" s="6">
        <v>4.0</v>
      </c>
    </row>
    <row r="8623">
      <c r="A8623" s="4" t="s">
        <v>17122</v>
      </c>
      <c r="B8623" s="5" t="s">
        <v>17123</v>
      </c>
      <c r="C8623" s="6">
        <v>639.0</v>
      </c>
      <c r="D8623" s="6">
        <v>4.4</v>
      </c>
      <c r="E8623" s="6">
        <v>5.0</v>
      </c>
    </row>
    <row r="8624">
      <c r="A8624" s="4" t="s">
        <v>17124</v>
      </c>
      <c r="B8624" s="5" t="s">
        <v>17125</v>
      </c>
      <c r="C8624" s="6">
        <v>639.0</v>
      </c>
      <c r="D8624" s="6">
        <v>4.692307692</v>
      </c>
      <c r="E8624" s="6">
        <v>26.0</v>
      </c>
    </row>
    <row r="8625">
      <c r="A8625" s="4" t="s">
        <v>17126</v>
      </c>
      <c r="B8625" s="5" t="s">
        <v>17127</v>
      </c>
      <c r="C8625" s="6">
        <v>639.0</v>
      </c>
      <c r="D8625" s="6">
        <v>5.0</v>
      </c>
      <c r="E8625" s="6">
        <v>1.0</v>
      </c>
    </row>
    <row r="8626">
      <c r="A8626" s="4" t="s">
        <v>17128</v>
      </c>
      <c r="B8626" s="5" t="s">
        <v>17129</v>
      </c>
      <c r="C8626" s="6">
        <v>639.0</v>
      </c>
      <c r="D8626" s="6">
        <v>4.888888889</v>
      </c>
      <c r="E8626" s="6">
        <v>9.0</v>
      </c>
    </row>
    <row r="8627">
      <c r="A8627" s="4" t="s">
        <v>17130</v>
      </c>
      <c r="B8627" s="5" t="s">
        <v>17131</v>
      </c>
      <c r="C8627" s="6">
        <v>638.0</v>
      </c>
      <c r="D8627" s="6">
        <v>4.722222222</v>
      </c>
      <c r="E8627" s="6">
        <v>18.0</v>
      </c>
    </row>
    <row r="8628">
      <c r="A8628" s="4" t="s">
        <v>17132</v>
      </c>
      <c r="B8628" s="5" t="s">
        <v>17133</v>
      </c>
      <c r="C8628" s="6">
        <v>638.0</v>
      </c>
      <c r="D8628" s="9"/>
      <c r="E8628" s="9"/>
    </row>
    <row r="8629">
      <c r="A8629" s="4" t="s">
        <v>17134</v>
      </c>
      <c r="B8629" s="5" t="s">
        <v>17135</v>
      </c>
      <c r="C8629" s="6">
        <v>638.0</v>
      </c>
      <c r="D8629" s="6">
        <v>5.0</v>
      </c>
      <c r="E8629" s="6">
        <v>2.0</v>
      </c>
    </row>
    <row r="8630">
      <c r="A8630" s="4" t="s">
        <v>17136</v>
      </c>
      <c r="B8630" s="5" t="s">
        <v>17137</v>
      </c>
      <c r="C8630" s="6">
        <v>638.0</v>
      </c>
      <c r="D8630" s="6">
        <v>2.5</v>
      </c>
      <c r="E8630" s="6">
        <v>8.0</v>
      </c>
    </row>
    <row r="8631">
      <c r="A8631" s="4" t="s">
        <v>17138</v>
      </c>
      <c r="B8631" s="5" t="s">
        <v>17139</v>
      </c>
      <c r="C8631" s="6">
        <v>638.0</v>
      </c>
      <c r="D8631" s="6">
        <v>3.833333333</v>
      </c>
      <c r="E8631" s="6">
        <v>6.0</v>
      </c>
    </row>
    <row r="8632">
      <c r="A8632" s="4" t="s">
        <v>17140</v>
      </c>
      <c r="B8632" s="5" t="s">
        <v>17141</v>
      </c>
      <c r="C8632" s="6">
        <v>638.0</v>
      </c>
      <c r="D8632" s="6">
        <v>4.428571429</v>
      </c>
      <c r="E8632" s="6">
        <v>35.0</v>
      </c>
    </row>
    <row r="8633">
      <c r="A8633" s="4" t="s">
        <v>17142</v>
      </c>
      <c r="B8633" s="5" t="s">
        <v>17143</v>
      </c>
      <c r="C8633" s="6">
        <v>638.0</v>
      </c>
      <c r="D8633" s="6">
        <v>5.0</v>
      </c>
      <c r="E8633" s="6">
        <v>3.0</v>
      </c>
    </row>
    <row r="8634">
      <c r="A8634" s="4" t="s">
        <v>17144</v>
      </c>
      <c r="B8634" s="5" t="s">
        <v>17145</v>
      </c>
      <c r="C8634" s="6">
        <v>638.0</v>
      </c>
      <c r="D8634" s="6">
        <v>3.4</v>
      </c>
      <c r="E8634" s="6">
        <v>10.0</v>
      </c>
    </row>
    <row r="8635">
      <c r="A8635" s="4" t="s">
        <v>17146</v>
      </c>
      <c r="B8635" s="5" t="s">
        <v>17147</v>
      </c>
      <c r="C8635" s="6">
        <v>637.0</v>
      </c>
      <c r="D8635" s="6">
        <v>3.272727273</v>
      </c>
      <c r="E8635" s="6">
        <v>22.0</v>
      </c>
    </row>
    <row r="8636">
      <c r="A8636" s="4" t="s">
        <v>17148</v>
      </c>
      <c r="B8636" s="5" t="s">
        <v>17149</v>
      </c>
      <c r="C8636" s="6">
        <v>637.0</v>
      </c>
      <c r="D8636" s="6">
        <v>4.5</v>
      </c>
      <c r="E8636" s="6">
        <v>6.0</v>
      </c>
    </row>
    <row r="8637">
      <c r="A8637" s="4" t="s">
        <v>17150</v>
      </c>
      <c r="B8637" s="5" t="s">
        <v>17151</v>
      </c>
      <c r="C8637" s="6">
        <v>637.0</v>
      </c>
      <c r="D8637" s="6">
        <v>4.833333333</v>
      </c>
      <c r="E8637" s="6">
        <v>12.0</v>
      </c>
    </row>
    <row r="8638">
      <c r="A8638" s="4" t="s">
        <v>17152</v>
      </c>
      <c r="B8638" s="5" t="s">
        <v>17153</v>
      </c>
      <c r="C8638" s="6">
        <v>637.0</v>
      </c>
      <c r="D8638" s="6">
        <v>4.666666667</v>
      </c>
      <c r="E8638" s="6">
        <v>9.0</v>
      </c>
    </row>
    <row r="8639">
      <c r="A8639" s="4" t="s">
        <v>17154</v>
      </c>
      <c r="B8639" s="5" t="s">
        <v>17155</v>
      </c>
      <c r="C8639" s="6">
        <v>637.0</v>
      </c>
      <c r="D8639" s="6">
        <v>4.357142857</v>
      </c>
      <c r="E8639" s="6">
        <v>14.0</v>
      </c>
    </row>
    <row r="8640">
      <c r="A8640" s="4" t="s">
        <v>17156</v>
      </c>
      <c r="B8640" s="5" t="s">
        <v>17157</v>
      </c>
      <c r="C8640" s="6">
        <v>637.0</v>
      </c>
      <c r="D8640" s="6">
        <v>5.0</v>
      </c>
      <c r="E8640" s="6">
        <v>3.0</v>
      </c>
    </row>
    <row r="8641">
      <c r="A8641" s="4" t="s">
        <v>17158</v>
      </c>
      <c r="B8641" s="5" t="s">
        <v>17159</v>
      </c>
      <c r="C8641" s="6">
        <v>637.0</v>
      </c>
      <c r="D8641" s="6">
        <v>1.0</v>
      </c>
      <c r="E8641" s="6">
        <v>1.0</v>
      </c>
    </row>
    <row r="8642">
      <c r="A8642" s="4" t="s">
        <v>17160</v>
      </c>
      <c r="B8642" s="5" t="s">
        <v>17161</v>
      </c>
      <c r="C8642" s="6">
        <v>637.0</v>
      </c>
      <c r="D8642" s="6">
        <v>4.68627451</v>
      </c>
      <c r="E8642" s="6">
        <v>51.0</v>
      </c>
    </row>
    <row r="8643">
      <c r="A8643" s="4" t="s">
        <v>17162</v>
      </c>
      <c r="B8643" s="5" t="s">
        <v>17163</v>
      </c>
      <c r="C8643" s="6">
        <v>636.0</v>
      </c>
      <c r="D8643" s="6">
        <v>2.7</v>
      </c>
      <c r="E8643" s="6">
        <v>10.0</v>
      </c>
    </row>
    <row r="8644">
      <c r="A8644" s="4" t="s">
        <v>17164</v>
      </c>
      <c r="B8644" s="5" t="s">
        <v>17165</v>
      </c>
      <c r="C8644" s="6">
        <v>636.0</v>
      </c>
      <c r="D8644" s="6">
        <v>1.85</v>
      </c>
      <c r="E8644" s="6">
        <v>20.0</v>
      </c>
    </row>
    <row r="8645">
      <c r="A8645" s="4" t="s">
        <v>17166</v>
      </c>
      <c r="B8645" s="5" t="s">
        <v>17167</v>
      </c>
      <c r="C8645" s="6">
        <v>636.0</v>
      </c>
      <c r="D8645" s="6">
        <v>4.545454545</v>
      </c>
      <c r="E8645" s="6">
        <v>44.0</v>
      </c>
    </row>
    <row r="8646">
      <c r="A8646" s="5" t="s">
        <v>17168</v>
      </c>
      <c r="B8646" s="5" t="s">
        <v>17169</v>
      </c>
      <c r="C8646" s="6">
        <v>636.0</v>
      </c>
      <c r="D8646" s="6">
        <v>3.75</v>
      </c>
      <c r="E8646" s="6">
        <v>4.0</v>
      </c>
    </row>
    <row r="8647">
      <c r="A8647" s="4" t="s">
        <v>17170</v>
      </c>
      <c r="B8647" s="5" t="s">
        <v>17171</v>
      </c>
      <c r="C8647" s="6">
        <v>636.0</v>
      </c>
      <c r="D8647" s="6">
        <v>5.0</v>
      </c>
      <c r="E8647" s="6">
        <v>1.0</v>
      </c>
    </row>
    <row r="8648">
      <c r="A8648" s="4" t="s">
        <v>17172</v>
      </c>
      <c r="B8648" s="5" t="s">
        <v>17173</v>
      </c>
      <c r="C8648" s="6">
        <v>636.0</v>
      </c>
      <c r="D8648" s="6">
        <v>4.142857143</v>
      </c>
      <c r="E8648" s="6">
        <v>7.0</v>
      </c>
    </row>
    <row r="8649">
      <c r="A8649" s="4" t="s">
        <v>17174</v>
      </c>
      <c r="B8649" s="5" t="s">
        <v>17175</v>
      </c>
      <c r="C8649" s="6">
        <v>636.0</v>
      </c>
      <c r="D8649" s="6">
        <v>4.4375</v>
      </c>
      <c r="E8649" s="6">
        <v>16.0</v>
      </c>
    </row>
    <row r="8650">
      <c r="A8650" s="4" t="s">
        <v>17176</v>
      </c>
      <c r="B8650" s="5" t="s">
        <v>17177</v>
      </c>
      <c r="C8650" s="6">
        <v>636.0</v>
      </c>
      <c r="D8650" s="6">
        <v>5.0</v>
      </c>
      <c r="E8650" s="6">
        <v>2.0</v>
      </c>
    </row>
    <row r="8651">
      <c r="A8651" s="4" t="s">
        <v>17178</v>
      </c>
      <c r="B8651" s="5" t="s">
        <v>17179</v>
      </c>
      <c r="C8651" s="6">
        <v>636.0</v>
      </c>
      <c r="D8651" s="6">
        <v>4.98630137</v>
      </c>
      <c r="E8651" s="6">
        <v>73.0</v>
      </c>
    </row>
    <row r="8652">
      <c r="A8652" s="4" t="s">
        <v>17180</v>
      </c>
      <c r="B8652" s="5" t="s">
        <v>17181</v>
      </c>
      <c r="C8652" s="6">
        <v>636.0</v>
      </c>
      <c r="D8652" s="6">
        <v>3.0</v>
      </c>
      <c r="E8652" s="6">
        <v>2.0</v>
      </c>
    </row>
    <row r="8653">
      <c r="A8653" s="4" t="s">
        <v>17182</v>
      </c>
      <c r="B8653" s="5" t="s">
        <v>17183</v>
      </c>
      <c r="C8653" s="6">
        <v>636.0</v>
      </c>
      <c r="D8653" s="6">
        <v>4.726027397</v>
      </c>
      <c r="E8653" s="6">
        <v>73.0</v>
      </c>
    </row>
    <row r="8654">
      <c r="A8654" s="4" t="s">
        <v>17184</v>
      </c>
      <c r="B8654" s="5" t="s">
        <v>17185</v>
      </c>
      <c r="C8654" s="6">
        <v>636.0</v>
      </c>
      <c r="D8654" s="6">
        <v>4.125</v>
      </c>
      <c r="E8654" s="6">
        <v>8.0</v>
      </c>
    </row>
    <row r="8655">
      <c r="A8655" s="4" t="s">
        <v>17186</v>
      </c>
      <c r="B8655" s="5" t="s">
        <v>17187</v>
      </c>
      <c r="C8655" s="6">
        <v>635.0</v>
      </c>
      <c r="D8655" s="6">
        <v>4.35</v>
      </c>
      <c r="E8655" s="6">
        <v>40.0</v>
      </c>
    </row>
    <row r="8656">
      <c r="A8656" s="4" t="s">
        <v>17188</v>
      </c>
      <c r="B8656" s="5" t="s">
        <v>17189</v>
      </c>
      <c r="C8656" s="6">
        <v>635.0</v>
      </c>
      <c r="D8656" s="6">
        <v>4.666666667</v>
      </c>
      <c r="E8656" s="6">
        <v>6.0</v>
      </c>
    </row>
    <row r="8657">
      <c r="A8657" s="4" t="s">
        <v>17190</v>
      </c>
      <c r="B8657" s="5" t="s">
        <v>17191</v>
      </c>
      <c r="C8657" s="6">
        <v>635.0</v>
      </c>
      <c r="D8657" s="6">
        <v>2.25</v>
      </c>
      <c r="E8657" s="6">
        <v>4.0</v>
      </c>
    </row>
    <row r="8658">
      <c r="A8658" s="4" t="s">
        <v>17192</v>
      </c>
      <c r="B8658" s="5" t="s">
        <v>17193</v>
      </c>
      <c r="C8658" s="6">
        <v>635.0</v>
      </c>
      <c r="D8658" s="6">
        <v>3.5</v>
      </c>
      <c r="E8658" s="6">
        <v>2.0</v>
      </c>
    </row>
    <row r="8659">
      <c r="A8659" s="4" t="s">
        <v>17194</v>
      </c>
      <c r="B8659" s="5" t="s">
        <v>17195</v>
      </c>
      <c r="C8659" s="6">
        <v>635.0</v>
      </c>
      <c r="D8659" s="6">
        <v>3.95</v>
      </c>
      <c r="E8659" s="6">
        <v>20.0</v>
      </c>
    </row>
    <row r="8660">
      <c r="A8660" s="4" t="s">
        <v>17196</v>
      </c>
      <c r="B8660" s="5" t="s">
        <v>17197</v>
      </c>
      <c r="C8660" s="6">
        <v>635.0</v>
      </c>
      <c r="D8660" s="6">
        <v>2.85</v>
      </c>
      <c r="E8660" s="6">
        <v>40.0</v>
      </c>
    </row>
    <row r="8661">
      <c r="A8661" s="4" t="s">
        <v>17198</v>
      </c>
      <c r="B8661" s="5" t="s">
        <v>17199</v>
      </c>
      <c r="C8661" s="6">
        <v>634.0</v>
      </c>
      <c r="D8661" s="6">
        <v>5.0</v>
      </c>
      <c r="E8661" s="6">
        <v>7.0</v>
      </c>
    </row>
    <row r="8662">
      <c r="A8662" s="4" t="s">
        <v>17200</v>
      </c>
      <c r="B8662" s="5" t="s">
        <v>17201</v>
      </c>
      <c r="C8662" s="6">
        <v>634.0</v>
      </c>
      <c r="D8662" s="6">
        <v>5.0</v>
      </c>
      <c r="E8662" s="6">
        <v>3.0</v>
      </c>
    </row>
    <row r="8663">
      <c r="A8663" s="4" t="s">
        <v>17202</v>
      </c>
      <c r="B8663" s="5" t="s">
        <v>17203</v>
      </c>
      <c r="C8663" s="6">
        <v>634.0</v>
      </c>
      <c r="D8663" s="6">
        <v>4.375</v>
      </c>
      <c r="E8663" s="6">
        <v>8.0</v>
      </c>
    </row>
    <row r="8664">
      <c r="A8664" s="4" t="s">
        <v>17204</v>
      </c>
      <c r="B8664" s="5" t="s">
        <v>17205</v>
      </c>
      <c r="C8664" s="6">
        <v>634.0</v>
      </c>
      <c r="D8664" s="6">
        <v>4.5</v>
      </c>
      <c r="E8664" s="6">
        <v>6.0</v>
      </c>
    </row>
    <row r="8665">
      <c r="A8665" s="4" t="s">
        <v>17206</v>
      </c>
      <c r="B8665" s="5" t="s">
        <v>17207</v>
      </c>
      <c r="C8665" s="6">
        <v>634.0</v>
      </c>
      <c r="D8665" s="6">
        <v>4.125</v>
      </c>
      <c r="E8665" s="6">
        <v>24.0</v>
      </c>
    </row>
    <row r="8666">
      <c r="A8666" s="4" t="s">
        <v>17208</v>
      </c>
      <c r="B8666" s="5" t="s">
        <v>17209</v>
      </c>
      <c r="C8666" s="6">
        <v>634.0</v>
      </c>
      <c r="D8666" s="6">
        <v>5.0</v>
      </c>
      <c r="E8666" s="6">
        <v>4.0</v>
      </c>
    </row>
    <row r="8667">
      <c r="A8667" s="4" t="s">
        <v>17210</v>
      </c>
      <c r="B8667" s="5" t="s">
        <v>17211</v>
      </c>
      <c r="C8667" s="6">
        <v>634.0</v>
      </c>
      <c r="D8667" s="6">
        <v>5.0</v>
      </c>
      <c r="E8667" s="6">
        <v>1.0</v>
      </c>
    </row>
    <row r="8668">
      <c r="A8668" s="4" t="s">
        <v>17212</v>
      </c>
      <c r="B8668" s="5" t="s">
        <v>17213</v>
      </c>
      <c r="C8668" s="6">
        <v>633.0</v>
      </c>
      <c r="D8668" s="6">
        <v>4.933333333</v>
      </c>
      <c r="E8668" s="6">
        <v>30.0</v>
      </c>
    </row>
    <row r="8669">
      <c r="A8669" s="4" t="s">
        <v>17214</v>
      </c>
      <c r="B8669" s="5" t="s">
        <v>17215</v>
      </c>
      <c r="C8669" s="6">
        <v>633.0</v>
      </c>
      <c r="D8669" s="6">
        <v>4.9375</v>
      </c>
      <c r="E8669" s="6">
        <v>32.0</v>
      </c>
    </row>
    <row r="8670">
      <c r="A8670" s="4" t="s">
        <v>17216</v>
      </c>
      <c r="B8670" s="5" t="s">
        <v>17217</v>
      </c>
      <c r="C8670" s="6">
        <v>633.0</v>
      </c>
      <c r="D8670" s="6">
        <v>4.166666667</v>
      </c>
      <c r="E8670" s="6">
        <v>6.0</v>
      </c>
    </row>
    <row r="8671">
      <c r="A8671" s="4" t="s">
        <v>17218</v>
      </c>
      <c r="B8671" s="5" t="s">
        <v>17219</v>
      </c>
      <c r="C8671" s="6">
        <v>633.0</v>
      </c>
      <c r="D8671" s="6">
        <v>5.0</v>
      </c>
      <c r="E8671" s="6">
        <v>2.0</v>
      </c>
    </row>
    <row r="8672">
      <c r="A8672" s="4" t="s">
        <v>17220</v>
      </c>
      <c r="B8672" s="5" t="s">
        <v>17221</v>
      </c>
      <c r="C8672" s="6">
        <v>633.0</v>
      </c>
      <c r="D8672" s="6">
        <v>4.111111111</v>
      </c>
      <c r="E8672" s="6">
        <v>9.0</v>
      </c>
    </row>
    <row r="8673">
      <c r="A8673" s="4" t="s">
        <v>15165</v>
      </c>
      <c r="B8673" s="5" t="s">
        <v>17222</v>
      </c>
      <c r="C8673" s="6">
        <v>633.0</v>
      </c>
      <c r="D8673" s="6">
        <v>3.583333333</v>
      </c>
      <c r="E8673" s="6">
        <v>12.0</v>
      </c>
    </row>
    <row r="8674">
      <c r="A8674" s="4" t="s">
        <v>17223</v>
      </c>
      <c r="B8674" s="5" t="s">
        <v>17224</v>
      </c>
      <c r="C8674" s="6">
        <v>633.0</v>
      </c>
      <c r="D8674" s="6">
        <v>4.111111111</v>
      </c>
      <c r="E8674" s="6">
        <v>9.0</v>
      </c>
    </row>
    <row r="8675">
      <c r="A8675" s="4" t="s">
        <v>17225</v>
      </c>
      <c r="B8675" s="5" t="s">
        <v>17226</v>
      </c>
      <c r="C8675" s="6">
        <v>633.0</v>
      </c>
      <c r="D8675" s="6">
        <v>5.0</v>
      </c>
      <c r="E8675" s="6">
        <v>1.0</v>
      </c>
    </row>
    <row r="8676">
      <c r="A8676" s="4" t="s">
        <v>17227</v>
      </c>
      <c r="B8676" s="5" t="s">
        <v>17228</v>
      </c>
      <c r="C8676" s="6">
        <v>633.0</v>
      </c>
      <c r="D8676" s="6">
        <v>5.0</v>
      </c>
      <c r="E8676" s="6">
        <v>1.0</v>
      </c>
    </row>
    <row r="8677">
      <c r="A8677" s="4" t="s">
        <v>17229</v>
      </c>
      <c r="B8677" s="5" t="s">
        <v>17230</v>
      </c>
      <c r="C8677" s="6">
        <v>632.0</v>
      </c>
      <c r="D8677" s="6">
        <v>4.6</v>
      </c>
      <c r="E8677" s="6">
        <v>10.0</v>
      </c>
    </row>
    <row r="8678">
      <c r="A8678" s="4" t="s">
        <v>17231</v>
      </c>
      <c r="B8678" s="5" t="s">
        <v>17232</v>
      </c>
      <c r="C8678" s="6">
        <v>632.0</v>
      </c>
      <c r="D8678" s="6">
        <v>2.857142857</v>
      </c>
      <c r="E8678" s="6">
        <v>7.0</v>
      </c>
    </row>
    <row r="8679">
      <c r="A8679" s="4" t="s">
        <v>17233</v>
      </c>
      <c r="B8679" s="5" t="s">
        <v>17234</v>
      </c>
      <c r="C8679" s="6">
        <v>632.0</v>
      </c>
      <c r="D8679" s="6">
        <v>5.0</v>
      </c>
      <c r="E8679" s="6">
        <v>5.0</v>
      </c>
    </row>
    <row r="8680">
      <c r="A8680" s="4" t="s">
        <v>17235</v>
      </c>
      <c r="B8680" s="5" t="s">
        <v>17236</v>
      </c>
      <c r="C8680" s="6">
        <v>632.0</v>
      </c>
      <c r="D8680" s="6">
        <v>2.972972973</v>
      </c>
      <c r="E8680" s="6">
        <v>37.0</v>
      </c>
    </row>
    <row r="8681">
      <c r="A8681" s="4" t="s">
        <v>17237</v>
      </c>
      <c r="B8681" s="5" t="s">
        <v>17238</v>
      </c>
      <c r="C8681" s="6">
        <v>632.0</v>
      </c>
      <c r="D8681" s="6">
        <v>3.0</v>
      </c>
      <c r="E8681" s="6">
        <v>2.0</v>
      </c>
    </row>
    <row r="8682">
      <c r="A8682" s="4" t="s">
        <v>17239</v>
      </c>
      <c r="B8682" s="5" t="s">
        <v>17240</v>
      </c>
      <c r="C8682" s="6">
        <v>632.0</v>
      </c>
      <c r="D8682" s="6">
        <v>5.0</v>
      </c>
      <c r="E8682" s="6">
        <v>4.0</v>
      </c>
    </row>
    <row r="8683">
      <c r="A8683" s="4" t="s">
        <v>17241</v>
      </c>
      <c r="B8683" s="5" t="s">
        <v>17242</v>
      </c>
      <c r="C8683" s="6">
        <v>632.0</v>
      </c>
      <c r="D8683" s="6">
        <v>5.0</v>
      </c>
      <c r="E8683" s="6">
        <v>5.0</v>
      </c>
    </row>
    <row r="8684">
      <c r="A8684" s="4" t="s">
        <v>17243</v>
      </c>
      <c r="B8684" s="5" t="s">
        <v>17244</v>
      </c>
      <c r="C8684" s="6">
        <v>632.0</v>
      </c>
      <c r="D8684" s="6">
        <v>4.8</v>
      </c>
      <c r="E8684" s="6">
        <v>5.0</v>
      </c>
    </row>
    <row r="8685">
      <c r="A8685" s="4" t="s">
        <v>17245</v>
      </c>
      <c r="B8685" s="5" t="s">
        <v>17246</v>
      </c>
      <c r="C8685" s="6">
        <v>631.0</v>
      </c>
      <c r="D8685" s="6">
        <v>4.5</v>
      </c>
      <c r="E8685" s="6">
        <v>8.0</v>
      </c>
    </row>
    <row r="8686">
      <c r="A8686" s="4" t="s">
        <v>17247</v>
      </c>
      <c r="B8686" s="5" t="s">
        <v>17248</v>
      </c>
      <c r="C8686" s="6">
        <v>631.0</v>
      </c>
      <c r="D8686" s="6">
        <v>2.833333333</v>
      </c>
      <c r="E8686" s="6">
        <v>6.0</v>
      </c>
    </row>
    <row r="8687">
      <c r="A8687" s="4" t="s">
        <v>17249</v>
      </c>
      <c r="B8687" s="5" t="s">
        <v>17250</v>
      </c>
      <c r="C8687" s="6">
        <v>631.0</v>
      </c>
      <c r="D8687" s="6">
        <v>3.540540541</v>
      </c>
      <c r="E8687" s="6">
        <v>37.0</v>
      </c>
    </row>
    <row r="8688">
      <c r="A8688" s="4" t="s">
        <v>17251</v>
      </c>
      <c r="B8688" s="5" t="s">
        <v>17252</v>
      </c>
      <c r="C8688" s="6">
        <v>631.0</v>
      </c>
      <c r="D8688" s="6">
        <v>3.230769231</v>
      </c>
      <c r="E8688" s="6">
        <v>13.0</v>
      </c>
    </row>
    <row r="8689">
      <c r="A8689" s="4" t="s">
        <v>17253</v>
      </c>
      <c r="B8689" s="5" t="s">
        <v>17254</v>
      </c>
      <c r="C8689" s="6">
        <v>631.0</v>
      </c>
      <c r="D8689" s="9"/>
      <c r="E8689" s="9"/>
    </row>
    <row r="8690">
      <c r="A8690" s="4" t="s">
        <v>17255</v>
      </c>
      <c r="B8690" s="5" t="s">
        <v>17256</v>
      </c>
      <c r="C8690" s="6">
        <v>630.0</v>
      </c>
      <c r="D8690" s="6">
        <v>5.0</v>
      </c>
      <c r="E8690" s="6">
        <v>3.0</v>
      </c>
    </row>
    <row r="8691">
      <c r="A8691" s="4" t="s">
        <v>17257</v>
      </c>
      <c r="B8691" s="5" t="s">
        <v>17258</v>
      </c>
      <c r="C8691" s="6">
        <v>630.0</v>
      </c>
      <c r="D8691" s="6">
        <v>5.0</v>
      </c>
      <c r="E8691" s="6">
        <v>2.0</v>
      </c>
    </row>
    <row r="8692">
      <c r="A8692" s="4" t="s">
        <v>17259</v>
      </c>
      <c r="B8692" s="5" t="s">
        <v>17260</v>
      </c>
      <c r="C8692" s="6">
        <v>630.0</v>
      </c>
      <c r="D8692" s="6">
        <v>5.0</v>
      </c>
      <c r="E8692" s="6">
        <v>2.0</v>
      </c>
    </row>
    <row r="8693">
      <c r="A8693" s="4" t="s">
        <v>17261</v>
      </c>
      <c r="B8693" s="5" t="s">
        <v>17262</v>
      </c>
      <c r="C8693" s="6">
        <v>630.0</v>
      </c>
      <c r="D8693" s="6">
        <v>3.357142857</v>
      </c>
      <c r="E8693" s="6">
        <v>14.0</v>
      </c>
    </row>
    <row r="8694">
      <c r="A8694" s="4" t="s">
        <v>17263</v>
      </c>
      <c r="B8694" s="5" t="s">
        <v>17264</v>
      </c>
      <c r="C8694" s="6">
        <v>630.0</v>
      </c>
      <c r="D8694" s="6">
        <v>5.0</v>
      </c>
      <c r="E8694" s="6">
        <v>10.0</v>
      </c>
    </row>
    <row r="8695">
      <c r="A8695" s="4" t="s">
        <v>17265</v>
      </c>
      <c r="B8695" s="5" t="s">
        <v>17266</v>
      </c>
      <c r="C8695" s="6">
        <v>630.0</v>
      </c>
      <c r="D8695" s="6">
        <v>4.888888889</v>
      </c>
      <c r="E8695" s="6">
        <v>18.0</v>
      </c>
    </row>
    <row r="8696">
      <c r="A8696" s="4" t="s">
        <v>17267</v>
      </c>
      <c r="B8696" s="5" t="s">
        <v>17268</v>
      </c>
      <c r="C8696" s="6">
        <v>630.0</v>
      </c>
      <c r="D8696" s="6">
        <v>4.333333333</v>
      </c>
      <c r="E8696" s="6">
        <v>6.0</v>
      </c>
    </row>
    <row r="8697">
      <c r="A8697" s="4" t="s">
        <v>17269</v>
      </c>
      <c r="B8697" s="5" t="s">
        <v>17270</v>
      </c>
      <c r="C8697" s="6">
        <v>629.0</v>
      </c>
      <c r="D8697" s="6">
        <v>4.6</v>
      </c>
      <c r="E8697" s="6">
        <v>5.0</v>
      </c>
    </row>
    <row r="8698">
      <c r="A8698" s="4" t="s">
        <v>17271</v>
      </c>
      <c r="B8698" s="5" t="s">
        <v>17272</v>
      </c>
      <c r="C8698" s="6">
        <v>629.0</v>
      </c>
      <c r="D8698" s="6">
        <v>3.333333333</v>
      </c>
      <c r="E8698" s="6">
        <v>3.0</v>
      </c>
    </row>
    <row r="8699">
      <c r="A8699" s="4" t="s">
        <v>17273</v>
      </c>
      <c r="B8699" s="5" t="s">
        <v>17274</v>
      </c>
      <c r="C8699" s="6">
        <v>629.0</v>
      </c>
      <c r="D8699" s="6">
        <v>5.0</v>
      </c>
      <c r="E8699" s="6">
        <v>11.0</v>
      </c>
    </row>
    <row r="8700">
      <c r="A8700" s="4" t="s">
        <v>17275</v>
      </c>
      <c r="B8700" s="5" t="s">
        <v>17276</v>
      </c>
      <c r="C8700" s="6">
        <v>629.0</v>
      </c>
      <c r="D8700" s="6">
        <v>4.2</v>
      </c>
      <c r="E8700" s="6">
        <v>5.0</v>
      </c>
    </row>
    <row r="8701">
      <c r="A8701" s="4" t="s">
        <v>17277</v>
      </c>
      <c r="B8701" s="5" t="s">
        <v>17278</v>
      </c>
      <c r="C8701" s="6">
        <v>629.0</v>
      </c>
      <c r="D8701" s="6">
        <v>1.0</v>
      </c>
      <c r="E8701" s="6">
        <v>1.0</v>
      </c>
    </row>
    <row r="8702">
      <c r="A8702" s="4" t="s">
        <v>17279</v>
      </c>
      <c r="B8702" s="5" t="s">
        <v>17280</v>
      </c>
      <c r="C8702" s="6">
        <v>628.0</v>
      </c>
      <c r="D8702" s="6">
        <v>5.0</v>
      </c>
      <c r="E8702" s="6">
        <v>1.0</v>
      </c>
    </row>
    <row r="8703">
      <c r="A8703" s="4" t="s">
        <v>17281</v>
      </c>
      <c r="B8703" s="5" t="s">
        <v>17282</v>
      </c>
      <c r="C8703" s="6">
        <v>628.0</v>
      </c>
      <c r="D8703" s="6">
        <v>4.0</v>
      </c>
      <c r="E8703" s="6">
        <v>5.0</v>
      </c>
    </row>
    <row r="8704">
      <c r="A8704" s="4" t="s">
        <v>17283</v>
      </c>
      <c r="B8704" s="5" t="s">
        <v>17284</v>
      </c>
      <c r="C8704" s="6">
        <v>628.0</v>
      </c>
      <c r="D8704" s="6">
        <v>5.0</v>
      </c>
      <c r="E8704" s="6">
        <v>1.0</v>
      </c>
    </row>
    <row r="8705">
      <c r="A8705" s="4" t="s">
        <v>17285</v>
      </c>
      <c r="B8705" s="5" t="s">
        <v>17286</v>
      </c>
      <c r="C8705" s="6">
        <v>628.0</v>
      </c>
      <c r="D8705" s="6">
        <v>2.142857143</v>
      </c>
      <c r="E8705" s="6">
        <v>14.0</v>
      </c>
    </row>
    <row r="8706">
      <c r="A8706" s="4" t="s">
        <v>17287</v>
      </c>
      <c r="B8706" s="5" t="s">
        <v>17288</v>
      </c>
      <c r="C8706" s="6">
        <v>628.0</v>
      </c>
      <c r="D8706" s="6">
        <v>4.5</v>
      </c>
      <c r="E8706" s="6">
        <v>4.0</v>
      </c>
    </row>
    <row r="8707">
      <c r="A8707" s="4" t="s">
        <v>17289</v>
      </c>
      <c r="B8707" s="5" t="s">
        <v>17290</v>
      </c>
      <c r="C8707" s="6">
        <v>627.0</v>
      </c>
      <c r="D8707" s="6">
        <v>3.2</v>
      </c>
      <c r="E8707" s="6">
        <v>10.0</v>
      </c>
    </row>
    <row r="8708">
      <c r="A8708" s="4" t="s">
        <v>17291</v>
      </c>
      <c r="B8708" s="5" t="s">
        <v>17292</v>
      </c>
      <c r="C8708" s="6">
        <v>627.0</v>
      </c>
      <c r="D8708" s="6">
        <v>4.0</v>
      </c>
      <c r="E8708" s="6">
        <v>2.0</v>
      </c>
    </row>
    <row r="8709">
      <c r="A8709" s="4" t="s">
        <v>17293</v>
      </c>
      <c r="B8709" s="5" t="s">
        <v>17294</v>
      </c>
      <c r="C8709" s="6">
        <v>627.0</v>
      </c>
      <c r="D8709" s="6">
        <v>3.666666667</v>
      </c>
      <c r="E8709" s="6">
        <v>3.0</v>
      </c>
    </row>
    <row r="8710">
      <c r="A8710" s="4" t="s">
        <v>17295</v>
      </c>
      <c r="B8710" s="5" t="s">
        <v>17296</v>
      </c>
      <c r="C8710" s="6">
        <v>627.0</v>
      </c>
      <c r="D8710" s="9"/>
      <c r="E8710" s="9"/>
    </row>
    <row r="8711">
      <c r="A8711" s="4" t="s">
        <v>17297</v>
      </c>
      <c r="B8711" s="5" t="s">
        <v>17298</v>
      </c>
      <c r="C8711" s="6">
        <v>626.0</v>
      </c>
      <c r="D8711" s="6">
        <v>4.666666667</v>
      </c>
      <c r="E8711" s="6">
        <v>6.0</v>
      </c>
    </row>
    <row r="8712">
      <c r="A8712" s="4" t="s">
        <v>17299</v>
      </c>
      <c r="B8712" s="5" t="s">
        <v>17300</v>
      </c>
      <c r="C8712" s="6">
        <v>626.0</v>
      </c>
      <c r="D8712" s="6">
        <v>4.222222222</v>
      </c>
      <c r="E8712" s="6">
        <v>9.0</v>
      </c>
    </row>
    <row r="8713">
      <c r="A8713" s="4" t="s">
        <v>17301</v>
      </c>
      <c r="B8713" s="5" t="s">
        <v>17302</v>
      </c>
      <c r="C8713" s="6">
        <v>626.0</v>
      </c>
      <c r="D8713" s="6">
        <v>5.0</v>
      </c>
      <c r="E8713" s="6">
        <v>4.0</v>
      </c>
    </row>
    <row r="8714">
      <c r="A8714" s="4" t="s">
        <v>17303</v>
      </c>
      <c r="B8714" s="5" t="s">
        <v>17304</v>
      </c>
      <c r="C8714" s="6">
        <v>626.0</v>
      </c>
      <c r="D8714" s="6">
        <v>4.714285714</v>
      </c>
      <c r="E8714" s="6">
        <v>28.0</v>
      </c>
    </row>
    <row r="8715">
      <c r="A8715" s="4" t="s">
        <v>17305</v>
      </c>
      <c r="B8715" s="5" t="s">
        <v>17306</v>
      </c>
      <c r="C8715" s="6">
        <v>626.0</v>
      </c>
      <c r="D8715" s="6">
        <v>3.0</v>
      </c>
      <c r="E8715" s="6">
        <v>3.0</v>
      </c>
    </row>
    <row r="8716">
      <c r="A8716" s="4" t="s">
        <v>17307</v>
      </c>
      <c r="B8716" s="5" t="s">
        <v>17308</v>
      </c>
      <c r="C8716" s="6">
        <v>625.0</v>
      </c>
      <c r="D8716" s="6">
        <v>4.052631579</v>
      </c>
      <c r="E8716" s="6">
        <v>19.0</v>
      </c>
    </row>
    <row r="8717">
      <c r="A8717" s="4" t="s">
        <v>17309</v>
      </c>
      <c r="B8717" s="5" t="s">
        <v>17310</v>
      </c>
      <c r="C8717" s="6">
        <v>625.0</v>
      </c>
      <c r="D8717" s="6">
        <v>5.0</v>
      </c>
      <c r="E8717" s="6">
        <v>1.0</v>
      </c>
    </row>
    <row r="8718">
      <c r="A8718" s="4" t="s">
        <v>17311</v>
      </c>
      <c r="B8718" s="5" t="s">
        <v>17312</v>
      </c>
      <c r="C8718" s="6">
        <v>625.0</v>
      </c>
      <c r="D8718" s="6">
        <v>4.772727273</v>
      </c>
      <c r="E8718" s="6">
        <v>22.0</v>
      </c>
    </row>
    <row r="8719">
      <c r="A8719" s="4" t="s">
        <v>17313</v>
      </c>
      <c r="B8719" s="5" t="s">
        <v>17314</v>
      </c>
      <c r="C8719" s="6">
        <v>625.0</v>
      </c>
      <c r="D8719" s="6">
        <v>5.0</v>
      </c>
      <c r="E8719" s="6">
        <v>5.0</v>
      </c>
    </row>
    <row r="8720">
      <c r="A8720" s="4" t="s">
        <v>17315</v>
      </c>
      <c r="B8720" s="5" t="s">
        <v>17316</v>
      </c>
      <c r="C8720" s="6">
        <v>625.0</v>
      </c>
      <c r="D8720" s="6">
        <v>4.25</v>
      </c>
      <c r="E8720" s="6">
        <v>4.0</v>
      </c>
    </row>
    <row r="8721">
      <c r="A8721" s="4" t="s">
        <v>17317</v>
      </c>
      <c r="B8721" s="5" t="s">
        <v>17318</v>
      </c>
      <c r="C8721" s="6">
        <v>625.0</v>
      </c>
      <c r="D8721" s="6">
        <v>5.0</v>
      </c>
      <c r="E8721" s="6">
        <v>6.0</v>
      </c>
    </row>
    <row r="8722">
      <c r="A8722" s="4" t="s">
        <v>17319</v>
      </c>
      <c r="B8722" s="5" t="s">
        <v>17320</v>
      </c>
      <c r="C8722" s="6">
        <v>625.0</v>
      </c>
      <c r="D8722" s="6">
        <v>3.428571429</v>
      </c>
      <c r="E8722" s="6">
        <v>7.0</v>
      </c>
    </row>
    <row r="8723">
      <c r="A8723" s="5" t="s">
        <v>17321</v>
      </c>
      <c r="B8723" s="5" t="s">
        <v>17322</v>
      </c>
      <c r="C8723" s="6">
        <v>624.0</v>
      </c>
      <c r="D8723" s="6">
        <v>4.333333333</v>
      </c>
      <c r="E8723" s="6">
        <v>3.0</v>
      </c>
    </row>
    <row r="8724">
      <c r="A8724" s="4" t="s">
        <v>227</v>
      </c>
      <c r="B8724" s="5" t="s">
        <v>17323</v>
      </c>
      <c r="C8724" s="6">
        <v>624.0</v>
      </c>
      <c r="D8724" s="6">
        <v>4.0</v>
      </c>
      <c r="E8724" s="6">
        <v>5.0</v>
      </c>
    </row>
    <row r="8725">
      <c r="A8725" s="4" t="s">
        <v>17324</v>
      </c>
      <c r="B8725" s="5" t="s">
        <v>17325</v>
      </c>
      <c r="C8725" s="6">
        <v>624.0</v>
      </c>
      <c r="D8725" s="6">
        <v>4.857142857</v>
      </c>
      <c r="E8725" s="6">
        <v>14.0</v>
      </c>
    </row>
    <row r="8726">
      <c r="A8726" s="4" t="s">
        <v>17326</v>
      </c>
      <c r="B8726" s="5" t="s">
        <v>17327</v>
      </c>
      <c r="C8726" s="6">
        <v>624.0</v>
      </c>
      <c r="D8726" s="6">
        <v>4.0</v>
      </c>
      <c r="E8726" s="6">
        <v>2.0</v>
      </c>
    </row>
    <row r="8727">
      <c r="A8727" s="4" t="s">
        <v>17328</v>
      </c>
      <c r="B8727" s="5" t="s">
        <v>17329</v>
      </c>
      <c r="C8727" s="6">
        <v>624.0</v>
      </c>
      <c r="D8727" s="6">
        <v>5.0</v>
      </c>
      <c r="E8727" s="6">
        <v>6.0</v>
      </c>
    </row>
    <row r="8728">
      <c r="A8728" s="4" t="s">
        <v>17330</v>
      </c>
      <c r="B8728" s="5" t="s">
        <v>17331</v>
      </c>
      <c r="C8728" s="6">
        <v>624.0</v>
      </c>
      <c r="D8728" s="6">
        <v>3.454545455</v>
      </c>
      <c r="E8728" s="6">
        <v>11.0</v>
      </c>
    </row>
    <row r="8729">
      <c r="A8729" s="4" t="s">
        <v>17332</v>
      </c>
      <c r="B8729" s="5" t="s">
        <v>17333</v>
      </c>
      <c r="C8729" s="6">
        <v>623.0</v>
      </c>
      <c r="D8729" s="6">
        <v>4.111111111</v>
      </c>
      <c r="E8729" s="6">
        <v>18.0</v>
      </c>
    </row>
    <row r="8730">
      <c r="A8730" s="4" t="s">
        <v>17334</v>
      </c>
      <c r="B8730" s="5" t="s">
        <v>17335</v>
      </c>
      <c r="C8730" s="6">
        <v>623.0</v>
      </c>
      <c r="D8730" s="6">
        <v>4.806451613</v>
      </c>
      <c r="E8730" s="6">
        <v>31.0</v>
      </c>
    </row>
    <row r="8731">
      <c r="A8731" s="4" t="s">
        <v>17336</v>
      </c>
      <c r="B8731" s="5" t="s">
        <v>17337</v>
      </c>
      <c r="C8731" s="6">
        <v>623.0</v>
      </c>
      <c r="D8731" s="6">
        <v>2.5</v>
      </c>
      <c r="E8731" s="6">
        <v>2.0</v>
      </c>
    </row>
    <row r="8732">
      <c r="A8732" s="4" t="s">
        <v>17338</v>
      </c>
      <c r="B8732" s="5" t="s">
        <v>17339</v>
      </c>
      <c r="C8732" s="6">
        <v>623.0</v>
      </c>
      <c r="D8732" s="6">
        <v>3.8</v>
      </c>
      <c r="E8732" s="6">
        <v>5.0</v>
      </c>
    </row>
    <row r="8733">
      <c r="A8733" s="4" t="s">
        <v>17340</v>
      </c>
      <c r="B8733" s="5" t="s">
        <v>17341</v>
      </c>
      <c r="C8733" s="6">
        <v>623.0</v>
      </c>
      <c r="D8733" s="6">
        <v>3.4</v>
      </c>
      <c r="E8733" s="6">
        <v>5.0</v>
      </c>
    </row>
    <row r="8734">
      <c r="A8734" s="4" t="s">
        <v>17342</v>
      </c>
      <c r="B8734" s="5" t="s">
        <v>17343</v>
      </c>
      <c r="C8734" s="6">
        <v>623.0</v>
      </c>
      <c r="D8734" s="6">
        <v>4.076923077</v>
      </c>
      <c r="E8734" s="6">
        <v>13.0</v>
      </c>
    </row>
    <row r="8735">
      <c r="A8735" s="4" t="s">
        <v>17344</v>
      </c>
      <c r="B8735" s="5" t="s">
        <v>17345</v>
      </c>
      <c r="C8735" s="6">
        <v>622.0</v>
      </c>
      <c r="D8735" s="6">
        <v>3.594594595</v>
      </c>
      <c r="E8735" s="6">
        <v>37.0</v>
      </c>
    </row>
    <row r="8736">
      <c r="A8736" s="4" t="s">
        <v>17346</v>
      </c>
      <c r="B8736" s="5" t="s">
        <v>17347</v>
      </c>
      <c r="C8736" s="6">
        <v>622.0</v>
      </c>
      <c r="D8736" s="6">
        <v>4.636363636</v>
      </c>
      <c r="E8736" s="6">
        <v>11.0</v>
      </c>
    </row>
    <row r="8737">
      <c r="A8737" s="4" t="s">
        <v>17348</v>
      </c>
      <c r="B8737" s="5" t="s">
        <v>17349</v>
      </c>
      <c r="C8737" s="6">
        <v>622.0</v>
      </c>
      <c r="D8737" s="6">
        <v>4.25</v>
      </c>
      <c r="E8737" s="6">
        <v>4.0</v>
      </c>
    </row>
    <row r="8738">
      <c r="A8738" s="4" t="s">
        <v>17350</v>
      </c>
      <c r="B8738" s="5" t="s">
        <v>17351</v>
      </c>
      <c r="C8738" s="6">
        <v>622.0</v>
      </c>
      <c r="D8738" s="6">
        <v>3.625</v>
      </c>
      <c r="E8738" s="6">
        <v>8.0</v>
      </c>
    </row>
    <row r="8739">
      <c r="A8739" s="4" t="s">
        <v>17352</v>
      </c>
      <c r="B8739" s="5" t="s">
        <v>17353</v>
      </c>
      <c r="C8739" s="6">
        <v>622.0</v>
      </c>
      <c r="D8739" s="6">
        <v>4.407407407</v>
      </c>
      <c r="E8739" s="6">
        <v>27.0</v>
      </c>
    </row>
    <row r="8740">
      <c r="A8740" s="4" t="s">
        <v>17354</v>
      </c>
      <c r="B8740" s="5" t="s">
        <v>17355</v>
      </c>
      <c r="C8740" s="6">
        <v>622.0</v>
      </c>
      <c r="D8740" s="6">
        <v>3.4</v>
      </c>
      <c r="E8740" s="6">
        <v>10.0</v>
      </c>
    </row>
    <row r="8741">
      <c r="A8741" s="4" t="s">
        <v>17356</v>
      </c>
      <c r="B8741" s="5" t="s">
        <v>17357</v>
      </c>
      <c r="C8741" s="6">
        <v>621.0</v>
      </c>
      <c r="D8741" s="6">
        <v>2.833333333</v>
      </c>
      <c r="E8741" s="6">
        <v>6.0</v>
      </c>
    </row>
    <row r="8742">
      <c r="A8742" s="4" t="s">
        <v>17358</v>
      </c>
      <c r="B8742" s="12" t="s">
        <v>17359</v>
      </c>
      <c r="C8742" s="6">
        <v>621.0</v>
      </c>
      <c r="D8742" s="6">
        <v>4.9</v>
      </c>
      <c r="E8742" s="6">
        <v>237.0</v>
      </c>
    </row>
    <row r="8743">
      <c r="A8743" s="4" t="s">
        <v>17360</v>
      </c>
      <c r="B8743" s="5" t="s">
        <v>17361</v>
      </c>
      <c r="C8743" s="6">
        <v>621.0</v>
      </c>
      <c r="D8743" s="9"/>
      <c r="E8743" s="9"/>
    </row>
    <row r="8744">
      <c r="A8744" s="4" t="s">
        <v>17362</v>
      </c>
      <c r="B8744" s="5" t="s">
        <v>17363</v>
      </c>
      <c r="C8744" s="6">
        <v>621.0</v>
      </c>
      <c r="D8744" s="6">
        <v>1.35</v>
      </c>
      <c r="E8744" s="6">
        <v>80.0</v>
      </c>
    </row>
    <row r="8745">
      <c r="A8745" s="5" t="s">
        <v>17364</v>
      </c>
      <c r="B8745" s="5" t="s">
        <v>17365</v>
      </c>
      <c r="C8745" s="6">
        <v>621.0</v>
      </c>
      <c r="D8745" s="6">
        <v>2.0625</v>
      </c>
      <c r="E8745" s="6">
        <v>16.0</v>
      </c>
    </row>
    <row r="8746">
      <c r="A8746" s="4" t="s">
        <v>17366</v>
      </c>
      <c r="B8746" s="5" t="s">
        <v>17367</v>
      </c>
      <c r="C8746" s="6">
        <v>621.0</v>
      </c>
      <c r="D8746" s="6">
        <v>4.142857143</v>
      </c>
      <c r="E8746" s="6">
        <v>21.0</v>
      </c>
    </row>
    <row r="8747">
      <c r="A8747" s="4" t="s">
        <v>17368</v>
      </c>
      <c r="B8747" s="5" t="s">
        <v>17369</v>
      </c>
      <c r="C8747" s="6">
        <v>621.0</v>
      </c>
      <c r="D8747" s="6">
        <v>2.8</v>
      </c>
      <c r="E8747" s="6">
        <v>5.0</v>
      </c>
    </row>
    <row r="8748">
      <c r="A8748" s="4" t="s">
        <v>17370</v>
      </c>
      <c r="B8748" s="5" t="s">
        <v>17371</v>
      </c>
      <c r="C8748" s="6">
        <v>621.0</v>
      </c>
      <c r="D8748" s="6">
        <v>5.0</v>
      </c>
      <c r="E8748" s="6">
        <v>5.0</v>
      </c>
    </row>
    <row r="8749">
      <c r="A8749" s="4" t="s">
        <v>17372</v>
      </c>
      <c r="B8749" s="5" t="s">
        <v>17373</v>
      </c>
      <c r="C8749" s="6">
        <v>621.0</v>
      </c>
      <c r="D8749" s="6">
        <v>4.222222222</v>
      </c>
      <c r="E8749" s="6">
        <v>18.0</v>
      </c>
    </row>
    <row r="8750">
      <c r="A8750" s="4" t="s">
        <v>17374</v>
      </c>
      <c r="B8750" s="5" t="s">
        <v>17375</v>
      </c>
      <c r="C8750" s="6">
        <v>620.0</v>
      </c>
      <c r="D8750" s="6">
        <v>3.0</v>
      </c>
      <c r="E8750" s="6">
        <v>2.0</v>
      </c>
    </row>
    <row r="8751">
      <c r="A8751" s="4" t="s">
        <v>17376</v>
      </c>
      <c r="B8751" s="5" t="s">
        <v>17377</v>
      </c>
      <c r="C8751" s="6">
        <v>620.0</v>
      </c>
      <c r="D8751" s="6">
        <v>3.0</v>
      </c>
      <c r="E8751" s="6">
        <v>10.0</v>
      </c>
    </row>
    <row r="8752">
      <c r="A8752" s="4" t="s">
        <v>17378</v>
      </c>
      <c r="B8752" s="5" t="s">
        <v>17379</v>
      </c>
      <c r="C8752" s="6">
        <v>620.0</v>
      </c>
      <c r="D8752" s="6">
        <v>3.666666667</v>
      </c>
      <c r="E8752" s="6">
        <v>15.0</v>
      </c>
    </row>
    <row r="8753">
      <c r="A8753" s="4" t="s">
        <v>17380</v>
      </c>
      <c r="B8753" s="5" t="s">
        <v>17381</v>
      </c>
      <c r="C8753" s="6">
        <v>620.0</v>
      </c>
      <c r="D8753" s="6">
        <v>4.0</v>
      </c>
      <c r="E8753" s="6">
        <v>14.0</v>
      </c>
    </row>
    <row r="8754">
      <c r="A8754" s="4" t="s">
        <v>17382</v>
      </c>
      <c r="B8754" s="5" t="s">
        <v>17383</v>
      </c>
      <c r="C8754" s="6">
        <v>620.0</v>
      </c>
      <c r="D8754" s="6">
        <v>3.666666667</v>
      </c>
      <c r="E8754" s="6">
        <v>6.0</v>
      </c>
    </row>
    <row r="8755">
      <c r="A8755" s="4" t="s">
        <v>17384</v>
      </c>
      <c r="B8755" s="5" t="s">
        <v>17385</v>
      </c>
      <c r="C8755" s="6">
        <v>620.0</v>
      </c>
      <c r="D8755" s="6">
        <v>4.95</v>
      </c>
      <c r="E8755" s="6">
        <v>20.0</v>
      </c>
    </row>
    <row r="8756">
      <c r="A8756" s="4" t="s">
        <v>17386</v>
      </c>
      <c r="B8756" s="5" t="s">
        <v>17387</v>
      </c>
      <c r="C8756" s="6">
        <v>620.0</v>
      </c>
      <c r="D8756" s="6">
        <v>5.0</v>
      </c>
      <c r="E8756" s="6">
        <v>5.0</v>
      </c>
    </row>
    <row r="8757">
      <c r="A8757" s="4" t="s">
        <v>17388</v>
      </c>
      <c r="B8757" s="5" t="s">
        <v>17389</v>
      </c>
      <c r="C8757" s="6">
        <v>620.0</v>
      </c>
      <c r="D8757" s="6">
        <v>4.85106383</v>
      </c>
      <c r="E8757" s="6">
        <v>94.0</v>
      </c>
    </row>
    <row r="8758">
      <c r="A8758" s="4" t="s">
        <v>17390</v>
      </c>
      <c r="B8758" s="5" t="s">
        <v>17391</v>
      </c>
      <c r="C8758" s="6">
        <v>620.0</v>
      </c>
      <c r="D8758" s="6">
        <v>2.4</v>
      </c>
      <c r="E8758" s="6">
        <v>5.0</v>
      </c>
    </row>
    <row r="8759">
      <c r="A8759" s="4" t="s">
        <v>17392</v>
      </c>
      <c r="B8759" s="5" t="s">
        <v>17393</v>
      </c>
      <c r="C8759" s="6">
        <v>620.0</v>
      </c>
      <c r="D8759" s="6">
        <v>4.6</v>
      </c>
      <c r="E8759" s="6">
        <v>5.0</v>
      </c>
    </row>
    <row r="8760">
      <c r="A8760" s="4" t="s">
        <v>17394</v>
      </c>
      <c r="B8760" s="5" t="s">
        <v>17395</v>
      </c>
      <c r="C8760" s="6">
        <v>620.0</v>
      </c>
      <c r="D8760" s="6">
        <v>4.833333333</v>
      </c>
      <c r="E8760" s="6">
        <v>12.0</v>
      </c>
    </row>
    <row r="8761">
      <c r="A8761" s="4" t="s">
        <v>17396</v>
      </c>
      <c r="B8761" s="5" t="s">
        <v>17397</v>
      </c>
      <c r="C8761" s="6">
        <v>620.0</v>
      </c>
      <c r="D8761" s="6">
        <v>4.105263158</v>
      </c>
      <c r="E8761" s="6">
        <v>19.0</v>
      </c>
    </row>
    <row r="8762">
      <c r="A8762" s="4" t="s">
        <v>17398</v>
      </c>
      <c r="B8762" s="5" t="s">
        <v>17399</v>
      </c>
      <c r="C8762" s="6">
        <v>619.0</v>
      </c>
      <c r="D8762" s="6">
        <v>4.571428571</v>
      </c>
      <c r="E8762" s="6">
        <v>35.0</v>
      </c>
    </row>
    <row r="8763">
      <c r="A8763" s="4" t="s">
        <v>17400</v>
      </c>
      <c r="B8763" s="5" t="s">
        <v>17401</v>
      </c>
      <c r="C8763" s="6">
        <v>619.0</v>
      </c>
      <c r="D8763" s="6">
        <v>1.0</v>
      </c>
      <c r="E8763" s="6">
        <v>1.0</v>
      </c>
    </row>
    <row r="8764">
      <c r="A8764" s="4" t="s">
        <v>17402</v>
      </c>
      <c r="B8764" s="5" t="s">
        <v>17403</v>
      </c>
      <c r="C8764" s="6">
        <v>619.0</v>
      </c>
      <c r="D8764" s="6">
        <v>5.0</v>
      </c>
      <c r="E8764" s="6">
        <v>4.0</v>
      </c>
    </row>
    <row r="8765">
      <c r="A8765" s="4" t="s">
        <v>17404</v>
      </c>
      <c r="B8765" s="5" t="s">
        <v>17405</v>
      </c>
      <c r="C8765" s="6">
        <v>619.0</v>
      </c>
      <c r="D8765" s="9"/>
      <c r="E8765" s="9"/>
    </row>
    <row r="8766">
      <c r="A8766" s="4" t="s">
        <v>17406</v>
      </c>
      <c r="B8766" s="5" t="s">
        <v>17407</v>
      </c>
      <c r="C8766" s="6">
        <v>619.0</v>
      </c>
      <c r="D8766" s="6">
        <v>1.454545455</v>
      </c>
      <c r="E8766" s="6">
        <v>22.0</v>
      </c>
    </row>
    <row r="8767">
      <c r="A8767" s="4" t="s">
        <v>17408</v>
      </c>
      <c r="B8767" s="5" t="s">
        <v>17409</v>
      </c>
      <c r="C8767" s="6">
        <v>619.0</v>
      </c>
      <c r="D8767" s="6">
        <v>4.333333333</v>
      </c>
      <c r="E8767" s="6">
        <v>6.0</v>
      </c>
    </row>
    <row r="8768">
      <c r="A8768" s="4" t="s">
        <v>17410</v>
      </c>
      <c r="B8768" s="5" t="s">
        <v>17411</v>
      </c>
      <c r="C8768" s="6">
        <v>619.0</v>
      </c>
      <c r="D8768" s="6">
        <v>4.920289855</v>
      </c>
      <c r="E8768" s="6">
        <v>138.0</v>
      </c>
    </row>
    <row r="8769">
      <c r="A8769" s="4" t="s">
        <v>17412</v>
      </c>
      <c r="B8769" s="5" t="s">
        <v>17413</v>
      </c>
      <c r="C8769" s="6">
        <v>618.0</v>
      </c>
      <c r="D8769" s="6">
        <v>4.333333333</v>
      </c>
      <c r="E8769" s="6">
        <v>12.0</v>
      </c>
    </row>
    <row r="8770">
      <c r="A8770" s="4" t="s">
        <v>17414</v>
      </c>
      <c r="B8770" s="5" t="s">
        <v>17415</v>
      </c>
      <c r="C8770" s="6">
        <v>617.0</v>
      </c>
      <c r="D8770" s="6">
        <v>4.0</v>
      </c>
      <c r="E8770" s="6">
        <v>15.0</v>
      </c>
    </row>
    <row r="8771">
      <c r="A8771" s="4" t="s">
        <v>17416</v>
      </c>
      <c r="B8771" s="5" t="s">
        <v>17417</v>
      </c>
      <c r="C8771" s="6">
        <v>617.0</v>
      </c>
      <c r="D8771" s="9"/>
      <c r="E8771" s="9"/>
    </row>
    <row r="8772">
      <c r="A8772" s="4" t="s">
        <v>17418</v>
      </c>
      <c r="B8772" s="5" t="s">
        <v>17419</v>
      </c>
      <c r="C8772" s="6">
        <v>617.0</v>
      </c>
      <c r="D8772" s="6">
        <v>3.0</v>
      </c>
      <c r="E8772" s="6">
        <v>2.0</v>
      </c>
    </row>
    <row r="8773">
      <c r="A8773" s="4" t="s">
        <v>17420</v>
      </c>
      <c r="B8773" s="5" t="s">
        <v>17421</v>
      </c>
      <c r="C8773" s="6">
        <v>617.0</v>
      </c>
      <c r="D8773" s="6">
        <v>3.0</v>
      </c>
      <c r="E8773" s="6">
        <v>2.0</v>
      </c>
    </row>
    <row r="8774">
      <c r="A8774" s="4" t="s">
        <v>17422</v>
      </c>
      <c r="B8774" s="5" t="s">
        <v>17423</v>
      </c>
      <c r="C8774" s="6">
        <v>617.0</v>
      </c>
      <c r="D8774" s="6">
        <v>4.428571429</v>
      </c>
      <c r="E8774" s="6">
        <v>7.0</v>
      </c>
    </row>
    <row r="8775">
      <c r="A8775" s="4" t="s">
        <v>17424</v>
      </c>
      <c r="B8775" s="5" t="s">
        <v>17425</v>
      </c>
      <c r="C8775" s="6">
        <v>616.0</v>
      </c>
      <c r="D8775" s="6">
        <v>4.533333333</v>
      </c>
      <c r="E8775" s="6">
        <v>15.0</v>
      </c>
    </row>
    <row r="8776">
      <c r="A8776" s="4" t="s">
        <v>17426</v>
      </c>
      <c r="B8776" s="5" t="s">
        <v>17427</v>
      </c>
      <c r="C8776" s="6">
        <v>616.0</v>
      </c>
      <c r="D8776" s="6">
        <v>3.384615385</v>
      </c>
      <c r="E8776" s="6">
        <v>13.0</v>
      </c>
    </row>
    <row r="8777">
      <c r="A8777" s="4" t="s">
        <v>17428</v>
      </c>
      <c r="B8777" s="5" t="s">
        <v>17429</v>
      </c>
      <c r="C8777" s="6">
        <v>616.0</v>
      </c>
      <c r="D8777" s="6">
        <v>3.0</v>
      </c>
      <c r="E8777" s="6">
        <v>2.0</v>
      </c>
    </row>
    <row r="8778">
      <c r="A8778" s="4" t="s">
        <v>17430</v>
      </c>
      <c r="B8778" s="5" t="s">
        <v>17431</v>
      </c>
      <c r="C8778" s="6">
        <v>616.0</v>
      </c>
      <c r="D8778" s="6">
        <v>4.0625</v>
      </c>
      <c r="E8778" s="6">
        <v>16.0</v>
      </c>
    </row>
    <row r="8779">
      <c r="A8779" s="4" t="s">
        <v>17432</v>
      </c>
      <c r="B8779" s="5" t="s">
        <v>17433</v>
      </c>
      <c r="C8779" s="6">
        <v>616.0</v>
      </c>
      <c r="D8779" s="6">
        <v>5.0</v>
      </c>
      <c r="E8779" s="6">
        <v>41.0</v>
      </c>
    </row>
    <row r="8780">
      <c r="A8780" s="4" t="s">
        <v>17434</v>
      </c>
      <c r="B8780" s="5" t="s">
        <v>17435</v>
      </c>
      <c r="C8780" s="6">
        <v>616.0</v>
      </c>
      <c r="D8780" s="6">
        <v>4.846153846</v>
      </c>
      <c r="E8780" s="6">
        <v>26.0</v>
      </c>
    </row>
    <row r="8781">
      <c r="A8781" s="4" t="s">
        <v>17436</v>
      </c>
      <c r="B8781" s="5" t="s">
        <v>17437</v>
      </c>
      <c r="C8781" s="6">
        <v>616.0</v>
      </c>
      <c r="D8781" s="6">
        <v>4.636363636</v>
      </c>
      <c r="E8781" s="6">
        <v>11.0</v>
      </c>
    </row>
    <row r="8782">
      <c r="A8782" s="4" t="s">
        <v>17438</v>
      </c>
      <c r="B8782" s="5" t="s">
        <v>17439</v>
      </c>
      <c r="C8782" s="6">
        <v>615.0</v>
      </c>
      <c r="D8782" s="6">
        <v>5.0</v>
      </c>
      <c r="E8782" s="6">
        <v>1.0</v>
      </c>
    </row>
    <row r="8783">
      <c r="A8783" s="4" t="s">
        <v>17440</v>
      </c>
      <c r="B8783" s="5" t="s">
        <v>17441</v>
      </c>
      <c r="C8783" s="6">
        <v>615.0</v>
      </c>
      <c r="D8783" s="6">
        <v>3.5</v>
      </c>
      <c r="E8783" s="6">
        <v>2.0</v>
      </c>
    </row>
    <row r="8784">
      <c r="A8784" s="4" t="s">
        <v>17442</v>
      </c>
      <c r="B8784" s="5" t="s">
        <v>17443</v>
      </c>
      <c r="C8784" s="6">
        <v>615.0</v>
      </c>
      <c r="D8784" s="6">
        <v>4.285714286</v>
      </c>
      <c r="E8784" s="6">
        <v>7.0</v>
      </c>
    </row>
    <row r="8785">
      <c r="A8785" s="4" t="s">
        <v>17444</v>
      </c>
      <c r="B8785" s="5" t="s">
        <v>17445</v>
      </c>
      <c r="C8785" s="6">
        <v>614.0</v>
      </c>
      <c r="D8785" s="6">
        <v>5.0</v>
      </c>
      <c r="E8785" s="6">
        <v>3.0</v>
      </c>
    </row>
    <row r="8786">
      <c r="A8786" s="4" t="s">
        <v>17446</v>
      </c>
      <c r="B8786" s="5" t="s">
        <v>17447</v>
      </c>
      <c r="C8786" s="6">
        <v>614.0</v>
      </c>
      <c r="D8786" s="6">
        <v>4.058823529</v>
      </c>
      <c r="E8786" s="6">
        <v>17.0</v>
      </c>
    </row>
    <row r="8787">
      <c r="A8787" s="4" t="s">
        <v>17448</v>
      </c>
      <c r="B8787" s="5" t="s">
        <v>17449</v>
      </c>
      <c r="C8787" s="6">
        <v>614.0</v>
      </c>
      <c r="D8787" s="6">
        <v>5.0</v>
      </c>
      <c r="E8787" s="6">
        <v>2.0</v>
      </c>
    </row>
    <row r="8788">
      <c r="A8788" s="4" t="s">
        <v>17450</v>
      </c>
      <c r="B8788" s="5" t="s">
        <v>17451</v>
      </c>
      <c r="C8788" s="6">
        <v>614.0</v>
      </c>
      <c r="D8788" s="6">
        <v>4.5</v>
      </c>
      <c r="E8788" s="6">
        <v>38.0</v>
      </c>
    </row>
    <row r="8789">
      <c r="A8789" s="4" t="s">
        <v>17452</v>
      </c>
      <c r="B8789" s="5" t="s">
        <v>17453</v>
      </c>
      <c r="C8789" s="6">
        <v>614.0</v>
      </c>
      <c r="D8789" s="6">
        <v>2.8</v>
      </c>
      <c r="E8789" s="6">
        <v>5.0</v>
      </c>
    </row>
    <row r="8790">
      <c r="A8790" s="4" t="s">
        <v>17454</v>
      </c>
      <c r="B8790" s="5" t="s">
        <v>17455</v>
      </c>
      <c r="C8790" s="6">
        <v>614.0</v>
      </c>
      <c r="D8790" s="6">
        <v>5.0</v>
      </c>
      <c r="E8790" s="6">
        <v>5.0</v>
      </c>
    </row>
    <row r="8791">
      <c r="A8791" s="4" t="s">
        <v>17456</v>
      </c>
      <c r="B8791" s="5" t="s">
        <v>17457</v>
      </c>
      <c r="C8791" s="6">
        <v>614.0</v>
      </c>
      <c r="D8791" s="6">
        <v>3.5</v>
      </c>
      <c r="E8791" s="6">
        <v>10.0</v>
      </c>
    </row>
    <row r="8792">
      <c r="A8792" s="4" t="s">
        <v>17458</v>
      </c>
      <c r="B8792" s="5" t="s">
        <v>17459</v>
      </c>
      <c r="C8792" s="6">
        <v>613.0</v>
      </c>
      <c r="D8792" s="6">
        <v>4.714285714</v>
      </c>
      <c r="E8792" s="6">
        <v>7.0</v>
      </c>
    </row>
    <row r="8793">
      <c r="A8793" s="4" t="s">
        <v>17460</v>
      </c>
      <c r="B8793" s="5" t="s">
        <v>17461</v>
      </c>
      <c r="C8793" s="6">
        <v>613.0</v>
      </c>
      <c r="D8793" s="6">
        <v>2.666666667</v>
      </c>
      <c r="E8793" s="6">
        <v>3.0</v>
      </c>
    </row>
    <row r="8794">
      <c r="A8794" s="4" t="s">
        <v>17462</v>
      </c>
      <c r="B8794" s="5" t="s">
        <v>17463</v>
      </c>
      <c r="C8794" s="6">
        <v>613.0</v>
      </c>
      <c r="D8794" s="6">
        <v>5.0</v>
      </c>
      <c r="E8794" s="6">
        <v>4.0</v>
      </c>
    </row>
    <row r="8795">
      <c r="A8795" s="4" t="s">
        <v>17464</v>
      </c>
      <c r="B8795" s="5" t="s">
        <v>17465</v>
      </c>
      <c r="C8795" s="6">
        <v>613.0</v>
      </c>
      <c r="D8795" s="6">
        <v>4.888888889</v>
      </c>
      <c r="E8795" s="6">
        <v>9.0</v>
      </c>
    </row>
    <row r="8796">
      <c r="A8796" s="4" t="s">
        <v>17466</v>
      </c>
      <c r="B8796" s="5" t="s">
        <v>17467</v>
      </c>
      <c r="C8796" s="6">
        <v>613.0</v>
      </c>
      <c r="D8796" s="6">
        <v>3.892857143</v>
      </c>
      <c r="E8796" s="6">
        <v>28.0</v>
      </c>
    </row>
    <row r="8797">
      <c r="A8797" s="4" t="s">
        <v>17468</v>
      </c>
      <c r="B8797" s="5" t="s">
        <v>17469</v>
      </c>
      <c r="C8797" s="6">
        <v>613.0</v>
      </c>
      <c r="D8797" s="6">
        <v>4.466666667</v>
      </c>
      <c r="E8797" s="6">
        <v>15.0</v>
      </c>
    </row>
    <row r="8798">
      <c r="A8798" s="4" t="s">
        <v>17470</v>
      </c>
      <c r="B8798" s="5" t="s">
        <v>17471</v>
      </c>
      <c r="C8798" s="6">
        <v>613.0</v>
      </c>
      <c r="D8798" s="6">
        <v>5.0</v>
      </c>
      <c r="E8798" s="6">
        <v>2.0</v>
      </c>
    </row>
    <row r="8799">
      <c r="A8799" s="4" t="s">
        <v>17472</v>
      </c>
      <c r="B8799" s="5" t="s">
        <v>17473</v>
      </c>
      <c r="C8799" s="6">
        <v>613.0</v>
      </c>
      <c r="D8799" s="6">
        <v>5.0</v>
      </c>
      <c r="E8799" s="6">
        <v>7.0</v>
      </c>
    </row>
    <row r="8800">
      <c r="A8800" s="4" t="s">
        <v>17474</v>
      </c>
      <c r="B8800" s="5" t="s">
        <v>17475</v>
      </c>
      <c r="C8800" s="6">
        <v>613.0</v>
      </c>
      <c r="D8800" s="6">
        <v>4.333333333</v>
      </c>
      <c r="E8800" s="6">
        <v>6.0</v>
      </c>
    </row>
    <row r="8801">
      <c r="A8801" s="4" t="s">
        <v>17476</v>
      </c>
      <c r="B8801" s="5" t="s">
        <v>17477</v>
      </c>
      <c r="C8801" s="6">
        <v>613.0</v>
      </c>
      <c r="D8801" s="6">
        <v>4.142857143</v>
      </c>
      <c r="E8801" s="6">
        <v>7.0</v>
      </c>
    </row>
    <row r="8802">
      <c r="A8802" s="4" t="s">
        <v>17478</v>
      </c>
      <c r="B8802" s="5" t="s">
        <v>17479</v>
      </c>
      <c r="C8802" s="6">
        <v>613.0</v>
      </c>
      <c r="D8802" s="9"/>
      <c r="E8802" s="9"/>
    </row>
    <row r="8803">
      <c r="A8803" s="4" t="s">
        <v>17480</v>
      </c>
      <c r="B8803" s="5" t="s">
        <v>17481</v>
      </c>
      <c r="C8803" s="6">
        <v>612.0</v>
      </c>
      <c r="D8803" s="6">
        <v>3.0</v>
      </c>
      <c r="E8803" s="6">
        <v>7.0</v>
      </c>
    </row>
    <row r="8804">
      <c r="A8804" s="4" t="s">
        <v>17482</v>
      </c>
      <c r="B8804" s="5" t="s">
        <v>17483</v>
      </c>
      <c r="C8804" s="6">
        <v>612.0</v>
      </c>
      <c r="D8804" s="6">
        <v>4.166666667</v>
      </c>
      <c r="E8804" s="6">
        <v>6.0</v>
      </c>
    </row>
    <row r="8805">
      <c r="A8805" s="4" t="s">
        <v>17484</v>
      </c>
      <c r="B8805" s="5" t="s">
        <v>17485</v>
      </c>
      <c r="C8805" s="6">
        <v>612.0</v>
      </c>
      <c r="D8805" s="6">
        <v>3.666666667</v>
      </c>
      <c r="E8805" s="6">
        <v>9.0</v>
      </c>
    </row>
    <row r="8806">
      <c r="A8806" s="4" t="s">
        <v>17486</v>
      </c>
      <c r="B8806" s="5" t="s">
        <v>17487</v>
      </c>
      <c r="C8806" s="6">
        <v>612.0</v>
      </c>
      <c r="D8806" s="6">
        <v>5.0</v>
      </c>
      <c r="E8806" s="6">
        <v>11.0</v>
      </c>
    </row>
    <row r="8807">
      <c r="A8807" s="4" t="s">
        <v>17488</v>
      </c>
      <c r="B8807" s="5" t="s">
        <v>17489</v>
      </c>
      <c r="C8807" s="6">
        <v>611.0</v>
      </c>
      <c r="D8807" s="6">
        <v>4.0</v>
      </c>
      <c r="E8807" s="6">
        <v>8.0</v>
      </c>
    </row>
    <row r="8808">
      <c r="A8808" s="4" t="s">
        <v>17490</v>
      </c>
      <c r="B8808" s="5" t="s">
        <v>17491</v>
      </c>
      <c r="C8808" s="6">
        <v>611.0</v>
      </c>
      <c r="D8808" s="6">
        <v>4.0</v>
      </c>
      <c r="E8808" s="6">
        <v>4.0</v>
      </c>
    </row>
    <row r="8809">
      <c r="A8809" s="4" t="s">
        <v>17492</v>
      </c>
      <c r="B8809" s="5" t="s">
        <v>17493</v>
      </c>
      <c r="C8809" s="6">
        <v>611.0</v>
      </c>
      <c r="D8809" s="6">
        <v>5.0</v>
      </c>
      <c r="E8809" s="6">
        <v>7.0</v>
      </c>
    </row>
    <row r="8810">
      <c r="A8810" s="4" t="s">
        <v>17494</v>
      </c>
      <c r="B8810" s="5" t="s">
        <v>17495</v>
      </c>
      <c r="C8810" s="6">
        <v>611.0</v>
      </c>
      <c r="D8810" s="6">
        <v>2.5</v>
      </c>
      <c r="E8810" s="6">
        <v>4.0</v>
      </c>
    </row>
    <row r="8811">
      <c r="A8811" s="4" t="s">
        <v>17496</v>
      </c>
      <c r="B8811" s="5" t="s">
        <v>17497</v>
      </c>
      <c r="C8811" s="6">
        <v>611.0</v>
      </c>
      <c r="D8811" s="6">
        <v>3.666666667</v>
      </c>
      <c r="E8811" s="6">
        <v>3.0</v>
      </c>
    </row>
    <row r="8812">
      <c r="A8812" s="4" t="s">
        <v>17498</v>
      </c>
      <c r="B8812" s="5" t="s">
        <v>17499</v>
      </c>
      <c r="C8812" s="6">
        <v>610.0</v>
      </c>
      <c r="D8812" s="6">
        <v>4.058823529</v>
      </c>
      <c r="E8812" s="6">
        <v>17.0</v>
      </c>
    </row>
    <row r="8813">
      <c r="A8813" s="4" t="s">
        <v>17500</v>
      </c>
      <c r="B8813" s="5" t="s">
        <v>17501</v>
      </c>
      <c r="C8813" s="6">
        <v>610.0</v>
      </c>
      <c r="D8813" s="6">
        <v>5.0</v>
      </c>
      <c r="E8813" s="6">
        <v>3.0</v>
      </c>
    </row>
    <row r="8814">
      <c r="A8814" s="4" t="s">
        <v>17502</v>
      </c>
      <c r="B8814" s="5" t="s">
        <v>17503</v>
      </c>
      <c r="C8814" s="6">
        <v>610.0</v>
      </c>
      <c r="D8814" s="6">
        <v>3.076923077</v>
      </c>
      <c r="E8814" s="6">
        <v>13.0</v>
      </c>
    </row>
    <row r="8815">
      <c r="A8815" s="4" t="s">
        <v>17504</v>
      </c>
      <c r="B8815" s="5" t="s">
        <v>17505</v>
      </c>
      <c r="C8815" s="6">
        <v>610.0</v>
      </c>
      <c r="D8815" s="6">
        <v>2.964285714</v>
      </c>
      <c r="E8815" s="6">
        <v>28.0</v>
      </c>
    </row>
    <row r="8816">
      <c r="A8816" s="4" t="s">
        <v>17506</v>
      </c>
      <c r="B8816" s="5" t="s">
        <v>17507</v>
      </c>
      <c r="C8816" s="6">
        <v>609.0</v>
      </c>
      <c r="D8816" s="6">
        <v>5.0</v>
      </c>
      <c r="E8816" s="6">
        <v>1.0</v>
      </c>
    </row>
    <row r="8817">
      <c r="A8817" s="4" t="s">
        <v>17508</v>
      </c>
      <c r="B8817" s="5" t="s">
        <v>17509</v>
      </c>
      <c r="C8817" s="6">
        <v>609.0</v>
      </c>
      <c r="D8817" s="6">
        <v>3.0</v>
      </c>
      <c r="E8817" s="6">
        <v>2.0</v>
      </c>
    </row>
    <row r="8818">
      <c r="A8818" s="4" t="s">
        <v>17510</v>
      </c>
      <c r="B8818" s="5" t="s">
        <v>17511</v>
      </c>
      <c r="C8818" s="6">
        <v>609.0</v>
      </c>
      <c r="D8818" s="6">
        <v>4.5</v>
      </c>
      <c r="E8818" s="6">
        <v>16.0</v>
      </c>
    </row>
    <row r="8819">
      <c r="A8819" s="4" t="s">
        <v>17512</v>
      </c>
      <c r="B8819" s="5" t="s">
        <v>17513</v>
      </c>
      <c r="C8819" s="6">
        <v>609.0</v>
      </c>
      <c r="D8819" s="6">
        <v>3.866666667</v>
      </c>
      <c r="E8819" s="6">
        <v>15.0</v>
      </c>
    </row>
    <row r="8820">
      <c r="A8820" s="4" t="s">
        <v>17514</v>
      </c>
      <c r="B8820" s="5" t="s">
        <v>17515</v>
      </c>
      <c r="C8820" s="6">
        <v>609.0</v>
      </c>
      <c r="D8820" s="6">
        <v>3.833333333</v>
      </c>
      <c r="E8820" s="6">
        <v>18.0</v>
      </c>
    </row>
    <row r="8821">
      <c r="A8821" s="4" t="s">
        <v>17516</v>
      </c>
      <c r="B8821" s="5" t="s">
        <v>17517</v>
      </c>
      <c r="C8821" s="6">
        <v>609.0</v>
      </c>
      <c r="D8821" s="6">
        <v>4.622222222</v>
      </c>
      <c r="E8821" s="6">
        <v>45.0</v>
      </c>
    </row>
    <row r="8822">
      <c r="A8822" s="4" t="s">
        <v>17518</v>
      </c>
      <c r="B8822" s="5" t="s">
        <v>17519</v>
      </c>
      <c r="C8822" s="6">
        <v>609.0</v>
      </c>
      <c r="D8822" s="6">
        <v>3.230769231</v>
      </c>
      <c r="E8822" s="6">
        <v>13.0</v>
      </c>
    </row>
    <row r="8823">
      <c r="A8823" s="4" t="s">
        <v>17520</v>
      </c>
      <c r="B8823" s="5" t="s">
        <v>17521</v>
      </c>
      <c r="C8823" s="6">
        <v>608.0</v>
      </c>
      <c r="D8823" s="6">
        <v>3.333333333</v>
      </c>
      <c r="E8823" s="6">
        <v>6.0</v>
      </c>
    </row>
    <row r="8824">
      <c r="A8824" s="4" t="s">
        <v>17522</v>
      </c>
      <c r="B8824" s="5" t="s">
        <v>17523</v>
      </c>
      <c r="C8824" s="6">
        <v>608.0</v>
      </c>
      <c r="D8824" s="6">
        <v>4.142857143</v>
      </c>
      <c r="E8824" s="6">
        <v>14.0</v>
      </c>
    </row>
    <row r="8825">
      <c r="A8825" s="4" t="s">
        <v>17524</v>
      </c>
      <c r="B8825" s="5" t="s">
        <v>17525</v>
      </c>
      <c r="C8825" s="6">
        <v>608.0</v>
      </c>
      <c r="D8825" s="6">
        <v>5.0</v>
      </c>
      <c r="E8825" s="6">
        <v>2.0</v>
      </c>
    </row>
    <row r="8826">
      <c r="A8826" s="10" t="s">
        <v>17526</v>
      </c>
      <c r="B8826" s="5" t="s">
        <v>17527</v>
      </c>
      <c r="C8826" s="6">
        <v>608.0</v>
      </c>
      <c r="D8826" s="6">
        <v>4.857142857</v>
      </c>
      <c r="E8826" s="6">
        <v>7.0</v>
      </c>
    </row>
    <row r="8827">
      <c r="A8827" s="4" t="s">
        <v>17528</v>
      </c>
      <c r="B8827" s="5" t="s">
        <v>17529</v>
      </c>
      <c r="C8827" s="6">
        <v>608.0</v>
      </c>
      <c r="D8827" s="6">
        <v>4.518518519</v>
      </c>
      <c r="E8827" s="6">
        <v>27.0</v>
      </c>
    </row>
    <row r="8828">
      <c r="A8828" s="4" t="s">
        <v>17530</v>
      </c>
      <c r="B8828" s="5" t="s">
        <v>17531</v>
      </c>
      <c r="C8828" s="6">
        <v>607.0</v>
      </c>
      <c r="D8828" s="6">
        <v>2.8</v>
      </c>
      <c r="E8828" s="6">
        <v>10.0</v>
      </c>
    </row>
    <row r="8829">
      <c r="A8829" s="4" t="s">
        <v>17532</v>
      </c>
      <c r="B8829" s="5" t="s">
        <v>17533</v>
      </c>
      <c r="C8829" s="6">
        <v>607.0</v>
      </c>
      <c r="D8829" s="6">
        <v>2.466666667</v>
      </c>
      <c r="E8829" s="6">
        <v>15.0</v>
      </c>
    </row>
    <row r="8830">
      <c r="A8830" s="4" t="s">
        <v>17534</v>
      </c>
      <c r="B8830" s="5" t="s">
        <v>17535</v>
      </c>
      <c r="C8830" s="6">
        <v>607.0</v>
      </c>
      <c r="D8830" s="9"/>
      <c r="E8830" s="9"/>
    </row>
    <row r="8831">
      <c r="A8831" s="4" t="s">
        <v>17536</v>
      </c>
      <c r="B8831" s="5" t="s">
        <v>17537</v>
      </c>
      <c r="C8831" s="6">
        <v>607.0</v>
      </c>
      <c r="D8831" s="6">
        <v>4.75</v>
      </c>
      <c r="E8831" s="6">
        <v>4.0</v>
      </c>
    </row>
    <row r="8832">
      <c r="A8832" s="4" t="s">
        <v>17538</v>
      </c>
      <c r="B8832" s="5" t="s">
        <v>17539</v>
      </c>
      <c r="C8832" s="6">
        <v>607.0</v>
      </c>
      <c r="D8832" s="6">
        <v>4.571428571</v>
      </c>
      <c r="E8832" s="6">
        <v>7.0</v>
      </c>
    </row>
    <row r="8833">
      <c r="A8833" s="4" t="s">
        <v>17540</v>
      </c>
      <c r="B8833" s="5" t="s">
        <v>17541</v>
      </c>
      <c r="C8833" s="6">
        <v>607.0</v>
      </c>
      <c r="D8833" s="6">
        <v>5.0</v>
      </c>
      <c r="E8833" s="6">
        <v>10.0</v>
      </c>
    </row>
    <row r="8834">
      <c r="A8834" s="4" t="s">
        <v>17542</v>
      </c>
      <c r="B8834" s="5" t="s">
        <v>17543</v>
      </c>
      <c r="C8834" s="6">
        <v>606.0</v>
      </c>
      <c r="D8834" s="6">
        <v>5.0</v>
      </c>
      <c r="E8834" s="6">
        <v>11.0</v>
      </c>
    </row>
    <row r="8835">
      <c r="A8835" s="10" t="s">
        <v>17544</v>
      </c>
      <c r="B8835" s="5" t="s">
        <v>17545</v>
      </c>
      <c r="C8835" s="6">
        <v>606.0</v>
      </c>
      <c r="D8835" s="6">
        <v>4.666666667</v>
      </c>
      <c r="E8835" s="6">
        <v>3.0</v>
      </c>
    </row>
    <row r="8836">
      <c r="A8836" s="4" t="s">
        <v>17546</v>
      </c>
      <c r="B8836" s="5" t="s">
        <v>17547</v>
      </c>
      <c r="C8836" s="6">
        <v>606.0</v>
      </c>
      <c r="D8836" s="6">
        <v>4.924242424</v>
      </c>
      <c r="E8836" s="6">
        <v>264.0</v>
      </c>
    </row>
    <row r="8837">
      <c r="A8837" s="4" t="s">
        <v>17548</v>
      </c>
      <c r="B8837" s="5" t="s">
        <v>17549</v>
      </c>
      <c r="C8837" s="6">
        <v>606.0</v>
      </c>
      <c r="D8837" s="6">
        <v>5.0</v>
      </c>
      <c r="E8837" s="6">
        <v>2.0</v>
      </c>
    </row>
    <row r="8838">
      <c r="A8838" s="4" t="s">
        <v>17550</v>
      </c>
      <c r="B8838" s="5" t="s">
        <v>17551</v>
      </c>
      <c r="C8838" s="6">
        <v>606.0</v>
      </c>
      <c r="D8838" s="6">
        <v>4.333333333</v>
      </c>
      <c r="E8838" s="6">
        <v>9.0</v>
      </c>
    </row>
    <row r="8839">
      <c r="A8839" s="4" t="s">
        <v>17552</v>
      </c>
      <c r="B8839" s="5" t="s">
        <v>17553</v>
      </c>
      <c r="C8839" s="6">
        <v>606.0</v>
      </c>
      <c r="D8839" s="6">
        <v>3.0</v>
      </c>
      <c r="E8839" s="6">
        <v>31.0</v>
      </c>
    </row>
    <row r="8840">
      <c r="A8840" s="4" t="s">
        <v>17554</v>
      </c>
      <c r="B8840" s="5" t="s">
        <v>17555</v>
      </c>
      <c r="C8840" s="6">
        <v>606.0</v>
      </c>
      <c r="D8840" s="6">
        <v>2.833333333</v>
      </c>
      <c r="E8840" s="6">
        <v>12.0</v>
      </c>
    </row>
    <row r="8841">
      <c r="A8841" s="4" t="s">
        <v>17556</v>
      </c>
      <c r="B8841" s="5" t="s">
        <v>17557</v>
      </c>
      <c r="C8841" s="6">
        <v>606.0</v>
      </c>
      <c r="D8841" s="6">
        <v>4.666666667</v>
      </c>
      <c r="E8841" s="6">
        <v>6.0</v>
      </c>
    </row>
    <row r="8842">
      <c r="A8842" s="4" t="s">
        <v>17558</v>
      </c>
      <c r="B8842" s="5" t="s">
        <v>17559</v>
      </c>
      <c r="C8842" s="6">
        <v>606.0</v>
      </c>
      <c r="D8842" s="6">
        <v>4.117647059</v>
      </c>
      <c r="E8842" s="6">
        <v>17.0</v>
      </c>
    </row>
    <row r="8843">
      <c r="A8843" s="4" t="s">
        <v>17560</v>
      </c>
      <c r="B8843" s="5" t="s">
        <v>17561</v>
      </c>
      <c r="C8843" s="6">
        <v>606.0</v>
      </c>
      <c r="D8843" s="6">
        <v>1.826086957</v>
      </c>
      <c r="E8843" s="6">
        <v>23.0</v>
      </c>
    </row>
    <row r="8844">
      <c r="A8844" s="4" t="s">
        <v>17562</v>
      </c>
      <c r="B8844" s="5" t="s">
        <v>17563</v>
      </c>
      <c r="C8844" s="6">
        <v>606.0</v>
      </c>
      <c r="D8844" s="6">
        <v>3.642857143</v>
      </c>
      <c r="E8844" s="6">
        <v>14.0</v>
      </c>
    </row>
    <row r="8845">
      <c r="A8845" s="4" t="s">
        <v>17564</v>
      </c>
      <c r="B8845" s="5" t="s">
        <v>17565</v>
      </c>
      <c r="C8845" s="6">
        <v>605.0</v>
      </c>
      <c r="D8845" s="6">
        <v>4.058823529</v>
      </c>
      <c r="E8845" s="6">
        <v>17.0</v>
      </c>
    </row>
    <row r="8846">
      <c r="A8846" s="4" t="s">
        <v>17566</v>
      </c>
      <c r="B8846" s="5" t="s">
        <v>17567</v>
      </c>
      <c r="C8846" s="6">
        <v>605.0</v>
      </c>
      <c r="D8846" s="6">
        <v>3.046153846</v>
      </c>
      <c r="E8846" s="6">
        <v>65.0</v>
      </c>
    </row>
    <row r="8847">
      <c r="A8847" s="4" t="s">
        <v>17568</v>
      </c>
      <c r="B8847" s="5" t="s">
        <v>17569</v>
      </c>
      <c r="C8847" s="6">
        <v>604.0</v>
      </c>
      <c r="D8847" s="6">
        <v>5.0</v>
      </c>
      <c r="E8847" s="6">
        <v>3.0</v>
      </c>
    </row>
    <row r="8848">
      <c r="A8848" s="4" t="s">
        <v>17570</v>
      </c>
      <c r="B8848" s="5" t="s">
        <v>17571</v>
      </c>
      <c r="C8848" s="6">
        <v>604.0</v>
      </c>
      <c r="D8848" s="9"/>
      <c r="E8848" s="9"/>
    </row>
    <row r="8849">
      <c r="A8849" s="4" t="s">
        <v>17572</v>
      </c>
      <c r="B8849" s="5" t="s">
        <v>17573</v>
      </c>
      <c r="C8849" s="6">
        <v>604.0</v>
      </c>
      <c r="D8849" s="6">
        <v>4.0</v>
      </c>
      <c r="E8849" s="6">
        <v>8.0</v>
      </c>
    </row>
    <row r="8850">
      <c r="A8850" s="4" t="s">
        <v>17574</v>
      </c>
      <c r="B8850" s="5" t="s">
        <v>17575</v>
      </c>
      <c r="C8850" s="6">
        <v>604.0</v>
      </c>
      <c r="D8850" s="6">
        <v>4.571428571</v>
      </c>
      <c r="E8850" s="6">
        <v>7.0</v>
      </c>
    </row>
    <row r="8851">
      <c r="A8851" s="4" t="s">
        <v>17576</v>
      </c>
      <c r="B8851" s="5" t="s">
        <v>17577</v>
      </c>
      <c r="C8851" s="6">
        <v>604.0</v>
      </c>
      <c r="D8851" s="6">
        <v>4.0</v>
      </c>
      <c r="E8851" s="6">
        <v>6.0</v>
      </c>
    </row>
    <row r="8852">
      <c r="A8852" s="4" t="s">
        <v>17578</v>
      </c>
      <c r="B8852" s="5" t="s">
        <v>17579</v>
      </c>
      <c r="C8852" s="6">
        <v>604.0</v>
      </c>
      <c r="D8852" s="6">
        <v>4.136363636</v>
      </c>
      <c r="E8852" s="6">
        <v>22.0</v>
      </c>
    </row>
    <row r="8853">
      <c r="A8853" s="4" t="s">
        <v>17580</v>
      </c>
      <c r="B8853" s="5" t="s">
        <v>17581</v>
      </c>
      <c r="C8853" s="6">
        <v>604.0</v>
      </c>
      <c r="D8853" s="6">
        <v>5.0</v>
      </c>
      <c r="E8853" s="6">
        <v>1.0</v>
      </c>
    </row>
    <row r="8854">
      <c r="A8854" s="4" t="s">
        <v>17582</v>
      </c>
      <c r="B8854" s="5" t="s">
        <v>17583</v>
      </c>
      <c r="C8854" s="6">
        <v>604.0</v>
      </c>
      <c r="D8854" s="6">
        <v>2.666666667</v>
      </c>
      <c r="E8854" s="6">
        <v>15.0</v>
      </c>
    </row>
    <row r="8855">
      <c r="A8855" s="4" t="s">
        <v>17584</v>
      </c>
      <c r="B8855" s="5" t="s">
        <v>17585</v>
      </c>
      <c r="C8855" s="6">
        <v>603.0</v>
      </c>
      <c r="D8855" s="6">
        <v>5.0</v>
      </c>
      <c r="E8855" s="6">
        <v>5.0</v>
      </c>
    </row>
    <row r="8856">
      <c r="A8856" s="4" t="s">
        <v>17586</v>
      </c>
      <c r="B8856" s="5" t="s">
        <v>17587</v>
      </c>
      <c r="C8856" s="6">
        <v>603.0</v>
      </c>
      <c r="D8856" s="6">
        <v>4.333333333</v>
      </c>
      <c r="E8856" s="6">
        <v>15.0</v>
      </c>
    </row>
    <row r="8857">
      <c r="A8857" s="4" t="s">
        <v>17588</v>
      </c>
      <c r="B8857" s="5" t="s">
        <v>17589</v>
      </c>
      <c r="C8857" s="6">
        <v>602.0</v>
      </c>
      <c r="D8857" s="6">
        <v>4.416666667</v>
      </c>
      <c r="E8857" s="6">
        <v>12.0</v>
      </c>
    </row>
    <row r="8858">
      <c r="A8858" s="4" t="s">
        <v>17590</v>
      </c>
      <c r="B8858" s="5" t="s">
        <v>17591</v>
      </c>
      <c r="C8858" s="6">
        <v>602.0</v>
      </c>
      <c r="D8858" s="6">
        <v>5.0</v>
      </c>
      <c r="E8858" s="6">
        <v>1.0</v>
      </c>
    </row>
    <row r="8859">
      <c r="A8859" s="4" t="s">
        <v>17592</v>
      </c>
      <c r="B8859" s="5" t="s">
        <v>17593</v>
      </c>
      <c r="C8859" s="6">
        <v>602.0</v>
      </c>
      <c r="D8859" s="6">
        <v>4.3125</v>
      </c>
      <c r="E8859" s="6">
        <v>16.0</v>
      </c>
    </row>
    <row r="8860">
      <c r="A8860" s="4" t="s">
        <v>17594</v>
      </c>
      <c r="B8860" s="5" t="s">
        <v>17595</v>
      </c>
      <c r="C8860" s="6">
        <v>602.0</v>
      </c>
      <c r="D8860" s="6">
        <v>3.333333333</v>
      </c>
      <c r="E8860" s="6">
        <v>6.0</v>
      </c>
    </row>
    <row r="8861">
      <c r="A8861" s="4" t="s">
        <v>17596</v>
      </c>
      <c r="B8861" s="5" t="s">
        <v>17597</v>
      </c>
      <c r="C8861" s="6">
        <v>602.0</v>
      </c>
      <c r="D8861" s="6">
        <v>3.5</v>
      </c>
      <c r="E8861" s="6">
        <v>14.0</v>
      </c>
    </row>
    <row r="8862">
      <c r="A8862" s="4" t="s">
        <v>17598</v>
      </c>
      <c r="B8862" s="5" t="s">
        <v>17599</v>
      </c>
      <c r="C8862" s="6">
        <v>602.0</v>
      </c>
      <c r="D8862" s="9"/>
      <c r="E8862" s="9"/>
    </row>
    <row r="8863">
      <c r="A8863" s="4" t="s">
        <v>17600</v>
      </c>
      <c r="B8863" s="5" t="s">
        <v>17601</v>
      </c>
      <c r="C8863" s="6">
        <v>602.0</v>
      </c>
      <c r="D8863" s="6">
        <v>3.375</v>
      </c>
      <c r="E8863" s="6">
        <v>8.0</v>
      </c>
    </row>
    <row r="8864">
      <c r="A8864" s="4" t="s">
        <v>17602</v>
      </c>
      <c r="B8864" s="5" t="s">
        <v>17603</v>
      </c>
      <c r="C8864" s="6">
        <v>602.0</v>
      </c>
      <c r="D8864" s="6">
        <v>3.666666667</v>
      </c>
      <c r="E8864" s="6">
        <v>3.0</v>
      </c>
    </row>
    <row r="8865">
      <c r="A8865" s="4" t="s">
        <v>17604</v>
      </c>
      <c r="B8865" s="5" t="s">
        <v>17605</v>
      </c>
      <c r="C8865" s="6">
        <v>602.0</v>
      </c>
      <c r="D8865" s="6">
        <v>5.0</v>
      </c>
      <c r="E8865" s="6">
        <v>5.0</v>
      </c>
    </row>
    <row r="8866">
      <c r="A8866" s="4" t="s">
        <v>17606</v>
      </c>
      <c r="B8866" s="5" t="s">
        <v>17607</v>
      </c>
      <c r="C8866" s="6">
        <v>602.0</v>
      </c>
      <c r="D8866" s="6">
        <v>3.230769231</v>
      </c>
      <c r="E8866" s="6">
        <v>13.0</v>
      </c>
    </row>
    <row r="8867">
      <c r="A8867" s="4" t="s">
        <v>17608</v>
      </c>
      <c r="B8867" s="5" t="s">
        <v>17609</v>
      </c>
      <c r="C8867" s="6">
        <v>602.0</v>
      </c>
      <c r="D8867" s="6">
        <v>4.2</v>
      </c>
      <c r="E8867" s="6">
        <v>10.0</v>
      </c>
    </row>
    <row r="8868">
      <c r="A8868" s="4" t="s">
        <v>17610</v>
      </c>
      <c r="B8868" s="5" t="s">
        <v>17611</v>
      </c>
      <c r="C8868" s="6">
        <v>601.0</v>
      </c>
      <c r="D8868" s="6">
        <v>5.0</v>
      </c>
      <c r="E8868" s="6">
        <v>6.0</v>
      </c>
    </row>
    <row r="8869">
      <c r="A8869" s="4" t="s">
        <v>17612</v>
      </c>
      <c r="B8869" s="5" t="s">
        <v>17613</v>
      </c>
      <c r="C8869" s="6">
        <v>601.0</v>
      </c>
      <c r="D8869" s="6">
        <v>4.511627907</v>
      </c>
      <c r="E8869" s="6">
        <v>43.0</v>
      </c>
    </row>
    <row r="8870">
      <c r="A8870" s="4" t="s">
        <v>17614</v>
      </c>
      <c r="B8870" s="5" t="s">
        <v>17615</v>
      </c>
      <c r="C8870" s="6">
        <v>601.0</v>
      </c>
      <c r="D8870" s="6">
        <v>5.0</v>
      </c>
      <c r="E8870" s="6">
        <v>1.0</v>
      </c>
    </row>
    <row r="8871">
      <c r="A8871" s="4" t="s">
        <v>17616</v>
      </c>
      <c r="B8871" s="5" t="s">
        <v>17617</v>
      </c>
      <c r="C8871" s="6">
        <v>601.0</v>
      </c>
      <c r="D8871" s="6">
        <v>4.608695652</v>
      </c>
      <c r="E8871" s="6">
        <v>23.0</v>
      </c>
    </row>
    <row r="8872">
      <c r="A8872" s="4" t="s">
        <v>17618</v>
      </c>
      <c r="B8872" s="5" t="s">
        <v>17619</v>
      </c>
      <c r="C8872" s="6">
        <v>601.0</v>
      </c>
      <c r="D8872" s="6">
        <v>4.833333333</v>
      </c>
      <c r="E8872" s="6">
        <v>6.0</v>
      </c>
    </row>
    <row r="8873">
      <c r="A8873" s="4" t="s">
        <v>17620</v>
      </c>
      <c r="B8873" s="5" t="s">
        <v>17621</v>
      </c>
      <c r="C8873" s="6">
        <v>601.0</v>
      </c>
      <c r="D8873" s="6">
        <v>5.0</v>
      </c>
      <c r="E8873" s="6">
        <v>3.0</v>
      </c>
    </row>
    <row r="8874">
      <c r="A8874" s="4" t="s">
        <v>17622</v>
      </c>
      <c r="B8874" s="5" t="s">
        <v>17623</v>
      </c>
      <c r="C8874" s="6">
        <v>601.0</v>
      </c>
      <c r="D8874" s="6">
        <v>4.428571429</v>
      </c>
      <c r="E8874" s="6">
        <v>7.0</v>
      </c>
    </row>
    <row r="8875">
      <c r="A8875" s="4" t="s">
        <v>17624</v>
      </c>
      <c r="B8875" s="5" t="s">
        <v>17625</v>
      </c>
      <c r="C8875" s="6">
        <v>600.0</v>
      </c>
      <c r="D8875" s="6">
        <v>3.4</v>
      </c>
      <c r="E8875" s="6">
        <v>5.0</v>
      </c>
    </row>
    <row r="8876">
      <c r="A8876" s="4" t="s">
        <v>17626</v>
      </c>
      <c r="B8876" s="5" t="s">
        <v>17627</v>
      </c>
      <c r="C8876" s="6">
        <v>600.0</v>
      </c>
      <c r="D8876" s="6">
        <v>3.75</v>
      </c>
      <c r="E8876" s="6">
        <v>4.0</v>
      </c>
    </row>
    <row r="8877">
      <c r="A8877" s="4" t="s">
        <v>17628</v>
      </c>
      <c r="B8877" s="5" t="s">
        <v>17629</v>
      </c>
      <c r="C8877" s="6">
        <v>600.0</v>
      </c>
      <c r="D8877" s="6">
        <v>3.75</v>
      </c>
      <c r="E8877" s="6">
        <v>4.0</v>
      </c>
    </row>
    <row r="8878">
      <c r="A8878" s="4" t="s">
        <v>17630</v>
      </c>
      <c r="B8878" s="5" t="s">
        <v>17631</v>
      </c>
      <c r="C8878" s="6">
        <v>600.0</v>
      </c>
      <c r="D8878" s="6">
        <v>4.75</v>
      </c>
      <c r="E8878" s="6">
        <v>4.0</v>
      </c>
    </row>
    <row r="8879">
      <c r="A8879" s="4" t="s">
        <v>10610</v>
      </c>
      <c r="B8879" s="5" t="s">
        <v>17632</v>
      </c>
      <c r="C8879" s="6">
        <v>599.0</v>
      </c>
      <c r="D8879" s="6">
        <v>4.4</v>
      </c>
      <c r="E8879" s="6">
        <v>5.0</v>
      </c>
    </row>
    <row r="8880">
      <c r="A8880" s="4" t="s">
        <v>17633</v>
      </c>
      <c r="B8880" s="5" t="s">
        <v>17634</v>
      </c>
      <c r="C8880" s="6">
        <v>599.0</v>
      </c>
      <c r="D8880" s="6">
        <v>3.375</v>
      </c>
      <c r="E8880" s="6">
        <v>8.0</v>
      </c>
    </row>
    <row r="8881">
      <c r="A8881" s="4" t="s">
        <v>17635</v>
      </c>
      <c r="B8881" s="5" t="s">
        <v>17636</v>
      </c>
      <c r="C8881" s="6">
        <v>599.0</v>
      </c>
      <c r="D8881" s="6">
        <v>4.4</v>
      </c>
      <c r="E8881" s="6">
        <v>5.0</v>
      </c>
    </row>
    <row r="8882">
      <c r="A8882" s="4" t="s">
        <v>17637</v>
      </c>
      <c r="B8882" s="5" t="s">
        <v>17638</v>
      </c>
      <c r="C8882" s="6">
        <v>599.0</v>
      </c>
      <c r="D8882" s="6">
        <v>4.875</v>
      </c>
      <c r="E8882" s="6">
        <v>16.0</v>
      </c>
    </row>
    <row r="8883">
      <c r="A8883" s="4" t="s">
        <v>17639</v>
      </c>
      <c r="B8883" s="5" t="s">
        <v>17640</v>
      </c>
      <c r="C8883" s="6">
        <v>599.0</v>
      </c>
      <c r="D8883" s="6">
        <v>5.0</v>
      </c>
      <c r="E8883" s="6">
        <v>3.0</v>
      </c>
    </row>
    <row r="8884">
      <c r="A8884" s="4" t="s">
        <v>17641</v>
      </c>
      <c r="B8884" s="5" t="s">
        <v>17642</v>
      </c>
      <c r="C8884" s="6">
        <v>599.0</v>
      </c>
      <c r="D8884" s="6">
        <v>4.230769231</v>
      </c>
      <c r="E8884" s="6">
        <v>13.0</v>
      </c>
    </row>
    <row r="8885">
      <c r="A8885" s="4" t="s">
        <v>17643</v>
      </c>
      <c r="B8885" s="5" t="s">
        <v>17644</v>
      </c>
      <c r="C8885" s="6">
        <v>599.0</v>
      </c>
      <c r="D8885" s="6">
        <v>5.0</v>
      </c>
      <c r="E8885" s="6">
        <v>1.0</v>
      </c>
    </row>
    <row r="8886">
      <c r="A8886" s="4" t="s">
        <v>17645</v>
      </c>
      <c r="B8886" s="5" t="s">
        <v>17646</v>
      </c>
      <c r="C8886" s="6">
        <v>599.0</v>
      </c>
      <c r="D8886" s="9"/>
      <c r="E8886" s="9"/>
    </row>
    <row r="8887">
      <c r="A8887" s="4" t="s">
        <v>17647</v>
      </c>
      <c r="B8887" s="5" t="s">
        <v>17648</v>
      </c>
      <c r="C8887" s="6">
        <v>599.0</v>
      </c>
      <c r="D8887" s="6">
        <v>5.0</v>
      </c>
      <c r="E8887" s="6">
        <v>4.0</v>
      </c>
    </row>
    <row r="8888">
      <c r="A8888" s="4" t="s">
        <v>17649</v>
      </c>
      <c r="B8888" s="5" t="s">
        <v>17650</v>
      </c>
      <c r="C8888" s="6">
        <v>599.0</v>
      </c>
      <c r="D8888" s="6">
        <v>5.0</v>
      </c>
      <c r="E8888" s="6">
        <v>10.0</v>
      </c>
    </row>
    <row r="8889">
      <c r="A8889" s="4" t="s">
        <v>17651</v>
      </c>
      <c r="B8889" s="5" t="s">
        <v>17652</v>
      </c>
      <c r="C8889" s="6">
        <v>599.0</v>
      </c>
      <c r="D8889" s="6">
        <v>4.666666667</v>
      </c>
      <c r="E8889" s="6">
        <v>9.0</v>
      </c>
    </row>
    <row r="8890">
      <c r="A8890" s="4" t="s">
        <v>17653</v>
      </c>
      <c r="B8890" s="5" t="s">
        <v>17654</v>
      </c>
      <c r="C8890" s="6">
        <v>599.0</v>
      </c>
      <c r="D8890" s="9"/>
      <c r="E8890" s="9"/>
    </row>
    <row r="8891">
      <c r="A8891" s="4" t="s">
        <v>17655</v>
      </c>
      <c r="B8891" s="5" t="s">
        <v>17656</v>
      </c>
      <c r="C8891" s="6">
        <v>598.0</v>
      </c>
      <c r="D8891" s="6">
        <v>3.916666667</v>
      </c>
      <c r="E8891" s="6">
        <v>12.0</v>
      </c>
    </row>
    <row r="8892">
      <c r="A8892" s="4" t="s">
        <v>17657</v>
      </c>
      <c r="B8892" s="5" t="s">
        <v>17658</v>
      </c>
      <c r="C8892" s="6">
        <v>598.0</v>
      </c>
      <c r="D8892" s="6">
        <v>4.833333333</v>
      </c>
      <c r="E8892" s="6">
        <v>6.0</v>
      </c>
    </row>
    <row r="8893">
      <c r="A8893" s="4" t="s">
        <v>17659</v>
      </c>
      <c r="B8893" s="5" t="s">
        <v>17660</v>
      </c>
      <c r="C8893" s="6">
        <v>597.0</v>
      </c>
      <c r="D8893" s="6">
        <v>3.5</v>
      </c>
      <c r="E8893" s="6">
        <v>14.0</v>
      </c>
    </row>
    <row r="8894">
      <c r="A8894" s="4" t="s">
        <v>17661</v>
      </c>
      <c r="B8894" s="5" t="s">
        <v>17662</v>
      </c>
      <c r="C8894" s="6">
        <v>597.0</v>
      </c>
      <c r="D8894" s="6">
        <v>2.2</v>
      </c>
      <c r="E8894" s="6">
        <v>5.0</v>
      </c>
    </row>
    <row r="8895">
      <c r="A8895" s="4" t="s">
        <v>17663</v>
      </c>
      <c r="B8895" s="5" t="s">
        <v>17664</v>
      </c>
      <c r="C8895" s="6">
        <v>597.0</v>
      </c>
      <c r="D8895" s="6">
        <v>1.777777778</v>
      </c>
      <c r="E8895" s="6">
        <v>9.0</v>
      </c>
    </row>
    <row r="8896">
      <c r="A8896" s="4" t="s">
        <v>12197</v>
      </c>
      <c r="B8896" s="5" t="s">
        <v>17665</v>
      </c>
      <c r="C8896" s="6">
        <v>597.0</v>
      </c>
      <c r="D8896" s="6">
        <v>3.0</v>
      </c>
      <c r="E8896" s="6">
        <v>2.0</v>
      </c>
    </row>
    <row r="8897">
      <c r="A8897" s="4" t="s">
        <v>17666</v>
      </c>
      <c r="B8897" s="5" t="s">
        <v>17667</v>
      </c>
      <c r="C8897" s="6">
        <v>597.0</v>
      </c>
      <c r="D8897" s="9"/>
      <c r="E8897" s="9"/>
    </row>
    <row r="8898">
      <c r="A8898" s="4" t="s">
        <v>17668</v>
      </c>
      <c r="B8898" s="5" t="s">
        <v>17669</v>
      </c>
      <c r="C8898" s="6">
        <v>597.0</v>
      </c>
      <c r="D8898" s="6">
        <v>3.666666667</v>
      </c>
      <c r="E8898" s="6">
        <v>3.0</v>
      </c>
    </row>
    <row r="8899">
      <c r="A8899" s="4" t="s">
        <v>17670</v>
      </c>
      <c r="B8899" s="5" t="s">
        <v>17671</v>
      </c>
      <c r="C8899" s="6">
        <v>597.0</v>
      </c>
      <c r="D8899" s="6">
        <v>4.0</v>
      </c>
      <c r="E8899" s="6">
        <v>4.0</v>
      </c>
    </row>
    <row r="8900">
      <c r="A8900" s="4" t="s">
        <v>17672</v>
      </c>
      <c r="B8900" s="5" t="s">
        <v>17673</v>
      </c>
      <c r="C8900" s="6">
        <v>597.0</v>
      </c>
      <c r="D8900" s="6">
        <v>3.625</v>
      </c>
      <c r="E8900" s="6">
        <v>8.0</v>
      </c>
    </row>
    <row r="8901">
      <c r="A8901" s="4" t="s">
        <v>17674</v>
      </c>
      <c r="B8901" s="5" t="s">
        <v>17675</v>
      </c>
      <c r="C8901" s="6">
        <v>596.0</v>
      </c>
      <c r="D8901" s="9"/>
      <c r="E8901" s="9"/>
    </row>
    <row r="8902">
      <c r="A8902" s="4" t="s">
        <v>17676</v>
      </c>
      <c r="B8902" s="5" t="s">
        <v>17677</v>
      </c>
      <c r="C8902" s="6">
        <v>596.0</v>
      </c>
      <c r="D8902" s="6">
        <v>4.294117647</v>
      </c>
      <c r="E8902" s="6">
        <v>17.0</v>
      </c>
    </row>
    <row r="8903">
      <c r="A8903" s="4" t="s">
        <v>17678</v>
      </c>
      <c r="B8903" s="5" t="s">
        <v>17679</v>
      </c>
      <c r="C8903" s="6">
        <v>596.0</v>
      </c>
      <c r="D8903" s="6">
        <v>4.0</v>
      </c>
      <c r="E8903" s="6">
        <v>5.0</v>
      </c>
    </row>
    <row r="8904">
      <c r="A8904" s="4" t="s">
        <v>17680</v>
      </c>
      <c r="B8904" s="5" t="s">
        <v>17681</v>
      </c>
      <c r="C8904" s="6">
        <v>596.0</v>
      </c>
      <c r="D8904" s="6">
        <v>3.0</v>
      </c>
      <c r="E8904" s="6">
        <v>4.0</v>
      </c>
    </row>
    <row r="8905">
      <c r="A8905" s="4" t="s">
        <v>17682</v>
      </c>
      <c r="B8905" s="5" t="s">
        <v>17683</v>
      </c>
      <c r="C8905" s="6">
        <v>596.0</v>
      </c>
      <c r="D8905" s="6">
        <v>4.863636364</v>
      </c>
      <c r="E8905" s="6">
        <v>22.0</v>
      </c>
    </row>
    <row r="8906">
      <c r="A8906" s="4" t="s">
        <v>17684</v>
      </c>
      <c r="B8906" s="5" t="s">
        <v>17685</v>
      </c>
      <c r="C8906" s="6">
        <v>596.0</v>
      </c>
      <c r="D8906" s="6">
        <v>4.5</v>
      </c>
      <c r="E8906" s="6">
        <v>8.0</v>
      </c>
    </row>
    <row r="8907">
      <c r="A8907" s="4" t="s">
        <v>17686</v>
      </c>
      <c r="B8907" s="5" t="s">
        <v>17687</v>
      </c>
      <c r="C8907" s="6">
        <v>596.0</v>
      </c>
      <c r="D8907" s="6">
        <v>5.0</v>
      </c>
      <c r="E8907" s="6">
        <v>3.0</v>
      </c>
    </row>
    <row r="8908">
      <c r="A8908" s="4" t="s">
        <v>17688</v>
      </c>
      <c r="B8908" s="5" t="s">
        <v>17689</v>
      </c>
      <c r="C8908" s="6">
        <v>596.0</v>
      </c>
      <c r="D8908" s="6">
        <v>3.972222222</v>
      </c>
      <c r="E8908" s="6">
        <v>36.0</v>
      </c>
    </row>
    <row r="8909">
      <c r="A8909" s="4" t="s">
        <v>17690</v>
      </c>
      <c r="B8909" s="5" t="s">
        <v>17691</v>
      </c>
      <c r="C8909" s="6">
        <v>596.0</v>
      </c>
      <c r="D8909" s="6">
        <v>3.6</v>
      </c>
      <c r="E8909" s="6">
        <v>5.0</v>
      </c>
    </row>
    <row r="8910">
      <c r="A8910" s="4" t="s">
        <v>17692</v>
      </c>
      <c r="B8910" s="5" t="s">
        <v>17693</v>
      </c>
      <c r="C8910" s="6">
        <v>596.0</v>
      </c>
      <c r="D8910" s="6">
        <v>4.142857143</v>
      </c>
      <c r="E8910" s="6">
        <v>7.0</v>
      </c>
    </row>
    <row r="8911">
      <c r="A8911" s="4" t="s">
        <v>17694</v>
      </c>
      <c r="B8911" s="5" t="s">
        <v>17695</v>
      </c>
      <c r="C8911" s="6">
        <v>595.0</v>
      </c>
      <c r="D8911" s="6">
        <v>5.0</v>
      </c>
      <c r="E8911" s="6">
        <v>2.0</v>
      </c>
    </row>
    <row r="8912">
      <c r="A8912" s="4" t="s">
        <v>17696</v>
      </c>
      <c r="B8912" s="5" t="s">
        <v>17697</v>
      </c>
      <c r="C8912" s="6">
        <v>595.0</v>
      </c>
      <c r="D8912" s="6">
        <v>4.8</v>
      </c>
      <c r="E8912" s="6">
        <v>5.0</v>
      </c>
    </row>
    <row r="8913">
      <c r="A8913" s="4" t="s">
        <v>17698</v>
      </c>
      <c r="B8913" s="5" t="s">
        <v>17699</v>
      </c>
      <c r="C8913" s="6">
        <v>595.0</v>
      </c>
      <c r="D8913" s="6">
        <v>4.583333333</v>
      </c>
      <c r="E8913" s="6">
        <v>24.0</v>
      </c>
    </row>
    <row r="8914">
      <c r="A8914" s="4" t="s">
        <v>17700</v>
      </c>
      <c r="B8914" s="5" t="s">
        <v>17701</v>
      </c>
      <c r="C8914" s="6">
        <v>595.0</v>
      </c>
      <c r="D8914" s="6">
        <v>4.0</v>
      </c>
      <c r="E8914" s="6">
        <v>4.0</v>
      </c>
    </row>
    <row r="8915">
      <c r="A8915" s="4" t="s">
        <v>17702</v>
      </c>
      <c r="B8915" s="5" t="s">
        <v>17703</v>
      </c>
      <c r="C8915" s="6">
        <v>595.0</v>
      </c>
      <c r="D8915" s="6">
        <v>5.0</v>
      </c>
      <c r="E8915" s="6">
        <v>2.0</v>
      </c>
    </row>
    <row r="8916">
      <c r="A8916" s="4" t="s">
        <v>17704</v>
      </c>
      <c r="B8916" s="5" t="s">
        <v>17705</v>
      </c>
      <c r="C8916" s="6">
        <v>595.0</v>
      </c>
      <c r="D8916" s="6">
        <v>4.880952381</v>
      </c>
      <c r="E8916" s="6">
        <v>42.0</v>
      </c>
    </row>
    <row r="8917">
      <c r="A8917" s="4" t="s">
        <v>17706</v>
      </c>
      <c r="B8917" s="5" t="s">
        <v>17707</v>
      </c>
      <c r="C8917" s="6">
        <v>595.0</v>
      </c>
      <c r="D8917" s="9"/>
      <c r="E8917" s="9"/>
    </row>
    <row r="8918">
      <c r="A8918" s="4" t="s">
        <v>17708</v>
      </c>
      <c r="B8918" s="5" t="s">
        <v>17709</v>
      </c>
      <c r="C8918" s="6">
        <v>594.0</v>
      </c>
      <c r="D8918" s="6">
        <v>4.666666667</v>
      </c>
      <c r="E8918" s="6">
        <v>6.0</v>
      </c>
    </row>
    <row r="8919">
      <c r="A8919" s="4" t="s">
        <v>17710</v>
      </c>
      <c r="B8919" s="5" t="s">
        <v>17711</v>
      </c>
      <c r="C8919" s="6">
        <v>594.0</v>
      </c>
      <c r="D8919" s="6">
        <v>5.0</v>
      </c>
      <c r="E8919" s="6">
        <v>5.0</v>
      </c>
    </row>
    <row r="8920">
      <c r="A8920" s="4" t="s">
        <v>17712</v>
      </c>
      <c r="B8920" s="5" t="s">
        <v>17713</v>
      </c>
      <c r="C8920" s="6">
        <v>594.0</v>
      </c>
      <c r="D8920" s="6">
        <v>4.368421053</v>
      </c>
      <c r="E8920" s="6">
        <v>95.0</v>
      </c>
    </row>
    <row r="8921">
      <c r="A8921" s="4" t="s">
        <v>17714</v>
      </c>
      <c r="B8921" s="5" t="s">
        <v>17715</v>
      </c>
      <c r="C8921" s="6">
        <v>594.0</v>
      </c>
      <c r="D8921" s="6">
        <v>5.0</v>
      </c>
      <c r="E8921" s="6">
        <v>1.0</v>
      </c>
    </row>
    <row r="8922">
      <c r="A8922" s="4" t="s">
        <v>17716</v>
      </c>
      <c r="B8922" s="5" t="s">
        <v>17717</v>
      </c>
      <c r="C8922" s="6">
        <v>593.0</v>
      </c>
      <c r="D8922" s="6">
        <v>4.0</v>
      </c>
      <c r="E8922" s="6">
        <v>5.0</v>
      </c>
    </row>
    <row r="8923">
      <c r="A8923" s="4" t="s">
        <v>17718</v>
      </c>
      <c r="B8923" s="5" t="s">
        <v>17719</v>
      </c>
      <c r="C8923" s="6">
        <v>593.0</v>
      </c>
      <c r="D8923" s="6">
        <v>4.222222222</v>
      </c>
      <c r="E8923" s="6">
        <v>9.0</v>
      </c>
    </row>
    <row r="8924">
      <c r="A8924" s="4" t="s">
        <v>17720</v>
      </c>
      <c r="B8924" s="5" t="s">
        <v>17721</v>
      </c>
      <c r="C8924" s="6">
        <v>593.0</v>
      </c>
      <c r="D8924" s="6">
        <v>4.5</v>
      </c>
      <c r="E8924" s="6">
        <v>2.0</v>
      </c>
    </row>
    <row r="8925">
      <c r="A8925" s="4" t="s">
        <v>17722</v>
      </c>
      <c r="B8925" s="5" t="s">
        <v>17723</v>
      </c>
      <c r="C8925" s="6">
        <v>593.0</v>
      </c>
      <c r="D8925" s="6">
        <v>4.4</v>
      </c>
      <c r="E8925" s="6">
        <v>20.0</v>
      </c>
    </row>
    <row r="8926">
      <c r="A8926" s="4" t="s">
        <v>1248</v>
      </c>
      <c r="B8926" s="5" t="s">
        <v>17724</v>
      </c>
      <c r="C8926" s="6">
        <v>593.0</v>
      </c>
      <c r="D8926" s="9"/>
      <c r="E8926" s="9"/>
    </row>
    <row r="8927">
      <c r="A8927" s="4" t="s">
        <v>17725</v>
      </c>
      <c r="B8927" s="5" t="s">
        <v>17726</v>
      </c>
      <c r="C8927" s="6">
        <v>593.0</v>
      </c>
      <c r="D8927" s="6">
        <v>4.444444444</v>
      </c>
      <c r="E8927" s="6">
        <v>9.0</v>
      </c>
    </row>
    <row r="8928">
      <c r="A8928" s="4" t="s">
        <v>17727</v>
      </c>
      <c r="B8928" s="5" t="s">
        <v>17728</v>
      </c>
      <c r="C8928" s="6">
        <v>593.0</v>
      </c>
      <c r="D8928" s="6">
        <v>3.0</v>
      </c>
      <c r="E8928" s="6">
        <v>4.0</v>
      </c>
    </row>
    <row r="8929">
      <c r="A8929" s="4" t="s">
        <v>17729</v>
      </c>
      <c r="B8929" s="5" t="s">
        <v>17730</v>
      </c>
      <c r="C8929" s="6">
        <v>592.0</v>
      </c>
      <c r="D8929" s="6">
        <v>3.5</v>
      </c>
      <c r="E8929" s="6">
        <v>8.0</v>
      </c>
    </row>
    <row r="8930">
      <c r="A8930" s="4" t="s">
        <v>17731</v>
      </c>
      <c r="B8930" s="5" t="s">
        <v>17732</v>
      </c>
      <c r="C8930" s="6">
        <v>592.0</v>
      </c>
      <c r="D8930" s="6">
        <v>5.0</v>
      </c>
      <c r="E8930" s="6">
        <v>1.0</v>
      </c>
    </row>
    <row r="8931">
      <c r="A8931" s="4" t="s">
        <v>17733</v>
      </c>
      <c r="B8931" s="5" t="s">
        <v>17734</v>
      </c>
      <c r="C8931" s="6">
        <v>592.0</v>
      </c>
      <c r="D8931" s="6">
        <v>4.368421053</v>
      </c>
      <c r="E8931" s="6">
        <v>19.0</v>
      </c>
    </row>
    <row r="8932">
      <c r="A8932" s="4" t="s">
        <v>17735</v>
      </c>
      <c r="B8932" s="5" t="s">
        <v>17736</v>
      </c>
      <c r="C8932" s="6">
        <v>592.0</v>
      </c>
      <c r="D8932" s="9"/>
      <c r="E8932" s="9"/>
    </row>
    <row r="8933">
      <c r="A8933" s="4" t="s">
        <v>17737</v>
      </c>
      <c r="B8933" s="5" t="s">
        <v>17738</v>
      </c>
      <c r="C8933" s="6">
        <v>591.0</v>
      </c>
      <c r="D8933" s="6">
        <v>3.875</v>
      </c>
      <c r="E8933" s="6">
        <v>8.0</v>
      </c>
    </row>
    <row r="8934">
      <c r="A8934" s="4" t="s">
        <v>17739</v>
      </c>
      <c r="B8934" s="5" t="s">
        <v>17740</v>
      </c>
      <c r="C8934" s="6">
        <v>591.0</v>
      </c>
      <c r="D8934" s="6">
        <v>5.0</v>
      </c>
      <c r="E8934" s="6">
        <v>3.0</v>
      </c>
    </row>
    <row r="8935">
      <c r="A8935" s="4" t="s">
        <v>17741</v>
      </c>
      <c r="B8935" s="5" t="s">
        <v>17742</v>
      </c>
      <c r="C8935" s="6">
        <v>591.0</v>
      </c>
      <c r="D8935" s="6">
        <v>5.0</v>
      </c>
      <c r="E8935" s="6">
        <v>2.0</v>
      </c>
    </row>
    <row r="8936">
      <c r="A8936" s="4" t="s">
        <v>17743</v>
      </c>
      <c r="B8936" s="5" t="s">
        <v>17744</v>
      </c>
      <c r="C8936" s="6">
        <v>591.0</v>
      </c>
      <c r="D8936" s="6">
        <v>3.416666667</v>
      </c>
      <c r="E8936" s="6">
        <v>12.0</v>
      </c>
    </row>
    <row r="8937">
      <c r="A8937" s="4" t="s">
        <v>17745</v>
      </c>
      <c r="B8937" s="5" t="s">
        <v>17746</v>
      </c>
      <c r="C8937" s="6">
        <v>591.0</v>
      </c>
      <c r="D8937" s="6">
        <v>4.333333333</v>
      </c>
      <c r="E8937" s="6">
        <v>6.0</v>
      </c>
    </row>
    <row r="8938">
      <c r="A8938" s="4" t="s">
        <v>17747</v>
      </c>
      <c r="B8938" s="5" t="s">
        <v>17748</v>
      </c>
      <c r="C8938" s="6">
        <v>591.0</v>
      </c>
      <c r="D8938" s="6">
        <v>5.0</v>
      </c>
      <c r="E8938" s="6">
        <v>1.0</v>
      </c>
    </row>
    <row r="8939">
      <c r="A8939" s="4" t="s">
        <v>17749</v>
      </c>
      <c r="B8939" s="5" t="s">
        <v>17750</v>
      </c>
      <c r="C8939" s="6">
        <v>591.0</v>
      </c>
      <c r="D8939" s="6">
        <v>4.8</v>
      </c>
      <c r="E8939" s="6">
        <v>10.0</v>
      </c>
    </row>
    <row r="8940">
      <c r="A8940" s="4" t="s">
        <v>17751</v>
      </c>
      <c r="B8940" s="5" t="s">
        <v>17752</v>
      </c>
      <c r="C8940" s="6">
        <v>591.0</v>
      </c>
      <c r="D8940" s="6">
        <v>4.588235294</v>
      </c>
      <c r="E8940" s="6">
        <v>34.0</v>
      </c>
    </row>
    <row r="8941">
      <c r="A8941" s="4" t="s">
        <v>17753</v>
      </c>
      <c r="B8941" s="5" t="s">
        <v>17754</v>
      </c>
      <c r="C8941" s="6">
        <v>591.0</v>
      </c>
      <c r="D8941" s="6">
        <v>5.0</v>
      </c>
      <c r="E8941" s="6">
        <v>2.0</v>
      </c>
    </row>
    <row r="8942">
      <c r="A8942" s="4" t="s">
        <v>17755</v>
      </c>
      <c r="B8942" s="5" t="s">
        <v>17756</v>
      </c>
      <c r="C8942" s="6">
        <v>590.0</v>
      </c>
      <c r="D8942" s="6">
        <v>1.0</v>
      </c>
      <c r="E8942" s="6">
        <v>2.0</v>
      </c>
    </row>
    <row r="8943">
      <c r="A8943" s="4" t="s">
        <v>17757</v>
      </c>
      <c r="B8943" s="5" t="s">
        <v>17758</v>
      </c>
      <c r="C8943" s="6">
        <v>590.0</v>
      </c>
      <c r="D8943" s="6">
        <v>4.0</v>
      </c>
      <c r="E8943" s="6">
        <v>6.0</v>
      </c>
    </row>
    <row r="8944">
      <c r="A8944" s="4" t="s">
        <v>17759</v>
      </c>
      <c r="B8944" s="5" t="s">
        <v>17760</v>
      </c>
      <c r="C8944" s="6">
        <v>590.0</v>
      </c>
      <c r="D8944" s="6">
        <v>3.571428571</v>
      </c>
      <c r="E8944" s="6">
        <v>7.0</v>
      </c>
    </row>
    <row r="8945">
      <c r="A8945" s="4" t="s">
        <v>17761</v>
      </c>
      <c r="B8945" s="5" t="s">
        <v>17762</v>
      </c>
      <c r="C8945" s="6">
        <v>590.0</v>
      </c>
      <c r="D8945" s="6">
        <v>4.6875</v>
      </c>
      <c r="E8945" s="6">
        <v>16.0</v>
      </c>
    </row>
    <row r="8946">
      <c r="A8946" s="4" t="s">
        <v>17763</v>
      </c>
      <c r="B8946" s="5" t="s">
        <v>17764</v>
      </c>
      <c r="C8946" s="6">
        <v>590.0</v>
      </c>
      <c r="D8946" s="6">
        <v>4.2</v>
      </c>
      <c r="E8946" s="6">
        <v>5.0</v>
      </c>
    </row>
    <row r="8947">
      <c r="A8947" s="4" t="s">
        <v>17765</v>
      </c>
      <c r="B8947" s="5" t="s">
        <v>17766</v>
      </c>
      <c r="C8947" s="6">
        <v>590.0</v>
      </c>
      <c r="D8947" s="6">
        <v>3.666666667</v>
      </c>
      <c r="E8947" s="6">
        <v>6.0</v>
      </c>
    </row>
    <row r="8948">
      <c r="A8948" s="4" t="s">
        <v>17767</v>
      </c>
      <c r="B8948" s="5" t="s">
        <v>17768</v>
      </c>
      <c r="C8948" s="6">
        <v>590.0</v>
      </c>
      <c r="D8948" s="6">
        <v>2.909090909</v>
      </c>
      <c r="E8948" s="6">
        <v>22.0</v>
      </c>
    </row>
    <row r="8949">
      <c r="A8949" s="4" t="s">
        <v>17769</v>
      </c>
      <c r="B8949" s="5" t="s">
        <v>17770</v>
      </c>
      <c r="C8949" s="6">
        <v>589.0</v>
      </c>
      <c r="D8949" s="6">
        <v>4.1875</v>
      </c>
      <c r="E8949" s="6">
        <v>32.0</v>
      </c>
    </row>
    <row r="8950">
      <c r="A8950" s="4" t="s">
        <v>17771</v>
      </c>
      <c r="B8950" s="5" t="s">
        <v>17772</v>
      </c>
      <c r="C8950" s="6">
        <v>589.0</v>
      </c>
      <c r="D8950" s="9"/>
      <c r="E8950" s="9"/>
    </row>
    <row r="8951">
      <c r="A8951" s="4" t="s">
        <v>17773</v>
      </c>
      <c r="B8951" s="5" t="s">
        <v>17774</v>
      </c>
      <c r="C8951" s="6">
        <v>589.0</v>
      </c>
      <c r="D8951" s="6">
        <v>3.461538462</v>
      </c>
      <c r="E8951" s="6">
        <v>13.0</v>
      </c>
    </row>
    <row r="8952">
      <c r="A8952" s="4" t="s">
        <v>17775</v>
      </c>
      <c r="B8952" s="5" t="s">
        <v>17776</v>
      </c>
      <c r="C8952" s="6">
        <v>589.0</v>
      </c>
      <c r="D8952" s="6">
        <v>5.0</v>
      </c>
      <c r="E8952" s="6">
        <v>2.0</v>
      </c>
    </row>
    <row r="8953">
      <c r="A8953" s="4" t="s">
        <v>17777</v>
      </c>
      <c r="B8953" s="5" t="s">
        <v>17778</v>
      </c>
      <c r="C8953" s="6">
        <v>589.0</v>
      </c>
      <c r="D8953" s="6">
        <v>5.0</v>
      </c>
      <c r="E8953" s="6">
        <v>5.0</v>
      </c>
    </row>
    <row r="8954">
      <c r="A8954" s="4" t="s">
        <v>17779</v>
      </c>
      <c r="B8954" s="5" t="s">
        <v>17780</v>
      </c>
      <c r="C8954" s="6">
        <v>589.0</v>
      </c>
      <c r="D8954" s="6">
        <v>3.107142857</v>
      </c>
      <c r="E8954" s="6">
        <v>28.0</v>
      </c>
    </row>
    <row r="8955">
      <c r="A8955" s="4" t="s">
        <v>17781</v>
      </c>
      <c r="B8955" s="5" t="s">
        <v>17782</v>
      </c>
      <c r="C8955" s="6">
        <v>589.0</v>
      </c>
      <c r="D8955" s="6">
        <v>5.0</v>
      </c>
      <c r="E8955" s="6">
        <v>1.0</v>
      </c>
    </row>
    <row r="8956">
      <c r="A8956" s="4" t="s">
        <v>17783</v>
      </c>
      <c r="B8956" s="5" t="s">
        <v>17784</v>
      </c>
      <c r="C8956" s="6">
        <v>589.0</v>
      </c>
      <c r="D8956" s="6">
        <v>3.567567568</v>
      </c>
      <c r="E8956" s="6">
        <v>37.0</v>
      </c>
    </row>
    <row r="8957">
      <c r="A8957" s="4" t="s">
        <v>17785</v>
      </c>
      <c r="B8957" s="5" t="s">
        <v>17786</v>
      </c>
      <c r="C8957" s="6">
        <v>589.0</v>
      </c>
      <c r="D8957" s="6">
        <v>4.772727273</v>
      </c>
      <c r="E8957" s="6">
        <v>22.0</v>
      </c>
    </row>
    <row r="8958">
      <c r="A8958" s="4" t="s">
        <v>17787</v>
      </c>
      <c r="B8958" s="5" t="s">
        <v>17788</v>
      </c>
      <c r="C8958" s="6">
        <v>589.0</v>
      </c>
      <c r="D8958" s="6">
        <v>5.0</v>
      </c>
      <c r="E8958" s="6">
        <v>4.0</v>
      </c>
    </row>
    <row r="8959">
      <c r="A8959" s="4" t="s">
        <v>17789</v>
      </c>
      <c r="B8959" s="5" t="s">
        <v>17790</v>
      </c>
      <c r="C8959" s="6">
        <v>589.0</v>
      </c>
      <c r="D8959" s="6">
        <v>4.125</v>
      </c>
      <c r="E8959" s="6">
        <v>8.0</v>
      </c>
    </row>
    <row r="8960">
      <c r="A8960" s="4" t="s">
        <v>17791</v>
      </c>
      <c r="B8960" s="5" t="s">
        <v>17792</v>
      </c>
      <c r="C8960" s="6">
        <v>588.0</v>
      </c>
      <c r="D8960" s="6">
        <v>4.136363636</v>
      </c>
      <c r="E8960" s="6">
        <v>22.0</v>
      </c>
    </row>
    <row r="8961">
      <c r="A8961" s="4" t="s">
        <v>17793</v>
      </c>
      <c r="B8961" s="5" t="s">
        <v>17794</v>
      </c>
      <c r="C8961" s="6">
        <v>588.0</v>
      </c>
      <c r="D8961" s="6">
        <v>5.0</v>
      </c>
      <c r="E8961" s="6">
        <v>1.0</v>
      </c>
    </row>
    <row r="8962">
      <c r="A8962" s="4" t="s">
        <v>17795</v>
      </c>
      <c r="B8962" s="5" t="s">
        <v>17796</v>
      </c>
      <c r="C8962" s="6">
        <v>588.0</v>
      </c>
      <c r="D8962" s="6">
        <v>2.0</v>
      </c>
      <c r="E8962" s="6">
        <v>4.0</v>
      </c>
    </row>
    <row r="8963">
      <c r="A8963" s="4" t="s">
        <v>17797</v>
      </c>
      <c r="B8963" s="5" t="s">
        <v>17798</v>
      </c>
      <c r="C8963" s="6">
        <v>588.0</v>
      </c>
      <c r="D8963" s="6">
        <v>4.352941176</v>
      </c>
      <c r="E8963" s="6">
        <v>17.0</v>
      </c>
    </row>
    <row r="8964">
      <c r="A8964" s="4" t="s">
        <v>17799</v>
      </c>
      <c r="B8964" s="5" t="s">
        <v>17800</v>
      </c>
      <c r="C8964" s="6">
        <v>587.0</v>
      </c>
      <c r="D8964" s="6">
        <v>3.230769231</v>
      </c>
      <c r="E8964" s="6">
        <v>13.0</v>
      </c>
    </row>
    <row r="8965">
      <c r="A8965" s="4" t="s">
        <v>17801</v>
      </c>
      <c r="B8965" s="5" t="s">
        <v>17802</v>
      </c>
      <c r="C8965" s="6">
        <v>587.0</v>
      </c>
      <c r="D8965" s="6">
        <v>3.885714286</v>
      </c>
      <c r="E8965" s="6">
        <v>35.0</v>
      </c>
    </row>
    <row r="8966">
      <c r="A8966" s="4" t="s">
        <v>17803</v>
      </c>
      <c r="B8966" s="5" t="s">
        <v>17804</v>
      </c>
      <c r="C8966" s="6">
        <v>587.0</v>
      </c>
      <c r="D8966" s="6">
        <v>3.0</v>
      </c>
      <c r="E8966" s="6">
        <v>16.0</v>
      </c>
    </row>
    <row r="8967">
      <c r="A8967" s="4" t="s">
        <v>17805</v>
      </c>
      <c r="B8967" s="5" t="s">
        <v>17806</v>
      </c>
      <c r="C8967" s="6">
        <v>587.0</v>
      </c>
      <c r="D8967" s="6">
        <v>4.529411765</v>
      </c>
      <c r="E8967" s="6">
        <v>17.0</v>
      </c>
    </row>
    <row r="8968">
      <c r="A8968" s="4" t="s">
        <v>17807</v>
      </c>
      <c r="B8968" s="5" t="s">
        <v>17808</v>
      </c>
      <c r="C8968" s="6">
        <v>587.0</v>
      </c>
      <c r="D8968" s="6">
        <v>4.2</v>
      </c>
      <c r="E8968" s="6">
        <v>10.0</v>
      </c>
    </row>
    <row r="8969">
      <c r="A8969" s="4" t="s">
        <v>17809</v>
      </c>
      <c r="B8969" s="5" t="s">
        <v>17810</v>
      </c>
      <c r="C8969" s="6">
        <v>586.0</v>
      </c>
      <c r="D8969" s="6">
        <v>3.714285714</v>
      </c>
      <c r="E8969" s="6">
        <v>7.0</v>
      </c>
    </row>
    <row r="8970">
      <c r="A8970" s="4" t="s">
        <v>17811</v>
      </c>
      <c r="B8970" s="5" t="s">
        <v>17812</v>
      </c>
      <c r="C8970" s="6">
        <v>586.0</v>
      </c>
      <c r="D8970" s="6">
        <v>4.0</v>
      </c>
      <c r="E8970" s="6">
        <v>3.0</v>
      </c>
    </row>
    <row r="8971">
      <c r="A8971" s="4" t="s">
        <v>17813</v>
      </c>
      <c r="B8971" s="5" t="s">
        <v>17814</v>
      </c>
      <c r="C8971" s="6">
        <v>586.0</v>
      </c>
      <c r="D8971" s="6">
        <v>3.941176471</v>
      </c>
      <c r="E8971" s="6">
        <v>17.0</v>
      </c>
    </row>
    <row r="8972">
      <c r="A8972" s="4" t="s">
        <v>17815</v>
      </c>
      <c r="B8972" s="5" t="s">
        <v>17816</v>
      </c>
      <c r="C8972" s="6">
        <v>586.0</v>
      </c>
      <c r="D8972" s="9"/>
      <c r="E8972" s="9"/>
    </row>
    <row r="8973">
      <c r="A8973" s="4" t="s">
        <v>17817</v>
      </c>
      <c r="B8973" s="5" t="s">
        <v>17818</v>
      </c>
      <c r="C8973" s="6">
        <v>586.0</v>
      </c>
      <c r="D8973" s="6">
        <v>3.826086957</v>
      </c>
      <c r="E8973" s="6">
        <v>23.0</v>
      </c>
    </row>
    <row r="8974">
      <c r="A8974" s="4" t="s">
        <v>17819</v>
      </c>
      <c r="B8974" s="5" t="s">
        <v>17820</v>
      </c>
      <c r="C8974" s="6">
        <v>586.0</v>
      </c>
      <c r="D8974" s="6">
        <v>5.0</v>
      </c>
      <c r="E8974" s="6">
        <v>1.0</v>
      </c>
    </row>
    <row r="8975">
      <c r="A8975" s="4" t="s">
        <v>17821</v>
      </c>
      <c r="B8975" s="5" t="s">
        <v>17822</v>
      </c>
      <c r="C8975" s="6">
        <v>585.0</v>
      </c>
      <c r="D8975" s="6">
        <v>5.0</v>
      </c>
      <c r="E8975" s="6">
        <v>5.0</v>
      </c>
    </row>
    <row r="8976">
      <c r="A8976" s="4" t="s">
        <v>17823</v>
      </c>
      <c r="B8976" s="5" t="s">
        <v>17824</v>
      </c>
      <c r="C8976" s="6">
        <v>585.0</v>
      </c>
      <c r="D8976" s="6">
        <v>3.714285714</v>
      </c>
      <c r="E8976" s="6">
        <v>14.0</v>
      </c>
    </row>
    <row r="8977">
      <c r="A8977" s="4" t="s">
        <v>17825</v>
      </c>
      <c r="B8977" s="5" t="s">
        <v>17826</v>
      </c>
      <c r="C8977" s="6">
        <v>585.0</v>
      </c>
      <c r="D8977" s="6">
        <v>5.0</v>
      </c>
      <c r="E8977" s="6">
        <v>1.0</v>
      </c>
    </row>
    <row r="8978">
      <c r="A8978" s="4" t="s">
        <v>17827</v>
      </c>
      <c r="B8978" s="5" t="s">
        <v>17828</v>
      </c>
      <c r="C8978" s="6">
        <v>585.0</v>
      </c>
      <c r="D8978" s="6">
        <v>1.0</v>
      </c>
      <c r="E8978" s="6">
        <v>3.0</v>
      </c>
    </row>
    <row r="8979">
      <c r="A8979" s="4" t="s">
        <v>17829</v>
      </c>
      <c r="B8979" s="5" t="s">
        <v>17830</v>
      </c>
      <c r="C8979" s="6">
        <v>585.0</v>
      </c>
      <c r="D8979" s="6">
        <v>4.416666667</v>
      </c>
      <c r="E8979" s="6">
        <v>12.0</v>
      </c>
    </row>
    <row r="8980">
      <c r="A8980" s="4" t="s">
        <v>17831</v>
      </c>
      <c r="B8980" s="5" t="s">
        <v>17832</v>
      </c>
      <c r="C8980" s="6">
        <v>585.0</v>
      </c>
      <c r="D8980" s="6">
        <v>4.333333333</v>
      </c>
      <c r="E8980" s="6">
        <v>6.0</v>
      </c>
    </row>
    <row r="8981">
      <c r="A8981" s="4" t="s">
        <v>17833</v>
      </c>
      <c r="B8981" s="5" t="s">
        <v>17834</v>
      </c>
      <c r="C8981" s="6">
        <v>585.0</v>
      </c>
      <c r="D8981" s="6">
        <v>2.0</v>
      </c>
      <c r="E8981" s="6">
        <v>4.0</v>
      </c>
    </row>
    <row r="8982">
      <c r="A8982" s="4" t="s">
        <v>17835</v>
      </c>
      <c r="B8982" s="5" t="s">
        <v>17836</v>
      </c>
      <c r="C8982" s="6">
        <v>585.0</v>
      </c>
      <c r="D8982" s="6">
        <v>3.333333333</v>
      </c>
      <c r="E8982" s="6">
        <v>6.0</v>
      </c>
    </row>
    <row r="8983">
      <c r="A8983" s="4" t="s">
        <v>17837</v>
      </c>
      <c r="B8983" s="5" t="s">
        <v>17838</v>
      </c>
      <c r="C8983" s="6">
        <v>585.0</v>
      </c>
      <c r="D8983" s="6">
        <v>3.75</v>
      </c>
      <c r="E8983" s="6">
        <v>8.0</v>
      </c>
    </row>
    <row r="8984">
      <c r="A8984" s="4" t="s">
        <v>13742</v>
      </c>
      <c r="B8984" s="5" t="s">
        <v>17839</v>
      </c>
      <c r="C8984" s="6">
        <v>585.0</v>
      </c>
      <c r="D8984" s="6">
        <v>4.0</v>
      </c>
      <c r="E8984" s="6">
        <v>9.0</v>
      </c>
    </row>
    <row r="8985">
      <c r="A8985" s="4" t="s">
        <v>17840</v>
      </c>
      <c r="B8985" s="5" t="s">
        <v>17841</v>
      </c>
      <c r="C8985" s="6">
        <v>585.0</v>
      </c>
      <c r="D8985" s="6">
        <v>3.071428571</v>
      </c>
      <c r="E8985" s="6">
        <v>14.0</v>
      </c>
    </row>
    <row r="8986">
      <c r="A8986" s="4" t="s">
        <v>17842</v>
      </c>
      <c r="B8986" s="5" t="s">
        <v>17843</v>
      </c>
      <c r="C8986" s="6">
        <v>585.0</v>
      </c>
      <c r="D8986" s="6">
        <v>4.4</v>
      </c>
      <c r="E8986" s="6">
        <v>5.0</v>
      </c>
    </row>
    <row r="8987">
      <c r="A8987" s="4" t="s">
        <v>17844</v>
      </c>
      <c r="B8987" s="5" t="s">
        <v>17845</v>
      </c>
      <c r="C8987" s="6">
        <v>585.0</v>
      </c>
      <c r="D8987" s="6">
        <v>5.0</v>
      </c>
      <c r="E8987" s="6">
        <v>4.0</v>
      </c>
    </row>
    <row r="8988">
      <c r="A8988" s="4" t="s">
        <v>17846</v>
      </c>
      <c r="B8988" s="5" t="s">
        <v>17847</v>
      </c>
      <c r="C8988" s="6">
        <v>585.0</v>
      </c>
      <c r="D8988" s="6">
        <v>5.0</v>
      </c>
      <c r="E8988" s="6">
        <v>1.0</v>
      </c>
    </row>
    <row r="8989">
      <c r="A8989" s="4" t="s">
        <v>17848</v>
      </c>
      <c r="B8989" s="5" t="s">
        <v>17849</v>
      </c>
      <c r="C8989" s="6">
        <v>585.0</v>
      </c>
      <c r="D8989" s="9"/>
      <c r="E8989" s="9"/>
    </row>
    <row r="8990">
      <c r="A8990" s="4" t="s">
        <v>17850</v>
      </c>
      <c r="B8990" s="5" t="s">
        <v>17851</v>
      </c>
      <c r="C8990" s="6">
        <v>584.0</v>
      </c>
      <c r="D8990" s="6">
        <v>2.5</v>
      </c>
      <c r="E8990" s="6">
        <v>4.0</v>
      </c>
    </row>
    <row r="8991">
      <c r="A8991" s="4" t="s">
        <v>17852</v>
      </c>
      <c r="B8991" s="5" t="s">
        <v>17853</v>
      </c>
      <c r="C8991" s="6">
        <v>584.0</v>
      </c>
      <c r="D8991" s="6">
        <v>4.0</v>
      </c>
      <c r="E8991" s="6">
        <v>2.0</v>
      </c>
    </row>
    <row r="8992">
      <c r="A8992" s="4" t="s">
        <v>17854</v>
      </c>
      <c r="B8992" s="5" t="s">
        <v>17855</v>
      </c>
      <c r="C8992" s="6">
        <v>584.0</v>
      </c>
      <c r="D8992" s="6">
        <v>4.633333333</v>
      </c>
      <c r="E8992" s="6">
        <v>30.0</v>
      </c>
    </row>
    <row r="8993">
      <c r="A8993" s="4" t="s">
        <v>17856</v>
      </c>
      <c r="B8993" s="5" t="s">
        <v>17857</v>
      </c>
      <c r="C8993" s="6">
        <v>584.0</v>
      </c>
      <c r="D8993" s="6">
        <v>2.95</v>
      </c>
      <c r="E8993" s="6">
        <v>20.0</v>
      </c>
    </row>
    <row r="8994">
      <c r="A8994" s="4" t="s">
        <v>17858</v>
      </c>
      <c r="B8994" s="5" t="s">
        <v>17859</v>
      </c>
      <c r="C8994" s="6">
        <v>584.0</v>
      </c>
      <c r="D8994" s="6">
        <v>3.75</v>
      </c>
      <c r="E8994" s="6">
        <v>8.0</v>
      </c>
    </row>
    <row r="8995">
      <c r="A8995" s="4" t="s">
        <v>17860</v>
      </c>
      <c r="B8995" s="5" t="s">
        <v>17861</v>
      </c>
      <c r="C8995" s="6">
        <v>584.0</v>
      </c>
      <c r="D8995" s="9"/>
      <c r="E8995" s="9"/>
    </row>
    <row r="8996">
      <c r="A8996" s="4" t="s">
        <v>17862</v>
      </c>
      <c r="B8996" s="5" t="s">
        <v>17863</v>
      </c>
      <c r="C8996" s="6">
        <v>584.0</v>
      </c>
      <c r="D8996" s="6">
        <v>5.0</v>
      </c>
      <c r="E8996" s="6">
        <v>2.0</v>
      </c>
    </row>
    <row r="8997">
      <c r="A8997" s="4" t="s">
        <v>17864</v>
      </c>
      <c r="B8997" s="5" t="s">
        <v>17865</v>
      </c>
      <c r="C8997" s="6">
        <v>584.0</v>
      </c>
      <c r="D8997" s="6">
        <v>5.0</v>
      </c>
      <c r="E8997" s="6">
        <v>1.0</v>
      </c>
    </row>
    <row r="8998">
      <c r="A8998" s="4" t="s">
        <v>17866</v>
      </c>
      <c r="B8998" s="5" t="s">
        <v>17867</v>
      </c>
      <c r="C8998" s="6">
        <v>584.0</v>
      </c>
      <c r="D8998" s="6">
        <v>4.666666667</v>
      </c>
      <c r="E8998" s="6">
        <v>3.0</v>
      </c>
    </row>
    <row r="8999">
      <c r="A8999" s="4" t="s">
        <v>17868</v>
      </c>
      <c r="B8999" s="5" t="s">
        <v>17869</v>
      </c>
      <c r="C8999" s="6">
        <v>583.0</v>
      </c>
      <c r="D8999" s="6">
        <v>5.0</v>
      </c>
      <c r="E8999" s="6">
        <v>6.0</v>
      </c>
    </row>
    <row r="9000">
      <c r="A9000" s="4" t="s">
        <v>17870</v>
      </c>
      <c r="B9000" s="5" t="s">
        <v>17871</v>
      </c>
      <c r="C9000" s="6">
        <v>583.0</v>
      </c>
      <c r="D9000" s="6">
        <v>3.307692308</v>
      </c>
      <c r="E9000" s="6">
        <v>13.0</v>
      </c>
    </row>
    <row r="9001">
      <c r="A9001" s="4" t="s">
        <v>17872</v>
      </c>
      <c r="B9001" s="5" t="s">
        <v>17873</v>
      </c>
      <c r="C9001" s="6">
        <v>583.0</v>
      </c>
      <c r="D9001" s="6">
        <v>3.142857143</v>
      </c>
      <c r="E9001" s="6">
        <v>7.0</v>
      </c>
    </row>
    <row r="9002">
      <c r="A9002" s="4" t="s">
        <v>17874</v>
      </c>
      <c r="B9002" s="5" t="s">
        <v>17875</v>
      </c>
      <c r="C9002" s="6">
        <v>583.0</v>
      </c>
      <c r="D9002" s="6">
        <v>4.176470588</v>
      </c>
      <c r="E9002" s="6">
        <v>17.0</v>
      </c>
    </row>
    <row r="9003">
      <c r="A9003" s="4" t="s">
        <v>17876</v>
      </c>
      <c r="B9003" s="5" t="s">
        <v>17877</v>
      </c>
      <c r="C9003" s="6">
        <v>583.0</v>
      </c>
      <c r="D9003" s="6">
        <v>4.466666667</v>
      </c>
      <c r="E9003" s="6">
        <v>15.0</v>
      </c>
    </row>
    <row r="9004">
      <c r="A9004" s="4" t="s">
        <v>17878</v>
      </c>
      <c r="B9004" s="5" t="s">
        <v>17879</v>
      </c>
      <c r="C9004" s="6">
        <v>583.0</v>
      </c>
      <c r="D9004" s="6">
        <v>4.142857143</v>
      </c>
      <c r="E9004" s="6">
        <v>14.0</v>
      </c>
    </row>
    <row r="9005">
      <c r="A9005" s="4" t="s">
        <v>17880</v>
      </c>
      <c r="B9005" s="5" t="s">
        <v>17881</v>
      </c>
      <c r="C9005" s="6">
        <v>583.0</v>
      </c>
      <c r="D9005" s="6">
        <v>2.666666667</v>
      </c>
      <c r="E9005" s="6">
        <v>9.0</v>
      </c>
    </row>
    <row r="9006">
      <c r="A9006" s="4" t="s">
        <v>17882</v>
      </c>
      <c r="B9006" s="5" t="s">
        <v>17883</v>
      </c>
      <c r="C9006" s="6">
        <v>583.0</v>
      </c>
      <c r="D9006" s="6">
        <v>4.833333333</v>
      </c>
      <c r="E9006" s="6">
        <v>6.0</v>
      </c>
    </row>
    <row r="9007">
      <c r="A9007" s="4" t="s">
        <v>17884</v>
      </c>
      <c r="B9007" s="5" t="s">
        <v>17885</v>
      </c>
      <c r="C9007" s="6">
        <v>583.0</v>
      </c>
      <c r="D9007" s="6">
        <v>5.0</v>
      </c>
      <c r="E9007" s="6">
        <v>4.0</v>
      </c>
    </row>
    <row r="9008">
      <c r="A9008" s="4" t="s">
        <v>17886</v>
      </c>
      <c r="B9008" s="5" t="s">
        <v>17887</v>
      </c>
      <c r="C9008" s="6">
        <v>583.0</v>
      </c>
      <c r="D9008" s="9"/>
      <c r="E9008" s="9"/>
    </row>
    <row r="9009">
      <c r="A9009" s="4" t="s">
        <v>17888</v>
      </c>
      <c r="B9009" s="5" t="s">
        <v>17889</v>
      </c>
      <c r="C9009" s="6">
        <v>582.0</v>
      </c>
      <c r="D9009" s="6">
        <v>4.428571429</v>
      </c>
      <c r="E9009" s="6">
        <v>7.0</v>
      </c>
    </row>
    <row r="9010">
      <c r="A9010" s="10" t="s">
        <v>17890</v>
      </c>
      <c r="B9010" s="5" t="s">
        <v>17891</v>
      </c>
      <c r="C9010" s="6">
        <v>582.0</v>
      </c>
      <c r="D9010" s="9"/>
      <c r="E9010" s="9"/>
    </row>
    <row r="9011">
      <c r="A9011" s="4" t="s">
        <v>17892</v>
      </c>
      <c r="B9011" s="5" t="s">
        <v>17893</v>
      </c>
      <c r="C9011" s="6">
        <v>582.0</v>
      </c>
      <c r="D9011" s="9"/>
      <c r="E9011" s="9"/>
    </row>
    <row r="9012">
      <c r="A9012" s="4" t="s">
        <v>17894</v>
      </c>
      <c r="B9012" s="5" t="s">
        <v>17895</v>
      </c>
      <c r="C9012" s="6">
        <v>582.0</v>
      </c>
      <c r="D9012" s="6">
        <v>5.0</v>
      </c>
      <c r="E9012" s="6">
        <v>7.0</v>
      </c>
    </row>
    <row r="9013">
      <c r="A9013" s="4" t="s">
        <v>17896</v>
      </c>
      <c r="B9013" s="5" t="s">
        <v>17897</v>
      </c>
      <c r="C9013" s="6">
        <v>582.0</v>
      </c>
      <c r="D9013" s="6">
        <v>5.0</v>
      </c>
      <c r="E9013" s="6">
        <v>22.0</v>
      </c>
    </row>
    <row r="9014">
      <c r="A9014" s="4" t="s">
        <v>17898</v>
      </c>
      <c r="B9014" s="5" t="s">
        <v>17899</v>
      </c>
      <c r="C9014" s="6">
        <v>582.0</v>
      </c>
      <c r="D9014" s="6">
        <v>4.25</v>
      </c>
      <c r="E9014" s="6">
        <v>4.0</v>
      </c>
    </row>
    <row r="9015">
      <c r="A9015" s="4" t="s">
        <v>17900</v>
      </c>
      <c r="B9015" s="5" t="s">
        <v>17901</v>
      </c>
      <c r="C9015" s="6">
        <v>582.0</v>
      </c>
      <c r="D9015" s="9"/>
      <c r="E9015" s="9"/>
    </row>
    <row r="9016">
      <c r="A9016" s="4" t="s">
        <v>17902</v>
      </c>
      <c r="B9016" s="5" t="s">
        <v>17903</v>
      </c>
      <c r="C9016" s="6">
        <v>582.0</v>
      </c>
      <c r="D9016" s="6">
        <v>4.6</v>
      </c>
      <c r="E9016" s="6">
        <v>5.0</v>
      </c>
    </row>
    <row r="9017">
      <c r="A9017" s="4" t="s">
        <v>17904</v>
      </c>
      <c r="B9017" s="5" t="s">
        <v>17905</v>
      </c>
      <c r="C9017" s="6">
        <v>582.0</v>
      </c>
      <c r="D9017" s="6">
        <v>3.909090909</v>
      </c>
      <c r="E9017" s="6">
        <v>11.0</v>
      </c>
    </row>
    <row r="9018">
      <c r="A9018" s="4" t="s">
        <v>17906</v>
      </c>
      <c r="B9018" s="5" t="s">
        <v>17907</v>
      </c>
      <c r="C9018" s="6">
        <v>582.0</v>
      </c>
      <c r="D9018" s="6">
        <v>3.0</v>
      </c>
      <c r="E9018" s="6">
        <v>4.0</v>
      </c>
    </row>
    <row r="9019">
      <c r="A9019" s="4" t="s">
        <v>17908</v>
      </c>
      <c r="B9019" s="5" t="s">
        <v>17909</v>
      </c>
      <c r="C9019" s="6">
        <v>582.0</v>
      </c>
      <c r="D9019" s="6">
        <v>3.4</v>
      </c>
      <c r="E9019" s="6">
        <v>5.0</v>
      </c>
    </row>
    <row r="9020">
      <c r="A9020" s="4" t="s">
        <v>17910</v>
      </c>
      <c r="B9020" s="5" t="s">
        <v>17911</v>
      </c>
      <c r="C9020" s="6">
        <v>581.0</v>
      </c>
      <c r="D9020" s="6">
        <v>4.7</v>
      </c>
      <c r="E9020" s="6">
        <v>10.0</v>
      </c>
    </row>
    <row r="9021">
      <c r="A9021" s="4" t="s">
        <v>17912</v>
      </c>
      <c r="B9021" s="5" t="s">
        <v>17913</v>
      </c>
      <c r="C9021" s="6">
        <v>581.0</v>
      </c>
      <c r="D9021" s="6">
        <v>5.0</v>
      </c>
      <c r="E9021" s="6">
        <v>4.0</v>
      </c>
    </row>
    <row r="9022">
      <c r="A9022" s="4" t="s">
        <v>17914</v>
      </c>
      <c r="B9022" s="5" t="s">
        <v>17915</v>
      </c>
      <c r="C9022" s="6">
        <v>581.0</v>
      </c>
      <c r="D9022" s="6">
        <v>5.0</v>
      </c>
      <c r="E9022" s="6">
        <v>2.0</v>
      </c>
    </row>
    <row r="9023">
      <c r="A9023" s="4" t="s">
        <v>17916</v>
      </c>
      <c r="B9023" s="5" t="s">
        <v>17917</v>
      </c>
      <c r="C9023" s="6">
        <v>581.0</v>
      </c>
      <c r="D9023" s="6">
        <v>2.444444444</v>
      </c>
      <c r="E9023" s="6">
        <v>18.0</v>
      </c>
    </row>
    <row r="9024">
      <c r="A9024" s="4" t="s">
        <v>17918</v>
      </c>
      <c r="B9024" s="5" t="s">
        <v>17919</v>
      </c>
      <c r="C9024" s="6">
        <v>581.0</v>
      </c>
      <c r="D9024" s="6">
        <v>3.761904762</v>
      </c>
      <c r="E9024" s="6">
        <v>126.0</v>
      </c>
    </row>
    <row r="9025">
      <c r="A9025" s="4" t="s">
        <v>17920</v>
      </c>
      <c r="B9025" s="5" t="s">
        <v>17921</v>
      </c>
      <c r="C9025" s="6">
        <v>580.0</v>
      </c>
      <c r="D9025" s="6">
        <v>4.75</v>
      </c>
      <c r="E9025" s="6">
        <v>4.0</v>
      </c>
    </row>
    <row r="9026">
      <c r="A9026" s="4" t="s">
        <v>11510</v>
      </c>
      <c r="B9026" s="5" t="s">
        <v>17922</v>
      </c>
      <c r="C9026" s="6">
        <v>580.0</v>
      </c>
      <c r="D9026" s="6">
        <v>3.285714286</v>
      </c>
      <c r="E9026" s="6">
        <v>7.0</v>
      </c>
    </row>
    <row r="9027">
      <c r="A9027" s="4" t="s">
        <v>17923</v>
      </c>
      <c r="B9027" s="5" t="s">
        <v>17924</v>
      </c>
      <c r="C9027" s="6">
        <v>580.0</v>
      </c>
      <c r="D9027" s="9"/>
      <c r="E9027" s="9"/>
    </row>
    <row r="9028">
      <c r="A9028" s="4" t="s">
        <v>17925</v>
      </c>
      <c r="B9028" s="5" t="s">
        <v>17926</v>
      </c>
      <c r="C9028" s="6">
        <v>580.0</v>
      </c>
      <c r="D9028" s="6">
        <v>4.357142857</v>
      </c>
      <c r="E9028" s="6">
        <v>14.0</v>
      </c>
    </row>
    <row r="9029">
      <c r="A9029" s="4" t="s">
        <v>17927</v>
      </c>
      <c r="B9029" s="5" t="s">
        <v>17928</v>
      </c>
      <c r="C9029" s="6">
        <v>580.0</v>
      </c>
      <c r="D9029" s="6">
        <v>5.0</v>
      </c>
      <c r="E9029" s="6">
        <v>4.0</v>
      </c>
    </row>
    <row r="9030">
      <c r="A9030" s="4" t="s">
        <v>17929</v>
      </c>
      <c r="B9030" s="5" t="s">
        <v>17930</v>
      </c>
      <c r="C9030" s="6">
        <v>580.0</v>
      </c>
      <c r="D9030" s="6">
        <v>4.333333333</v>
      </c>
      <c r="E9030" s="6">
        <v>6.0</v>
      </c>
    </row>
    <row r="9031">
      <c r="A9031" s="4" t="s">
        <v>17931</v>
      </c>
      <c r="B9031" s="5" t="s">
        <v>17932</v>
      </c>
      <c r="C9031" s="6">
        <v>580.0</v>
      </c>
      <c r="D9031" s="6">
        <v>4.0</v>
      </c>
      <c r="E9031" s="6">
        <v>4.0</v>
      </c>
    </row>
    <row r="9032">
      <c r="A9032" s="4" t="s">
        <v>17933</v>
      </c>
      <c r="B9032" s="5" t="s">
        <v>17934</v>
      </c>
      <c r="C9032" s="6">
        <v>580.0</v>
      </c>
      <c r="D9032" s="6">
        <v>5.0</v>
      </c>
      <c r="E9032" s="6">
        <v>1.0</v>
      </c>
    </row>
    <row r="9033">
      <c r="A9033" s="4" t="s">
        <v>17935</v>
      </c>
      <c r="B9033" s="5" t="s">
        <v>17936</v>
      </c>
      <c r="C9033" s="6">
        <v>579.0</v>
      </c>
      <c r="D9033" s="6">
        <v>5.0</v>
      </c>
      <c r="E9033" s="6">
        <v>8.0</v>
      </c>
    </row>
    <row r="9034">
      <c r="A9034" s="4" t="s">
        <v>17937</v>
      </c>
      <c r="B9034" s="5" t="s">
        <v>17938</v>
      </c>
      <c r="C9034" s="6">
        <v>579.0</v>
      </c>
      <c r="D9034" s="6">
        <v>5.0</v>
      </c>
      <c r="E9034" s="6">
        <v>7.0</v>
      </c>
    </row>
    <row r="9035">
      <c r="A9035" s="4" t="s">
        <v>17939</v>
      </c>
      <c r="B9035" s="5" t="s">
        <v>17940</v>
      </c>
      <c r="C9035" s="6">
        <v>579.0</v>
      </c>
      <c r="D9035" s="6">
        <v>4.75</v>
      </c>
      <c r="E9035" s="6">
        <v>4.0</v>
      </c>
    </row>
    <row r="9036">
      <c r="A9036" s="4" t="s">
        <v>17941</v>
      </c>
      <c r="B9036" s="5" t="s">
        <v>17942</v>
      </c>
      <c r="C9036" s="6">
        <v>579.0</v>
      </c>
      <c r="D9036" s="6">
        <v>3.823529412</v>
      </c>
      <c r="E9036" s="6">
        <v>17.0</v>
      </c>
    </row>
    <row r="9037">
      <c r="A9037" s="4" t="s">
        <v>17943</v>
      </c>
      <c r="B9037" s="5" t="s">
        <v>17944</v>
      </c>
      <c r="C9037" s="6">
        <v>579.0</v>
      </c>
      <c r="D9037" s="6">
        <v>4.5</v>
      </c>
      <c r="E9037" s="6">
        <v>4.0</v>
      </c>
    </row>
    <row r="9038">
      <c r="A9038" s="4" t="s">
        <v>17945</v>
      </c>
      <c r="B9038" s="5" t="s">
        <v>17946</v>
      </c>
      <c r="C9038" s="6">
        <v>578.0</v>
      </c>
      <c r="D9038" s="6">
        <v>3.0</v>
      </c>
      <c r="E9038" s="6">
        <v>1.0</v>
      </c>
    </row>
    <row r="9039">
      <c r="A9039" s="4" t="s">
        <v>17947</v>
      </c>
      <c r="B9039" s="5" t="s">
        <v>17948</v>
      </c>
      <c r="C9039" s="6">
        <v>578.0</v>
      </c>
      <c r="D9039" s="9"/>
      <c r="E9039" s="9"/>
    </row>
    <row r="9040">
      <c r="A9040" s="4" t="s">
        <v>17949</v>
      </c>
      <c r="B9040" s="5" t="s">
        <v>17950</v>
      </c>
      <c r="C9040" s="6">
        <v>578.0</v>
      </c>
      <c r="D9040" s="6">
        <v>4.272727273</v>
      </c>
      <c r="E9040" s="6">
        <v>33.0</v>
      </c>
    </row>
    <row r="9041">
      <c r="A9041" s="4" t="s">
        <v>17951</v>
      </c>
      <c r="B9041" s="5" t="s">
        <v>17952</v>
      </c>
      <c r="C9041" s="6">
        <v>578.0</v>
      </c>
      <c r="D9041" s="6">
        <v>3.666666667</v>
      </c>
      <c r="E9041" s="6">
        <v>3.0</v>
      </c>
    </row>
    <row r="9042">
      <c r="A9042" s="4" t="s">
        <v>17953</v>
      </c>
      <c r="B9042" s="5" t="s">
        <v>17954</v>
      </c>
      <c r="C9042" s="6">
        <v>578.0</v>
      </c>
      <c r="D9042" s="6">
        <v>4.75</v>
      </c>
      <c r="E9042" s="6">
        <v>4.0</v>
      </c>
    </row>
    <row r="9043">
      <c r="A9043" s="4" t="s">
        <v>17955</v>
      </c>
      <c r="B9043" s="5" t="s">
        <v>17956</v>
      </c>
      <c r="C9043" s="6">
        <v>578.0</v>
      </c>
      <c r="D9043" s="6">
        <v>3.0</v>
      </c>
      <c r="E9043" s="6">
        <v>2.0</v>
      </c>
    </row>
    <row r="9044">
      <c r="A9044" s="4" t="s">
        <v>17957</v>
      </c>
      <c r="B9044" s="5" t="s">
        <v>17958</v>
      </c>
      <c r="C9044" s="6">
        <v>578.0</v>
      </c>
      <c r="D9044" s="6">
        <v>4.857142857</v>
      </c>
      <c r="E9044" s="6">
        <v>7.0</v>
      </c>
    </row>
    <row r="9045">
      <c r="A9045" s="4" t="s">
        <v>17959</v>
      </c>
      <c r="B9045" s="5" t="s">
        <v>17960</v>
      </c>
      <c r="C9045" s="6">
        <v>577.0</v>
      </c>
      <c r="D9045" s="6">
        <v>4.333333333</v>
      </c>
      <c r="E9045" s="6">
        <v>3.0</v>
      </c>
    </row>
    <row r="9046">
      <c r="A9046" s="4" t="s">
        <v>17961</v>
      </c>
      <c r="B9046" s="5" t="s">
        <v>17962</v>
      </c>
      <c r="C9046" s="6">
        <v>577.0</v>
      </c>
      <c r="D9046" s="6">
        <v>5.0</v>
      </c>
      <c r="E9046" s="6">
        <v>4.0</v>
      </c>
    </row>
    <row r="9047">
      <c r="A9047" s="4" t="s">
        <v>17963</v>
      </c>
      <c r="B9047" s="5" t="s">
        <v>17964</v>
      </c>
      <c r="C9047" s="6">
        <v>577.0</v>
      </c>
      <c r="D9047" s="6">
        <v>3.916666667</v>
      </c>
      <c r="E9047" s="6">
        <v>12.0</v>
      </c>
    </row>
    <row r="9048">
      <c r="A9048" s="4" t="s">
        <v>17965</v>
      </c>
      <c r="B9048" s="5" t="s">
        <v>17966</v>
      </c>
      <c r="C9048" s="6">
        <v>577.0</v>
      </c>
      <c r="D9048" s="6">
        <v>4.928571429</v>
      </c>
      <c r="E9048" s="6">
        <v>14.0</v>
      </c>
    </row>
    <row r="9049">
      <c r="A9049" s="4" t="s">
        <v>17967</v>
      </c>
      <c r="B9049" s="5" t="s">
        <v>17968</v>
      </c>
      <c r="C9049" s="6">
        <v>577.0</v>
      </c>
      <c r="D9049" s="6">
        <v>2.5</v>
      </c>
      <c r="E9049" s="6">
        <v>14.0</v>
      </c>
    </row>
    <row r="9050">
      <c r="A9050" s="4" t="s">
        <v>17969</v>
      </c>
      <c r="B9050" s="5" t="s">
        <v>17970</v>
      </c>
      <c r="C9050" s="6">
        <v>577.0</v>
      </c>
      <c r="D9050" s="6">
        <v>3.666666667</v>
      </c>
      <c r="E9050" s="6">
        <v>3.0</v>
      </c>
    </row>
    <row r="9051">
      <c r="A9051" s="4" t="s">
        <v>17971</v>
      </c>
      <c r="B9051" s="5" t="s">
        <v>17972</v>
      </c>
      <c r="C9051" s="6">
        <v>577.0</v>
      </c>
      <c r="D9051" s="6">
        <v>5.0</v>
      </c>
      <c r="E9051" s="6">
        <v>7.0</v>
      </c>
    </row>
    <row r="9052">
      <c r="A9052" s="4" t="s">
        <v>17973</v>
      </c>
      <c r="B9052" s="5" t="s">
        <v>17974</v>
      </c>
      <c r="C9052" s="6">
        <v>577.0</v>
      </c>
      <c r="D9052" s="6">
        <v>4.842105263</v>
      </c>
      <c r="E9052" s="6">
        <v>38.0</v>
      </c>
    </row>
    <row r="9053">
      <c r="A9053" s="4" t="s">
        <v>17975</v>
      </c>
      <c r="B9053" s="5" t="s">
        <v>17976</v>
      </c>
      <c r="C9053" s="6">
        <v>577.0</v>
      </c>
      <c r="D9053" s="6">
        <v>5.0</v>
      </c>
      <c r="E9053" s="6">
        <v>3.0</v>
      </c>
    </row>
    <row r="9054">
      <c r="A9054" s="4" t="s">
        <v>17977</v>
      </c>
      <c r="B9054" s="5" t="s">
        <v>17978</v>
      </c>
      <c r="C9054" s="6">
        <v>577.0</v>
      </c>
      <c r="D9054" s="6">
        <v>1.0</v>
      </c>
      <c r="E9054" s="6">
        <v>4.0</v>
      </c>
    </row>
    <row r="9055">
      <c r="A9055" s="4" t="s">
        <v>17979</v>
      </c>
      <c r="B9055" s="5" t="s">
        <v>17980</v>
      </c>
      <c r="C9055" s="6">
        <v>577.0</v>
      </c>
      <c r="D9055" s="6">
        <v>3.0</v>
      </c>
      <c r="E9055" s="6">
        <v>3.0</v>
      </c>
    </row>
    <row r="9056">
      <c r="A9056" s="4" t="s">
        <v>17981</v>
      </c>
      <c r="B9056" s="5" t="s">
        <v>17982</v>
      </c>
      <c r="C9056" s="6">
        <v>576.0</v>
      </c>
      <c r="D9056" s="6">
        <v>4.666666667</v>
      </c>
      <c r="E9056" s="6">
        <v>6.0</v>
      </c>
    </row>
    <row r="9057">
      <c r="A9057" s="4" t="s">
        <v>17983</v>
      </c>
      <c r="B9057" s="5" t="s">
        <v>17984</v>
      </c>
      <c r="C9057" s="6">
        <v>576.0</v>
      </c>
      <c r="D9057" s="9"/>
      <c r="E9057" s="9"/>
    </row>
    <row r="9058">
      <c r="A9058" s="4" t="s">
        <v>17985</v>
      </c>
      <c r="B9058" s="5" t="s">
        <v>17986</v>
      </c>
      <c r="C9058" s="6">
        <v>576.0</v>
      </c>
      <c r="D9058" s="6">
        <v>5.0</v>
      </c>
      <c r="E9058" s="6">
        <v>1.0</v>
      </c>
    </row>
    <row r="9059">
      <c r="A9059" s="4" t="s">
        <v>17987</v>
      </c>
      <c r="B9059" s="5" t="s">
        <v>17988</v>
      </c>
      <c r="C9059" s="6">
        <v>576.0</v>
      </c>
      <c r="D9059" s="6">
        <v>2.6</v>
      </c>
      <c r="E9059" s="6">
        <v>5.0</v>
      </c>
    </row>
    <row r="9060">
      <c r="A9060" s="4" t="s">
        <v>6344</v>
      </c>
      <c r="B9060" s="5" t="s">
        <v>17989</v>
      </c>
      <c r="C9060" s="6">
        <v>575.0</v>
      </c>
      <c r="D9060" s="6">
        <v>4.285714286</v>
      </c>
      <c r="E9060" s="6">
        <v>7.0</v>
      </c>
    </row>
    <row r="9061">
      <c r="A9061" s="4" t="s">
        <v>17990</v>
      </c>
      <c r="B9061" s="5" t="s">
        <v>17991</v>
      </c>
      <c r="C9061" s="6">
        <v>575.0</v>
      </c>
      <c r="D9061" s="6">
        <v>3.0</v>
      </c>
      <c r="E9061" s="6">
        <v>3.0</v>
      </c>
    </row>
    <row r="9062">
      <c r="A9062" s="4" t="s">
        <v>17992</v>
      </c>
      <c r="B9062" s="5" t="s">
        <v>17993</v>
      </c>
      <c r="C9062" s="6">
        <v>575.0</v>
      </c>
      <c r="D9062" s="6">
        <v>3.714285714</v>
      </c>
      <c r="E9062" s="6">
        <v>14.0</v>
      </c>
    </row>
    <row r="9063">
      <c r="A9063" s="4" t="s">
        <v>17994</v>
      </c>
      <c r="B9063" s="5" t="s">
        <v>17995</v>
      </c>
      <c r="C9063" s="6">
        <v>575.0</v>
      </c>
      <c r="D9063" s="6">
        <v>4.828571429</v>
      </c>
      <c r="E9063" s="6">
        <v>35.0</v>
      </c>
    </row>
    <row r="9064">
      <c r="A9064" s="4" t="s">
        <v>17996</v>
      </c>
      <c r="B9064" s="5" t="s">
        <v>17997</v>
      </c>
      <c r="C9064" s="6">
        <v>575.0</v>
      </c>
      <c r="D9064" s="6">
        <v>5.0</v>
      </c>
      <c r="E9064" s="6">
        <v>3.0</v>
      </c>
    </row>
    <row r="9065">
      <c r="A9065" s="4" t="s">
        <v>17998</v>
      </c>
      <c r="B9065" s="5" t="s">
        <v>17999</v>
      </c>
      <c r="C9065" s="6">
        <v>575.0</v>
      </c>
      <c r="D9065" s="6">
        <v>5.0</v>
      </c>
      <c r="E9065" s="6">
        <v>1.0</v>
      </c>
    </row>
    <row r="9066">
      <c r="A9066" s="4" t="s">
        <v>18000</v>
      </c>
      <c r="B9066" s="5" t="s">
        <v>18001</v>
      </c>
      <c r="C9066" s="6">
        <v>575.0</v>
      </c>
      <c r="D9066" s="6">
        <v>4.5</v>
      </c>
      <c r="E9066" s="6">
        <v>2.0</v>
      </c>
    </row>
    <row r="9067">
      <c r="A9067" s="4" t="s">
        <v>18002</v>
      </c>
      <c r="B9067" s="5" t="s">
        <v>18003</v>
      </c>
      <c r="C9067" s="6">
        <v>575.0</v>
      </c>
      <c r="D9067" s="6">
        <v>4.333333333</v>
      </c>
      <c r="E9067" s="6">
        <v>12.0</v>
      </c>
    </row>
    <row r="9068">
      <c r="A9068" s="4" t="s">
        <v>18004</v>
      </c>
      <c r="B9068" s="5" t="s">
        <v>18005</v>
      </c>
      <c r="C9068" s="6">
        <v>575.0</v>
      </c>
      <c r="D9068" s="6">
        <v>3.2</v>
      </c>
      <c r="E9068" s="6">
        <v>10.0</v>
      </c>
    </row>
    <row r="9069">
      <c r="A9069" s="5" t="s">
        <v>18006</v>
      </c>
      <c r="B9069" s="5" t="s">
        <v>18007</v>
      </c>
      <c r="C9069" s="6">
        <v>575.0</v>
      </c>
      <c r="D9069" s="9"/>
      <c r="E9069" s="9"/>
    </row>
    <row r="9070">
      <c r="A9070" s="4" t="s">
        <v>18008</v>
      </c>
      <c r="B9070" s="5" t="s">
        <v>18009</v>
      </c>
      <c r="C9070" s="6">
        <v>574.0</v>
      </c>
      <c r="D9070" s="6">
        <v>5.0</v>
      </c>
      <c r="E9070" s="6">
        <v>1.0</v>
      </c>
    </row>
    <row r="9071">
      <c r="A9071" s="4" t="s">
        <v>18010</v>
      </c>
      <c r="B9071" s="5" t="s">
        <v>18011</v>
      </c>
      <c r="C9071" s="6">
        <v>574.0</v>
      </c>
      <c r="D9071" s="6">
        <v>4.193277311</v>
      </c>
      <c r="E9071" s="6">
        <v>119.0</v>
      </c>
    </row>
    <row r="9072">
      <c r="A9072" s="4" t="s">
        <v>18012</v>
      </c>
      <c r="B9072" s="5" t="s">
        <v>18013</v>
      </c>
      <c r="C9072" s="6">
        <v>574.0</v>
      </c>
      <c r="D9072" s="9"/>
      <c r="E9072" s="9"/>
    </row>
    <row r="9073">
      <c r="A9073" s="4" t="s">
        <v>18014</v>
      </c>
      <c r="B9073" s="5" t="s">
        <v>18015</v>
      </c>
      <c r="C9073" s="6">
        <v>574.0</v>
      </c>
      <c r="D9073" s="9"/>
      <c r="E9073" s="9"/>
    </row>
    <row r="9074">
      <c r="A9074" s="4" t="s">
        <v>18016</v>
      </c>
      <c r="B9074" s="5" t="s">
        <v>18017</v>
      </c>
      <c r="C9074" s="6">
        <v>574.0</v>
      </c>
      <c r="D9074" s="6">
        <v>4.789473684</v>
      </c>
      <c r="E9074" s="6">
        <v>19.0</v>
      </c>
    </row>
    <row r="9075">
      <c r="A9075" s="4" t="s">
        <v>18018</v>
      </c>
      <c r="B9075" s="5" t="s">
        <v>18019</v>
      </c>
      <c r="C9075" s="6">
        <v>574.0</v>
      </c>
      <c r="D9075" s="6">
        <v>4.833333333</v>
      </c>
      <c r="E9075" s="6">
        <v>12.0</v>
      </c>
    </row>
    <row r="9076">
      <c r="A9076" s="4" t="s">
        <v>18020</v>
      </c>
      <c r="B9076" s="5" t="s">
        <v>18021</v>
      </c>
      <c r="C9076" s="6">
        <v>574.0</v>
      </c>
      <c r="D9076" s="6">
        <v>4.0</v>
      </c>
      <c r="E9076" s="6">
        <v>4.0</v>
      </c>
    </row>
    <row r="9077">
      <c r="A9077" s="4" t="s">
        <v>18022</v>
      </c>
      <c r="B9077" s="5" t="s">
        <v>18023</v>
      </c>
      <c r="C9077" s="6">
        <v>574.0</v>
      </c>
      <c r="D9077" s="6">
        <v>5.0</v>
      </c>
      <c r="E9077" s="6">
        <v>6.0</v>
      </c>
    </row>
    <row r="9078">
      <c r="A9078" s="4" t="s">
        <v>18024</v>
      </c>
      <c r="B9078" s="5" t="s">
        <v>18025</v>
      </c>
      <c r="C9078" s="6">
        <v>574.0</v>
      </c>
      <c r="D9078" s="6">
        <v>3.866666667</v>
      </c>
      <c r="E9078" s="6">
        <v>15.0</v>
      </c>
    </row>
    <row r="9079">
      <c r="B9079" s="5" t="s">
        <v>18026</v>
      </c>
      <c r="C9079" s="6">
        <v>573.0</v>
      </c>
      <c r="D9079" s="6">
        <v>5.0</v>
      </c>
      <c r="E9079" s="6">
        <v>7.0</v>
      </c>
    </row>
    <row r="9080">
      <c r="A9080" s="4" t="s">
        <v>18027</v>
      </c>
      <c r="B9080" s="5" t="s">
        <v>18028</v>
      </c>
      <c r="C9080" s="6">
        <v>573.0</v>
      </c>
      <c r="D9080" s="6">
        <v>5.0</v>
      </c>
      <c r="E9080" s="6">
        <v>2.0</v>
      </c>
    </row>
    <row r="9081">
      <c r="A9081" s="4" t="s">
        <v>18029</v>
      </c>
      <c r="B9081" s="5" t="s">
        <v>18030</v>
      </c>
      <c r="C9081" s="6">
        <v>573.0</v>
      </c>
      <c r="D9081" s="6">
        <v>4.454545455</v>
      </c>
      <c r="E9081" s="6">
        <v>11.0</v>
      </c>
    </row>
    <row r="9082">
      <c r="A9082" s="4" t="s">
        <v>18031</v>
      </c>
      <c r="B9082" s="5" t="s">
        <v>18032</v>
      </c>
      <c r="C9082" s="6">
        <v>573.0</v>
      </c>
      <c r="D9082" s="6">
        <v>5.0</v>
      </c>
      <c r="E9082" s="6">
        <v>2.0</v>
      </c>
    </row>
    <row r="9083">
      <c r="A9083" s="4" t="s">
        <v>18033</v>
      </c>
      <c r="B9083" s="5" t="s">
        <v>18034</v>
      </c>
      <c r="C9083" s="6">
        <v>573.0</v>
      </c>
      <c r="D9083" s="6">
        <v>5.0</v>
      </c>
      <c r="E9083" s="6">
        <v>2.0</v>
      </c>
    </row>
    <row r="9084">
      <c r="A9084" s="4" t="s">
        <v>18035</v>
      </c>
      <c r="B9084" s="5" t="s">
        <v>18036</v>
      </c>
      <c r="C9084" s="6">
        <v>573.0</v>
      </c>
      <c r="D9084" s="6">
        <v>4.636363636</v>
      </c>
      <c r="E9084" s="6">
        <v>11.0</v>
      </c>
    </row>
    <row r="9085">
      <c r="A9085" s="4" t="s">
        <v>18037</v>
      </c>
      <c r="B9085" s="5" t="s">
        <v>18038</v>
      </c>
      <c r="C9085" s="6">
        <v>573.0</v>
      </c>
      <c r="D9085" s="6">
        <v>3.5625</v>
      </c>
      <c r="E9085" s="6">
        <v>16.0</v>
      </c>
    </row>
    <row r="9086">
      <c r="A9086" s="4" t="s">
        <v>18039</v>
      </c>
      <c r="B9086" s="5" t="s">
        <v>18040</v>
      </c>
      <c r="C9086" s="6">
        <v>573.0</v>
      </c>
      <c r="D9086" s="6">
        <v>4.888888889</v>
      </c>
      <c r="E9086" s="6">
        <v>18.0</v>
      </c>
    </row>
    <row r="9087">
      <c r="A9087" s="4" t="s">
        <v>18041</v>
      </c>
      <c r="B9087" s="5" t="s">
        <v>18042</v>
      </c>
      <c r="C9087" s="6">
        <v>573.0</v>
      </c>
      <c r="D9087" s="9"/>
      <c r="E9087" s="9"/>
    </row>
    <row r="9088">
      <c r="A9088" s="4" t="s">
        <v>18043</v>
      </c>
      <c r="B9088" s="5" t="s">
        <v>18044</v>
      </c>
      <c r="C9088" s="6">
        <v>573.0</v>
      </c>
      <c r="D9088" s="6">
        <v>5.0</v>
      </c>
      <c r="E9088" s="6">
        <v>12.0</v>
      </c>
    </row>
    <row r="9089">
      <c r="A9089" s="4" t="s">
        <v>18045</v>
      </c>
      <c r="B9089" s="5" t="s">
        <v>18046</v>
      </c>
      <c r="C9089" s="6">
        <v>572.0</v>
      </c>
      <c r="D9089" s="6">
        <v>2.0</v>
      </c>
      <c r="E9089" s="6">
        <v>1.0</v>
      </c>
    </row>
    <row r="9090">
      <c r="A9090" s="4" t="s">
        <v>18047</v>
      </c>
      <c r="B9090" s="5" t="s">
        <v>18048</v>
      </c>
      <c r="C9090" s="6">
        <v>572.0</v>
      </c>
      <c r="D9090" s="9"/>
      <c r="E9090" s="9"/>
    </row>
    <row r="9091">
      <c r="A9091" s="4" t="s">
        <v>18049</v>
      </c>
      <c r="B9091" s="5" t="s">
        <v>18050</v>
      </c>
      <c r="C9091" s="6">
        <v>572.0</v>
      </c>
      <c r="D9091" s="6">
        <v>2.761904762</v>
      </c>
      <c r="E9091" s="6">
        <v>21.0</v>
      </c>
    </row>
    <row r="9092">
      <c r="A9092" s="4" t="s">
        <v>18051</v>
      </c>
      <c r="B9092" s="5" t="s">
        <v>18052</v>
      </c>
      <c r="C9092" s="6">
        <v>572.0</v>
      </c>
      <c r="D9092" s="6">
        <v>2.166666667</v>
      </c>
      <c r="E9092" s="6">
        <v>6.0</v>
      </c>
    </row>
    <row r="9093">
      <c r="A9093" s="4" t="s">
        <v>18053</v>
      </c>
      <c r="B9093" s="5" t="s">
        <v>18054</v>
      </c>
      <c r="C9093" s="6">
        <v>572.0</v>
      </c>
      <c r="D9093" s="6">
        <v>4.678571429</v>
      </c>
      <c r="E9093" s="6">
        <v>28.0</v>
      </c>
    </row>
    <row r="9094">
      <c r="A9094" s="4" t="s">
        <v>18055</v>
      </c>
      <c r="B9094" s="5" t="s">
        <v>18056</v>
      </c>
      <c r="C9094" s="6">
        <v>572.0</v>
      </c>
      <c r="D9094" s="6">
        <v>4.78125</v>
      </c>
      <c r="E9094" s="6">
        <v>32.0</v>
      </c>
    </row>
    <row r="9095">
      <c r="A9095" s="4" t="s">
        <v>18057</v>
      </c>
      <c r="B9095" s="5" t="s">
        <v>18058</v>
      </c>
      <c r="C9095" s="6">
        <v>572.0</v>
      </c>
      <c r="D9095" s="6">
        <v>1.0</v>
      </c>
      <c r="E9095" s="6">
        <v>1.0</v>
      </c>
    </row>
    <row r="9096">
      <c r="A9096" s="4" t="s">
        <v>18059</v>
      </c>
      <c r="B9096" s="5" t="s">
        <v>18060</v>
      </c>
      <c r="C9096" s="6">
        <v>571.0</v>
      </c>
      <c r="D9096" s="6">
        <v>4.666666667</v>
      </c>
      <c r="E9096" s="6">
        <v>3.0</v>
      </c>
    </row>
    <row r="9097">
      <c r="A9097" s="4" t="s">
        <v>18061</v>
      </c>
      <c r="B9097" s="5" t="s">
        <v>18062</v>
      </c>
      <c r="C9097" s="6">
        <v>571.0</v>
      </c>
      <c r="D9097" s="9"/>
      <c r="E9097" s="9"/>
    </row>
    <row r="9098">
      <c r="A9098" s="4" t="s">
        <v>18063</v>
      </c>
      <c r="B9098" s="5" t="s">
        <v>18064</v>
      </c>
      <c r="C9098" s="6">
        <v>571.0</v>
      </c>
      <c r="D9098" s="6">
        <v>4.4</v>
      </c>
      <c r="E9098" s="6">
        <v>25.0</v>
      </c>
    </row>
    <row r="9099">
      <c r="A9099" s="4" t="s">
        <v>18065</v>
      </c>
      <c r="B9099" s="5" t="s">
        <v>18066</v>
      </c>
      <c r="C9099" s="6">
        <v>571.0</v>
      </c>
      <c r="D9099" s="9"/>
      <c r="E9099" s="9"/>
    </row>
    <row r="9100">
      <c r="A9100" s="4" t="s">
        <v>18067</v>
      </c>
      <c r="B9100" s="5" t="s">
        <v>18068</v>
      </c>
      <c r="C9100" s="6">
        <v>571.0</v>
      </c>
      <c r="D9100" s="9"/>
      <c r="E9100" s="9"/>
    </row>
    <row r="9101">
      <c r="A9101" s="4" t="s">
        <v>18069</v>
      </c>
      <c r="B9101" s="5" t="s">
        <v>18070</v>
      </c>
      <c r="C9101" s="6">
        <v>571.0</v>
      </c>
      <c r="D9101" s="6">
        <v>4.0</v>
      </c>
      <c r="E9101" s="6">
        <v>4.0</v>
      </c>
    </row>
    <row r="9102">
      <c r="A9102" s="4" t="s">
        <v>18071</v>
      </c>
      <c r="B9102" s="5" t="s">
        <v>18072</v>
      </c>
      <c r="C9102" s="6">
        <v>571.0</v>
      </c>
      <c r="D9102" s="6">
        <v>5.0</v>
      </c>
      <c r="E9102" s="6">
        <v>4.0</v>
      </c>
    </row>
    <row r="9103">
      <c r="A9103" s="4" t="s">
        <v>18073</v>
      </c>
      <c r="B9103" s="5" t="s">
        <v>18074</v>
      </c>
      <c r="C9103" s="6">
        <v>571.0</v>
      </c>
      <c r="D9103" s="6">
        <v>3.518518519</v>
      </c>
      <c r="E9103" s="6">
        <v>27.0</v>
      </c>
    </row>
    <row r="9104">
      <c r="A9104" s="4" t="s">
        <v>18075</v>
      </c>
      <c r="B9104" s="5" t="s">
        <v>18076</v>
      </c>
      <c r="C9104" s="6">
        <v>571.0</v>
      </c>
      <c r="D9104" s="6">
        <v>3.0</v>
      </c>
      <c r="E9104" s="6">
        <v>4.0</v>
      </c>
    </row>
    <row r="9105">
      <c r="A9105" s="4" t="s">
        <v>18077</v>
      </c>
      <c r="B9105" s="5" t="s">
        <v>18078</v>
      </c>
      <c r="C9105" s="6">
        <v>571.0</v>
      </c>
      <c r="D9105" s="6">
        <v>5.0</v>
      </c>
      <c r="E9105" s="6">
        <v>2.0</v>
      </c>
    </row>
    <row r="9106">
      <c r="A9106" s="4" t="s">
        <v>18079</v>
      </c>
      <c r="B9106" s="5" t="s">
        <v>18080</v>
      </c>
      <c r="C9106" s="6">
        <v>571.0</v>
      </c>
      <c r="D9106" s="6">
        <v>3.666666667</v>
      </c>
      <c r="E9106" s="6">
        <v>3.0</v>
      </c>
    </row>
    <row r="9107">
      <c r="A9107" s="4" t="s">
        <v>18081</v>
      </c>
      <c r="B9107" s="5" t="s">
        <v>18082</v>
      </c>
      <c r="C9107" s="6">
        <v>570.0</v>
      </c>
      <c r="D9107" s="6">
        <v>3.5</v>
      </c>
      <c r="E9107" s="6">
        <v>4.0</v>
      </c>
    </row>
    <row r="9108">
      <c r="A9108" s="4" t="s">
        <v>18083</v>
      </c>
      <c r="B9108" s="5" t="s">
        <v>18084</v>
      </c>
      <c r="C9108" s="6">
        <v>570.0</v>
      </c>
      <c r="D9108" s="6">
        <v>3.65625</v>
      </c>
      <c r="E9108" s="6">
        <v>32.0</v>
      </c>
    </row>
    <row r="9109">
      <c r="A9109" s="4" t="s">
        <v>18085</v>
      </c>
      <c r="B9109" s="5" t="s">
        <v>18086</v>
      </c>
      <c r="C9109" s="6">
        <v>570.0</v>
      </c>
      <c r="D9109" s="6">
        <v>4.176470588</v>
      </c>
      <c r="E9109" s="6">
        <v>17.0</v>
      </c>
    </row>
    <row r="9110">
      <c r="A9110" s="4" t="s">
        <v>18087</v>
      </c>
      <c r="B9110" s="5" t="s">
        <v>18088</v>
      </c>
      <c r="C9110" s="6">
        <v>570.0</v>
      </c>
      <c r="D9110" s="6">
        <v>5.0</v>
      </c>
      <c r="E9110" s="6">
        <v>2.0</v>
      </c>
    </row>
    <row r="9111">
      <c r="A9111" s="4" t="s">
        <v>18089</v>
      </c>
      <c r="B9111" s="5" t="s">
        <v>18090</v>
      </c>
      <c r="C9111" s="6">
        <v>570.0</v>
      </c>
      <c r="D9111" s="6">
        <v>4.0</v>
      </c>
      <c r="E9111" s="6">
        <v>8.0</v>
      </c>
    </row>
    <row r="9112">
      <c r="A9112" s="4" t="s">
        <v>18091</v>
      </c>
      <c r="B9112" s="5" t="s">
        <v>18092</v>
      </c>
      <c r="C9112" s="6">
        <v>570.0</v>
      </c>
      <c r="D9112" s="6">
        <v>1.833333333</v>
      </c>
      <c r="E9112" s="6">
        <v>6.0</v>
      </c>
    </row>
    <row r="9113">
      <c r="A9113" s="4" t="s">
        <v>18093</v>
      </c>
      <c r="B9113" s="5" t="s">
        <v>18094</v>
      </c>
      <c r="C9113" s="6">
        <v>569.0</v>
      </c>
      <c r="D9113" s="6">
        <v>5.0</v>
      </c>
      <c r="E9113" s="6">
        <v>1.0</v>
      </c>
    </row>
    <row r="9114">
      <c r="A9114" s="4" t="s">
        <v>18095</v>
      </c>
      <c r="B9114" s="5" t="s">
        <v>18096</v>
      </c>
      <c r="C9114" s="6">
        <v>569.0</v>
      </c>
      <c r="D9114" s="6">
        <v>4.1</v>
      </c>
      <c r="E9114" s="6">
        <v>10.0</v>
      </c>
    </row>
    <row r="9115">
      <c r="A9115" s="4" t="s">
        <v>18097</v>
      </c>
      <c r="B9115" s="5" t="s">
        <v>18098</v>
      </c>
      <c r="C9115" s="6">
        <v>569.0</v>
      </c>
      <c r="D9115" s="6">
        <v>4.954545455</v>
      </c>
      <c r="E9115" s="6">
        <v>22.0</v>
      </c>
    </row>
    <row r="9116">
      <c r="A9116" s="4" t="s">
        <v>18099</v>
      </c>
      <c r="B9116" s="5" t="s">
        <v>18100</v>
      </c>
      <c r="C9116" s="6">
        <v>569.0</v>
      </c>
      <c r="D9116" s="6">
        <v>1.5</v>
      </c>
      <c r="E9116" s="6">
        <v>2.0</v>
      </c>
    </row>
    <row r="9117">
      <c r="A9117" s="4" t="s">
        <v>18101</v>
      </c>
      <c r="B9117" s="5" t="s">
        <v>18102</v>
      </c>
      <c r="C9117" s="6">
        <v>569.0</v>
      </c>
      <c r="D9117" s="6">
        <v>3.875</v>
      </c>
      <c r="E9117" s="6">
        <v>8.0</v>
      </c>
    </row>
    <row r="9118">
      <c r="A9118" s="4" t="s">
        <v>18103</v>
      </c>
      <c r="B9118" s="5" t="s">
        <v>18104</v>
      </c>
      <c r="C9118" s="6">
        <v>569.0</v>
      </c>
      <c r="D9118" s="6">
        <v>3.5</v>
      </c>
      <c r="E9118" s="6">
        <v>2.0</v>
      </c>
    </row>
    <row r="9119">
      <c r="A9119" s="4" t="s">
        <v>18105</v>
      </c>
      <c r="B9119" s="5" t="s">
        <v>18106</v>
      </c>
      <c r="C9119" s="6">
        <v>569.0</v>
      </c>
      <c r="D9119" s="6">
        <v>2.333333333</v>
      </c>
      <c r="E9119" s="6">
        <v>3.0</v>
      </c>
    </row>
    <row r="9120">
      <c r="A9120" s="4" t="s">
        <v>18107</v>
      </c>
      <c r="B9120" s="5" t="s">
        <v>18108</v>
      </c>
      <c r="C9120" s="6">
        <v>569.0</v>
      </c>
      <c r="D9120" s="6">
        <v>4.0</v>
      </c>
      <c r="E9120" s="6">
        <v>2.0</v>
      </c>
    </row>
    <row r="9121">
      <c r="A9121" s="4" t="s">
        <v>18109</v>
      </c>
      <c r="B9121" s="5" t="s">
        <v>18110</v>
      </c>
      <c r="C9121" s="6">
        <v>569.0</v>
      </c>
      <c r="D9121" s="6">
        <v>5.0</v>
      </c>
      <c r="E9121" s="6">
        <v>3.0</v>
      </c>
    </row>
    <row r="9122">
      <c r="A9122" s="4" t="s">
        <v>18111</v>
      </c>
      <c r="B9122" s="5" t="s">
        <v>18112</v>
      </c>
      <c r="C9122" s="6">
        <v>569.0</v>
      </c>
      <c r="D9122" s="6">
        <v>4.2</v>
      </c>
      <c r="E9122" s="6">
        <v>15.0</v>
      </c>
    </row>
    <row r="9123">
      <c r="A9123" s="4" t="s">
        <v>18113</v>
      </c>
      <c r="B9123" s="5" t="s">
        <v>18114</v>
      </c>
      <c r="C9123" s="6">
        <v>568.0</v>
      </c>
      <c r="D9123" s="6">
        <v>4.0</v>
      </c>
      <c r="E9123" s="6">
        <v>14.0</v>
      </c>
    </row>
    <row r="9124">
      <c r="A9124" s="4" t="s">
        <v>18115</v>
      </c>
      <c r="B9124" s="5" t="s">
        <v>18116</v>
      </c>
      <c r="C9124" s="6">
        <v>568.0</v>
      </c>
      <c r="D9124" s="6">
        <v>4.5</v>
      </c>
      <c r="E9124" s="6">
        <v>2.0</v>
      </c>
    </row>
    <row r="9125">
      <c r="A9125" s="4" t="s">
        <v>18117</v>
      </c>
      <c r="B9125" s="5" t="s">
        <v>18118</v>
      </c>
      <c r="C9125" s="6">
        <v>568.0</v>
      </c>
      <c r="D9125" s="6">
        <v>4.333333333</v>
      </c>
      <c r="E9125" s="6">
        <v>3.0</v>
      </c>
    </row>
    <row r="9126">
      <c r="A9126" s="4" t="s">
        <v>18119</v>
      </c>
      <c r="B9126" s="5" t="s">
        <v>18120</v>
      </c>
      <c r="C9126" s="6">
        <v>568.0</v>
      </c>
      <c r="D9126" s="6">
        <v>3.666666667</v>
      </c>
      <c r="E9126" s="6">
        <v>3.0</v>
      </c>
    </row>
    <row r="9127">
      <c r="A9127" s="4" t="s">
        <v>18121</v>
      </c>
      <c r="B9127" s="5" t="s">
        <v>18122</v>
      </c>
      <c r="C9127" s="6">
        <v>568.0</v>
      </c>
      <c r="D9127" s="6">
        <v>4.714285714</v>
      </c>
      <c r="E9127" s="6">
        <v>14.0</v>
      </c>
    </row>
    <row r="9128">
      <c r="A9128" s="4" t="s">
        <v>18123</v>
      </c>
      <c r="B9128" s="5" t="s">
        <v>18124</v>
      </c>
      <c r="C9128" s="6">
        <v>568.0</v>
      </c>
      <c r="D9128" s="6">
        <v>4.0</v>
      </c>
      <c r="E9128" s="6">
        <v>4.0</v>
      </c>
    </row>
    <row r="9129">
      <c r="A9129" s="4" t="s">
        <v>18125</v>
      </c>
      <c r="B9129" s="5" t="s">
        <v>18126</v>
      </c>
      <c r="C9129" s="6">
        <v>568.0</v>
      </c>
      <c r="D9129" s="6">
        <v>4.933333333</v>
      </c>
      <c r="E9129" s="6">
        <v>30.0</v>
      </c>
    </row>
    <row r="9130">
      <c r="A9130" s="4" t="s">
        <v>18127</v>
      </c>
      <c r="B9130" s="5" t="s">
        <v>18128</v>
      </c>
      <c r="C9130" s="6">
        <v>567.0</v>
      </c>
      <c r="D9130" s="6">
        <v>5.0</v>
      </c>
      <c r="E9130" s="6">
        <v>7.0</v>
      </c>
    </row>
    <row r="9131">
      <c r="A9131" s="4" t="s">
        <v>18129</v>
      </c>
      <c r="B9131" s="5" t="s">
        <v>18130</v>
      </c>
      <c r="C9131" s="6">
        <v>567.0</v>
      </c>
      <c r="D9131" s="6">
        <v>3.1</v>
      </c>
      <c r="E9131" s="6">
        <v>10.0</v>
      </c>
    </row>
    <row r="9132">
      <c r="A9132" s="4" t="s">
        <v>18131</v>
      </c>
      <c r="B9132" s="5" t="s">
        <v>18132</v>
      </c>
      <c r="C9132" s="6">
        <v>567.0</v>
      </c>
      <c r="D9132" s="6">
        <v>2.75</v>
      </c>
      <c r="E9132" s="6">
        <v>4.0</v>
      </c>
    </row>
    <row r="9133">
      <c r="A9133" s="4" t="s">
        <v>18133</v>
      </c>
      <c r="B9133" s="5" t="s">
        <v>18134</v>
      </c>
      <c r="C9133" s="6">
        <v>567.0</v>
      </c>
      <c r="D9133" s="6">
        <v>4.5</v>
      </c>
      <c r="E9133" s="6">
        <v>2.0</v>
      </c>
    </row>
    <row r="9134">
      <c r="A9134" s="4" t="s">
        <v>18135</v>
      </c>
      <c r="B9134" s="5" t="s">
        <v>18136</v>
      </c>
      <c r="C9134" s="6">
        <v>567.0</v>
      </c>
      <c r="D9134" s="6">
        <v>3.214285714</v>
      </c>
      <c r="E9134" s="6">
        <v>14.0</v>
      </c>
    </row>
    <row r="9135">
      <c r="A9135" s="4" t="s">
        <v>18137</v>
      </c>
      <c r="B9135" s="5" t="s">
        <v>18138</v>
      </c>
      <c r="C9135" s="6">
        <v>566.0</v>
      </c>
      <c r="D9135" s="6">
        <v>4.3125</v>
      </c>
      <c r="E9135" s="6">
        <v>16.0</v>
      </c>
    </row>
    <row r="9136">
      <c r="A9136" s="4" t="s">
        <v>18139</v>
      </c>
      <c r="B9136" s="5" t="s">
        <v>18140</v>
      </c>
      <c r="C9136" s="6">
        <v>566.0</v>
      </c>
      <c r="D9136" s="6">
        <v>3.692307692</v>
      </c>
      <c r="E9136" s="6">
        <v>13.0</v>
      </c>
    </row>
    <row r="9137">
      <c r="A9137" s="4" t="s">
        <v>18141</v>
      </c>
      <c r="B9137" s="5" t="s">
        <v>18142</v>
      </c>
      <c r="C9137" s="6">
        <v>566.0</v>
      </c>
      <c r="D9137" s="9"/>
      <c r="E9137" s="9"/>
    </row>
    <row r="9138">
      <c r="A9138" s="4" t="s">
        <v>18143</v>
      </c>
      <c r="B9138" s="5" t="s">
        <v>18144</v>
      </c>
      <c r="C9138" s="6">
        <v>566.0</v>
      </c>
      <c r="D9138" s="6">
        <v>3.785714286</v>
      </c>
      <c r="E9138" s="6">
        <v>14.0</v>
      </c>
    </row>
    <row r="9139">
      <c r="A9139" s="4" t="s">
        <v>18145</v>
      </c>
      <c r="B9139" s="5" t="s">
        <v>18146</v>
      </c>
      <c r="C9139" s="6">
        <v>566.0</v>
      </c>
      <c r="D9139" s="6">
        <v>4.0</v>
      </c>
      <c r="E9139" s="6">
        <v>3.0</v>
      </c>
    </row>
    <row r="9140">
      <c r="A9140" s="4" t="s">
        <v>18147</v>
      </c>
      <c r="B9140" s="5" t="s">
        <v>18148</v>
      </c>
      <c r="C9140" s="6">
        <v>566.0</v>
      </c>
      <c r="D9140" s="9"/>
      <c r="E9140" s="9"/>
    </row>
    <row r="9141">
      <c r="A9141" s="4" t="s">
        <v>18149</v>
      </c>
      <c r="B9141" s="5" t="s">
        <v>18150</v>
      </c>
      <c r="C9141" s="6">
        <v>566.0</v>
      </c>
      <c r="D9141" s="6">
        <v>3.666666667</v>
      </c>
      <c r="E9141" s="6">
        <v>3.0</v>
      </c>
    </row>
    <row r="9142">
      <c r="A9142" s="4" t="s">
        <v>18151</v>
      </c>
      <c r="B9142" s="5" t="s">
        <v>18152</v>
      </c>
      <c r="C9142" s="6">
        <v>566.0</v>
      </c>
      <c r="D9142" s="6">
        <v>3.857142857</v>
      </c>
      <c r="E9142" s="6">
        <v>14.0</v>
      </c>
    </row>
    <row r="9143">
      <c r="A9143" s="4" t="s">
        <v>18153</v>
      </c>
      <c r="B9143" s="5" t="s">
        <v>18154</v>
      </c>
      <c r="C9143" s="6">
        <v>566.0</v>
      </c>
      <c r="D9143" s="6">
        <v>2.8</v>
      </c>
      <c r="E9143" s="6">
        <v>5.0</v>
      </c>
    </row>
    <row r="9144">
      <c r="A9144" s="4" t="s">
        <v>18155</v>
      </c>
      <c r="B9144" s="5" t="s">
        <v>18156</v>
      </c>
      <c r="C9144" s="6">
        <v>565.0</v>
      </c>
      <c r="D9144" s="6">
        <v>4.785714286</v>
      </c>
      <c r="E9144" s="6">
        <v>14.0</v>
      </c>
    </row>
    <row r="9145">
      <c r="A9145" s="4" t="s">
        <v>18157</v>
      </c>
      <c r="B9145" s="5" t="s">
        <v>18158</v>
      </c>
      <c r="C9145" s="6">
        <v>565.0</v>
      </c>
      <c r="D9145" s="6">
        <v>5.0</v>
      </c>
      <c r="E9145" s="6">
        <v>2.0</v>
      </c>
    </row>
    <row r="9146">
      <c r="A9146" s="4" t="s">
        <v>18159</v>
      </c>
      <c r="B9146" s="5" t="s">
        <v>18160</v>
      </c>
      <c r="C9146" s="6">
        <v>565.0</v>
      </c>
      <c r="D9146" s="6">
        <v>4.090909091</v>
      </c>
      <c r="E9146" s="6">
        <v>11.0</v>
      </c>
    </row>
    <row r="9147">
      <c r="A9147" s="4" t="s">
        <v>18161</v>
      </c>
      <c r="B9147" s="5" t="s">
        <v>18162</v>
      </c>
      <c r="C9147" s="6">
        <v>565.0</v>
      </c>
      <c r="D9147" s="6">
        <v>1.8</v>
      </c>
      <c r="E9147" s="6">
        <v>5.0</v>
      </c>
    </row>
    <row r="9148">
      <c r="A9148" s="4" t="s">
        <v>18163</v>
      </c>
      <c r="B9148" s="5" t="s">
        <v>18164</v>
      </c>
      <c r="C9148" s="6">
        <v>565.0</v>
      </c>
      <c r="D9148" s="6">
        <v>5.0</v>
      </c>
      <c r="E9148" s="6">
        <v>5.0</v>
      </c>
    </row>
    <row r="9149">
      <c r="A9149" s="4" t="s">
        <v>18165</v>
      </c>
      <c r="B9149" s="5" t="s">
        <v>18166</v>
      </c>
      <c r="C9149" s="6">
        <v>565.0</v>
      </c>
      <c r="D9149" s="6">
        <v>3.833333333</v>
      </c>
      <c r="E9149" s="6">
        <v>18.0</v>
      </c>
    </row>
    <row r="9150">
      <c r="A9150" s="4" t="s">
        <v>18167</v>
      </c>
      <c r="B9150" s="5" t="s">
        <v>18168</v>
      </c>
      <c r="C9150" s="6">
        <v>565.0</v>
      </c>
      <c r="D9150" s="6">
        <v>4.3125</v>
      </c>
      <c r="E9150" s="6">
        <v>16.0</v>
      </c>
    </row>
    <row r="9151">
      <c r="A9151" s="4" t="s">
        <v>18169</v>
      </c>
      <c r="B9151" s="5" t="s">
        <v>18170</v>
      </c>
      <c r="C9151" s="6">
        <v>565.0</v>
      </c>
      <c r="D9151" s="6">
        <v>4.0</v>
      </c>
      <c r="E9151" s="6">
        <v>1.0</v>
      </c>
    </row>
    <row r="9152">
      <c r="A9152" s="4" t="s">
        <v>18171</v>
      </c>
      <c r="B9152" s="5" t="s">
        <v>18172</v>
      </c>
      <c r="C9152" s="6">
        <v>565.0</v>
      </c>
      <c r="D9152" s="6">
        <v>4.428571429</v>
      </c>
      <c r="E9152" s="6">
        <v>7.0</v>
      </c>
    </row>
    <row r="9153">
      <c r="A9153" s="4" t="s">
        <v>18173</v>
      </c>
      <c r="B9153" s="5" t="s">
        <v>18174</v>
      </c>
      <c r="C9153" s="6">
        <v>564.0</v>
      </c>
      <c r="D9153" s="6">
        <v>3.533333333</v>
      </c>
      <c r="E9153" s="6">
        <v>15.0</v>
      </c>
    </row>
    <row r="9154">
      <c r="A9154" s="4" t="s">
        <v>18175</v>
      </c>
      <c r="B9154" s="5" t="s">
        <v>18176</v>
      </c>
      <c r="C9154" s="6">
        <v>564.0</v>
      </c>
      <c r="D9154" s="6">
        <v>4.777777778</v>
      </c>
      <c r="E9154" s="6">
        <v>27.0</v>
      </c>
    </row>
    <row r="9155">
      <c r="A9155" s="4" t="s">
        <v>18177</v>
      </c>
      <c r="B9155" s="5" t="s">
        <v>18178</v>
      </c>
      <c r="C9155" s="6">
        <v>564.0</v>
      </c>
      <c r="D9155" s="6">
        <v>2.8</v>
      </c>
      <c r="E9155" s="6">
        <v>10.0</v>
      </c>
    </row>
    <row r="9156">
      <c r="A9156" s="4" t="s">
        <v>18179</v>
      </c>
      <c r="B9156" s="5" t="s">
        <v>18180</v>
      </c>
      <c r="C9156" s="6">
        <v>564.0</v>
      </c>
      <c r="D9156" s="6">
        <v>4.111111111</v>
      </c>
      <c r="E9156" s="6">
        <v>9.0</v>
      </c>
    </row>
    <row r="9157">
      <c r="A9157" s="4" t="s">
        <v>18181</v>
      </c>
      <c r="B9157" s="5" t="s">
        <v>18182</v>
      </c>
      <c r="C9157" s="6">
        <v>563.0</v>
      </c>
      <c r="D9157" s="6">
        <v>4.0</v>
      </c>
      <c r="E9157" s="6">
        <v>4.0</v>
      </c>
    </row>
    <row r="9158">
      <c r="A9158" s="4" t="s">
        <v>18183</v>
      </c>
      <c r="B9158" s="5" t="s">
        <v>18184</v>
      </c>
      <c r="C9158" s="6">
        <v>563.0</v>
      </c>
      <c r="D9158" s="6">
        <v>4.8</v>
      </c>
      <c r="E9158" s="6">
        <v>5.0</v>
      </c>
    </row>
    <row r="9159">
      <c r="A9159" s="4" t="s">
        <v>18185</v>
      </c>
      <c r="B9159" s="5" t="s">
        <v>18186</v>
      </c>
      <c r="C9159" s="6">
        <v>563.0</v>
      </c>
      <c r="D9159" s="6">
        <v>4.166666667</v>
      </c>
      <c r="E9159" s="6">
        <v>12.0</v>
      </c>
    </row>
    <row r="9160">
      <c r="A9160" s="4" t="s">
        <v>18187</v>
      </c>
      <c r="B9160" s="5" t="s">
        <v>18188</v>
      </c>
      <c r="C9160" s="6">
        <v>563.0</v>
      </c>
      <c r="D9160" s="6">
        <v>4.363636364</v>
      </c>
      <c r="E9160" s="6">
        <v>11.0</v>
      </c>
    </row>
    <row r="9161">
      <c r="A9161" s="4" t="s">
        <v>18189</v>
      </c>
      <c r="B9161" s="5" t="s">
        <v>18190</v>
      </c>
      <c r="C9161" s="6">
        <v>563.0</v>
      </c>
      <c r="D9161" s="6">
        <v>4.0</v>
      </c>
      <c r="E9161" s="6">
        <v>4.0</v>
      </c>
    </row>
    <row r="9162">
      <c r="A9162" s="4" t="s">
        <v>18191</v>
      </c>
      <c r="B9162" s="5" t="s">
        <v>18192</v>
      </c>
      <c r="C9162" s="6">
        <v>562.0</v>
      </c>
      <c r="D9162" s="6">
        <v>3.461538462</v>
      </c>
      <c r="E9162" s="6">
        <v>26.0</v>
      </c>
    </row>
    <row r="9163">
      <c r="A9163" s="4" t="s">
        <v>18193</v>
      </c>
      <c r="B9163" s="12" t="s">
        <v>18194</v>
      </c>
      <c r="C9163" s="6">
        <v>562.0</v>
      </c>
      <c r="D9163" s="6">
        <v>3.6</v>
      </c>
      <c r="E9163" s="6">
        <v>24.0</v>
      </c>
    </row>
    <row r="9164">
      <c r="A9164" s="4" t="s">
        <v>18195</v>
      </c>
      <c r="B9164" s="5" t="s">
        <v>18196</v>
      </c>
      <c r="C9164" s="6">
        <v>562.0</v>
      </c>
      <c r="D9164" s="6">
        <v>4.846153846</v>
      </c>
      <c r="E9164" s="6">
        <v>13.0</v>
      </c>
    </row>
    <row r="9165">
      <c r="A9165" s="4" t="s">
        <v>18197</v>
      </c>
      <c r="B9165" s="5" t="s">
        <v>18198</v>
      </c>
      <c r="C9165" s="6">
        <v>562.0</v>
      </c>
      <c r="D9165" s="6">
        <v>5.0</v>
      </c>
      <c r="E9165" s="6">
        <v>4.0</v>
      </c>
    </row>
    <row r="9166">
      <c r="A9166" s="4" t="s">
        <v>18199</v>
      </c>
      <c r="B9166" s="5" t="s">
        <v>18200</v>
      </c>
      <c r="C9166" s="6">
        <v>562.0</v>
      </c>
      <c r="D9166" s="6">
        <v>5.0</v>
      </c>
      <c r="E9166" s="6">
        <v>19.0</v>
      </c>
    </row>
    <row r="9167">
      <c r="A9167" s="4" t="s">
        <v>18201</v>
      </c>
      <c r="B9167" s="5" t="s">
        <v>18202</v>
      </c>
      <c r="C9167" s="6">
        <v>561.0</v>
      </c>
      <c r="D9167" s="9"/>
      <c r="E9167" s="9"/>
    </row>
    <row r="9168">
      <c r="A9168" s="4" t="s">
        <v>18203</v>
      </c>
      <c r="B9168" s="5" t="s">
        <v>18204</v>
      </c>
      <c r="C9168" s="6">
        <v>561.0</v>
      </c>
      <c r="D9168" s="6">
        <v>1.0</v>
      </c>
      <c r="E9168" s="6">
        <v>3.0</v>
      </c>
    </row>
    <row r="9169">
      <c r="A9169" s="4" t="s">
        <v>18205</v>
      </c>
      <c r="B9169" s="5" t="s">
        <v>18206</v>
      </c>
      <c r="C9169" s="6">
        <v>561.0</v>
      </c>
      <c r="D9169" s="6">
        <v>4.710526316</v>
      </c>
      <c r="E9169" s="6">
        <v>38.0</v>
      </c>
    </row>
    <row r="9170">
      <c r="A9170" s="4" t="s">
        <v>18207</v>
      </c>
      <c r="B9170" s="5" t="s">
        <v>18208</v>
      </c>
      <c r="C9170" s="6">
        <v>561.0</v>
      </c>
      <c r="D9170" s="6">
        <v>4.333333333</v>
      </c>
      <c r="E9170" s="6">
        <v>6.0</v>
      </c>
    </row>
    <row r="9171">
      <c r="A9171" s="4" t="s">
        <v>18209</v>
      </c>
      <c r="B9171" s="5" t="s">
        <v>18210</v>
      </c>
      <c r="C9171" s="6">
        <v>561.0</v>
      </c>
      <c r="D9171" s="9"/>
      <c r="E9171" s="9"/>
    </row>
    <row r="9172">
      <c r="A9172" s="4" t="s">
        <v>18211</v>
      </c>
      <c r="B9172" s="5" t="s">
        <v>18212</v>
      </c>
      <c r="C9172" s="6">
        <v>561.0</v>
      </c>
      <c r="D9172" s="6">
        <v>4.0</v>
      </c>
      <c r="E9172" s="6">
        <v>4.0</v>
      </c>
    </row>
    <row r="9173">
      <c r="A9173" s="4" t="s">
        <v>18213</v>
      </c>
      <c r="B9173" s="5" t="s">
        <v>18214</v>
      </c>
      <c r="C9173" s="6">
        <v>561.0</v>
      </c>
      <c r="D9173" s="9"/>
      <c r="E9173" s="9"/>
    </row>
    <row r="9174">
      <c r="A9174" s="4" t="s">
        <v>18215</v>
      </c>
      <c r="B9174" s="5" t="s">
        <v>18216</v>
      </c>
      <c r="C9174" s="6">
        <v>561.0</v>
      </c>
      <c r="D9174" s="6">
        <v>1.714285714</v>
      </c>
      <c r="E9174" s="6">
        <v>7.0</v>
      </c>
    </row>
    <row r="9175">
      <c r="A9175" s="4" t="s">
        <v>18217</v>
      </c>
      <c r="B9175" s="5" t="s">
        <v>18218</v>
      </c>
      <c r="C9175" s="6">
        <v>561.0</v>
      </c>
      <c r="D9175" s="6">
        <v>2.272727273</v>
      </c>
      <c r="E9175" s="6">
        <v>11.0</v>
      </c>
    </row>
    <row r="9176">
      <c r="A9176" s="4" t="s">
        <v>18219</v>
      </c>
      <c r="B9176" s="5" t="s">
        <v>18220</v>
      </c>
      <c r="C9176" s="6">
        <v>561.0</v>
      </c>
      <c r="D9176" s="6">
        <v>5.0</v>
      </c>
      <c r="E9176" s="6">
        <v>1.0</v>
      </c>
    </row>
    <row r="9177">
      <c r="A9177" s="4" t="s">
        <v>18221</v>
      </c>
      <c r="B9177" s="5" t="s">
        <v>18222</v>
      </c>
      <c r="C9177" s="6">
        <v>560.0</v>
      </c>
      <c r="D9177" s="6">
        <v>3.0</v>
      </c>
      <c r="E9177" s="6">
        <v>4.0</v>
      </c>
    </row>
    <row r="9178">
      <c r="A9178" s="4" t="s">
        <v>18223</v>
      </c>
      <c r="B9178" s="5" t="s">
        <v>18224</v>
      </c>
      <c r="C9178" s="6">
        <v>560.0</v>
      </c>
      <c r="D9178" s="6">
        <v>4.0</v>
      </c>
      <c r="E9178" s="6">
        <v>4.0</v>
      </c>
    </row>
    <row r="9179">
      <c r="A9179" s="4" t="s">
        <v>18225</v>
      </c>
      <c r="B9179" s="5" t="s">
        <v>18226</v>
      </c>
      <c r="C9179" s="6">
        <v>560.0</v>
      </c>
      <c r="D9179" s="6">
        <v>5.0</v>
      </c>
      <c r="E9179" s="6">
        <v>3.0</v>
      </c>
    </row>
    <row r="9180">
      <c r="A9180" s="4" t="s">
        <v>18227</v>
      </c>
      <c r="B9180" s="5" t="s">
        <v>18228</v>
      </c>
      <c r="C9180" s="6">
        <v>560.0</v>
      </c>
      <c r="D9180" s="6">
        <v>5.0</v>
      </c>
      <c r="E9180" s="6">
        <v>1.0</v>
      </c>
    </row>
    <row r="9181">
      <c r="A9181" s="4" t="s">
        <v>18229</v>
      </c>
      <c r="B9181" s="5" t="s">
        <v>18230</v>
      </c>
      <c r="C9181" s="6">
        <v>560.0</v>
      </c>
      <c r="D9181" s="6">
        <v>3.0</v>
      </c>
      <c r="E9181" s="6">
        <v>6.0</v>
      </c>
    </row>
    <row r="9182">
      <c r="A9182" s="4" t="s">
        <v>18231</v>
      </c>
      <c r="B9182" s="5" t="s">
        <v>18232</v>
      </c>
      <c r="C9182" s="6">
        <v>560.0</v>
      </c>
      <c r="D9182" s="6">
        <v>4.846153846</v>
      </c>
      <c r="E9182" s="6">
        <v>13.0</v>
      </c>
    </row>
    <row r="9183">
      <c r="A9183" s="4" t="s">
        <v>18233</v>
      </c>
      <c r="B9183" s="5" t="s">
        <v>18234</v>
      </c>
      <c r="C9183" s="6">
        <v>560.0</v>
      </c>
      <c r="D9183" s="6">
        <v>4.857142857</v>
      </c>
      <c r="E9183" s="6">
        <v>7.0</v>
      </c>
    </row>
    <row r="9184">
      <c r="A9184" s="4" t="s">
        <v>18235</v>
      </c>
      <c r="B9184" s="5" t="s">
        <v>18236</v>
      </c>
      <c r="C9184" s="6">
        <v>560.0</v>
      </c>
      <c r="D9184" s="6">
        <v>2.6</v>
      </c>
      <c r="E9184" s="6">
        <v>5.0</v>
      </c>
    </row>
    <row r="9185">
      <c r="A9185" s="4" t="s">
        <v>18237</v>
      </c>
      <c r="B9185" s="12" t="s">
        <v>18238</v>
      </c>
      <c r="C9185" s="6">
        <v>560.0</v>
      </c>
      <c r="D9185" s="6">
        <v>2.9</v>
      </c>
      <c r="E9185" s="6">
        <v>15.0</v>
      </c>
    </row>
    <row r="9186">
      <c r="A9186" s="4" t="s">
        <v>18239</v>
      </c>
      <c r="B9186" s="5" t="s">
        <v>18240</v>
      </c>
      <c r="C9186" s="6">
        <v>559.0</v>
      </c>
      <c r="D9186" s="6">
        <v>4.5</v>
      </c>
      <c r="E9186" s="6">
        <v>30.0</v>
      </c>
    </row>
    <row r="9187">
      <c r="A9187" s="4" t="s">
        <v>18241</v>
      </c>
      <c r="B9187" s="5" t="s">
        <v>18242</v>
      </c>
      <c r="C9187" s="6">
        <v>559.0</v>
      </c>
      <c r="D9187" s="6">
        <v>4.2</v>
      </c>
      <c r="E9187" s="6">
        <v>5.0</v>
      </c>
    </row>
    <row r="9188">
      <c r="A9188" s="4" t="s">
        <v>18243</v>
      </c>
      <c r="B9188" s="5" t="s">
        <v>18244</v>
      </c>
      <c r="C9188" s="6">
        <v>559.0</v>
      </c>
      <c r="D9188" s="6">
        <v>3.285714286</v>
      </c>
      <c r="E9188" s="6">
        <v>7.0</v>
      </c>
    </row>
    <row r="9189">
      <c r="A9189" s="4" t="s">
        <v>18245</v>
      </c>
      <c r="B9189" s="5" t="s">
        <v>18246</v>
      </c>
      <c r="C9189" s="6">
        <v>559.0</v>
      </c>
      <c r="D9189" s="6">
        <v>5.0</v>
      </c>
      <c r="E9189" s="6">
        <v>1.0</v>
      </c>
    </row>
    <row r="9190">
      <c r="A9190" s="4" t="s">
        <v>18247</v>
      </c>
      <c r="B9190" s="5" t="s">
        <v>18248</v>
      </c>
      <c r="C9190" s="6">
        <v>559.0</v>
      </c>
      <c r="D9190" s="6">
        <v>3.571428571</v>
      </c>
      <c r="E9190" s="6">
        <v>7.0</v>
      </c>
    </row>
    <row r="9191">
      <c r="A9191" s="4" t="s">
        <v>18249</v>
      </c>
      <c r="B9191" s="5" t="s">
        <v>18250</v>
      </c>
      <c r="C9191" s="6">
        <v>559.0</v>
      </c>
      <c r="D9191" s="6">
        <v>4.75</v>
      </c>
      <c r="E9191" s="6">
        <v>4.0</v>
      </c>
    </row>
    <row r="9192">
      <c r="A9192" s="4" t="s">
        <v>18251</v>
      </c>
      <c r="B9192" s="5" t="s">
        <v>18252</v>
      </c>
      <c r="C9192" s="6">
        <v>558.0</v>
      </c>
      <c r="D9192" s="6">
        <v>3.9375</v>
      </c>
      <c r="E9192" s="6">
        <v>16.0</v>
      </c>
    </row>
    <row r="9193">
      <c r="A9193" s="4" t="s">
        <v>18253</v>
      </c>
      <c r="B9193" s="5" t="s">
        <v>18254</v>
      </c>
      <c r="C9193" s="6">
        <v>558.0</v>
      </c>
      <c r="D9193" s="6">
        <v>4.25</v>
      </c>
      <c r="E9193" s="6">
        <v>12.0</v>
      </c>
    </row>
    <row r="9194">
      <c r="A9194" s="4" t="s">
        <v>18255</v>
      </c>
      <c r="B9194" s="5" t="s">
        <v>18256</v>
      </c>
      <c r="C9194" s="6">
        <v>558.0</v>
      </c>
      <c r="D9194" s="6">
        <v>4.181818182</v>
      </c>
      <c r="E9194" s="6">
        <v>22.0</v>
      </c>
    </row>
    <row r="9195">
      <c r="A9195" s="4" t="s">
        <v>18257</v>
      </c>
      <c r="B9195" s="5" t="s">
        <v>18258</v>
      </c>
      <c r="C9195" s="6">
        <v>558.0</v>
      </c>
      <c r="D9195" s="6">
        <v>3.0</v>
      </c>
      <c r="E9195" s="6">
        <v>2.0</v>
      </c>
    </row>
    <row r="9196">
      <c r="A9196" s="4" t="s">
        <v>18259</v>
      </c>
      <c r="B9196" s="5" t="s">
        <v>18260</v>
      </c>
      <c r="C9196" s="6">
        <v>557.0</v>
      </c>
      <c r="D9196" s="6">
        <v>4.0</v>
      </c>
      <c r="E9196" s="6">
        <v>3.0</v>
      </c>
    </row>
    <row r="9197">
      <c r="A9197" s="4" t="s">
        <v>18261</v>
      </c>
      <c r="B9197" s="5" t="s">
        <v>18262</v>
      </c>
      <c r="C9197" s="6">
        <v>557.0</v>
      </c>
      <c r="D9197" s="6">
        <v>4.0</v>
      </c>
      <c r="E9197" s="6">
        <v>8.0</v>
      </c>
    </row>
    <row r="9198">
      <c r="A9198" s="4" t="s">
        <v>18263</v>
      </c>
      <c r="B9198" s="5" t="s">
        <v>18264</v>
      </c>
      <c r="C9198" s="6">
        <v>557.0</v>
      </c>
      <c r="D9198" s="6">
        <v>3.75</v>
      </c>
      <c r="E9198" s="6">
        <v>4.0</v>
      </c>
    </row>
    <row r="9199">
      <c r="A9199" s="4" t="s">
        <v>18265</v>
      </c>
      <c r="B9199" s="5" t="s">
        <v>18266</v>
      </c>
      <c r="C9199" s="6">
        <v>557.0</v>
      </c>
      <c r="D9199" s="6">
        <v>4.012048193</v>
      </c>
      <c r="E9199" s="6">
        <v>83.0</v>
      </c>
    </row>
    <row r="9200">
      <c r="A9200" s="4" t="s">
        <v>18267</v>
      </c>
      <c r="B9200" s="5" t="s">
        <v>18268</v>
      </c>
      <c r="C9200" s="6">
        <v>557.0</v>
      </c>
      <c r="D9200" s="6">
        <v>5.0</v>
      </c>
      <c r="E9200" s="6">
        <v>4.0</v>
      </c>
    </row>
    <row r="9201">
      <c r="A9201" s="4" t="s">
        <v>18269</v>
      </c>
      <c r="B9201" s="5" t="s">
        <v>18270</v>
      </c>
      <c r="C9201" s="6">
        <v>557.0</v>
      </c>
      <c r="D9201" s="6">
        <v>3.5</v>
      </c>
      <c r="E9201" s="6">
        <v>6.0</v>
      </c>
    </row>
    <row r="9202">
      <c r="A9202" s="4" t="s">
        <v>18271</v>
      </c>
      <c r="B9202" s="5" t="s">
        <v>18272</v>
      </c>
      <c r="C9202" s="6">
        <v>557.0</v>
      </c>
      <c r="D9202" s="6">
        <v>5.0</v>
      </c>
      <c r="E9202" s="6">
        <v>1.0</v>
      </c>
    </row>
    <row r="9203">
      <c r="A9203" s="4" t="s">
        <v>18273</v>
      </c>
      <c r="B9203" s="5" t="s">
        <v>18274</v>
      </c>
      <c r="C9203" s="6">
        <v>556.0</v>
      </c>
      <c r="D9203" s="6">
        <v>3.714285714</v>
      </c>
      <c r="E9203" s="6">
        <v>7.0</v>
      </c>
    </row>
    <row r="9204">
      <c r="A9204" s="4" t="s">
        <v>18275</v>
      </c>
      <c r="B9204" s="5" t="s">
        <v>18276</v>
      </c>
      <c r="C9204" s="6">
        <v>556.0</v>
      </c>
      <c r="D9204" s="6">
        <v>3.916666667</v>
      </c>
      <c r="E9204" s="6">
        <v>12.0</v>
      </c>
    </row>
    <row r="9205">
      <c r="A9205" s="4" t="s">
        <v>18277</v>
      </c>
      <c r="B9205" s="5" t="s">
        <v>18278</v>
      </c>
      <c r="C9205" s="6">
        <v>556.0</v>
      </c>
      <c r="D9205" s="6">
        <v>4.181818182</v>
      </c>
      <c r="E9205" s="6">
        <v>11.0</v>
      </c>
    </row>
    <row r="9206">
      <c r="A9206" s="4" t="s">
        <v>18279</v>
      </c>
      <c r="B9206" s="5" t="s">
        <v>18280</v>
      </c>
      <c r="C9206" s="6">
        <v>556.0</v>
      </c>
      <c r="D9206" s="6">
        <v>3.916666667</v>
      </c>
      <c r="E9206" s="6">
        <v>12.0</v>
      </c>
    </row>
    <row r="9207">
      <c r="A9207" s="4" t="s">
        <v>18281</v>
      </c>
      <c r="B9207" s="5" t="s">
        <v>18282</v>
      </c>
      <c r="C9207" s="6">
        <v>556.0</v>
      </c>
      <c r="D9207" s="6">
        <v>2.333333333</v>
      </c>
      <c r="E9207" s="6">
        <v>3.0</v>
      </c>
    </row>
    <row r="9208">
      <c r="A9208" s="4" t="s">
        <v>18283</v>
      </c>
      <c r="B9208" s="5" t="s">
        <v>18284</v>
      </c>
      <c r="C9208" s="6">
        <v>556.0</v>
      </c>
      <c r="D9208" s="6">
        <v>4.666666667</v>
      </c>
      <c r="E9208" s="6">
        <v>6.0</v>
      </c>
    </row>
    <row r="9209">
      <c r="A9209" s="4" t="s">
        <v>18285</v>
      </c>
      <c r="B9209" s="5" t="s">
        <v>18286</v>
      </c>
      <c r="C9209" s="6">
        <v>556.0</v>
      </c>
      <c r="D9209" s="6">
        <v>4.03030303</v>
      </c>
      <c r="E9209" s="6">
        <v>33.0</v>
      </c>
    </row>
    <row r="9210">
      <c r="A9210" s="4" t="s">
        <v>18287</v>
      </c>
      <c r="B9210" s="5" t="s">
        <v>18288</v>
      </c>
      <c r="C9210" s="6">
        <v>556.0</v>
      </c>
      <c r="D9210" s="6">
        <v>4.5</v>
      </c>
      <c r="E9210" s="6">
        <v>6.0</v>
      </c>
    </row>
    <row r="9211">
      <c r="A9211" s="4" t="s">
        <v>18289</v>
      </c>
      <c r="B9211" s="5" t="s">
        <v>18290</v>
      </c>
      <c r="C9211" s="6">
        <v>556.0</v>
      </c>
      <c r="D9211" s="6">
        <v>3.75</v>
      </c>
      <c r="E9211" s="6">
        <v>4.0</v>
      </c>
    </row>
    <row r="9212">
      <c r="A9212" s="4" t="s">
        <v>18291</v>
      </c>
      <c r="B9212" s="5" t="s">
        <v>18292</v>
      </c>
      <c r="C9212" s="6">
        <v>555.0</v>
      </c>
      <c r="D9212" s="6">
        <v>5.0</v>
      </c>
      <c r="E9212" s="6">
        <v>1.0</v>
      </c>
    </row>
    <row r="9213">
      <c r="A9213" s="4" t="s">
        <v>18293</v>
      </c>
      <c r="B9213" s="5" t="s">
        <v>18294</v>
      </c>
      <c r="C9213" s="6">
        <v>555.0</v>
      </c>
      <c r="D9213" s="6">
        <v>2.0</v>
      </c>
      <c r="E9213" s="6">
        <v>1.0</v>
      </c>
    </row>
    <row r="9214">
      <c r="A9214" s="4" t="s">
        <v>18295</v>
      </c>
      <c r="B9214" s="5" t="s">
        <v>18296</v>
      </c>
      <c r="C9214" s="6">
        <v>555.0</v>
      </c>
      <c r="D9214" s="6">
        <v>5.0</v>
      </c>
      <c r="E9214" s="6">
        <v>6.0</v>
      </c>
    </row>
    <row r="9215">
      <c r="A9215" s="4" t="s">
        <v>18297</v>
      </c>
      <c r="B9215" s="5" t="s">
        <v>18298</v>
      </c>
      <c r="C9215" s="6">
        <v>555.0</v>
      </c>
      <c r="D9215" s="6">
        <v>4.9</v>
      </c>
      <c r="E9215" s="6">
        <v>10.0</v>
      </c>
    </row>
    <row r="9216">
      <c r="A9216" s="4" t="s">
        <v>18299</v>
      </c>
      <c r="B9216" s="5" t="s">
        <v>18300</v>
      </c>
      <c r="C9216" s="6">
        <v>554.0</v>
      </c>
      <c r="D9216" s="6">
        <v>4.260869565</v>
      </c>
      <c r="E9216" s="6">
        <v>23.0</v>
      </c>
    </row>
    <row r="9217">
      <c r="A9217" s="4" t="s">
        <v>18301</v>
      </c>
      <c r="B9217" s="5" t="s">
        <v>18302</v>
      </c>
      <c r="C9217" s="6">
        <v>554.0</v>
      </c>
      <c r="D9217" s="9"/>
      <c r="E9217" s="9"/>
    </row>
    <row r="9218">
      <c r="A9218" s="4" t="s">
        <v>18303</v>
      </c>
      <c r="B9218" s="5" t="s">
        <v>18304</v>
      </c>
      <c r="C9218" s="6">
        <v>554.0</v>
      </c>
      <c r="D9218" s="9"/>
      <c r="E9218" s="9"/>
    </row>
    <row r="9219">
      <c r="A9219" s="4" t="s">
        <v>18305</v>
      </c>
      <c r="B9219" s="5" t="s">
        <v>18306</v>
      </c>
      <c r="C9219" s="6">
        <v>554.0</v>
      </c>
      <c r="D9219" s="6">
        <v>4.4</v>
      </c>
      <c r="E9219" s="6">
        <v>10.0</v>
      </c>
    </row>
    <row r="9220">
      <c r="A9220" s="4" t="s">
        <v>18307</v>
      </c>
      <c r="B9220" s="5" t="s">
        <v>18308</v>
      </c>
      <c r="C9220" s="6">
        <v>554.0</v>
      </c>
      <c r="D9220" s="9"/>
      <c r="E9220" s="9"/>
    </row>
    <row r="9221">
      <c r="A9221" s="4" t="s">
        <v>18309</v>
      </c>
      <c r="B9221" s="5" t="s">
        <v>18310</v>
      </c>
      <c r="C9221" s="6">
        <v>554.0</v>
      </c>
      <c r="D9221" s="6">
        <v>3.666666667</v>
      </c>
      <c r="E9221" s="6">
        <v>3.0</v>
      </c>
    </row>
    <row r="9222">
      <c r="A9222" s="4" t="s">
        <v>18311</v>
      </c>
      <c r="B9222" s="5" t="s">
        <v>18312</v>
      </c>
      <c r="C9222" s="6">
        <v>554.0</v>
      </c>
      <c r="D9222" s="6">
        <v>5.0</v>
      </c>
      <c r="E9222" s="6">
        <v>3.0</v>
      </c>
    </row>
    <row r="9223">
      <c r="A9223" s="4" t="s">
        <v>18313</v>
      </c>
      <c r="B9223" s="5" t="s">
        <v>18314</v>
      </c>
      <c r="C9223" s="6">
        <v>554.0</v>
      </c>
      <c r="D9223" s="6">
        <v>4.066666667</v>
      </c>
      <c r="E9223" s="6">
        <v>15.0</v>
      </c>
    </row>
    <row r="9224">
      <c r="A9224" s="4" t="s">
        <v>18315</v>
      </c>
      <c r="B9224" s="5" t="s">
        <v>18316</v>
      </c>
      <c r="C9224" s="6">
        <v>554.0</v>
      </c>
      <c r="D9224" s="6">
        <v>4.076923077</v>
      </c>
      <c r="E9224" s="6">
        <v>13.0</v>
      </c>
    </row>
    <row r="9225">
      <c r="A9225" s="4" t="s">
        <v>18317</v>
      </c>
      <c r="B9225" s="5" t="s">
        <v>18318</v>
      </c>
      <c r="C9225" s="6">
        <v>553.0</v>
      </c>
      <c r="D9225" s="6">
        <v>5.0</v>
      </c>
      <c r="E9225" s="6">
        <v>8.0</v>
      </c>
    </row>
    <row r="9226">
      <c r="A9226" s="4" t="s">
        <v>18319</v>
      </c>
      <c r="B9226" s="5" t="s">
        <v>18320</v>
      </c>
      <c r="C9226" s="6">
        <v>553.0</v>
      </c>
      <c r="D9226" s="6">
        <v>3.9</v>
      </c>
      <c r="E9226" s="6">
        <v>10.0</v>
      </c>
    </row>
    <row r="9227">
      <c r="A9227" s="4" t="s">
        <v>18321</v>
      </c>
      <c r="B9227" s="5" t="s">
        <v>18322</v>
      </c>
      <c r="C9227" s="6">
        <v>553.0</v>
      </c>
      <c r="D9227" s="9"/>
      <c r="E9227" s="9"/>
    </row>
    <row r="9228">
      <c r="A9228" s="4" t="s">
        <v>18323</v>
      </c>
      <c r="B9228" s="5" t="s">
        <v>18324</v>
      </c>
      <c r="C9228" s="6">
        <v>553.0</v>
      </c>
      <c r="D9228" s="6">
        <v>4.375</v>
      </c>
      <c r="E9228" s="6">
        <v>8.0</v>
      </c>
    </row>
    <row r="9229">
      <c r="A9229" s="4" t="s">
        <v>18325</v>
      </c>
      <c r="B9229" s="5" t="s">
        <v>18326</v>
      </c>
      <c r="C9229" s="6">
        <v>553.0</v>
      </c>
      <c r="D9229" s="6">
        <v>5.0</v>
      </c>
      <c r="E9229" s="6">
        <v>5.0</v>
      </c>
    </row>
    <row r="9230">
      <c r="A9230" s="4" t="s">
        <v>18327</v>
      </c>
      <c r="B9230" s="5" t="s">
        <v>18328</v>
      </c>
      <c r="C9230" s="6">
        <v>553.0</v>
      </c>
      <c r="D9230" s="6">
        <v>4.75</v>
      </c>
      <c r="E9230" s="6">
        <v>4.0</v>
      </c>
    </row>
    <row r="9231">
      <c r="A9231" s="4" t="s">
        <v>18329</v>
      </c>
      <c r="B9231" s="5" t="s">
        <v>18330</v>
      </c>
      <c r="C9231" s="6">
        <v>553.0</v>
      </c>
      <c r="D9231" s="6">
        <v>5.0</v>
      </c>
      <c r="E9231" s="6">
        <v>1.0</v>
      </c>
    </row>
    <row r="9232">
      <c r="A9232" s="4" t="s">
        <v>18331</v>
      </c>
      <c r="B9232" s="5" t="s">
        <v>18332</v>
      </c>
      <c r="C9232" s="6">
        <v>552.0</v>
      </c>
      <c r="D9232" s="6">
        <v>3.370967742</v>
      </c>
      <c r="E9232" s="6">
        <v>62.0</v>
      </c>
    </row>
    <row r="9233">
      <c r="A9233" s="4" t="s">
        <v>18333</v>
      </c>
      <c r="B9233" s="5" t="s">
        <v>18334</v>
      </c>
      <c r="C9233" s="6">
        <v>552.0</v>
      </c>
      <c r="D9233" s="6">
        <v>4.0</v>
      </c>
      <c r="E9233" s="6">
        <v>2.0</v>
      </c>
    </row>
    <row r="9234">
      <c r="A9234" s="4" t="s">
        <v>18335</v>
      </c>
      <c r="B9234" s="5" t="s">
        <v>18336</v>
      </c>
      <c r="C9234" s="6">
        <v>552.0</v>
      </c>
      <c r="D9234" s="6">
        <v>3.824324324</v>
      </c>
      <c r="E9234" s="6">
        <v>74.0</v>
      </c>
    </row>
    <row r="9235">
      <c r="A9235" s="4" t="s">
        <v>18337</v>
      </c>
      <c r="B9235" s="5" t="s">
        <v>18338</v>
      </c>
      <c r="C9235" s="6">
        <v>552.0</v>
      </c>
      <c r="D9235" s="6">
        <v>4.5</v>
      </c>
      <c r="E9235" s="6">
        <v>14.0</v>
      </c>
    </row>
    <row r="9236">
      <c r="A9236" s="4" t="s">
        <v>18339</v>
      </c>
      <c r="B9236" s="5" t="s">
        <v>18340</v>
      </c>
      <c r="C9236" s="6">
        <v>552.0</v>
      </c>
      <c r="D9236" s="6">
        <v>2.705882353</v>
      </c>
      <c r="E9236" s="6">
        <v>17.0</v>
      </c>
    </row>
    <row r="9237">
      <c r="A9237" s="4" t="s">
        <v>18341</v>
      </c>
      <c r="B9237" s="5" t="s">
        <v>18342</v>
      </c>
      <c r="C9237" s="6">
        <v>552.0</v>
      </c>
      <c r="D9237" s="6">
        <v>5.0</v>
      </c>
      <c r="E9237" s="6">
        <v>4.0</v>
      </c>
    </row>
    <row r="9238">
      <c r="A9238" s="4" t="s">
        <v>18343</v>
      </c>
      <c r="B9238" s="5" t="s">
        <v>18344</v>
      </c>
      <c r="C9238" s="6">
        <v>552.0</v>
      </c>
      <c r="D9238" s="6">
        <v>3.666666667</v>
      </c>
      <c r="E9238" s="6">
        <v>3.0</v>
      </c>
    </row>
    <row r="9239">
      <c r="A9239" s="4" t="s">
        <v>18345</v>
      </c>
      <c r="B9239" s="5" t="s">
        <v>18346</v>
      </c>
      <c r="C9239" s="6">
        <v>552.0</v>
      </c>
      <c r="D9239" s="6">
        <v>5.0</v>
      </c>
      <c r="E9239" s="6">
        <v>3.0</v>
      </c>
    </row>
    <row r="9240">
      <c r="A9240" s="4" t="s">
        <v>18347</v>
      </c>
      <c r="B9240" s="5" t="s">
        <v>18348</v>
      </c>
      <c r="C9240" s="6">
        <v>552.0</v>
      </c>
      <c r="D9240" s="6">
        <v>4.8</v>
      </c>
      <c r="E9240" s="6">
        <v>10.0</v>
      </c>
    </row>
    <row r="9241">
      <c r="A9241" s="4" t="s">
        <v>18349</v>
      </c>
      <c r="B9241" s="5" t="s">
        <v>18350</v>
      </c>
      <c r="C9241" s="6">
        <v>551.0</v>
      </c>
      <c r="D9241" s="6">
        <v>4.666666667</v>
      </c>
      <c r="E9241" s="6">
        <v>3.0</v>
      </c>
    </row>
    <row r="9242">
      <c r="A9242" s="4" t="s">
        <v>18351</v>
      </c>
      <c r="B9242" s="5" t="s">
        <v>18352</v>
      </c>
      <c r="C9242" s="6">
        <v>551.0</v>
      </c>
      <c r="D9242" s="9"/>
      <c r="E9242" s="9"/>
    </row>
    <row r="9243">
      <c r="A9243" s="4" t="s">
        <v>18353</v>
      </c>
      <c r="B9243" s="5" t="s">
        <v>18354</v>
      </c>
      <c r="C9243" s="6">
        <v>551.0</v>
      </c>
      <c r="D9243" s="6">
        <v>3.333333333</v>
      </c>
      <c r="E9243" s="6">
        <v>6.0</v>
      </c>
    </row>
    <row r="9244">
      <c r="A9244" s="4" t="s">
        <v>18355</v>
      </c>
      <c r="B9244" s="5" t="s">
        <v>18356</v>
      </c>
      <c r="C9244" s="6">
        <v>551.0</v>
      </c>
      <c r="D9244" s="6">
        <v>5.0</v>
      </c>
      <c r="E9244" s="6">
        <v>1.0</v>
      </c>
    </row>
    <row r="9245">
      <c r="A9245" s="4" t="s">
        <v>18357</v>
      </c>
      <c r="B9245" s="5" t="s">
        <v>18358</v>
      </c>
      <c r="C9245" s="6">
        <v>551.0</v>
      </c>
      <c r="D9245" s="6">
        <v>3.0</v>
      </c>
      <c r="E9245" s="6">
        <v>2.0</v>
      </c>
    </row>
    <row r="9246">
      <c r="A9246" s="4" t="s">
        <v>18359</v>
      </c>
      <c r="B9246" s="5" t="s">
        <v>18360</v>
      </c>
      <c r="C9246" s="6">
        <v>551.0</v>
      </c>
      <c r="D9246" s="6">
        <v>4.888888889</v>
      </c>
      <c r="E9246" s="6">
        <v>9.0</v>
      </c>
    </row>
    <row r="9247">
      <c r="A9247" s="4" t="s">
        <v>18361</v>
      </c>
      <c r="B9247" s="5" t="s">
        <v>18362</v>
      </c>
      <c r="C9247" s="6">
        <v>551.0</v>
      </c>
      <c r="D9247" s="6">
        <v>1.875</v>
      </c>
      <c r="E9247" s="6">
        <v>16.0</v>
      </c>
    </row>
    <row r="9248">
      <c r="A9248" s="4" t="s">
        <v>18363</v>
      </c>
      <c r="B9248" s="5" t="s">
        <v>18364</v>
      </c>
      <c r="C9248" s="6">
        <v>551.0</v>
      </c>
      <c r="D9248" s="6">
        <v>4.111111111</v>
      </c>
      <c r="E9248" s="6">
        <v>90.0</v>
      </c>
    </row>
    <row r="9249">
      <c r="A9249" s="4" t="s">
        <v>18365</v>
      </c>
      <c r="B9249" s="5" t="s">
        <v>18366</v>
      </c>
      <c r="C9249" s="6">
        <v>551.0</v>
      </c>
      <c r="D9249" s="6">
        <v>5.0</v>
      </c>
      <c r="E9249" s="6">
        <v>2.0</v>
      </c>
    </row>
    <row r="9250">
      <c r="A9250" s="4" t="s">
        <v>18367</v>
      </c>
      <c r="B9250" s="5" t="s">
        <v>18368</v>
      </c>
      <c r="C9250" s="6">
        <v>551.0</v>
      </c>
      <c r="D9250" s="6">
        <v>5.0</v>
      </c>
      <c r="E9250" s="6">
        <v>1.0</v>
      </c>
    </row>
    <row r="9251">
      <c r="A9251" s="4" t="s">
        <v>18369</v>
      </c>
      <c r="B9251" s="5" t="s">
        <v>18370</v>
      </c>
      <c r="C9251" s="6">
        <v>551.0</v>
      </c>
      <c r="D9251" s="6">
        <v>3.25</v>
      </c>
      <c r="E9251" s="6">
        <v>4.0</v>
      </c>
    </row>
    <row r="9252">
      <c r="A9252" s="4" t="s">
        <v>18371</v>
      </c>
      <c r="B9252" s="5" t="s">
        <v>18372</v>
      </c>
      <c r="C9252" s="6">
        <v>550.0</v>
      </c>
      <c r="D9252" s="9"/>
      <c r="E9252" s="9"/>
    </row>
    <row r="9253">
      <c r="A9253" s="4" t="s">
        <v>18373</v>
      </c>
      <c r="B9253" s="5" t="s">
        <v>18374</v>
      </c>
      <c r="C9253" s="6">
        <v>550.0</v>
      </c>
      <c r="D9253" s="6">
        <v>3.666666667</v>
      </c>
      <c r="E9253" s="6">
        <v>3.0</v>
      </c>
    </row>
    <row r="9254">
      <c r="A9254" s="4" t="s">
        <v>3228</v>
      </c>
      <c r="B9254" s="5" t="s">
        <v>18375</v>
      </c>
      <c r="C9254" s="6">
        <v>550.0</v>
      </c>
      <c r="D9254" s="9"/>
      <c r="E9254" s="9"/>
    </row>
    <row r="9255">
      <c r="A9255" s="4" t="s">
        <v>18376</v>
      </c>
      <c r="B9255" s="5" t="s">
        <v>18377</v>
      </c>
      <c r="C9255" s="6">
        <v>550.0</v>
      </c>
      <c r="D9255" s="6">
        <v>4.444444444</v>
      </c>
      <c r="E9255" s="6">
        <v>9.0</v>
      </c>
    </row>
    <row r="9256">
      <c r="A9256" s="4" t="s">
        <v>18378</v>
      </c>
      <c r="B9256" s="5" t="s">
        <v>18379</v>
      </c>
      <c r="C9256" s="6">
        <v>550.0</v>
      </c>
      <c r="D9256" s="6">
        <v>4.5</v>
      </c>
      <c r="E9256" s="6">
        <v>8.0</v>
      </c>
    </row>
    <row r="9257">
      <c r="A9257" s="4" t="s">
        <v>18380</v>
      </c>
      <c r="B9257" s="5" t="s">
        <v>18381</v>
      </c>
      <c r="C9257" s="6">
        <v>550.0</v>
      </c>
      <c r="D9257" s="9"/>
      <c r="E9257" s="9"/>
    </row>
    <row r="9258">
      <c r="A9258" s="4" t="s">
        <v>18382</v>
      </c>
      <c r="B9258" s="5" t="s">
        <v>18383</v>
      </c>
      <c r="C9258" s="6">
        <v>550.0</v>
      </c>
      <c r="D9258" s="6">
        <v>3.285714286</v>
      </c>
      <c r="E9258" s="6">
        <v>14.0</v>
      </c>
    </row>
    <row r="9259">
      <c r="A9259" s="4" t="s">
        <v>18384</v>
      </c>
      <c r="B9259" s="5" t="s">
        <v>18385</v>
      </c>
      <c r="C9259" s="6">
        <v>549.0</v>
      </c>
      <c r="D9259" s="6">
        <v>4.736842105</v>
      </c>
      <c r="E9259" s="6">
        <v>38.0</v>
      </c>
    </row>
    <row r="9260">
      <c r="A9260" s="4" t="s">
        <v>18386</v>
      </c>
      <c r="B9260" s="5" t="s">
        <v>18387</v>
      </c>
      <c r="C9260" s="6">
        <v>549.0</v>
      </c>
      <c r="D9260" s="6">
        <v>5.0</v>
      </c>
      <c r="E9260" s="6">
        <v>6.0</v>
      </c>
    </row>
    <row r="9261">
      <c r="A9261" s="4" t="s">
        <v>18388</v>
      </c>
      <c r="B9261" s="5" t="s">
        <v>18389</v>
      </c>
      <c r="C9261" s="6">
        <v>549.0</v>
      </c>
      <c r="D9261" s="6">
        <v>3.782608696</v>
      </c>
      <c r="E9261" s="6">
        <v>23.0</v>
      </c>
    </row>
    <row r="9262">
      <c r="A9262" s="4" t="s">
        <v>18390</v>
      </c>
      <c r="B9262" s="5" t="s">
        <v>18391</v>
      </c>
      <c r="C9262" s="6">
        <v>549.0</v>
      </c>
      <c r="D9262" s="6">
        <v>1.571428571</v>
      </c>
      <c r="E9262" s="6">
        <v>7.0</v>
      </c>
    </row>
    <row r="9263">
      <c r="A9263" s="4" t="s">
        <v>18392</v>
      </c>
      <c r="B9263" s="5" t="s">
        <v>18393</v>
      </c>
      <c r="C9263" s="6">
        <v>549.0</v>
      </c>
      <c r="D9263" s="6">
        <v>1.5</v>
      </c>
      <c r="E9263" s="6">
        <v>4.0</v>
      </c>
    </row>
    <row r="9264">
      <c r="A9264" s="4" t="s">
        <v>18394</v>
      </c>
      <c r="B9264" s="5" t="s">
        <v>18395</v>
      </c>
      <c r="C9264" s="6">
        <v>549.0</v>
      </c>
      <c r="D9264" s="6">
        <v>4.307692308</v>
      </c>
      <c r="E9264" s="6">
        <v>13.0</v>
      </c>
    </row>
    <row r="9265">
      <c r="A9265" s="4" t="s">
        <v>18396</v>
      </c>
      <c r="B9265" s="5" t="s">
        <v>18397</v>
      </c>
      <c r="C9265" s="6">
        <v>549.0</v>
      </c>
      <c r="D9265" s="6">
        <v>5.0</v>
      </c>
      <c r="E9265" s="6">
        <v>1.0</v>
      </c>
    </row>
    <row r="9266">
      <c r="A9266" s="4" t="s">
        <v>18398</v>
      </c>
      <c r="B9266" s="5" t="s">
        <v>18399</v>
      </c>
      <c r="C9266" s="6">
        <v>549.0</v>
      </c>
      <c r="D9266" s="6">
        <v>4.25</v>
      </c>
      <c r="E9266" s="6">
        <v>8.0</v>
      </c>
    </row>
    <row r="9267">
      <c r="A9267" s="4" t="s">
        <v>18400</v>
      </c>
      <c r="B9267" s="5" t="s">
        <v>18401</v>
      </c>
      <c r="C9267" s="6">
        <v>549.0</v>
      </c>
      <c r="D9267" s="6">
        <v>4.625</v>
      </c>
      <c r="E9267" s="6">
        <v>8.0</v>
      </c>
    </row>
    <row r="9268">
      <c r="A9268" s="4" t="s">
        <v>18402</v>
      </c>
      <c r="B9268" s="5" t="s">
        <v>18403</v>
      </c>
      <c r="C9268" s="6">
        <v>549.0</v>
      </c>
      <c r="D9268" s="6">
        <v>5.0</v>
      </c>
      <c r="E9268" s="6">
        <v>4.0</v>
      </c>
    </row>
    <row r="9269">
      <c r="A9269" s="4" t="s">
        <v>18404</v>
      </c>
      <c r="B9269" s="5" t="s">
        <v>18405</v>
      </c>
      <c r="C9269" s="6">
        <v>548.0</v>
      </c>
      <c r="D9269" s="6">
        <v>3.666666667</v>
      </c>
      <c r="E9269" s="6">
        <v>3.0</v>
      </c>
    </row>
    <row r="9270">
      <c r="A9270" s="4" t="s">
        <v>18406</v>
      </c>
      <c r="B9270" s="5" t="s">
        <v>18407</v>
      </c>
      <c r="C9270" s="6">
        <v>548.0</v>
      </c>
      <c r="D9270" s="6">
        <v>4.8</v>
      </c>
      <c r="E9270" s="6">
        <v>15.0</v>
      </c>
    </row>
    <row r="9271">
      <c r="A9271" s="4" t="s">
        <v>18408</v>
      </c>
      <c r="B9271" s="5" t="s">
        <v>18409</v>
      </c>
      <c r="C9271" s="6">
        <v>548.0</v>
      </c>
      <c r="D9271" s="6">
        <v>4.0</v>
      </c>
      <c r="E9271" s="6">
        <v>3.0</v>
      </c>
    </row>
    <row r="9272">
      <c r="A9272" s="4" t="s">
        <v>18410</v>
      </c>
      <c r="B9272" s="5" t="s">
        <v>18411</v>
      </c>
      <c r="C9272" s="6">
        <v>548.0</v>
      </c>
      <c r="D9272" s="6">
        <v>3.833333333</v>
      </c>
      <c r="E9272" s="6">
        <v>18.0</v>
      </c>
    </row>
    <row r="9273">
      <c r="A9273" s="4" t="s">
        <v>18412</v>
      </c>
      <c r="B9273" s="5" t="s">
        <v>18413</v>
      </c>
      <c r="C9273" s="6">
        <v>548.0</v>
      </c>
      <c r="D9273" s="6">
        <v>3.666666667</v>
      </c>
      <c r="E9273" s="6">
        <v>6.0</v>
      </c>
    </row>
    <row r="9274">
      <c r="A9274" s="4" t="s">
        <v>18414</v>
      </c>
      <c r="B9274" s="5" t="s">
        <v>18415</v>
      </c>
      <c r="C9274" s="6">
        <v>548.0</v>
      </c>
      <c r="D9274" s="6">
        <v>4.75</v>
      </c>
      <c r="E9274" s="6">
        <v>4.0</v>
      </c>
    </row>
    <row r="9275">
      <c r="A9275" s="4" t="s">
        <v>18416</v>
      </c>
      <c r="B9275" s="5" t="s">
        <v>18417</v>
      </c>
      <c r="C9275" s="6">
        <v>548.0</v>
      </c>
      <c r="D9275" s="6">
        <v>5.0</v>
      </c>
      <c r="E9275" s="6">
        <v>9.0</v>
      </c>
    </row>
    <row r="9276">
      <c r="A9276" s="4" t="s">
        <v>18418</v>
      </c>
      <c r="B9276" s="5" t="s">
        <v>18419</v>
      </c>
      <c r="C9276" s="6">
        <v>548.0</v>
      </c>
      <c r="D9276" s="6">
        <v>4.227272727</v>
      </c>
      <c r="E9276" s="6">
        <v>22.0</v>
      </c>
    </row>
    <row r="9277">
      <c r="A9277" s="4" t="s">
        <v>18420</v>
      </c>
      <c r="B9277" s="5" t="s">
        <v>18421</v>
      </c>
      <c r="C9277" s="6">
        <v>548.0</v>
      </c>
      <c r="D9277" s="6">
        <v>5.0</v>
      </c>
      <c r="E9277" s="6">
        <v>1.0</v>
      </c>
    </row>
    <row r="9278">
      <c r="A9278" s="4" t="s">
        <v>18422</v>
      </c>
      <c r="B9278" s="5" t="s">
        <v>18423</v>
      </c>
      <c r="C9278" s="6">
        <v>548.0</v>
      </c>
      <c r="D9278" s="6">
        <v>4.285714286</v>
      </c>
      <c r="E9278" s="6">
        <v>7.0</v>
      </c>
    </row>
    <row r="9279">
      <c r="A9279" s="4" t="s">
        <v>18424</v>
      </c>
      <c r="B9279" s="5" t="s">
        <v>18425</v>
      </c>
      <c r="C9279" s="6">
        <v>548.0</v>
      </c>
      <c r="D9279" s="6">
        <v>4.714285714</v>
      </c>
      <c r="E9279" s="6">
        <v>7.0</v>
      </c>
    </row>
    <row r="9280">
      <c r="A9280" s="4" t="s">
        <v>18426</v>
      </c>
      <c r="B9280" s="5" t="s">
        <v>18427</v>
      </c>
      <c r="C9280" s="6">
        <v>547.0</v>
      </c>
      <c r="D9280" s="6">
        <v>4.8</v>
      </c>
      <c r="E9280" s="6">
        <v>20.0</v>
      </c>
    </row>
    <row r="9281">
      <c r="A9281" s="4" t="s">
        <v>18428</v>
      </c>
      <c r="B9281" s="5" t="s">
        <v>18429</v>
      </c>
      <c r="C9281" s="6">
        <v>547.0</v>
      </c>
      <c r="D9281" s="6">
        <v>5.0</v>
      </c>
      <c r="E9281" s="6">
        <v>1.0</v>
      </c>
    </row>
    <row r="9282">
      <c r="A9282" s="4" t="s">
        <v>18430</v>
      </c>
      <c r="B9282" s="5" t="s">
        <v>18431</v>
      </c>
      <c r="C9282" s="6">
        <v>547.0</v>
      </c>
      <c r="D9282" s="6">
        <v>4.8</v>
      </c>
      <c r="E9282" s="6">
        <v>5.0</v>
      </c>
    </row>
    <row r="9283">
      <c r="A9283" s="4" t="s">
        <v>18432</v>
      </c>
      <c r="B9283" s="5" t="s">
        <v>18433</v>
      </c>
      <c r="C9283" s="6">
        <v>547.0</v>
      </c>
      <c r="D9283" s="6">
        <v>3.25</v>
      </c>
      <c r="E9283" s="6">
        <v>4.0</v>
      </c>
    </row>
    <row r="9284">
      <c r="A9284" s="4" t="s">
        <v>18434</v>
      </c>
      <c r="B9284" s="5" t="s">
        <v>18435</v>
      </c>
      <c r="C9284" s="6">
        <v>547.0</v>
      </c>
      <c r="D9284" s="6">
        <v>4.571428571</v>
      </c>
      <c r="E9284" s="6">
        <v>21.0</v>
      </c>
    </row>
    <row r="9285">
      <c r="A9285" s="4" t="s">
        <v>18436</v>
      </c>
      <c r="B9285" s="5" t="s">
        <v>18437</v>
      </c>
      <c r="C9285" s="6">
        <v>547.0</v>
      </c>
      <c r="D9285" s="6">
        <v>5.0</v>
      </c>
      <c r="E9285" s="6">
        <v>1.0</v>
      </c>
    </row>
    <row r="9286">
      <c r="A9286" s="4" t="s">
        <v>18438</v>
      </c>
      <c r="B9286" s="5" t="s">
        <v>18439</v>
      </c>
      <c r="C9286" s="6">
        <v>547.0</v>
      </c>
      <c r="D9286" s="6">
        <v>2.0</v>
      </c>
      <c r="E9286" s="6">
        <v>2.0</v>
      </c>
    </row>
    <row r="9287">
      <c r="A9287" s="4" t="s">
        <v>18440</v>
      </c>
      <c r="B9287" s="5" t="s">
        <v>18441</v>
      </c>
      <c r="C9287" s="6">
        <v>547.0</v>
      </c>
      <c r="D9287" s="6">
        <v>5.0</v>
      </c>
      <c r="E9287" s="6">
        <v>3.0</v>
      </c>
    </row>
    <row r="9288">
      <c r="A9288" s="4" t="s">
        <v>18442</v>
      </c>
      <c r="B9288" s="5" t="s">
        <v>18443</v>
      </c>
      <c r="C9288" s="6">
        <v>547.0</v>
      </c>
      <c r="D9288" s="6">
        <v>2.0</v>
      </c>
      <c r="E9288" s="6">
        <v>4.0</v>
      </c>
    </row>
    <row r="9289">
      <c r="A9289" s="10" t="s">
        <v>18444</v>
      </c>
      <c r="B9289" s="5" t="s">
        <v>18445</v>
      </c>
      <c r="C9289" s="6">
        <v>547.0</v>
      </c>
      <c r="D9289" s="6">
        <v>4.886792453</v>
      </c>
      <c r="E9289" s="6">
        <v>53.0</v>
      </c>
    </row>
    <row r="9290">
      <c r="A9290" s="4" t="s">
        <v>18446</v>
      </c>
      <c r="B9290" s="5" t="s">
        <v>18447</v>
      </c>
      <c r="C9290" s="6">
        <v>547.0</v>
      </c>
      <c r="D9290" s="6">
        <v>5.0</v>
      </c>
      <c r="E9290" s="6">
        <v>2.0</v>
      </c>
    </row>
    <row r="9291">
      <c r="A9291" s="4" t="s">
        <v>18448</v>
      </c>
      <c r="B9291" s="5" t="s">
        <v>18449</v>
      </c>
      <c r="C9291" s="6">
        <v>547.0</v>
      </c>
      <c r="D9291" s="6">
        <v>3.833333333</v>
      </c>
      <c r="E9291" s="6">
        <v>12.0</v>
      </c>
    </row>
    <row r="9292">
      <c r="A9292" s="4" t="s">
        <v>18450</v>
      </c>
      <c r="B9292" s="5" t="s">
        <v>18451</v>
      </c>
      <c r="C9292" s="6">
        <v>547.0</v>
      </c>
      <c r="D9292" s="6">
        <v>1.0</v>
      </c>
      <c r="E9292" s="6">
        <v>4.0</v>
      </c>
    </row>
    <row r="9293">
      <c r="A9293" s="4" t="s">
        <v>18452</v>
      </c>
      <c r="B9293" s="5" t="s">
        <v>18453</v>
      </c>
      <c r="C9293" s="6">
        <v>547.0</v>
      </c>
      <c r="D9293" s="6">
        <v>4.466666667</v>
      </c>
      <c r="E9293" s="6">
        <v>15.0</v>
      </c>
    </row>
    <row r="9294">
      <c r="A9294" s="4" t="s">
        <v>18454</v>
      </c>
      <c r="B9294" s="5" t="s">
        <v>18455</v>
      </c>
      <c r="C9294" s="6">
        <v>546.0</v>
      </c>
      <c r="D9294" s="6">
        <v>3.8</v>
      </c>
      <c r="E9294" s="6">
        <v>10.0</v>
      </c>
    </row>
    <row r="9295">
      <c r="A9295" s="4" t="s">
        <v>18456</v>
      </c>
      <c r="B9295" s="5" t="s">
        <v>18457</v>
      </c>
      <c r="C9295" s="6">
        <v>546.0</v>
      </c>
      <c r="D9295" s="6">
        <v>3.823529412</v>
      </c>
      <c r="E9295" s="6">
        <v>17.0</v>
      </c>
    </row>
    <row r="9296">
      <c r="A9296" s="4" t="s">
        <v>18458</v>
      </c>
      <c r="B9296" s="5" t="s">
        <v>18459</v>
      </c>
      <c r="C9296" s="6">
        <v>546.0</v>
      </c>
      <c r="D9296" s="6">
        <v>2.8</v>
      </c>
      <c r="E9296" s="6">
        <v>5.0</v>
      </c>
    </row>
    <row r="9297">
      <c r="A9297" s="4" t="s">
        <v>18460</v>
      </c>
      <c r="B9297" s="5" t="s">
        <v>18461</v>
      </c>
      <c r="C9297" s="6">
        <v>546.0</v>
      </c>
      <c r="D9297" s="6">
        <v>4.0</v>
      </c>
      <c r="E9297" s="6">
        <v>4.0</v>
      </c>
    </row>
    <row r="9298">
      <c r="A9298" s="4" t="s">
        <v>18462</v>
      </c>
      <c r="B9298" s="5" t="s">
        <v>18463</v>
      </c>
      <c r="C9298" s="6">
        <v>546.0</v>
      </c>
      <c r="D9298" s="6">
        <v>5.0</v>
      </c>
      <c r="E9298" s="6">
        <v>1.0</v>
      </c>
    </row>
    <row r="9299">
      <c r="A9299" s="4" t="s">
        <v>18464</v>
      </c>
      <c r="B9299" s="5" t="s">
        <v>18465</v>
      </c>
      <c r="C9299" s="6">
        <v>546.0</v>
      </c>
      <c r="D9299" s="6">
        <v>5.0</v>
      </c>
      <c r="E9299" s="6">
        <v>4.0</v>
      </c>
    </row>
    <row r="9300">
      <c r="A9300" s="4" t="s">
        <v>18466</v>
      </c>
      <c r="B9300" s="5" t="s">
        <v>18467</v>
      </c>
      <c r="C9300" s="6">
        <v>545.0</v>
      </c>
      <c r="D9300" s="6">
        <v>4.458333333</v>
      </c>
      <c r="E9300" s="6">
        <v>24.0</v>
      </c>
    </row>
    <row r="9301">
      <c r="A9301" s="4" t="s">
        <v>18468</v>
      </c>
      <c r="B9301" s="5" t="s">
        <v>18469</v>
      </c>
      <c r="C9301" s="6">
        <v>545.0</v>
      </c>
      <c r="D9301" s="6">
        <v>3.875</v>
      </c>
      <c r="E9301" s="6">
        <v>8.0</v>
      </c>
    </row>
    <row r="9302">
      <c r="A9302" s="4" t="s">
        <v>18470</v>
      </c>
      <c r="B9302" s="5" t="s">
        <v>18471</v>
      </c>
      <c r="C9302" s="6">
        <v>545.0</v>
      </c>
      <c r="D9302" s="6">
        <v>5.0</v>
      </c>
      <c r="E9302" s="6">
        <v>4.0</v>
      </c>
    </row>
    <row r="9303">
      <c r="A9303" s="4" t="s">
        <v>18472</v>
      </c>
      <c r="B9303" s="5" t="s">
        <v>18473</v>
      </c>
      <c r="C9303" s="6">
        <v>545.0</v>
      </c>
      <c r="D9303" s="6">
        <v>5.0</v>
      </c>
      <c r="E9303" s="6">
        <v>2.0</v>
      </c>
    </row>
    <row r="9304">
      <c r="A9304" s="4" t="s">
        <v>18474</v>
      </c>
      <c r="B9304" s="5" t="s">
        <v>18475</v>
      </c>
      <c r="C9304" s="6">
        <v>545.0</v>
      </c>
      <c r="D9304" s="6">
        <v>3.933333333</v>
      </c>
      <c r="E9304" s="6">
        <v>15.0</v>
      </c>
    </row>
    <row r="9305">
      <c r="A9305" s="4" t="s">
        <v>18476</v>
      </c>
      <c r="B9305" s="5" t="s">
        <v>18477</v>
      </c>
      <c r="C9305" s="6">
        <v>545.0</v>
      </c>
      <c r="D9305" s="6">
        <v>5.0</v>
      </c>
      <c r="E9305" s="6">
        <v>1.0</v>
      </c>
    </row>
    <row r="9306">
      <c r="A9306" s="4" t="s">
        <v>18478</v>
      </c>
      <c r="B9306" s="5" t="s">
        <v>18479</v>
      </c>
      <c r="C9306" s="6">
        <v>545.0</v>
      </c>
      <c r="D9306" s="6">
        <v>4.0</v>
      </c>
      <c r="E9306" s="6">
        <v>4.0</v>
      </c>
    </row>
    <row r="9307">
      <c r="A9307" s="4" t="s">
        <v>18480</v>
      </c>
      <c r="B9307" s="5" t="s">
        <v>18481</v>
      </c>
      <c r="C9307" s="6">
        <v>545.0</v>
      </c>
      <c r="D9307" s="6">
        <v>4.25</v>
      </c>
      <c r="E9307" s="6">
        <v>40.0</v>
      </c>
    </row>
    <row r="9308">
      <c r="A9308" s="4" t="s">
        <v>18482</v>
      </c>
      <c r="B9308" s="5" t="s">
        <v>18483</v>
      </c>
      <c r="C9308" s="6">
        <v>545.0</v>
      </c>
      <c r="D9308" s="6">
        <v>5.0</v>
      </c>
      <c r="E9308" s="6">
        <v>1.0</v>
      </c>
    </row>
    <row r="9309">
      <c r="A9309" s="4" t="s">
        <v>18484</v>
      </c>
      <c r="B9309" s="5" t="s">
        <v>18485</v>
      </c>
      <c r="C9309" s="6">
        <v>545.0</v>
      </c>
      <c r="D9309" s="6">
        <v>3.95</v>
      </c>
      <c r="E9309" s="6">
        <v>20.0</v>
      </c>
    </row>
    <row r="9310">
      <c r="A9310" s="4" t="s">
        <v>18486</v>
      </c>
      <c r="B9310" s="5" t="s">
        <v>18487</v>
      </c>
      <c r="C9310" s="6">
        <v>545.0</v>
      </c>
      <c r="D9310" s="6">
        <v>5.0</v>
      </c>
      <c r="E9310" s="6">
        <v>3.0</v>
      </c>
    </row>
    <row r="9311">
      <c r="A9311" s="4" t="s">
        <v>18488</v>
      </c>
      <c r="B9311" s="5" t="s">
        <v>18489</v>
      </c>
      <c r="C9311" s="6">
        <v>544.0</v>
      </c>
      <c r="D9311" s="6">
        <v>3.818181818</v>
      </c>
      <c r="E9311" s="6">
        <v>11.0</v>
      </c>
    </row>
    <row r="9312">
      <c r="A9312" s="4" t="s">
        <v>18490</v>
      </c>
      <c r="B9312" s="5" t="s">
        <v>18491</v>
      </c>
      <c r="C9312" s="6">
        <v>544.0</v>
      </c>
      <c r="D9312" s="6">
        <v>4.714285714</v>
      </c>
      <c r="E9312" s="6">
        <v>7.0</v>
      </c>
    </row>
    <row r="9313">
      <c r="A9313" s="4" t="s">
        <v>18492</v>
      </c>
      <c r="B9313" s="5" t="s">
        <v>18493</v>
      </c>
      <c r="C9313" s="6">
        <v>544.0</v>
      </c>
      <c r="D9313" s="9"/>
      <c r="E9313" s="9"/>
    </row>
    <row r="9314">
      <c r="A9314" s="4" t="s">
        <v>18494</v>
      </c>
      <c r="B9314" s="5" t="s">
        <v>18495</v>
      </c>
      <c r="C9314" s="6">
        <v>544.0</v>
      </c>
      <c r="D9314" s="6">
        <v>3.2</v>
      </c>
      <c r="E9314" s="6">
        <v>5.0</v>
      </c>
    </row>
    <row r="9315">
      <c r="A9315" s="4" t="s">
        <v>18496</v>
      </c>
      <c r="B9315" s="5" t="s">
        <v>18497</v>
      </c>
      <c r="C9315" s="6">
        <v>544.0</v>
      </c>
      <c r="D9315" s="6">
        <v>3.666666667</v>
      </c>
      <c r="E9315" s="6">
        <v>3.0</v>
      </c>
    </row>
    <row r="9316">
      <c r="A9316" s="4" t="s">
        <v>18498</v>
      </c>
      <c r="B9316" s="5" t="s">
        <v>18499</v>
      </c>
      <c r="C9316" s="6">
        <v>544.0</v>
      </c>
      <c r="D9316" s="6">
        <v>5.0</v>
      </c>
      <c r="E9316" s="6">
        <v>5.0</v>
      </c>
    </row>
    <row r="9317">
      <c r="A9317" s="4" t="s">
        <v>18500</v>
      </c>
      <c r="B9317" s="5" t="s">
        <v>18501</v>
      </c>
      <c r="C9317" s="6">
        <v>544.0</v>
      </c>
      <c r="D9317" s="9"/>
      <c r="E9317" s="9"/>
    </row>
    <row r="9318">
      <c r="A9318" s="4" t="s">
        <v>18502</v>
      </c>
      <c r="B9318" s="5" t="s">
        <v>18503</v>
      </c>
      <c r="C9318" s="6">
        <v>543.0</v>
      </c>
      <c r="D9318" s="6">
        <v>5.0</v>
      </c>
      <c r="E9318" s="6">
        <v>2.0</v>
      </c>
    </row>
    <row r="9319">
      <c r="A9319" s="4" t="s">
        <v>18504</v>
      </c>
      <c r="B9319" s="5" t="s">
        <v>18505</v>
      </c>
      <c r="C9319" s="6">
        <v>543.0</v>
      </c>
      <c r="D9319" s="6">
        <v>3.5</v>
      </c>
      <c r="E9319" s="6">
        <v>6.0</v>
      </c>
    </row>
    <row r="9320">
      <c r="A9320" s="4" t="s">
        <v>18506</v>
      </c>
      <c r="B9320" s="5" t="s">
        <v>18507</v>
      </c>
      <c r="C9320" s="6">
        <v>543.0</v>
      </c>
      <c r="D9320" s="6">
        <v>5.0</v>
      </c>
      <c r="E9320" s="6">
        <v>5.0</v>
      </c>
    </row>
    <row r="9321">
      <c r="A9321" s="4" t="s">
        <v>18508</v>
      </c>
      <c r="B9321" s="5" t="s">
        <v>18509</v>
      </c>
      <c r="C9321" s="6">
        <v>543.0</v>
      </c>
      <c r="D9321" s="6">
        <v>5.0</v>
      </c>
      <c r="E9321" s="6">
        <v>1.0</v>
      </c>
    </row>
    <row r="9322">
      <c r="A9322" s="4" t="s">
        <v>18510</v>
      </c>
      <c r="B9322" s="5" t="s">
        <v>18511</v>
      </c>
      <c r="C9322" s="6">
        <v>543.0</v>
      </c>
      <c r="D9322" s="6">
        <v>5.0</v>
      </c>
      <c r="E9322" s="6">
        <v>7.0</v>
      </c>
    </row>
    <row r="9323">
      <c r="A9323" s="4" t="s">
        <v>18512</v>
      </c>
      <c r="B9323" s="5" t="s">
        <v>18513</v>
      </c>
      <c r="C9323" s="6">
        <v>542.0</v>
      </c>
      <c r="D9323" s="6">
        <v>5.0</v>
      </c>
      <c r="E9323" s="6">
        <v>1.0</v>
      </c>
    </row>
    <row r="9324">
      <c r="A9324" s="4" t="s">
        <v>18514</v>
      </c>
      <c r="B9324" s="5" t="s">
        <v>18515</v>
      </c>
      <c r="C9324" s="6">
        <v>542.0</v>
      </c>
      <c r="D9324" s="6">
        <v>3.222222222</v>
      </c>
      <c r="E9324" s="6">
        <v>9.0</v>
      </c>
    </row>
    <row r="9325">
      <c r="A9325" s="4" t="s">
        <v>18516</v>
      </c>
      <c r="B9325" s="5" t="s">
        <v>18517</v>
      </c>
      <c r="C9325" s="6">
        <v>542.0</v>
      </c>
      <c r="D9325" s="6">
        <v>1.0</v>
      </c>
      <c r="E9325" s="6">
        <v>2.0</v>
      </c>
    </row>
    <row r="9326">
      <c r="A9326" s="4" t="s">
        <v>18518</v>
      </c>
      <c r="B9326" s="5" t="s">
        <v>18519</v>
      </c>
      <c r="C9326" s="6">
        <v>542.0</v>
      </c>
      <c r="D9326" s="6">
        <v>3.733333333</v>
      </c>
      <c r="E9326" s="6">
        <v>15.0</v>
      </c>
    </row>
    <row r="9327">
      <c r="A9327" s="4" t="s">
        <v>18520</v>
      </c>
      <c r="B9327" s="5" t="s">
        <v>18521</v>
      </c>
      <c r="C9327" s="6">
        <v>542.0</v>
      </c>
      <c r="D9327" s="6">
        <v>4.692307692</v>
      </c>
      <c r="E9327" s="6">
        <v>13.0</v>
      </c>
    </row>
    <row r="9328">
      <c r="A9328" s="4" t="s">
        <v>18522</v>
      </c>
      <c r="B9328" s="5" t="s">
        <v>18523</v>
      </c>
      <c r="C9328" s="6">
        <v>542.0</v>
      </c>
      <c r="D9328" s="6">
        <v>3.714285714</v>
      </c>
      <c r="E9328" s="6">
        <v>7.0</v>
      </c>
    </row>
    <row r="9329">
      <c r="A9329" s="4" t="s">
        <v>18524</v>
      </c>
      <c r="B9329" s="5" t="s">
        <v>18525</v>
      </c>
      <c r="C9329" s="6">
        <v>542.0</v>
      </c>
      <c r="D9329" s="6">
        <v>3.0</v>
      </c>
      <c r="E9329" s="6">
        <v>2.0</v>
      </c>
    </row>
    <row r="9330">
      <c r="A9330" s="4" t="s">
        <v>18526</v>
      </c>
      <c r="B9330" s="5" t="s">
        <v>18527</v>
      </c>
      <c r="C9330" s="6">
        <v>542.0</v>
      </c>
      <c r="D9330" s="6">
        <v>4.8</v>
      </c>
      <c r="E9330" s="6">
        <v>5.0</v>
      </c>
    </row>
    <row r="9331">
      <c r="A9331" s="4" t="s">
        <v>415</v>
      </c>
      <c r="B9331" s="5" t="s">
        <v>18528</v>
      </c>
      <c r="C9331" s="6">
        <v>542.0</v>
      </c>
      <c r="D9331" s="9"/>
      <c r="E9331" s="9"/>
    </row>
    <row r="9332">
      <c r="A9332" s="4" t="s">
        <v>18529</v>
      </c>
      <c r="B9332" s="5" t="s">
        <v>18530</v>
      </c>
      <c r="C9332" s="6">
        <v>542.0</v>
      </c>
      <c r="D9332" s="6">
        <v>4.2</v>
      </c>
      <c r="E9332" s="6">
        <v>10.0</v>
      </c>
    </row>
    <row r="9333">
      <c r="A9333" s="4" t="s">
        <v>18531</v>
      </c>
      <c r="B9333" s="5" t="s">
        <v>18532</v>
      </c>
      <c r="C9333" s="6">
        <v>542.0</v>
      </c>
      <c r="D9333" s="6">
        <v>1.8</v>
      </c>
      <c r="E9333" s="6">
        <v>5.0</v>
      </c>
    </row>
    <row r="9334">
      <c r="A9334" s="4" t="s">
        <v>18533</v>
      </c>
      <c r="B9334" s="5" t="s">
        <v>18534</v>
      </c>
      <c r="C9334" s="6">
        <v>541.0</v>
      </c>
      <c r="D9334" s="6">
        <v>5.0</v>
      </c>
      <c r="E9334" s="6">
        <v>3.0</v>
      </c>
    </row>
    <row r="9335">
      <c r="A9335" s="4" t="s">
        <v>18535</v>
      </c>
      <c r="B9335" s="5" t="s">
        <v>18536</v>
      </c>
      <c r="C9335" s="6">
        <v>541.0</v>
      </c>
      <c r="D9335" s="6">
        <v>2.473684211</v>
      </c>
      <c r="E9335" s="6">
        <v>19.0</v>
      </c>
    </row>
    <row r="9336">
      <c r="A9336" s="4" t="s">
        <v>18537</v>
      </c>
      <c r="B9336" s="5" t="s">
        <v>18538</v>
      </c>
      <c r="C9336" s="6">
        <v>540.0</v>
      </c>
      <c r="D9336" s="6">
        <v>4.125</v>
      </c>
      <c r="E9336" s="6">
        <v>8.0</v>
      </c>
    </row>
    <row r="9337">
      <c r="A9337" s="4" t="s">
        <v>18539</v>
      </c>
      <c r="B9337" s="5" t="s">
        <v>18540</v>
      </c>
      <c r="C9337" s="6">
        <v>540.0</v>
      </c>
      <c r="D9337" s="6">
        <v>4.625</v>
      </c>
      <c r="E9337" s="6">
        <v>40.0</v>
      </c>
    </row>
    <row r="9338">
      <c r="A9338" s="4" t="s">
        <v>18541</v>
      </c>
      <c r="B9338" s="5" t="s">
        <v>18542</v>
      </c>
      <c r="C9338" s="6">
        <v>540.0</v>
      </c>
      <c r="D9338" s="6">
        <v>5.0</v>
      </c>
      <c r="E9338" s="6">
        <v>9.0</v>
      </c>
    </row>
    <row r="9339">
      <c r="A9339" s="4" t="s">
        <v>18543</v>
      </c>
      <c r="B9339" s="5" t="s">
        <v>18544</v>
      </c>
      <c r="C9339" s="6">
        <v>540.0</v>
      </c>
      <c r="D9339" s="6">
        <v>4.5</v>
      </c>
      <c r="E9339" s="6">
        <v>22.0</v>
      </c>
    </row>
    <row r="9340">
      <c r="A9340" s="4" t="s">
        <v>18545</v>
      </c>
      <c r="B9340" s="5" t="s">
        <v>18546</v>
      </c>
      <c r="C9340" s="6">
        <v>540.0</v>
      </c>
      <c r="D9340" s="6">
        <v>5.0</v>
      </c>
      <c r="E9340" s="6">
        <v>2.0</v>
      </c>
    </row>
    <row r="9341">
      <c r="A9341" s="4" t="s">
        <v>18547</v>
      </c>
      <c r="B9341" s="5" t="s">
        <v>18548</v>
      </c>
      <c r="C9341" s="6">
        <v>540.0</v>
      </c>
      <c r="D9341" s="6">
        <v>4.666666667</v>
      </c>
      <c r="E9341" s="6">
        <v>6.0</v>
      </c>
    </row>
    <row r="9342">
      <c r="A9342" s="4" t="s">
        <v>18549</v>
      </c>
      <c r="B9342" s="5" t="s">
        <v>18550</v>
      </c>
      <c r="C9342" s="6">
        <v>540.0</v>
      </c>
      <c r="D9342" s="6">
        <v>4.4</v>
      </c>
      <c r="E9342" s="6">
        <v>5.0</v>
      </c>
    </row>
    <row r="9343">
      <c r="A9343" s="4" t="s">
        <v>18551</v>
      </c>
      <c r="B9343" s="5" t="s">
        <v>18552</v>
      </c>
      <c r="C9343" s="6">
        <v>540.0</v>
      </c>
      <c r="D9343" s="9"/>
      <c r="E9343" s="9"/>
    </row>
    <row r="9344">
      <c r="A9344" s="4" t="s">
        <v>18553</v>
      </c>
      <c r="B9344" s="5" t="s">
        <v>18554</v>
      </c>
      <c r="C9344" s="6">
        <v>540.0</v>
      </c>
      <c r="D9344" s="6">
        <v>3.0</v>
      </c>
      <c r="E9344" s="6">
        <v>2.0</v>
      </c>
    </row>
    <row r="9345">
      <c r="A9345" s="4" t="s">
        <v>18555</v>
      </c>
      <c r="B9345" s="5" t="s">
        <v>18556</v>
      </c>
      <c r="C9345" s="6">
        <v>540.0</v>
      </c>
      <c r="D9345" s="9"/>
      <c r="E9345" s="9"/>
    </row>
    <row r="9346">
      <c r="A9346" s="4" t="s">
        <v>18557</v>
      </c>
      <c r="B9346" s="5" t="s">
        <v>18558</v>
      </c>
      <c r="C9346" s="6">
        <v>540.0</v>
      </c>
      <c r="D9346" s="6">
        <v>4.375</v>
      </c>
      <c r="E9346" s="6">
        <v>8.0</v>
      </c>
    </row>
    <row r="9347">
      <c r="A9347" s="4" t="s">
        <v>18559</v>
      </c>
      <c r="B9347" s="5" t="s">
        <v>18560</v>
      </c>
      <c r="C9347" s="6">
        <v>539.0</v>
      </c>
      <c r="D9347" s="6">
        <v>4.4</v>
      </c>
      <c r="E9347" s="6">
        <v>5.0</v>
      </c>
    </row>
    <row r="9348">
      <c r="A9348" s="4" t="s">
        <v>18561</v>
      </c>
      <c r="B9348" s="5" t="s">
        <v>18562</v>
      </c>
      <c r="C9348" s="6">
        <v>539.0</v>
      </c>
      <c r="D9348" s="6">
        <v>5.0</v>
      </c>
      <c r="E9348" s="6">
        <v>4.0</v>
      </c>
    </row>
    <row r="9349">
      <c r="A9349" s="4" t="s">
        <v>18563</v>
      </c>
      <c r="B9349" s="5" t="s">
        <v>18564</v>
      </c>
      <c r="C9349" s="6">
        <v>539.0</v>
      </c>
      <c r="D9349" s="6">
        <v>2.769230769</v>
      </c>
      <c r="E9349" s="6">
        <v>13.0</v>
      </c>
    </row>
    <row r="9350">
      <c r="A9350" s="4" t="s">
        <v>18565</v>
      </c>
      <c r="B9350" s="5" t="s">
        <v>18566</v>
      </c>
      <c r="C9350" s="6">
        <v>539.0</v>
      </c>
      <c r="D9350" s="6">
        <v>4.833333333</v>
      </c>
      <c r="E9350" s="6">
        <v>6.0</v>
      </c>
    </row>
    <row r="9351">
      <c r="A9351" s="4" t="s">
        <v>18567</v>
      </c>
      <c r="B9351" s="5" t="s">
        <v>18568</v>
      </c>
      <c r="C9351" s="6">
        <v>539.0</v>
      </c>
      <c r="D9351" s="6">
        <v>3.166666667</v>
      </c>
      <c r="E9351" s="6">
        <v>6.0</v>
      </c>
    </row>
    <row r="9352">
      <c r="A9352" s="4" t="s">
        <v>18569</v>
      </c>
      <c r="B9352" s="5" t="s">
        <v>18570</v>
      </c>
      <c r="C9352" s="6">
        <v>538.0</v>
      </c>
      <c r="D9352" s="6">
        <v>5.0</v>
      </c>
      <c r="E9352" s="6">
        <v>6.0</v>
      </c>
    </row>
    <row r="9353">
      <c r="A9353" s="4" t="s">
        <v>18571</v>
      </c>
      <c r="B9353" s="5" t="s">
        <v>18572</v>
      </c>
      <c r="C9353" s="6">
        <v>538.0</v>
      </c>
      <c r="D9353" s="6">
        <v>1.0</v>
      </c>
      <c r="E9353" s="6">
        <v>1.0</v>
      </c>
    </row>
    <row r="9354">
      <c r="A9354" s="4" t="s">
        <v>18573</v>
      </c>
      <c r="B9354" s="5" t="s">
        <v>18574</v>
      </c>
      <c r="C9354" s="6">
        <v>538.0</v>
      </c>
      <c r="D9354" s="6">
        <v>3.375</v>
      </c>
      <c r="E9354" s="6">
        <v>8.0</v>
      </c>
    </row>
    <row r="9355">
      <c r="A9355" s="4" t="s">
        <v>18575</v>
      </c>
      <c r="B9355" s="5" t="s">
        <v>18576</v>
      </c>
      <c r="C9355" s="6">
        <v>538.0</v>
      </c>
      <c r="D9355" s="9"/>
      <c r="E9355" s="9"/>
    </row>
    <row r="9356">
      <c r="A9356" s="4" t="s">
        <v>18577</v>
      </c>
      <c r="B9356" s="5" t="s">
        <v>18578</v>
      </c>
      <c r="C9356" s="6">
        <v>538.0</v>
      </c>
      <c r="D9356" s="6">
        <v>4.5</v>
      </c>
      <c r="E9356" s="6">
        <v>30.0</v>
      </c>
    </row>
    <row r="9357">
      <c r="A9357" s="4" t="s">
        <v>18579</v>
      </c>
      <c r="B9357" s="5" t="s">
        <v>18580</v>
      </c>
      <c r="C9357" s="6">
        <v>538.0</v>
      </c>
      <c r="D9357" s="6">
        <v>5.0</v>
      </c>
      <c r="E9357" s="6">
        <v>1.0</v>
      </c>
    </row>
    <row r="9358">
      <c r="A9358" s="4" t="s">
        <v>18581</v>
      </c>
      <c r="B9358" s="5" t="s">
        <v>18582</v>
      </c>
      <c r="C9358" s="6">
        <v>538.0</v>
      </c>
      <c r="D9358" s="6">
        <v>5.0</v>
      </c>
      <c r="E9358" s="6">
        <v>2.0</v>
      </c>
    </row>
    <row r="9359">
      <c r="A9359" s="4" t="s">
        <v>18583</v>
      </c>
      <c r="B9359" s="5" t="s">
        <v>18584</v>
      </c>
      <c r="C9359" s="6">
        <v>538.0</v>
      </c>
      <c r="D9359" s="6">
        <v>5.0</v>
      </c>
      <c r="E9359" s="6">
        <v>6.0</v>
      </c>
    </row>
    <row r="9360">
      <c r="A9360" s="4" t="s">
        <v>18585</v>
      </c>
      <c r="B9360" s="5" t="s">
        <v>18586</v>
      </c>
      <c r="C9360" s="6">
        <v>538.0</v>
      </c>
      <c r="D9360" s="6">
        <v>4.666666667</v>
      </c>
      <c r="E9360" s="6">
        <v>3.0</v>
      </c>
    </row>
    <row r="9361">
      <c r="A9361" s="4" t="s">
        <v>773</v>
      </c>
      <c r="B9361" s="5" t="s">
        <v>18587</v>
      </c>
      <c r="C9361" s="6">
        <v>538.0</v>
      </c>
      <c r="D9361" s="6">
        <v>3.666666667</v>
      </c>
      <c r="E9361" s="6">
        <v>3.0</v>
      </c>
    </row>
    <row r="9362">
      <c r="A9362" s="4" t="s">
        <v>18588</v>
      </c>
      <c r="B9362" s="5" t="s">
        <v>18589</v>
      </c>
      <c r="C9362" s="6">
        <v>538.0</v>
      </c>
      <c r="D9362" s="6">
        <v>4.857142857</v>
      </c>
      <c r="E9362" s="6">
        <v>7.0</v>
      </c>
    </row>
    <row r="9363">
      <c r="A9363" s="4" t="s">
        <v>18590</v>
      </c>
      <c r="B9363" s="5" t="s">
        <v>18591</v>
      </c>
      <c r="C9363" s="6">
        <v>537.0</v>
      </c>
      <c r="D9363" s="6">
        <v>4.208333333</v>
      </c>
      <c r="E9363" s="6">
        <v>24.0</v>
      </c>
    </row>
    <row r="9364">
      <c r="A9364" s="4" t="s">
        <v>18592</v>
      </c>
      <c r="B9364" s="5" t="s">
        <v>18593</v>
      </c>
      <c r="C9364" s="6">
        <v>537.0</v>
      </c>
      <c r="D9364" s="6">
        <v>4.428571429</v>
      </c>
      <c r="E9364" s="6">
        <v>7.0</v>
      </c>
    </row>
    <row r="9365">
      <c r="A9365" s="4" t="s">
        <v>18594</v>
      </c>
      <c r="B9365" s="5" t="s">
        <v>18595</v>
      </c>
      <c r="C9365" s="6">
        <v>537.0</v>
      </c>
      <c r="D9365" s="6">
        <v>4.153846154</v>
      </c>
      <c r="E9365" s="6">
        <v>26.0</v>
      </c>
    </row>
    <row r="9366">
      <c r="A9366" s="4" t="s">
        <v>18596</v>
      </c>
      <c r="B9366" s="5" t="s">
        <v>18597</v>
      </c>
      <c r="C9366" s="6">
        <v>537.0</v>
      </c>
      <c r="D9366" s="6">
        <v>3.5</v>
      </c>
      <c r="E9366" s="6">
        <v>8.0</v>
      </c>
    </row>
    <row r="9367">
      <c r="A9367" s="4" t="s">
        <v>4830</v>
      </c>
      <c r="B9367" s="5" t="s">
        <v>18598</v>
      </c>
      <c r="C9367" s="6">
        <v>537.0</v>
      </c>
      <c r="D9367" s="6">
        <v>3.0</v>
      </c>
      <c r="E9367" s="6">
        <v>7.0</v>
      </c>
    </row>
    <row r="9368">
      <c r="A9368" s="4" t="s">
        <v>18599</v>
      </c>
      <c r="B9368" s="5" t="s">
        <v>18600</v>
      </c>
      <c r="C9368" s="6">
        <v>537.0</v>
      </c>
      <c r="D9368" s="6">
        <v>4.222222222</v>
      </c>
      <c r="E9368" s="6">
        <v>9.0</v>
      </c>
    </row>
    <row r="9369">
      <c r="A9369" s="4" t="s">
        <v>18601</v>
      </c>
      <c r="B9369" s="5" t="s">
        <v>18602</v>
      </c>
      <c r="C9369" s="6">
        <v>537.0</v>
      </c>
      <c r="D9369" s="6">
        <v>5.0</v>
      </c>
      <c r="E9369" s="6">
        <v>5.0</v>
      </c>
    </row>
    <row r="9370">
      <c r="A9370" s="4" t="s">
        <v>18603</v>
      </c>
      <c r="B9370" s="5" t="s">
        <v>18604</v>
      </c>
      <c r="C9370" s="6">
        <v>537.0</v>
      </c>
      <c r="D9370" s="6">
        <v>4.8</v>
      </c>
      <c r="E9370" s="6">
        <v>10.0</v>
      </c>
    </row>
    <row r="9371">
      <c r="A9371" s="4" t="s">
        <v>18605</v>
      </c>
      <c r="B9371" s="5" t="s">
        <v>18606</v>
      </c>
      <c r="C9371" s="6">
        <v>537.0</v>
      </c>
      <c r="D9371" s="6">
        <v>4.933333333</v>
      </c>
      <c r="E9371" s="6">
        <v>15.0</v>
      </c>
    </row>
    <row r="9372">
      <c r="A9372" s="4" t="s">
        <v>18607</v>
      </c>
      <c r="B9372" s="5" t="s">
        <v>18608</v>
      </c>
      <c r="C9372" s="6">
        <v>537.0</v>
      </c>
      <c r="D9372" s="9"/>
      <c r="E9372" s="9"/>
    </row>
    <row r="9373">
      <c r="A9373" s="4" t="s">
        <v>18609</v>
      </c>
      <c r="B9373" s="5" t="s">
        <v>18610</v>
      </c>
      <c r="C9373" s="6">
        <v>537.0</v>
      </c>
      <c r="D9373" s="6">
        <v>4.0</v>
      </c>
      <c r="E9373" s="6">
        <v>9.0</v>
      </c>
    </row>
    <row r="9374">
      <c r="A9374" s="4" t="s">
        <v>18611</v>
      </c>
      <c r="B9374" s="5" t="s">
        <v>18612</v>
      </c>
      <c r="C9374" s="6">
        <v>536.0</v>
      </c>
      <c r="D9374" s="6">
        <v>4.4</v>
      </c>
      <c r="E9374" s="6">
        <v>5.0</v>
      </c>
    </row>
    <row r="9375">
      <c r="A9375" s="4" t="s">
        <v>18613</v>
      </c>
      <c r="B9375" s="5" t="s">
        <v>18614</v>
      </c>
      <c r="C9375" s="6">
        <v>536.0</v>
      </c>
      <c r="D9375" s="6">
        <v>3.454545455</v>
      </c>
      <c r="E9375" s="6">
        <v>11.0</v>
      </c>
    </row>
    <row r="9376">
      <c r="A9376" s="4" t="s">
        <v>18615</v>
      </c>
      <c r="B9376" s="5" t="s">
        <v>18616</v>
      </c>
      <c r="C9376" s="6">
        <v>536.0</v>
      </c>
      <c r="D9376" s="6">
        <v>5.0</v>
      </c>
      <c r="E9376" s="6">
        <v>6.0</v>
      </c>
    </row>
    <row r="9377">
      <c r="A9377" s="4" t="s">
        <v>18617</v>
      </c>
      <c r="B9377" s="5" t="s">
        <v>18618</v>
      </c>
      <c r="C9377" s="6">
        <v>536.0</v>
      </c>
      <c r="D9377" s="6">
        <v>4.272727273</v>
      </c>
      <c r="E9377" s="6">
        <v>99.0</v>
      </c>
    </row>
    <row r="9378">
      <c r="A9378" s="4" t="s">
        <v>18619</v>
      </c>
      <c r="B9378" s="5" t="s">
        <v>18620</v>
      </c>
      <c r="C9378" s="6">
        <v>536.0</v>
      </c>
      <c r="D9378" s="9"/>
      <c r="E9378" s="9"/>
    </row>
    <row r="9379">
      <c r="A9379" s="4" t="s">
        <v>18621</v>
      </c>
      <c r="B9379" s="5" t="s">
        <v>18622</v>
      </c>
      <c r="C9379" s="6">
        <v>536.0</v>
      </c>
      <c r="D9379" s="6">
        <v>5.0</v>
      </c>
      <c r="E9379" s="6">
        <v>4.0</v>
      </c>
    </row>
    <row r="9380">
      <c r="A9380" s="4" t="s">
        <v>18623</v>
      </c>
      <c r="B9380" s="5" t="s">
        <v>18624</v>
      </c>
      <c r="C9380" s="6">
        <v>536.0</v>
      </c>
      <c r="D9380" s="6">
        <v>5.0</v>
      </c>
      <c r="E9380" s="6">
        <v>1.0</v>
      </c>
    </row>
    <row r="9381">
      <c r="A9381" s="4" t="s">
        <v>18625</v>
      </c>
      <c r="B9381" s="5" t="s">
        <v>18626</v>
      </c>
      <c r="C9381" s="6">
        <v>535.0</v>
      </c>
      <c r="D9381" s="6">
        <v>2.666666667</v>
      </c>
      <c r="E9381" s="6">
        <v>3.0</v>
      </c>
    </row>
    <row r="9382">
      <c r="A9382" s="4" t="s">
        <v>18627</v>
      </c>
      <c r="B9382" s="5" t="s">
        <v>18628</v>
      </c>
      <c r="C9382" s="6">
        <v>535.0</v>
      </c>
      <c r="D9382" s="6">
        <v>5.0</v>
      </c>
      <c r="E9382" s="6">
        <v>1.0</v>
      </c>
    </row>
    <row r="9383">
      <c r="A9383" s="4" t="s">
        <v>18629</v>
      </c>
      <c r="B9383" s="5" t="s">
        <v>18630</v>
      </c>
      <c r="C9383" s="6">
        <v>535.0</v>
      </c>
      <c r="D9383" s="6">
        <v>5.0</v>
      </c>
      <c r="E9383" s="6">
        <v>1.0</v>
      </c>
    </row>
    <row r="9384">
      <c r="A9384" s="4" t="s">
        <v>18631</v>
      </c>
      <c r="B9384" s="5" t="s">
        <v>18632</v>
      </c>
      <c r="C9384" s="6">
        <v>535.0</v>
      </c>
      <c r="D9384" s="6">
        <v>3.111111111</v>
      </c>
      <c r="E9384" s="6">
        <v>9.0</v>
      </c>
    </row>
    <row r="9385">
      <c r="A9385" s="4" t="s">
        <v>18633</v>
      </c>
      <c r="B9385" s="12" t="s">
        <v>18634</v>
      </c>
      <c r="C9385" s="6">
        <v>535.0</v>
      </c>
      <c r="D9385" s="6">
        <v>1.7</v>
      </c>
      <c r="E9385" s="6">
        <v>12.0</v>
      </c>
    </row>
    <row r="9386">
      <c r="A9386" s="4" t="s">
        <v>18635</v>
      </c>
      <c r="B9386" s="5" t="s">
        <v>18636</v>
      </c>
      <c r="C9386" s="6">
        <v>534.0</v>
      </c>
      <c r="D9386" s="6">
        <v>4.666666667</v>
      </c>
      <c r="E9386" s="6">
        <v>3.0</v>
      </c>
    </row>
    <row r="9387">
      <c r="A9387" s="4" t="s">
        <v>18637</v>
      </c>
      <c r="B9387" s="5" t="s">
        <v>18638</v>
      </c>
      <c r="C9387" s="6">
        <v>534.0</v>
      </c>
      <c r="D9387" s="6">
        <v>5.0</v>
      </c>
      <c r="E9387" s="6">
        <v>6.0</v>
      </c>
    </row>
    <row r="9388">
      <c r="A9388" s="4" t="s">
        <v>18639</v>
      </c>
      <c r="B9388" s="5" t="s">
        <v>18640</v>
      </c>
      <c r="C9388" s="6">
        <v>534.0</v>
      </c>
      <c r="D9388" s="9"/>
      <c r="E9388" s="9"/>
    </row>
    <row r="9389">
      <c r="A9389" s="4" t="s">
        <v>18641</v>
      </c>
      <c r="B9389" s="5" t="s">
        <v>18642</v>
      </c>
      <c r="C9389" s="6">
        <v>534.0</v>
      </c>
      <c r="D9389" s="9"/>
      <c r="E9389" s="9"/>
    </row>
    <row r="9390">
      <c r="A9390" s="4" t="s">
        <v>18643</v>
      </c>
      <c r="B9390" s="12" t="s">
        <v>18644</v>
      </c>
      <c r="C9390" s="6">
        <v>534.0</v>
      </c>
      <c r="D9390" s="6">
        <v>5.0</v>
      </c>
      <c r="E9390" s="6">
        <v>1.0</v>
      </c>
    </row>
    <row r="9391">
      <c r="A9391" s="4" t="s">
        <v>18645</v>
      </c>
      <c r="B9391" s="5" t="s">
        <v>18646</v>
      </c>
      <c r="C9391" s="6">
        <v>534.0</v>
      </c>
      <c r="D9391" s="6">
        <v>2.2</v>
      </c>
      <c r="E9391" s="6">
        <v>5.0</v>
      </c>
    </row>
    <row r="9392">
      <c r="A9392" s="4" t="s">
        <v>18647</v>
      </c>
      <c r="B9392" s="5" t="s">
        <v>18648</v>
      </c>
      <c r="C9392" s="6">
        <v>534.0</v>
      </c>
      <c r="D9392" s="6">
        <v>3.0</v>
      </c>
      <c r="E9392" s="6">
        <v>2.0</v>
      </c>
    </row>
    <row r="9393">
      <c r="A9393" s="4" t="s">
        <v>18649</v>
      </c>
      <c r="B9393" s="5" t="s">
        <v>18650</v>
      </c>
      <c r="C9393" s="6">
        <v>533.0</v>
      </c>
      <c r="D9393" s="6">
        <v>4.5</v>
      </c>
      <c r="E9393" s="6">
        <v>8.0</v>
      </c>
    </row>
    <row r="9394">
      <c r="A9394" s="4" t="s">
        <v>18651</v>
      </c>
      <c r="B9394" s="5" t="s">
        <v>18652</v>
      </c>
      <c r="C9394" s="6">
        <v>533.0</v>
      </c>
      <c r="D9394" s="6">
        <v>3.294117647</v>
      </c>
      <c r="E9394" s="6">
        <v>17.0</v>
      </c>
    </row>
    <row r="9395">
      <c r="A9395" s="4" t="s">
        <v>18653</v>
      </c>
      <c r="B9395" s="5" t="s">
        <v>18654</v>
      </c>
      <c r="C9395" s="6">
        <v>533.0</v>
      </c>
      <c r="D9395" s="6">
        <v>4.0</v>
      </c>
      <c r="E9395" s="6">
        <v>12.0</v>
      </c>
    </row>
    <row r="9396">
      <c r="A9396" s="4" t="s">
        <v>18655</v>
      </c>
      <c r="B9396" s="5" t="s">
        <v>18656</v>
      </c>
      <c r="C9396" s="6">
        <v>533.0</v>
      </c>
      <c r="D9396" s="6">
        <v>5.0</v>
      </c>
      <c r="E9396" s="6">
        <v>2.0</v>
      </c>
    </row>
    <row r="9397">
      <c r="A9397" s="4" t="s">
        <v>18657</v>
      </c>
      <c r="B9397" s="5" t="s">
        <v>18658</v>
      </c>
      <c r="C9397" s="6">
        <v>533.0</v>
      </c>
      <c r="D9397" s="6">
        <v>4.6</v>
      </c>
      <c r="E9397" s="6">
        <v>10.0</v>
      </c>
    </row>
    <row r="9398">
      <c r="A9398" s="4" t="s">
        <v>18659</v>
      </c>
      <c r="B9398" s="5" t="s">
        <v>18660</v>
      </c>
      <c r="C9398" s="6">
        <v>533.0</v>
      </c>
      <c r="D9398" s="6">
        <v>3.833333333</v>
      </c>
      <c r="E9398" s="6">
        <v>6.0</v>
      </c>
    </row>
    <row r="9399">
      <c r="A9399" s="4" t="s">
        <v>18661</v>
      </c>
      <c r="B9399" s="5" t="s">
        <v>18662</v>
      </c>
      <c r="C9399" s="6">
        <v>533.0</v>
      </c>
      <c r="D9399" s="6">
        <v>3.555555556</v>
      </c>
      <c r="E9399" s="6">
        <v>9.0</v>
      </c>
    </row>
    <row r="9400">
      <c r="A9400" s="4" t="s">
        <v>18663</v>
      </c>
      <c r="B9400" s="5" t="s">
        <v>18664</v>
      </c>
      <c r="C9400" s="6">
        <v>533.0</v>
      </c>
      <c r="D9400" s="6">
        <v>5.0</v>
      </c>
      <c r="E9400" s="6">
        <v>7.0</v>
      </c>
    </row>
    <row r="9401">
      <c r="A9401" s="4" t="s">
        <v>18665</v>
      </c>
      <c r="B9401" s="5" t="s">
        <v>18666</v>
      </c>
      <c r="C9401" s="6">
        <v>533.0</v>
      </c>
      <c r="D9401" s="9"/>
      <c r="E9401" s="9"/>
    </row>
    <row r="9402">
      <c r="A9402" s="4" t="s">
        <v>18667</v>
      </c>
      <c r="B9402" s="5" t="s">
        <v>18668</v>
      </c>
      <c r="C9402" s="6">
        <v>532.0</v>
      </c>
      <c r="D9402" s="6">
        <v>4.111111111</v>
      </c>
      <c r="E9402" s="6">
        <v>9.0</v>
      </c>
    </row>
    <row r="9403">
      <c r="A9403" s="4" t="s">
        <v>18669</v>
      </c>
      <c r="B9403" s="5" t="s">
        <v>18670</v>
      </c>
      <c r="C9403" s="6">
        <v>532.0</v>
      </c>
      <c r="D9403" s="6">
        <v>1.0</v>
      </c>
      <c r="E9403" s="6">
        <v>1.0</v>
      </c>
    </row>
    <row r="9404">
      <c r="A9404" s="4" t="s">
        <v>18671</v>
      </c>
      <c r="B9404" s="5" t="s">
        <v>18672</v>
      </c>
      <c r="C9404" s="6">
        <v>532.0</v>
      </c>
      <c r="D9404" s="6">
        <v>4.681818182</v>
      </c>
      <c r="E9404" s="6">
        <v>22.0</v>
      </c>
    </row>
    <row r="9405">
      <c r="A9405" s="4" t="s">
        <v>18673</v>
      </c>
      <c r="B9405" s="5" t="s">
        <v>18674</v>
      </c>
      <c r="C9405" s="6">
        <v>531.0</v>
      </c>
      <c r="D9405" s="6">
        <v>4.428571429</v>
      </c>
      <c r="E9405" s="6">
        <v>7.0</v>
      </c>
    </row>
    <row r="9406">
      <c r="A9406" s="4" t="s">
        <v>18675</v>
      </c>
      <c r="B9406" s="5" t="s">
        <v>18676</v>
      </c>
      <c r="C9406" s="6">
        <v>531.0</v>
      </c>
      <c r="D9406" s="6">
        <v>5.0</v>
      </c>
      <c r="E9406" s="6">
        <v>1.0</v>
      </c>
    </row>
    <row r="9407">
      <c r="A9407" s="4" t="s">
        <v>18677</v>
      </c>
      <c r="B9407" s="5" t="s">
        <v>18678</v>
      </c>
      <c r="C9407" s="6">
        <v>531.0</v>
      </c>
      <c r="D9407" s="6">
        <v>4.5</v>
      </c>
      <c r="E9407" s="6">
        <v>10.0</v>
      </c>
    </row>
    <row r="9408">
      <c r="A9408" s="4" t="s">
        <v>18679</v>
      </c>
      <c r="B9408" s="5" t="s">
        <v>18680</v>
      </c>
      <c r="C9408" s="6">
        <v>531.0</v>
      </c>
      <c r="D9408" s="6">
        <v>5.0</v>
      </c>
      <c r="E9408" s="6">
        <v>1.0</v>
      </c>
    </row>
    <row r="9409">
      <c r="A9409" s="4" t="s">
        <v>18681</v>
      </c>
      <c r="B9409" s="5" t="s">
        <v>18682</v>
      </c>
      <c r="C9409" s="6">
        <v>531.0</v>
      </c>
      <c r="D9409" s="6">
        <v>4.6</v>
      </c>
      <c r="E9409" s="6">
        <v>5.0</v>
      </c>
    </row>
    <row r="9410">
      <c r="A9410" s="4" t="s">
        <v>18683</v>
      </c>
      <c r="B9410" s="5" t="s">
        <v>18684</v>
      </c>
      <c r="C9410" s="6">
        <v>531.0</v>
      </c>
      <c r="D9410" s="6">
        <v>4.222222222</v>
      </c>
      <c r="E9410" s="6">
        <v>9.0</v>
      </c>
    </row>
    <row r="9411">
      <c r="A9411" s="4" t="s">
        <v>18685</v>
      </c>
      <c r="B9411" s="5" t="s">
        <v>18686</v>
      </c>
      <c r="C9411" s="6">
        <v>531.0</v>
      </c>
      <c r="D9411" s="6">
        <v>4.428571429</v>
      </c>
      <c r="E9411" s="6">
        <v>7.0</v>
      </c>
    </row>
    <row r="9412">
      <c r="A9412" s="4" t="s">
        <v>18687</v>
      </c>
      <c r="B9412" s="5" t="s">
        <v>18688</v>
      </c>
      <c r="C9412" s="6">
        <v>530.0</v>
      </c>
      <c r="D9412" s="6">
        <v>3.654545455</v>
      </c>
      <c r="E9412" s="6">
        <v>55.0</v>
      </c>
    </row>
    <row r="9413">
      <c r="A9413" s="4" t="s">
        <v>18689</v>
      </c>
      <c r="B9413" s="5" t="s">
        <v>18690</v>
      </c>
      <c r="C9413" s="6">
        <v>530.0</v>
      </c>
      <c r="D9413" s="6">
        <v>5.0</v>
      </c>
      <c r="E9413" s="6">
        <v>2.0</v>
      </c>
    </row>
    <row r="9414">
      <c r="A9414" s="4" t="s">
        <v>18691</v>
      </c>
      <c r="B9414" s="5" t="s">
        <v>18692</v>
      </c>
      <c r="C9414" s="6">
        <v>530.0</v>
      </c>
      <c r="D9414" s="6">
        <v>4.875</v>
      </c>
      <c r="E9414" s="6">
        <v>8.0</v>
      </c>
    </row>
    <row r="9415">
      <c r="A9415" s="4" t="s">
        <v>10420</v>
      </c>
      <c r="B9415" s="5" t="s">
        <v>18693</v>
      </c>
      <c r="C9415" s="6">
        <v>530.0</v>
      </c>
      <c r="D9415" s="6">
        <v>1.0</v>
      </c>
      <c r="E9415" s="6">
        <v>3.0</v>
      </c>
    </row>
    <row r="9416">
      <c r="A9416" s="4" t="s">
        <v>18694</v>
      </c>
      <c r="B9416" s="5" t="s">
        <v>18695</v>
      </c>
      <c r="C9416" s="6">
        <v>530.0</v>
      </c>
      <c r="D9416" s="6">
        <v>3.714285714</v>
      </c>
      <c r="E9416" s="6">
        <v>7.0</v>
      </c>
    </row>
    <row r="9417">
      <c r="A9417" s="4" t="s">
        <v>18696</v>
      </c>
      <c r="B9417" s="5" t="s">
        <v>18697</v>
      </c>
      <c r="C9417" s="6">
        <v>530.0</v>
      </c>
      <c r="D9417" s="6">
        <v>4.666666667</v>
      </c>
      <c r="E9417" s="6">
        <v>6.0</v>
      </c>
    </row>
    <row r="9418">
      <c r="A9418" s="4" t="s">
        <v>18698</v>
      </c>
      <c r="B9418" s="5" t="s">
        <v>18699</v>
      </c>
      <c r="C9418" s="6">
        <v>530.0</v>
      </c>
      <c r="D9418" s="6">
        <v>3.666666667</v>
      </c>
      <c r="E9418" s="6">
        <v>3.0</v>
      </c>
    </row>
    <row r="9419">
      <c r="A9419" s="4" t="s">
        <v>18700</v>
      </c>
      <c r="B9419" s="5" t="s">
        <v>18701</v>
      </c>
      <c r="C9419" s="6">
        <v>530.0</v>
      </c>
      <c r="D9419" s="9"/>
      <c r="E9419" s="9"/>
    </row>
    <row r="9420">
      <c r="A9420" s="4" t="s">
        <v>18702</v>
      </c>
      <c r="B9420" s="5" t="s">
        <v>18703</v>
      </c>
      <c r="C9420" s="6">
        <v>530.0</v>
      </c>
      <c r="D9420" s="6">
        <v>4.25</v>
      </c>
      <c r="E9420" s="6">
        <v>20.0</v>
      </c>
    </row>
    <row r="9421">
      <c r="A9421" s="4" t="s">
        <v>18704</v>
      </c>
      <c r="B9421" s="5" t="s">
        <v>18705</v>
      </c>
      <c r="C9421" s="6">
        <v>530.0</v>
      </c>
      <c r="D9421" s="6">
        <v>4.142857143</v>
      </c>
      <c r="E9421" s="6">
        <v>7.0</v>
      </c>
    </row>
    <row r="9422">
      <c r="A9422" s="4" t="s">
        <v>18706</v>
      </c>
      <c r="B9422" s="5" t="s">
        <v>18707</v>
      </c>
      <c r="C9422" s="6">
        <v>530.0</v>
      </c>
      <c r="D9422" s="6">
        <v>2.666666667</v>
      </c>
      <c r="E9422" s="6">
        <v>3.0</v>
      </c>
    </row>
    <row r="9423">
      <c r="A9423" s="4" t="s">
        <v>18708</v>
      </c>
      <c r="B9423" s="5" t="s">
        <v>18709</v>
      </c>
      <c r="C9423" s="6">
        <v>530.0</v>
      </c>
      <c r="D9423" s="6">
        <v>5.0</v>
      </c>
      <c r="E9423" s="6">
        <v>1.0</v>
      </c>
    </row>
    <row r="9424">
      <c r="A9424" s="4" t="s">
        <v>18710</v>
      </c>
      <c r="B9424" s="5" t="s">
        <v>18711</v>
      </c>
      <c r="C9424" s="6">
        <v>530.0</v>
      </c>
      <c r="D9424" s="9"/>
      <c r="E9424" s="9"/>
    </row>
    <row r="9425">
      <c r="A9425" s="4" t="s">
        <v>18712</v>
      </c>
      <c r="B9425" s="5" t="s">
        <v>18713</v>
      </c>
      <c r="C9425" s="6">
        <v>530.0</v>
      </c>
      <c r="D9425" s="6">
        <v>3.0</v>
      </c>
      <c r="E9425" s="6">
        <v>2.0</v>
      </c>
    </row>
    <row r="9426">
      <c r="A9426" s="4" t="s">
        <v>18714</v>
      </c>
      <c r="B9426" s="5" t="s">
        <v>18715</v>
      </c>
      <c r="C9426" s="6">
        <v>529.0</v>
      </c>
      <c r="D9426" s="6">
        <v>4.0</v>
      </c>
      <c r="E9426" s="6">
        <v>3.0</v>
      </c>
    </row>
    <row r="9427">
      <c r="A9427" s="4" t="s">
        <v>18716</v>
      </c>
      <c r="B9427" s="5" t="s">
        <v>18717</v>
      </c>
      <c r="C9427" s="6">
        <v>529.0</v>
      </c>
      <c r="D9427" s="6">
        <v>2.5</v>
      </c>
      <c r="E9427" s="6">
        <v>2.0</v>
      </c>
    </row>
    <row r="9428">
      <c r="A9428" s="4" t="s">
        <v>18718</v>
      </c>
      <c r="B9428" s="5" t="s">
        <v>18719</v>
      </c>
      <c r="C9428" s="6">
        <v>529.0</v>
      </c>
      <c r="D9428" s="6">
        <v>5.0</v>
      </c>
      <c r="E9428" s="6">
        <v>2.0</v>
      </c>
    </row>
    <row r="9429">
      <c r="A9429" s="4" t="s">
        <v>18720</v>
      </c>
      <c r="B9429" s="5" t="s">
        <v>18721</v>
      </c>
      <c r="C9429" s="6">
        <v>529.0</v>
      </c>
      <c r="D9429" s="6">
        <v>1.5</v>
      </c>
      <c r="E9429" s="6">
        <v>4.0</v>
      </c>
    </row>
    <row r="9430">
      <c r="A9430" s="4" t="s">
        <v>18722</v>
      </c>
      <c r="B9430" s="5" t="s">
        <v>18723</v>
      </c>
      <c r="C9430" s="6">
        <v>529.0</v>
      </c>
      <c r="D9430" s="6">
        <v>2.8</v>
      </c>
      <c r="E9430" s="6">
        <v>5.0</v>
      </c>
    </row>
    <row r="9431">
      <c r="A9431" s="4" t="s">
        <v>18724</v>
      </c>
      <c r="B9431" s="5" t="s">
        <v>18725</v>
      </c>
      <c r="C9431" s="6">
        <v>529.0</v>
      </c>
      <c r="D9431" s="6">
        <v>4.0</v>
      </c>
      <c r="E9431" s="6">
        <v>10.0</v>
      </c>
    </row>
    <row r="9432">
      <c r="A9432" s="4" t="s">
        <v>18726</v>
      </c>
      <c r="B9432" s="5" t="s">
        <v>18727</v>
      </c>
      <c r="C9432" s="6">
        <v>529.0</v>
      </c>
      <c r="D9432" s="6">
        <v>4.5</v>
      </c>
      <c r="E9432" s="6">
        <v>10.0</v>
      </c>
    </row>
    <row r="9433">
      <c r="A9433" s="4" t="s">
        <v>18728</v>
      </c>
      <c r="B9433" s="5" t="s">
        <v>18729</v>
      </c>
      <c r="C9433" s="6">
        <v>528.0</v>
      </c>
      <c r="D9433" s="6">
        <v>5.0</v>
      </c>
      <c r="E9433" s="6">
        <v>7.0</v>
      </c>
    </row>
    <row r="9434">
      <c r="A9434" s="4" t="s">
        <v>18730</v>
      </c>
      <c r="B9434" s="5" t="s">
        <v>18731</v>
      </c>
      <c r="C9434" s="6">
        <v>528.0</v>
      </c>
      <c r="D9434" s="6">
        <v>3.875</v>
      </c>
      <c r="E9434" s="6">
        <v>8.0</v>
      </c>
    </row>
    <row r="9435">
      <c r="A9435" s="4" t="s">
        <v>18732</v>
      </c>
      <c r="B9435" s="5" t="s">
        <v>18733</v>
      </c>
      <c r="C9435" s="6">
        <v>528.0</v>
      </c>
      <c r="D9435" s="6">
        <v>4.75</v>
      </c>
      <c r="E9435" s="6">
        <v>8.0</v>
      </c>
    </row>
    <row r="9436">
      <c r="A9436" s="4" t="s">
        <v>18734</v>
      </c>
      <c r="B9436" s="5" t="s">
        <v>18735</v>
      </c>
      <c r="C9436" s="6">
        <v>528.0</v>
      </c>
      <c r="D9436" s="6">
        <v>5.0</v>
      </c>
      <c r="E9436" s="6">
        <v>82.0</v>
      </c>
    </row>
    <row r="9437">
      <c r="A9437" s="4" t="s">
        <v>18736</v>
      </c>
      <c r="B9437" s="5" t="s">
        <v>18737</v>
      </c>
      <c r="C9437" s="6">
        <v>528.0</v>
      </c>
      <c r="D9437" s="6">
        <v>4.25</v>
      </c>
      <c r="E9437" s="6">
        <v>4.0</v>
      </c>
    </row>
    <row r="9438">
      <c r="A9438" s="4" t="s">
        <v>18738</v>
      </c>
      <c r="B9438" s="5" t="s">
        <v>18739</v>
      </c>
      <c r="C9438" s="6">
        <v>528.0</v>
      </c>
      <c r="D9438" s="9"/>
      <c r="E9438" s="9"/>
    </row>
    <row r="9439">
      <c r="A9439" s="4" t="s">
        <v>18740</v>
      </c>
      <c r="B9439" s="5" t="s">
        <v>18741</v>
      </c>
      <c r="C9439" s="6">
        <v>528.0</v>
      </c>
      <c r="D9439" s="6">
        <v>5.0</v>
      </c>
      <c r="E9439" s="6">
        <v>6.0</v>
      </c>
    </row>
    <row r="9440">
      <c r="A9440" s="4" t="s">
        <v>18742</v>
      </c>
      <c r="B9440" s="5" t="s">
        <v>18743</v>
      </c>
      <c r="C9440" s="6">
        <v>528.0</v>
      </c>
      <c r="D9440" s="6">
        <v>3.222222222</v>
      </c>
      <c r="E9440" s="6">
        <v>18.0</v>
      </c>
    </row>
    <row r="9441">
      <c r="A9441" s="4" t="s">
        <v>18744</v>
      </c>
      <c r="B9441" s="5" t="s">
        <v>18745</v>
      </c>
      <c r="C9441" s="6">
        <v>528.0</v>
      </c>
      <c r="D9441" s="6">
        <v>3.4375</v>
      </c>
      <c r="E9441" s="6">
        <v>16.0</v>
      </c>
    </row>
    <row r="9442">
      <c r="A9442" s="4" t="s">
        <v>18746</v>
      </c>
      <c r="B9442" s="5" t="s">
        <v>18747</v>
      </c>
      <c r="C9442" s="6">
        <v>527.0</v>
      </c>
      <c r="D9442" s="6">
        <v>4.0</v>
      </c>
      <c r="E9442" s="6">
        <v>6.0</v>
      </c>
    </row>
    <row r="9443">
      <c r="A9443" s="4" t="s">
        <v>18748</v>
      </c>
      <c r="B9443" s="5" t="s">
        <v>18749</v>
      </c>
      <c r="C9443" s="6">
        <v>527.0</v>
      </c>
      <c r="D9443" s="9"/>
      <c r="E9443" s="9"/>
    </row>
    <row r="9444">
      <c r="A9444" s="4" t="s">
        <v>18750</v>
      </c>
      <c r="B9444" s="5" t="s">
        <v>18751</v>
      </c>
      <c r="C9444" s="6">
        <v>527.0</v>
      </c>
      <c r="D9444" s="6">
        <v>3.238095238</v>
      </c>
      <c r="E9444" s="6">
        <v>21.0</v>
      </c>
    </row>
    <row r="9445">
      <c r="A9445" s="4" t="s">
        <v>18752</v>
      </c>
      <c r="B9445" s="5" t="s">
        <v>18753</v>
      </c>
      <c r="C9445" s="6">
        <v>527.0</v>
      </c>
      <c r="D9445" s="6">
        <v>4.666666667</v>
      </c>
      <c r="E9445" s="6">
        <v>3.0</v>
      </c>
    </row>
    <row r="9446">
      <c r="A9446" s="4" t="s">
        <v>227</v>
      </c>
      <c r="B9446" s="5" t="s">
        <v>18754</v>
      </c>
      <c r="C9446" s="6">
        <v>527.0</v>
      </c>
      <c r="D9446" s="6">
        <v>4.205479452</v>
      </c>
      <c r="E9446" s="6">
        <v>73.0</v>
      </c>
    </row>
    <row r="9447">
      <c r="A9447" s="4" t="s">
        <v>18755</v>
      </c>
      <c r="B9447" s="5" t="s">
        <v>18756</v>
      </c>
      <c r="C9447" s="6">
        <v>527.0</v>
      </c>
      <c r="D9447" s="6">
        <v>1.555555556</v>
      </c>
      <c r="E9447" s="6">
        <v>9.0</v>
      </c>
    </row>
    <row r="9448">
      <c r="A9448" s="4" t="s">
        <v>18757</v>
      </c>
      <c r="B9448" s="5" t="s">
        <v>18758</v>
      </c>
      <c r="C9448" s="6">
        <v>527.0</v>
      </c>
      <c r="D9448" s="6">
        <v>4.0</v>
      </c>
      <c r="E9448" s="6">
        <v>2.0</v>
      </c>
    </row>
    <row r="9449">
      <c r="A9449" s="4" t="s">
        <v>18759</v>
      </c>
      <c r="B9449" s="5" t="s">
        <v>18760</v>
      </c>
      <c r="C9449" s="6">
        <v>526.0</v>
      </c>
      <c r="D9449" s="9"/>
      <c r="E9449" s="9"/>
    </row>
    <row r="9450">
      <c r="A9450" s="4" t="s">
        <v>18761</v>
      </c>
      <c r="B9450" s="5" t="s">
        <v>18762</v>
      </c>
      <c r="C9450" s="6">
        <v>526.0</v>
      </c>
      <c r="D9450" s="9"/>
      <c r="E9450" s="9"/>
    </row>
    <row r="9451">
      <c r="A9451" s="4" t="s">
        <v>18763</v>
      </c>
      <c r="B9451" s="5" t="s">
        <v>18764</v>
      </c>
      <c r="C9451" s="6">
        <v>526.0</v>
      </c>
      <c r="D9451" s="6">
        <v>4.5</v>
      </c>
      <c r="E9451" s="6">
        <v>2.0</v>
      </c>
    </row>
    <row r="9452">
      <c r="A9452" s="4" t="s">
        <v>18765</v>
      </c>
      <c r="B9452" s="5" t="s">
        <v>18766</v>
      </c>
      <c r="C9452" s="6">
        <v>526.0</v>
      </c>
      <c r="D9452" s="6">
        <v>4.156626506</v>
      </c>
      <c r="E9452" s="6">
        <v>83.0</v>
      </c>
    </row>
    <row r="9453">
      <c r="A9453" s="4" t="s">
        <v>18767</v>
      </c>
      <c r="B9453" s="5" t="s">
        <v>18768</v>
      </c>
      <c r="C9453" s="6">
        <v>526.0</v>
      </c>
      <c r="D9453" s="6">
        <v>2.689655172</v>
      </c>
      <c r="E9453" s="6">
        <v>29.0</v>
      </c>
    </row>
    <row r="9454">
      <c r="A9454" s="4" t="s">
        <v>18769</v>
      </c>
      <c r="B9454" s="5" t="s">
        <v>18770</v>
      </c>
      <c r="C9454" s="6">
        <v>526.0</v>
      </c>
      <c r="D9454" s="6">
        <v>4.647058824</v>
      </c>
      <c r="E9454" s="6">
        <v>17.0</v>
      </c>
    </row>
    <row r="9455">
      <c r="A9455" s="4" t="s">
        <v>18771</v>
      </c>
      <c r="B9455" s="5" t="s">
        <v>18772</v>
      </c>
      <c r="C9455" s="6">
        <v>526.0</v>
      </c>
      <c r="D9455" s="6">
        <v>5.0</v>
      </c>
      <c r="E9455" s="6">
        <v>2.0</v>
      </c>
    </row>
    <row r="9456">
      <c r="A9456" s="4" t="s">
        <v>18773</v>
      </c>
      <c r="B9456" s="5" t="s">
        <v>18774</v>
      </c>
      <c r="C9456" s="6">
        <v>526.0</v>
      </c>
      <c r="D9456" s="6">
        <v>4.282608696</v>
      </c>
      <c r="E9456" s="6">
        <v>46.0</v>
      </c>
    </row>
    <row r="9457">
      <c r="A9457" s="4" t="s">
        <v>18775</v>
      </c>
      <c r="B9457" s="5" t="s">
        <v>18776</v>
      </c>
      <c r="C9457" s="6">
        <v>526.0</v>
      </c>
      <c r="D9457" s="6">
        <v>2.0</v>
      </c>
      <c r="E9457" s="6">
        <v>4.0</v>
      </c>
    </row>
    <row r="9458">
      <c r="A9458" s="4" t="s">
        <v>18777</v>
      </c>
      <c r="B9458" s="5" t="s">
        <v>18778</v>
      </c>
      <c r="C9458" s="6">
        <v>526.0</v>
      </c>
      <c r="D9458" s="6">
        <v>4.666666667</v>
      </c>
      <c r="E9458" s="6">
        <v>3.0</v>
      </c>
    </row>
    <row r="9459">
      <c r="A9459" s="4" t="s">
        <v>12548</v>
      </c>
      <c r="B9459" s="5" t="s">
        <v>18779</v>
      </c>
      <c r="C9459" s="6">
        <v>526.0</v>
      </c>
      <c r="D9459" s="6">
        <v>3.5</v>
      </c>
      <c r="E9459" s="6">
        <v>2.0</v>
      </c>
    </row>
    <row r="9460">
      <c r="A9460" s="4" t="s">
        <v>18780</v>
      </c>
      <c r="B9460" s="5" t="s">
        <v>18781</v>
      </c>
      <c r="C9460" s="6">
        <v>526.0</v>
      </c>
      <c r="D9460" s="6">
        <v>3.318181818</v>
      </c>
      <c r="E9460" s="6">
        <v>22.0</v>
      </c>
    </row>
    <row r="9461">
      <c r="A9461" s="4" t="s">
        <v>18782</v>
      </c>
      <c r="B9461" s="5" t="s">
        <v>18783</v>
      </c>
      <c r="C9461" s="6">
        <v>526.0</v>
      </c>
      <c r="D9461" s="6">
        <v>5.0</v>
      </c>
      <c r="E9461" s="6">
        <v>3.0</v>
      </c>
    </row>
    <row r="9462">
      <c r="A9462" s="4" t="s">
        <v>18784</v>
      </c>
      <c r="B9462" s="5" t="s">
        <v>18785</v>
      </c>
      <c r="C9462" s="6">
        <v>525.0</v>
      </c>
      <c r="D9462" s="6">
        <v>2.75</v>
      </c>
      <c r="E9462" s="6">
        <v>12.0</v>
      </c>
    </row>
    <row r="9463">
      <c r="A9463" s="4" t="s">
        <v>18786</v>
      </c>
      <c r="B9463" s="5" t="s">
        <v>18787</v>
      </c>
      <c r="C9463" s="6">
        <v>525.0</v>
      </c>
      <c r="D9463" s="6">
        <v>4.806451613</v>
      </c>
      <c r="E9463" s="6">
        <v>31.0</v>
      </c>
    </row>
    <row r="9464">
      <c r="A9464" s="4" t="s">
        <v>18788</v>
      </c>
      <c r="B9464" s="5" t="s">
        <v>18789</v>
      </c>
      <c r="C9464" s="6">
        <v>525.0</v>
      </c>
      <c r="D9464" s="6">
        <v>4.733333333</v>
      </c>
      <c r="E9464" s="6">
        <v>15.0</v>
      </c>
    </row>
    <row r="9465">
      <c r="A9465" s="4" t="s">
        <v>18790</v>
      </c>
      <c r="B9465" s="5" t="s">
        <v>18791</v>
      </c>
      <c r="C9465" s="6">
        <v>525.0</v>
      </c>
      <c r="D9465" s="6">
        <v>4.230769231</v>
      </c>
      <c r="E9465" s="6">
        <v>13.0</v>
      </c>
    </row>
    <row r="9466">
      <c r="A9466" s="4" t="s">
        <v>18792</v>
      </c>
      <c r="B9466" s="5" t="s">
        <v>18793</v>
      </c>
      <c r="C9466" s="6">
        <v>525.0</v>
      </c>
      <c r="D9466" s="6">
        <v>1.0</v>
      </c>
      <c r="E9466" s="6">
        <v>1.0</v>
      </c>
    </row>
    <row r="9467">
      <c r="A9467" s="4" t="s">
        <v>18794</v>
      </c>
      <c r="B9467" s="5" t="s">
        <v>18795</v>
      </c>
      <c r="C9467" s="6">
        <v>525.0</v>
      </c>
      <c r="D9467" s="6">
        <v>5.0</v>
      </c>
      <c r="E9467" s="6">
        <v>1.0</v>
      </c>
    </row>
    <row r="9468">
      <c r="A9468" s="4" t="s">
        <v>18796</v>
      </c>
      <c r="B9468" s="5" t="s">
        <v>18797</v>
      </c>
      <c r="C9468" s="6">
        <v>525.0</v>
      </c>
      <c r="D9468" s="6">
        <v>3.857142857</v>
      </c>
      <c r="E9468" s="6">
        <v>21.0</v>
      </c>
    </row>
    <row r="9469">
      <c r="A9469" s="4" t="s">
        <v>18798</v>
      </c>
      <c r="B9469" s="5" t="s">
        <v>18799</v>
      </c>
      <c r="C9469" s="6">
        <v>525.0</v>
      </c>
      <c r="D9469" s="6">
        <v>3.666666667</v>
      </c>
      <c r="E9469" s="6">
        <v>3.0</v>
      </c>
    </row>
    <row r="9470">
      <c r="A9470" s="4" t="s">
        <v>18800</v>
      </c>
      <c r="B9470" s="5" t="s">
        <v>18801</v>
      </c>
      <c r="C9470" s="6">
        <v>524.0</v>
      </c>
      <c r="D9470" s="6">
        <v>4.875</v>
      </c>
      <c r="E9470" s="6">
        <v>32.0</v>
      </c>
    </row>
    <row r="9471">
      <c r="A9471" s="4" t="s">
        <v>18802</v>
      </c>
      <c r="B9471" s="5" t="s">
        <v>18803</v>
      </c>
      <c r="C9471" s="6">
        <v>524.0</v>
      </c>
      <c r="D9471" s="6">
        <v>2.0</v>
      </c>
      <c r="E9471" s="6">
        <v>4.0</v>
      </c>
    </row>
    <row r="9472">
      <c r="A9472" s="4" t="s">
        <v>18804</v>
      </c>
      <c r="B9472" s="5" t="s">
        <v>18805</v>
      </c>
      <c r="C9472" s="6">
        <v>524.0</v>
      </c>
      <c r="D9472" s="6">
        <v>4.375</v>
      </c>
      <c r="E9472" s="6">
        <v>8.0</v>
      </c>
    </row>
    <row r="9473">
      <c r="A9473" s="4" t="s">
        <v>18806</v>
      </c>
      <c r="B9473" s="5" t="s">
        <v>18807</v>
      </c>
      <c r="C9473" s="6">
        <v>524.0</v>
      </c>
      <c r="D9473" s="6">
        <v>5.0</v>
      </c>
      <c r="E9473" s="6">
        <v>1.0</v>
      </c>
    </row>
    <row r="9474">
      <c r="A9474" s="4" t="s">
        <v>18808</v>
      </c>
      <c r="B9474" s="5" t="s">
        <v>18809</v>
      </c>
      <c r="C9474" s="6">
        <v>524.0</v>
      </c>
      <c r="D9474" s="6">
        <v>3.0</v>
      </c>
      <c r="E9474" s="6">
        <v>2.0</v>
      </c>
    </row>
    <row r="9475">
      <c r="A9475" s="4" t="s">
        <v>18810</v>
      </c>
      <c r="B9475" s="5" t="s">
        <v>18811</v>
      </c>
      <c r="C9475" s="6">
        <v>524.0</v>
      </c>
      <c r="D9475" s="6">
        <v>5.0</v>
      </c>
      <c r="E9475" s="6">
        <v>1.0</v>
      </c>
    </row>
    <row r="9476">
      <c r="A9476" s="4" t="s">
        <v>18812</v>
      </c>
      <c r="B9476" s="5" t="s">
        <v>18813</v>
      </c>
      <c r="C9476" s="6">
        <v>524.0</v>
      </c>
      <c r="D9476" s="6">
        <v>3.5</v>
      </c>
      <c r="E9476" s="6">
        <v>4.0</v>
      </c>
    </row>
    <row r="9477">
      <c r="A9477" s="4" t="s">
        <v>18814</v>
      </c>
      <c r="B9477" s="5" t="s">
        <v>18815</v>
      </c>
      <c r="C9477" s="6">
        <v>524.0</v>
      </c>
      <c r="D9477" s="6">
        <v>4.6875</v>
      </c>
      <c r="E9477" s="6">
        <v>16.0</v>
      </c>
    </row>
    <row r="9478">
      <c r="A9478" s="4" t="s">
        <v>18816</v>
      </c>
      <c r="B9478" s="5" t="s">
        <v>18817</v>
      </c>
      <c r="C9478" s="6">
        <v>524.0</v>
      </c>
      <c r="D9478" s="6">
        <v>4.666666667</v>
      </c>
      <c r="E9478" s="6">
        <v>9.0</v>
      </c>
    </row>
    <row r="9479">
      <c r="A9479" s="4" t="s">
        <v>18818</v>
      </c>
      <c r="B9479" s="5" t="s">
        <v>18819</v>
      </c>
      <c r="C9479" s="6">
        <v>523.0</v>
      </c>
      <c r="D9479" s="6">
        <v>5.0</v>
      </c>
      <c r="E9479" s="6">
        <v>14.0</v>
      </c>
    </row>
    <row r="9480">
      <c r="A9480" s="4" t="s">
        <v>18820</v>
      </c>
      <c r="B9480" s="5" t="s">
        <v>18821</v>
      </c>
      <c r="C9480" s="6">
        <v>523.0</v>
      </c>
      <c r="D9480" s="6">
        <v>4.2</v>
      </c>
      <c r="E9480" s="6">
        <v>5.0</v>
      </c>
    </row>
    <row r="9481">
      <c r="A9481" s="4" t="s">
        <v>18822</v>
      </c>
      <c r="B9481" s="5" t="s">
        <v>18823</v>
      </c>
      <c r="C9481" s="6">
        <v>523.0</v>
      </c>
      <c r="D9481" s="6">
        <v>5.0</v>
      </c>
      <c r="E9481" s="6">
        <v>1.0</v>
      </c>
    </row>
    <row r="9482">
      <c r="A9482" s="4" t="s">
        <v>18824</v>
      </c>
      <c r="B9482" s="5" t="s">
        <v>18825</v>
      </c>
      <c r="C9482" s="6">
        <v>523.0</v>
      </c>
      <c r="D9482" s="6">
        <v>4.714285714</v>
      </c>
      <c r="E9482" s="6">
        <v>7.0</v>
      </c>
    </row>
    <row r="9483">
      <c r="A9483" s="4" t="s">
        <v>18826</v>
      </c>
      <c r="B9483" s="5" t="s">
        <v>18827</v>
      </c>
      <c r="C9483" s="6">
        <v>523.0</v>
      </c>
      <c r="D9483" s="6">
        <v>5.0</v>
      </c>
      <c r="E9483" s="6">
        <v>2.0</v>
      </c>
    </row>
    <row r="9484">
      <c r="A9484" s="4" t="s">
        <v>18828</v>
      </c>
      <c r="B9484" s="5" t="s">
        <v>18829</v>
      </c>
      <c r="C9484" s="6">
        <v>522.0</v>
      </c>
      <c r="D9484" s="6">
        <v>3.416666667</v>
      </c>
      <c r="E9484" s="6">
        <v>12.0</v>
      </c>
    </row>
    <row r="9485">
      <c r="A9485" s="4" t="s">
        <v>18830</v>
      </c>
      <c r="B9485" s="5" t="s">
        <v>18831</v>
      </c>
      <c r="C9485" s="6">
        <v>522.0</v>
      </c>
      <c r="D9485" s="6">
        <v>3.0</v>
      </c>
      <c r="E9485" s="6">
        <v>1.0</v>
      </c>
    </row>
    <row r="9486">
      <c r="A9486" s="4" t="s">
        <v>18832</v>
      </c>
      <c r="B9486" s="5" t="s">
        <v>18833</v>
      </c>
      <c r="C9486" s="6">
        <v>522.0</v>
      </c>
      <c r="D9486" s="6">
        <v>3.75</v>
      </c>
      <c r="E9486" s="6">
        <v>8.0</v>
      </c>
    </row>
    <row r="9487">
      <c r="A9487" s="4" t="s">
        <v>18834</v>
      </c>
      <c r="B9487" s="5" t="s">
        <v>18835</v>
      </c>
      <c r="C9487" s="6">
        <v>522.0</v>
      </c>
      <c r="D9487" s="9"/>
      <c r="E9487" s="9"/>
    </row>
    <row r="9488">
      <c r="A9488" s="4" t="s">
        <v>18836</v>
      </c>
      <c r="B9488" s="5" t="s">
        <v>18837</v>
      </c>
      <c r="C9488" s="6">
        <v>522.0</v>
      </c>
      <c r="D9488" s="6">
        <v>4.285714286</v>
      </c>
      <c r="E9488" s="6">
        <v>7.0</v>
      </c>
    </row>
    <row r="9489">
      <c r="A9489" s="4" t="s">
        <v>18838</v>
      </c>
      <c r="B9489" s="5" t="s">
        <v>18839</v>
      </c>
      <c r="C9489" s="6">
        <v>521.0</v>
      </c>
      <c r="D9489" s="6">
        <v>1.333333333</v>
      </c>
      <c r="E9489" s="6">
        <v>3.0</v>
      </c>
    </row>
    <row r="9490">
      <c r="A9490" s="4" t="s">
        <v>18840</v>
      </c>
      <c r="B9490" s="5" t="s">
        <v>18841</v>
      </c>
      <c r="C9490" s="6">
        <v>521.0</v>
      </c>
      <c r="D9490" s="6">
        <v>4.5</v>
      </c>
      <c r="E9490" s="6">
        <v>2.0</v>
      </c>
    </row>
    <row r="9491">
      <c r="A9491" s="4" t="s">
        <v>18842</v>
      </c>
      <c r="B9491" s="5" t="s">
        <v>18843</v>
      </c>
      <c r="C9491" s="6">
        <v>521.0</v>
      </c>
      <c r="D9491" s="6">
        <v>3.666666667</v>
      </c>
      <c r="E9491" s="6">
        <v>6.0</v>
      </c>
    </row>
    <row r="9492">
      <c r="A9492" s="4" t="s">
        <v>18844</v>
      </c>
      <c r="B9492" s="5" t="s">
        <v>18845</v>
      </c>
      <c r="C9492" s="6">
        <v>521.0</v>
      </c>
      <c r="D9492" s="6">
        <v>5.0</v>
      </c>
      <c r="E9492" s="6">
        <v>25.0</v>
      </c>
    </row>
    <row r="9493">
      <c r="A9493" s="4" t="s">
        <v>18846</v>
      </c>
      <c r="B9493" s="5" t="s">
        <v>18847</v>
      </c>
      <c r="C9493" s="6">
        <v>521.0</v>
      </c>
      <c r="D9493" s="6">
        <v>5.0</v>
      </c>
      <c r="E9493" s="6">
        <v>1.0</v>
      </c>
    </row>
    <row r="9494">
      <c r="A9494" s="4" t="s">
        <v>18848</v>
      </c>
      <c r="B9494" s="5" t="s">
        <v>18849</v>
      </c>
      <c r="C9494" s="6">
        <v>521.0</v>
      </c>
      <c r="D9494" s="6">
        <v>4.375</v>
      </c>
      <c r="E9494" s="6">
        <v>16.0</v>
      </c>
    </row>
    <row r="9495">
      <c r="A9495" s="4" t="s">
        <v>18850</v>
      </c>
      <c r="B9495" s="5" t="s">
        <v>18851</v>
      </c>
      <c r="C9495" s="6">
        <v>520.0</v>
      </c>
      <c r="D9495" s="6">
        <v>5.0</v>
      </c>
      <c r="E9495" s="6">
        <v>1.0</v>
      </c>
    </row>
    <row r="9496">
      <c r="A9496" s="4" t="s">
        <v>18852</v>
      </c>
      <c r="B9496" s="5" t="s">
        <v>18853</v>
      </c>
      <c r="C9496" s="6">
        <v>520.0</v>
      </c>
      <c r="D9496" s="9"/>
      <c r="E9496" s="9"/>
    </row>
    <row r="9497">
      <c r="A9497" s="4" t="s">
        <v>18854</v>
      </c>
      <c r="B9497" s="5" t="s">
        <v>18855</v>
      </c>
      <c r="C9497" s="6">
        <v>520.0</v>
      </c>
      <c r="D9497" s="6">
        <v>4.375</v>
      </c>
      <c r="E9497" s="6">
        <v>8.0</v>
      </c>
    </row>
    <row r="9498">
      <c r="A9498" s="4" t="s">
        <v>18856</v>
      </c>
      <c r="B9498" s="5" t="s">
        <v>18857</v>
      </c>
      <c r="C9498" s="6">
        <v>520.0</v>
      </c>
      <c r="D9498" s="6">
        <v>3.25</v>
      </c>
      <c r="E9498" s="6">
        <v>4.0</v>
      </c>
    </row>
    <row r="9499">
      <c r="A9499" s="4" t="s">
        <v>18858</v>
      </c>
      <c r="B9499" s="5" t="s">
        <v>18859</v>
      </c>
      <c r="C9499" s="6">
        <v>520.0</v>
      </c>
      <c r="D9499" s="6">
        <v>4.227272727</v>
      </c>
      <c r="E9499" s="6">
        <v>22.0</v>
      </c>
    </row>
    <row r="9500">
      <c r="A9500" s="4" t="s">
        <v>18860</v>
      </c>
      <c r="B9500" s="5" t="s">
        <v>18861</v>
      </c>
      <c r="C9500" s="6">
        <v>520.0</v>
      </c>
      <c r="D9500" s="6">
        <v>4.777777778</v>
      </c>
      <c r="E9500" s="6">
        <v>9.0</v>
      </c>
    </row>
    <row r="9501">
      <c r="A9501" s="4" t="s">
        <v>18862</v>
      </c>
      <c r="B9501" s="5" t="s">
        <v>18863</v>
      </c>
      <c r="C9501" s="6">
        <v>519.0</v>
      </c>
      <c r="D9501" s="6">
        <v>3.916666667</v>
      </c>
      <c r="E9501" s="6">
        <v>12.0</v>
      </c>
    </row>
    <row r="9502">
      <c r="A9502" s="4" t="s">
        <v>18864</v>
      </c>
      <c r="B9502" s="5" t="s">
        <v>18865</v>
      </c>
      <c r="C9502" s="6">
        <v>519.0</v>
      </c>
      <c r="D9502" s="6">
        <v>3.0</v>
      </c>
      <c r="E9502" s="6">
        <v>13.0</v>
      </c>
    </row>
    <row r="9503">
      <c r="A9503" s="4" t="s">
        <v>18866</v>
      </c>
      <c r="B9503" s="5" t="s">
        <v>18867</v>
      </c>
      <c r="C9503" s="6">
        <v>519.0</v>
      </c>
      <c r="D9503" s="6">
        <v>5.0</v>
      </c>
      <c r="E9503" s="6">
        <v>3.0</v>
      </c>
    </row>
    <row r="9504">
      <c r="A9504" s="4" t="s">
        <v>18868</v>
      </c>
      <c r="B9504" s="5" t="s">
        <v>18869</v>
      </c>
      <c r="C9504" s="6">
        <v>519.0</v>
      </c>
      <c r="D9504" s="6">
        <v>4.5</v>
      </c>
      <c r="E9504" s="6">
        <v>2.0</v>
      </c>
    </row>
    <row r="9505">
      <c r="A9505" s="4" t="s">
        <v>18870</v>
      </c>
      <c r="B9505" s="5" t="s">
        <v>18871</v>
      </c>
      <c r="C9505" s="6">
        <v>518.0</v>
      </c>
      <c r="D9505" s="6">
        <v>4.0</v>
      </c>
      <c r="E9505" s="6">
        <v>6.0</v>
      </c>
    </row>
    <row r="9506">
      <c r="A9506" s="4" t="s">
        <v>18872</v>
      </c>
      <c r="B9506" s="5" t="s">
        <v>18873</v>
      </c>
      <c r="C9506" s="6">
        <v>518.0</v>
      </c>
      <c r="D9506" s="9"/>
      <c r="E9506" s="9"/>
    </row>
    <row r="9507">
      <c r="A9507" s="4" t="s">
        <v>18874</v>
      </c>
      <c r="B9507" s="5" t="s">
        <v>18875</v>
      </c>
      <c r="C9507" s="6">
        <v>518.0</v>
      </c>
      <c r="D9507" s="6">
        <v>4.5</v>
      </c>
      <c r="E9507" s="6">
        <v>2.0</v>
      </c>
    </row>
    <row r="9508">
      <c r="A9508" s="4" t="s">
        <v>16404</v>
      </c>
      <c r="B9508" s="5" t="s">
        <v>18876</v>
      </c>
      <c r="C9508" s="6">
        <v>518.0</v>
      </c>
      <c r="D9508" s="9"/>
      <c r="E9508" s="9"/>
    </row>
    <row r="9509">
      <c r="A9509" s="4" t="s">
        <v>18877</v>
      </c>
      <c r="B9509" s="5" t="s">
        <v>18878</v>
      </c>
      <c r="C9509" s="6">
        <v>518.0</v>
      </c>
      <c r="D9509" s="6">
        <v>4.666666667</v>
      </c>
      <c r="E9509" s="6">
        <v>3.0</v>
      </c>
    </row>
    <row r="9510">
      <c r="A9510" s="4" t="s">
        <v>18879</v>
      </c>
      <c r="B9510" s="5" t="s">
        <v>18880</v>
      </c>
      <c r="C9510" s="6">
        <v>518.0</v>
      </c>
      <c r="D9510" s="6">
        <v>5.0</v>
      </c>
      <c r="E9510" s="6">
        <v>2.0</v>
      </c>
    </row>
    <row r="9511">
      <c r="A9511" s="4" t="s">
        <v>18881</v>
      </c>
      <c r="B9511" s="5" t="s">
        <v>18882</v>
      </c>
      <c r="C9511" s="6">
        <v>518.0</v>
      </c>
      <c r="D9511" s="6">
        <v>4.75</v>
      </c>
      <c r="E9511" s="6">
        <v>4.0</v>
      </c>
    </row>
    <row r="9512">
      <c r="A9512" s="4" t="s">
        <v>18883</v>
      </c>
      <c r="B9512" s="5" t="s">
        <v>18884</v>
      </c>
      <c r="C9512" s="6">
        <v>518.0</v>
      </c>
      <c r="D9512" s="6">
        <v>3.75</v>
      </c>
      <c r="E9512" s="6">
        <v>8.0</v>
      </c>
    </row>
    <row r="9513">
      <c r="A9513" s="4" t="s">
        <v>18885</v>
      </c>
      <c r="B9513" s="5" t="s">
        <v>18886</v>
      </c>
      <c r="C9513" s="6">
        <v>518.0</v>
      </c>
      <c r="D9513" s="6">
        <v>4.0</v>
      </c>
      <c r="E9513" s="6">
        <v>2.0</v>
      </c>
    </row>
    <row r="9514">
      <c r="A9514" s="4" t="s">
        <v>18887</v>
      </c>
      <c r="B9514" s="5" t="s">
        <v>18888</v>
      </c>
      <c r="C9514" s="6">
        <v>518.0</v>
      </c>
      <c r="D9514" s="6">
        <v>5.0</v>
      </c>
      <c r="E9514" s="6">
        <v>8.0</v>
      </c>
    </row>
    <row r="9515">
      <c r="A9515" s="4" t="s">
        <v>18889</v>
      </c>
      <c r="B9515" s="5" t="s">
        <v>18890</v>
      </c>
      <c r="C9515" s="6">
        <v>518.0</v>
      </c>
      <c r="D9515" s="6">
        <v>4.333333333</v>
      </c>
      <c r="E9515" s="6">
        <v>6.0</v>
      </c>
    </row>
    <row r="9516">
      <c r="A9516" s="4" t="s">
        <v>18891</v>
      </c>
      <c r="B9516" s="5" t="s">
        <v>18892</v>
      </c>
      <c r="C9516" s="6">
        <v>518.0</v>
      </c>
      <c r="D9516" s="6">
        <v>2.875</v>
      </c>
      <c r="E9516" s="6">
        <v>8.0</v>
      </c>
    </row>
    <row r="9517">
      <c r="A9517" s="4" t="s">
        <v>18893</v>
      </c>
      <c r="B9517" s="5" t="s">
        <v>18894</v>
      </c>
      <c r="C9517" s="6">
        <v>517.0</v>
      </c>
      <c r="D9517" s="6">
        <v>3.428571429</v>
      </c>
      <c r="E9517" s="6">
        <v>7.0</v>
      </c>
    </row>
    <row r="9518">
      <c r="A9518" s="4" t="s">
        <v>18895</v>
      </c>
      <c r="B9518" s="5" t="s">
        <v>18896</v>
      </c>
      <c r="C9518" s="6">
        <v>517.0</v>
      </c>
      <c r="D9518" s="6">
        <v>5.0</v>
      </c>
      <c r="E9518" s="6">
        <v>2.0</v>
      </c>
    </row>
    <row r="9519">
      <c r="A9519" s="4" t="s">
        <v>18897</v>
      </c>
      <c r="B9519" s="5" t="s">
        <v>18898</v>
      </c>
      <c r="C9519" s="6">
        <v>517.0</v>
      </c>
      <c r="D9519" s="6">
        <v>5.0</v>
      </c>
      <c r="E9519" s="6">
        <v>5.0</v>
      </c>
    </row>
    <row r="9520">
      <c r="A9520" s="4" t="s">
        <v>18899</v>
      </c>
      <c r="B9520" s="5" t="s">
        <v>18900</v>
      </c>
      <c r="C9520" s="6">
        <v>517.0</v>
      </c>
      <c r="D9520" s="6">
        <v>3.5</v>
      </c>
      <c r="E9520" s="6">
        <v>4.0</v>
      </c>
    </row>
    <row r="9521">
      <c r="A9521" s="4" t="s">
        <v>18901</v>
      </c>
      <c r="B9521" s="5" t="s">
        <v>18902</v>
      </c>
      <c r="C9521" s="6">
        <v>517.0</v>
      </c>
      <c r="D9521" s="6">
        <v>3.666666667</v>
      </c>
      <c r="E9521" s="6">
        <v>3.0</v>
      </c>
    </row>
    <row r="9522">
      <c r="A9522" s="4" t="s">
        <v>18903</v>
      </c>
      <c r="B9522" s="5" t="s">
        <v>18904</v>
      </c>
      <c r="C9522" s="6">
        <v>517.0</v>
      </c>
      <c r="D9522" s="6">
        <v>3.285714286</v>
      </c>
      <c r="E9522" s="6">
        <v>7.0</v>
      </c>
    </row>
    <row r="9523">
      <c r="A9523" s="4" t="s">
        <v>18905</v>
      </c>
      <c r="B9523" s="5" t="s">
        <v>18906</v>
      </c>
      <c r="C9523" s="6">
        <v>517.0</v>
      </c>
      <c r="D9523" s="6">
        <v>5.0</v>
      </c>
      <c r="E9523" s="6">
        <v>38.0</v>
      </c>
    </row>
    <row r="9524">
      <c r="A9524" s="4" t="s">
        <v>18907</v>
      </c>
      <c r="B9524" s="5" t="s">
        <v>18908</v>
      </c>
      <c r="C9524" s="6">
        <v>517.0</v>
      </c>
      <c r="D9524" s="6">
        <v>1.333333333</v>
      </c>
      <c r="E9524" s="6">
        <v>6.0</v>
      </c>
    </row>
    <row r="9525">
      <c r="A9525" s="4" t="s">
        <v>18909</v>
      </c>
      <c r="B9525" s="5" t="s">
        <v>18910</v>
      </c>
      <c r="C9525" s="6">
        <v>517.0</v>
      </c>
      <c r="D9525" s="6">
        <v>4.6</v>
      </c>
      <c r="E9525" s="6">
        <v>10.0</v>
      </c>
    </row>
    <row r="9526">
      <c r="A9526" s="4" t="s">
        <v>18911</v>
      </c>
      <c r="B9526" s="5" t="s">
        <v>18912</v>
      </c>
      <c r="C9526" s="6">
        <v>516.0</v>
      </c>
      <c r="D9526" s="9"/>
      <c r="E9526" s="9"/>
    </row>
    <row r="9527">
      <c r="A9527" s="4" t="s">
        <v>18913</v>
      </c>
      <c r="B9527" s="5" t="s">
        <v>18914</v>
      </c>
      <c r="C9527" s="6">
        <v>516.0</v>
      </c>
      <c r="D9527" s="6">
        <v>4.4</v>
      </c>
      <c r="E9527" s="6">
        <v>5.0</v>
      </c>
    </row>
    <row r="9528">
      <c r="A9528" s="4" t="s">
        <v>18915</v>
      </c>
      <c r="B9528" s="5" t="s">
        <v>18916</v>
      </c>
      <c r="C9528" s="6">
        <v>516.0</v>
      </c>
      <c r="D9528" s="6">
        <v>3.666666667</v>
      </c>
      <c r="E9528" s="6">
        <v>3.0</v>
      </c>
    </row>
    <row r="9529">
      <c r="A9529" s="4" t="s">
        <v>18917</v>
      </c>
      <c r="B9529" s="5" t="s">
        <v>18918</v>
      </c>
      <c r="C9529" s="6">
        <v>516.0</v>
      </c>
      <c r="D9529" s="6">
        <v>2.571428571</v>
      </c>
      <c r="E9529" s="6">
        <v>7.0</v>
      </c>
    </row>
    <row r="9530">
      <c r="A9530" s="4" t="s">
        <v>18919</v>
      </c>
      <c r="B9530" s="5" t="s">
        <v>18920</v>
      </c>
      <c r="C9530" s="6">
        <v>516.0</v>
      </c>
      <c r="D9530" s="6">
        <v>3.761904762</v>
      </c>
      <c r="E9530" s="6">
        <v>21.0</v>
      </c>
    </row>
    <row r="9531">
      <c r="A9531" s="4" t="s">
        <v>18921</v>
      </c>
      <c r="B9531" s="5" t="s">
        <v>18922</v>
      </c>
      <c r="C9531" s="6">
        <v>516.0</v>
      </c>
      <c r="D9531" s="6">
        <v>2.8125</v>
      </c>
      <c r="E9531" s="6">
        <v>16.0</v>
      </c>
    </row>
    <row r="9532">
      <c r="A9532" s="4" t="s">
        <v>18923</v>
      </c>
      <c r="B9532" s="5" t="s">
        <v>18924</v>
      </c>
      <c r="C9532" s="6">
        <v>516.0</v>
      </c>
      <c r="D9532" s="9"/>
      <c r="E9532" s="9"/>
    </row>
    <row r="9533">
      <c r="A9533" s="4" t="s">
        <v>18925</v>
      </c>
      <c r="B9533" s="5" t="s">
        <v>18926</v>
      </c>
      <c r="C9533" s="6">
        <v>516.0</v>
      </c>
      <c r="D9533" s="6">
        <v>3.722222222</v>
      </c>
      <c r="E9533" s="6">
        <v>36.0</v>
      </c>
    </row>
    <row r="9534">
      <c r="A9534" s="4" t="s">
        <v>18927</v>
      </c>
      <c r="B9534" s="5" t="s">
        <v>18928</v>
      </c>
      <c r="C9534" s="6">
        <v>516.0</v>
      </c>
      <c r="D9534" s="9"/>
      <c r="E9534" s="9"/>
    </row>
    <row r="9535">
      <c r="A9535" s="5" t="s">
        <v>18929</v>
      </c>
      <c r="B9535" s="5" t="s">
        <v>18930</v>
      </c>
      <c r="C9535" s="6">
        <v>515.0</v>
      </c>
      <c r="D9535" s="6">
        <v>2.8</v>
      </c>
      <c r="E9535" s="6">
        <v>5.0</v>
      </c>
    </row>
    <row r="9536">
      <c r="A9536" s="4" t="s">
        <v>18931</v>
      </c>
      <c r="B9536" s="5" t="s">
        <v>18932</v>
      </c>
      <c r="C9536" s="6">
        <v>515.0</v>
      </c>
      <c r="D9536" s="6">
        <v>5.0</v>
      </c>
      <c r="E9536" s="6">
        <v>4.0</v>
      </c>
    </row>
    <row r="9537">
      <c r="A9537" s="4" t="s">
        <v>18933</v>
      </c>
      <c r="B9537" s="5" t="s">
        <v>18934</v>
      </c>
      <c r="C9537" s="6">
        <v>515.0</v>
      </c>
      <c r="D9537" s="6">
        <v>4.0</v>
      </c>
      <c r="E9537" s="6">
        <v>19.0</v>
      </c>
    </row>
    <row r="9538">
      <c r="A9538" s="4" t="s">
        <v>18935</v>
      </c>
      <c r="B9538" s="5" t="s">
        <v>18936</v>
      </c>
      <c r="C9538" s="6">
        <v>515.0</v>
      </c>
      <c r="D9538" s="6">
        <v>4.8</v>
      </c>
      <c r="E9538" s="6">
        <v>10.0</v>
      </c>
    </row>
    <row r="9539">
      <c r="A9539" s="4" t="s">
        <v>18937</v>
      </c>
      <c r="B9539" s="5" t="s">
        <v>18938</v>
      </c>
      <c r="C9539" s="6">
        <v>515.0</v>
      </c>
      <c r="D9539" s="6">
        <v>5.0</v>
      </c>
      <c r="E9539" s="6">
        <v>3.0</v>
      </c>
    </row>
    <row r="9540">
      <c r="A9540" s="4" t="s">
        <v>18939</v>
      </c>
      <c r="B9540" s="5" t="s">
        <v>18940</v>
      </c>
      <c r="C9540" s="6">
        <v>515.0</v>
      </c>
      <c r="D9540" s="6">
        <v>5.0</v>
      </c>
      <c r="E9540" s="6">
        <v>3.0</v>
      </c>
    </row>
    <row r="9541">
      <c r="A9541" s="4" t="s">
        <v>18941</v>
      </c>
      <c r="B9541" s="5" t="s">
        <v>18942</v>
      </c>
      <c r="C9541" s="6">
        <v>515.0</v>
      </c>
      <c r="D9541" s="6">
        <v>5.0</v>
      </c>
      <c r="E9541" s="6">
        <v>3.0</v>
      </c>
    </row>
    <row r="9542">
      <c r="A9542" s="4" t="s">
        <v>18943</v>
      </c>
      <c r="B9542" s="5" t="s">
        <v>18944</v>
      </c>
      <c r="C9542" s="6">
        <v>515.0</v>
      </c>
      <c r="D9542" s="6">
        <v>5.0</v>
      </c>
      <c r="E9542" s="6">
        <v>6.0</v>
      </c>
    </row>
    <row r="9543">
      <c r="A9543" s="4" t="s">
        <v>18945</v>
      </c>
      <c r="B9543" s="5" t="s">
        <v>18946</v>
      </c>
      <c r="C9543" s="6">
        <v>515.0</v>
      </c>
      <c r="D9543" s="6">
        <v>5.0</v>
      </c>
      <c r="E9543" s="6">
        <v>4.0</v>
      </c>
    </row>
    <row r="9544">
      <c r="A9544" s="4" t="s">
        <v>18947</v>
      </c>
      <c r="B9544" s="5" t="s">
        <v>18948</v>
      </c>
      <c r="C9544" s="6">
        <v>514.0</v>
      </c>
      <c r="D9544" s="6">
        <v>4.157894737</v>
      </c>
      <c r="E9544" s="6">
        <v>19.0</v>
      </c>
    </row>
    <row r="9545">
      <c r="A9545" s="4" t="s">
        <v>18949</v>
      </c>
      <c r="B9545" s="5" t="s">
        <v>18950</v>
      </c>
      <c r="C9545" s="6">
        <v>514.0</v>
      </c>
      <c r="D9545" s="6">
        <v>3.666666667</v>
      </c>
      <c r="E9545" s="6">
        <v>9.0</v>
      </c>
    </row>
    <row r="9546">
      <c r="A9546" s="4" t="s">
        <v>18951</v>
      </c>
      <c r="B9546" s="5" t="s">
        <v>18952</v>
      </c>
      <c r="C9546" s="6">
        <v>514.0</v>
      </c>
      <c r="D9546" s="6">
        <v>3.4</v>
      </c>
      <c r="E9546" s="6">
        <v>5.0</v>
      </c>
    </row>
    <row r="9547">
      <c r="A9547" s="4" t="s">
        <v>18953</v>
      </c>
      <c r="B9547" s="5" t="s">
        <v>18954</v>
      </c>
      <c r="C9547" s="6">
        <v>514.0</v>
      </c>
      <c r="D9547" s="6">
        <v>3.0</v>
      </c>
      <c r="E9547" s="6">
        <v>2.0</v>
      </c>
    </row>
    <row r="9548">
      <c r="A9548" s="4" t="s">
        <v>18955</v>
      </c>
      <c r="B9548" s="5" t="s">
        <v>18956</v>
      </c>
      <c r="C9548" s="6">
        <v>514.0</v>
      </c>
      <c r="D9548" s="6">
        <v>3.75</v>
      </c>
      <c r="E9548" s="6">
        <v>4.0</v>
      </c>
    </row>
    <row r="9549">
      <c r="A9549" s="4" t="s">
        <v>18957</v>
      </c>
      <c r="B9549" s="5" t="s">
        <v>18958</v>
      </c>
      <c r="C9549" s="6">
        <v>514.0</v>
      </c>
      <c r="D9549" s="6">
        <v>3.333333333</v>
      </c>
      <c r="E9549" s="6">
        <v>3.0</v>
      </c>
    </row>
    <row r="9550">
      <c r="A9550" s="4" t="s">
        <v>18959</v>
      </c>
      <c r="B9550" s="5" t="s">
        <v>18960</v>
      </c>
      <c r="C9550" s="6">
        <v>514.0</v>
      </c>
      <c r="D9550" s="6">
        <v>3.285714286</v>
      </c>
      <c r="E9550" s="6">
        <v>28.0</v>
      </c>
    </row>
    <row r="9551">
      <c r="A9551" s="4" t="s">
        <v>18961</v>
      </c>
      <c r="B9551" s="5" t="s">
        <v>18962</v>
      </c>
      <c r="C9551" s="6">
        <v>513.0</v>
      </c>
      <c r="D9551" s="6">
        <v>5.0</v>
      </c>
      <c r="E9551" s="6">
        <v>1.0</v>
      </c>
    </row>
    <row r="9552">
      <c r="A9552" s="4" t="s">
        <v>18963</v>
      </c>
      <c r="B9552" s="5" t="s">
        <v>18964</v>
      </c>
      <c r="C9552" s="6">
        <v>513.0</v>
      </c>
      <c r="D9552" s="6">
        <v>1.0</v>
      </c>
      <c r="E9552" s="6">
        <v>1.0</v>
      </c>
    </row>
    <row r="9553">
      <c r="A9553" s="4" t="s">
        <v>18965</v>
      </c>
      <c r="B9553" s="5" t="s">
        <v>18966</v>
      </c>
      <c r="C9553" s="6">
        <v>513.0</v>
      </c>
      <c r="D9553" s="6">
        <v>4.0</v>
      </c>
      <c r="E9553" s="6">
        <v>1.0</v>
      </c>
    </row>
    <row r="9554">
      <c r="A9554" s="4" t="s">
        <v>18967</v>
      </c>
      <c r="B9554" s="5" t="s">
        <v>18968</v>
      </c>
      <c r="C9554" s="6">
        <v>513.0</v>
      </c>
      <c r="D9554" s="6">
        <v>4.571428571</v>
      </c>
      <c r="E9554" s="6">
        <v>14.0</v>
      </c>
    </row>
    <row r="9555">
      <c r="A9555" s="4" t="s">
        <v>18969</v>
      </c>
      <c r="B9555" s="5" t="s">
        <v>18970</v>
      </c>
      <c r="C9555" s="6">
        <v>513.0</v>
      </c>
      <c r="D9555" s="6">
        <v>3.923076923</v>
      </c>
      <c r="E9555" s="6">
        <v>52.0</v>
      </c>
    </row>
    <row r="9556">
      <c r="A9556" s="4" t="s">
        <v>18971</v>
      </c>
      <c r="B9556" s="5" t="s">
        <v>18972</v>
      </c>
      <c r="C9556" s="6">
        <v>513.0</v>
      </c>
      <c r="D9556" s="6">
        <v>3.368421053</v>
      </c>
      <c r="E9556" s="6">
        <v>38.0</v>
      </c>
    </row>
    <row r="9557">
      <c r="A9557" s="4" t="s">
        <v>18973</v>
      </c>
      <c r="B9557" s="5" t="s">
        <v>18974</v>
      </c>
      <c r="C9557" s="6">
        <v>513.0</v>
      </c>
      <c r="D9557" s="6">
        <v>4.703703704</v>
      </c>
      <c r="E9557" s="6">
        <v>54.0</v>
      </c>
    </row>
    <row r="9558">
      <c r="A9558" s="4" t="s">
        <v>18975</v>
      </c>
      <c r="B9558" s="5" t="s">
        <v>18976</v>
      </c>
      <c r="C9558" s="6">
        <v>513.0</v>
      </c>
      <c r="D9558" s="6">
        <v>4.111111111</v>
      </c>
      <c r="E9558" s="6">
        <v>9.0</v>
      </c>
    </row>
    <row r="9559">
      <c r="A9559" s="4" t="s">
        <v>18977</v>
      </c>
      <c r="B9559" s="5" t="s">
        <v>18978</v>
      </c>
      <c r="C9559" s="6">
        <v>513.0</v>
      </c>
      <c r="D9559" s="6">
        <v>4.725</v>
      </c>
      <c r="E9559" s="6">
        <v>40.0</v>
      </c>
    </row>
    <row r="9560">
      <c r="A9560" s="4" t="s">
        <v>18979</v>
      </c>
      <c r="B9560" s="5" t="s">
        <v>18980</v>
      </c>
      <c r="C9560" s="6">
        <v>512.0</v>
      </c>
      <c r="D9560" s="6">
        <v>4.875</v>
      </c>
      <c r="E9560" s="6">
        <v>8.0</v>
      </c>
    </row>
    <row r="9561">
      <c r="A9561" s="4" t="s">
        <v>18981</v>
      </c>
      <c r="B9561" s="5" t="s">
        <v>18982</v>
      </c>
      <c r="C9561" s="6">
        <v>512.0</v>
      </c>
      <c r="D9561" s="9"/>
      <c r="E9561" s="9"/>
    </row>
    <row r="9562">
      <c r="A9562" s="4" t="s">
        <v>18983</v>
      </c>
      <c r="B9562" s="5" t="s">
        <v>18984</v>
      </c>
      <c r="C9562" s="6">
        <v>512.0</v>
      </c>
      <c r="D9562" s="6">
        <v>4.5</v>
      </c>
      <c r="E9562" s="6">
        <v>2.0</v>
      </c>
    </row>
    <row r="9563">
      <c r="A9563" s="4" t="s">
        <v>18985</v>
      </c>
      <c r="B9563" s="5" t="s">
        <v>18986</v>
      </c>
      <c r="C9563" s="6">
        <v>512.0</v>
      </c>
      <c r="D9563" s="6">
        <v>5.0</v>
      </c>
      <c r="E9563" s="6">
        <v>5.0</v>
      </c>
    </row>
    <row r="9564">
      <c r="A9564" s="4" t="s">
        <v>18987</v>
      </c>
      <c r="B9564" s="5" t="s">
        <v>18988</v>
      </c>
      <c r="C9564" s="6">
        <v>512.0</v>
      </c>
      <c r="D9564" s="6">
        <v>4.0</v>
      </c>
      <c r="E9564" s="6">
        <v>7.0</v>
      </c>
    </row>
    <row r="9565">
      <c r="A9565" s="4" t="s">
        <v>18989</v>
      </c>
      <c r="B9565" s="5" t="s">
        <v>18990</v>
      </c>
      <c r="C9565" s="6">
        <v>511.0</v>
      </c>
      <c r="D9565" s="6">
        <v>2.375</v>
      </c>
      <c r="E9565" s="6">
        <v>8.0</v>
      </c>
    </row>
    <row r="9566">
      <c r="A9566" s="4" t="s">
        <v>18991</v>
      </c>
      <c r="B9566" s="5" t="s">
        <v>18992</v>
      </c>
      <c r="C9566" s="6">
        <v>511.0</v>
      </c>
      <c r="D9566" s="6">
        <v>5.0</v>
      </c>
      <c r="E9566" s="6">
        <v>1.0</v>
      </c>
    </row>
    <row r="9567">
      <c r="A9567" s="4" t="s">
        <v>18993</v>
      </c>
      <c r="B9567" s="5" t="s">
        <v>18994</v>
      </c>
      <c r="C9567" s="6">
        <v>511.0</v>
      </c>
      <c r="D9567" s="6">
        <v>4.117647059</v>
      </c>
      <c r="E9567" s="6">
        <v>34.0</v>
      </c>
    </row>
    <row r="9568">
      <c r="A9568" s="4" t="s">
        <v>18995</v>
      </c>
      <c r="B9568" s="5" t="s">
        <v>18996</v>
      </c>
      <c r="C9568" s="6">
        <v>511.0</v>
      </c>
      <c r="D9568" s="6">
        <v>3.4</v>
      </c>
      <c r="E9568" s="6">
        <v>5.0</v>
      </c>
    </row>
    <row r="9569">
      <c r="A9569" s="4" t="s">
        <v>18997</v>
      </c>
      <c r="B9569" s="5" t="s">
        <v>18998</v>
      </c>
      <c r="C9569" s="6">
        <v>511.0</v>
      </c>
      <c r="D9569" s="6">
        <v>5.0</v>
      </c>
      <c r="E9569" s="6">
        <v>2.0</v>
      </c>
    </row>
    <row r="9570">
      <c r="A9570" s="4" t="s">
        <v>18999</v>
      </c>
      <c r="B9570" s="5" t="s">
        <v>19000</v>
      </c>
      <c r="C9570" s="6">
        <v>511.0</v>
      </c>
      <c r="D9570" s="6">
        <v>1.833333333</v>
      </c>
      <c r="E9570" s="6">
        <v>12.0</v>
      </c>
    </row>
    <row r="9571">
      <c r="A9571" s="4" t="s">
        <v>19001</v>
      </c>
      <c r="B9571" s="5" t="s">
        <v>19002</v>
      </c>
      <c r="C9571" s="6">
        <v>511.0</v>
      </c>
      <c r="D9571" s="6">
        <v>3.857142857</v>
      </c>
      <c r="E9571" s="6">
        <v>7.0</v>
      </c>
    </row>
    <row r="9572">
      <c r="A9572" s="4" t="s">
        <v>19003</v>
      </c>
      <c r="B9572" s="5" t="s">
        <v>19004</v>
      </c>
      <c r="C9572" s="6">
        <v>511.0</v>
      </c>
      <c r="D9572" s="6">
        <v>4.777777778</v>
      </c>
      <c r="E9572" s="6">
        <v>27.0</v>
      </c>
    </row>
    <row r="9573">
      <c r="A9573" s="4" t="s">
        <v>19005</v>
      </c>
      <c r="B9573" s="5" t="s">
        <v>19006</v>
      </c>
      <c r="C9573" s="6">
        <v>511.0</v>
      </c>
      <c r="D9573" s="6">
        <v>3.666666667</v>
      </c>
      <c r="E9573" s="6">
        <v>3.0</v>
      </c>
    </row>
    <row r="9574">
      <c r="A9574" s="4" t="s">
        <v>19007</v>
      </c>
      <c r="B9574" s="5" t="s">
        <v>19008</v>
      </c>
      <c r="C9574" s="6">
        <v>511.0</v>
      </c>
      <c r="D9574" s="6">
        <v>4.666666667</v>
      </c>
      <c r="E9574" s="6">
        <v>9.0</v>
      </c>
    </row>
    <row r="9575">
      <c r="A9575" s="4" t="s">
        <v>19009</v>
      </c>
      <c r="B9575" s="5" t="s">
        <v>19010</v>
      </c>
      <c r="C9575" s="6">
        <v>510.0</v>
      </c>
      <c r="D9575" s="6">
        <v>5.0</v>
      </c>
      <c r="E9575" s="6">
        <v>1.0</v>
      </c>
    </row>
    <row r="9576">
      <c r="A9576" s="4" t="s">
        <v>19011</v>
      </c>
      <c r="B9576" s="5" t="s">
        <v>19012</v>
      </c>
      <c r="C9576" s="6">
        <v>510.0</v>
      </c>
      <c r="D9576" s="6">
        <v>4.91011236</v>
      </c>
      <c r="E9576" s="6">
        <v>89.0</v>
      </c>
    </row>
    <row r="9577">
      <c r="A9577" s="4" t="s">
        <v>19013</v>
      </c>
      <c r="B9577" s="5" t="s">
        <v>19014</v>
      </c>
      <c r="C9577" s="6">
        <v>510.0</v>
      </c>
      <c r="D9577" s="6">
        <v>3.666666667</v>
      </c>
      <c r="E9577" s="6">
        <v>3.0</v>
      </c>
    </row>
    <row r="9578">
      <c r="A9578" s="4" t="s">
        <v>19015</v>
      </c>
      <c r="B9578" s="5" t="s">
        <v>19016</v>
      </c>
      <c r="C9578" s="6">
        <v>510.0</v>
      </c>
      <c r="D9578" s="9"/>
      <c r="E9578" s="9"/>
    </row>
    <row r="9579">
      <c r="A9579" s="4" t="s">
        <v>19017</v>
      </c>
      <c r="B9579" s="5" t="s">
        <v>19018</v>
      </c>
      <c r="C9579" s="6">
        <v>510.0</v>
      </c>
      <c r="D9579" s="6">
        <v>5.0</v>
      </c>
      <c r="E9579" s="6">
        <v>2.0</v>
      </c>
    </row>
    <row r="9580">
      <c r="A9580" s="4" t="s">
        <v>19019</v>
      </c>
      <c r="B9580" s="5" t="s">
        <v>19020</v>
      </c>
      <c r="C9580" s="6">
        <v>510.0</v>
      </c>
      <c r="D9580" s="6">
        <v>5.0</v>
      </c>
      <c r="E9580" s="6">
        <v>4.0</v>
      </c>
    </row>
    <row r="9581">
      <c r="A9581" s="4" t="s">
        <v>19021</v>
      </c>
      <c r="B9581" s="5" t="s">
        <v>19022</v>
      </c>
      <c r="C9581" s="6">
        <v>510.0</v>
      </c>
      <c r="D9581" s="6">
        <v>4.75</v>
      </c>
      <c r="E9581" s="6">
        <v>4.0</v>
      </c>
    </row>
    <row r="9582">
      <c r="A9582" s="4" t="s">
        <v>19023</v>
      </c>
      <c r="B9582" s="5" t="s">
        <v>19024</v>
      </c>
      <c r="C9582" s="6">
        <v>510.0</v>
      </c>
      <c r="D9582" s="6">
        <v>5.0</v>
      </c>
      <c r="E9582" s="6">
        <v>2.0</v>
      </c>
    </row>
    <row r="9583">
      <c r="A9583" s="4" t="s">
        <v>19025</v>
      </c>
      <c r="B9583" s="5" t="s">
        <v>19026</v>
      </c>
      <c r="C9583" s="6">
        <v>510.0</v>
      </c>
      <c r="D9583" s="6">
        <v>4.8</v>
      </c>
      <c r="E9583" s="6">
        <v>5.0</v>
      </c>
    </row>
    <row r="9584">
      <c r="A9584" s="4" t="s">
        <v>19027</v>
      </c>
      <c r="B9584" s="5" t="s">
        <v>19028</v>
      </c>
      <c r="C9584" s="6">
        <v>510.0</v>
      </c>
      <c r="D9584" s="6">
        <v>4.736842105</v>
      </c>
      <c r="E9584" s="6">
        <v>76.0</v>
      </c>
    </row>
    <row r="9585">
      <c r="A9585" s="4" t="s">
        <v>19029</v>
      </c>
      <c r="B9585" s="5" t="s">
        <v>19030</v>
      </c>
      <c r="C9585" s="6">
        <v>510.0</v>
      </c>
      <c r="D9585" s="9"/>
      <c r="E9585" s="9"/>
    </row>
    <row r="9586">
      <c r="A9586" s="4" t="s">
        <v>19031</v>
      </c>
      <c r="B9586" s="5" t="s">
        <v>19032</v>
      </c>
      <c r="C9586" s="6">
        <v>510.0</v>
      </c>
      <c r="D9586" s="6">
        <v>4.428571429</v>
      </c>
      <c r="E9586" s="6">
        <v>7.0</v>
      </c>
    </row>
    <row r="9587">
      <c r="A9587" s="4" t="s">
        <v>19033</v>
      </c>
      <c r="B9587" s="5" t="s">
        <v>19034</v>
      </c>
      <c r="C9587" s="6">
        <v>509.0</v>
      </c>
      <c r="D9587" s="6">
        <v>3.0</v>
      </c>
      <c r="E9587" s="6">
        <v>2.0</v>
      </c>
    </row>
    <row r="9588">
      <c r="A9588" s="4" t="s">
        <v>19035</v>
      </c>
      <c r="B9588" s="5" t="s">
        <v>19036</v>
      </c>
      <c r="C9588" s="6">
        <v>509.0</v>
      </c>
      <c r="D9588" s="6">
        <v>5.0</v>
      </c>
      <c r="E9588" s="6">
        <v>3.0</v>
      </c>
    </row>
    <row r="9589">
      <c r="A9589" s="4" t="s">
        <v>19037</v>
      </c>
      <c r="B9589" s="5" t="s">
        <v>19038</v>
      </c>
      <c r="C9589" s="6">
        <v>509.0</v>
      </c>
      <c r="D9589" s="6">
        <v>2.0</v>
      </c>
      <c r="E9589" s="6">
        <v>4.0</v>
      </c>
    </row>
    <row r="9590">
      <c r="A9590" s="4" t="s">
        <v>19039</v>
      </c>
      <c r="B9590" s="5" t="s">
        <v>19040</v>
      </c>
      <c r="C9590" s="6">
        <v>508.0</v>
      </c>
      <c r="D9590" s="6">
        <v>5.0</v>
      </c>
      <c r="E9590" s="6">
        <v>6.0</v>
      </c>
    </row>
    <row r="9591">
      <c r="A9591" s="4" t="s">
        <v>16959</v>
      </c>
      <c r="B9591" s="5" t="s">
        <v>19041</v>
      </c>
      <c r="C9591" s="6">
        <v>508.0</v>
      </c>
      <c r="D9591" s="6">
        <v>3.961538462</v>
      </c>
      <c r="E9591" s="6">
        <v>26.0</v>
      </c>
    </row>
    <row r="9592">
      <c r="A9592" s="4" t="s">
        <v>19042</v>
      </c>
      <c r="B9592" s="5" t="s">
        <v>19043</v>
      </c>
      <c r="C9592" s="6">
        <v>508.0</v>
      </c>
      <c r="D9592" s="6">
        <v>3.4</v>
      </c>
      <c r="E9592" s="6">
        <v>5.0</v>
      </c>
    </row>
    <row r="9593">
      <c r="A9593" s="4" t="s">
        <v>19044</v>
      </c>
      <c r="B9593" s="5" t="s">
        <v>19045</v>
      </c>
      <c r="C9593" s="6">
        <v>508.0</v>
      </c>
      <c r="D9593" s="6">
        <v>4.5</v>
      </c>
      <c r="E9593" s="6">
        <v>4.0</v>
      </c>
    </row>
    <row r="9594">
      <c r="A9594" s="4" t="s">
        <v>19046</v>
      </c>
      <c r="B9594" s="5" t="s">
        <v>19047</v>
      </c>
      <c r="C9594" s="6">
        <v>508.0</v>
      </c>
      <c r="D9594" s="6">
        <v>4.692307692</v>
      </c>
      <c r="E9594" s="6">
        <v>13.0</v>
      </c>
    </row>
    <row r="9595">
      <c r="A9595" s="4" t="s">
        <v>19048</v>
      </c>
      <c r="B9595" s="5" t="s">
        <v>19049</v>
      </c>
      <c r="C9595" s="6">
        <v>507.0</v>
      </c>
      <c r="D9595" s="6">
        <v>4.8</v>
      </c>
      <c r="E9595" s="6">
        <v>5.0</v>
      </c>
    </row>
    <row r="9596">
      <c r="A9596" s="4" t="s">
        <v>19050</v>
      </c>
      <c r="B9596" s="5" t="s">
        <v>19051</v>
      </c>
      <c r="C9596" s="6">
        <v>507.0</v>
      </c>
      <c r="D9596" s="6">
        <v>3.5</v>
      </c>
      <c r="E9596" s="6">
        <v>2.0</v>
      </c>
    </row>
    <row r="9597">
      <c r="A9597" s="4" t="s">
        <v>19052</v>
      </c>
      <c r="B9597" s="5" t="s">
        <v>19053</v>
      </c>
      <c r="C9597" s="6">
        <v>507.0</v>
      </c>
      <c r="D9597" s="6">
        <v>4.3125</v>
      </c>
      <c r="E9597" s="6">
        <v>16.0</v>
      </c>
    </row>
    <row r="9598">
      <c r="A9598" s="4" t="s">
        <v>19054</v>
      </c>
      <c r="B9598" s="5" t="s">
        <v>19055</v>
      </c>
      <c r="C9598" s="6">
        <v>507.0</v>
      </c>
      <c r="D9598" s="6">
        <v>3.0</v>
      </c>
      <c r="E9598" s="6">
        <v>1.0</v>
      </c>
    </row>
    <row r="9599">
      <c r="A9599" s="4" t="s">
        <v>19056</v>
      </c>
      <c r="B9599" s="5" t="s">
        <v>19057</v>
      </c>
      <c r="C9599" s="6">
        <v>507.0</v>
      </c>
      <c r="D9599" s="6">
        <v>4.0</v>
      </c>
      <c r="E9599" s="6">
        <v>4.0</v>
      </c>
    </row>
    <row r="9600">
      <c r="A9600" s="4" t="s">
        <v>19058</v>
      </c>
      <c r="B9600" s="5" t="s">
        <v>19059</v>
      </c>
      <c r="C9600" s="6">
        <v>507.0</v>
      </c>
      <c r="D9600" s="6">
        <v>3.25</v>
      </c>
      <c r="E9600" s="6">
        <v>4.0</v>
      </c>
    </row>
    <row r="9601">
      <c r="A9601" s="4" t="s">
        <v>19060</v>
      </c>
      <c r="B9601" s="5" t="s">
        <v>19061</v>
      </c>
      <c r="C9601" s="6">
        <v>507.0</v>
      </c>
      <c r="D9601" s="9"/>
      <c r="E9601" s="9"/>
    </row>
    <row r="9602">
      <c r="A9602" s="4" t="s">
        <v>19062</v>
      </c>
      <c r="B9602" s="5" t="s">
        <v>19063</v>
      </c>
      <c r="C9602" s="6">
        <v>507.0</v>
      </c>
      <c r="D9602" s="9"/>
      <c r="E9602" s="9"/>
    </row>
    <row r="9603">
      <c r="A9603" s="4" t="s">
        <v>19064</v>
      </c>
      <c r="B9603" s="5" t="s">
        <v>19065</v>
      </c>
      <c r="C9603" s="6">
        <v>507.0</v>
      </c>
      <c r="D9603" s="6">
        <v>5.0</v>
      </c>
      <c r="E9603" s="6">
        <v>6.0</v>
      </c>
    </row>
    <row r="9604">
      <c r="A9604" s="4" t="s">
        <v>19066</v>
      </c>
      <c r="B9604" s="5" t="s">
        <v>19067</v>
      </c>
      <c r="C9604" s="6">
        <v>507.0</v>
      </c>
      <c r="D9604" s="6">
        <v>4.407407407</v>
      </c>
      <c r="E9604" s="6">
        <v>27.0</v>
      </c>
    </row>
    <row r="9605">
      <c r="A9605" s="4" t="s">
        <v>19068</v>
      </c>
      <c r="B9605" s="5" t="s">
        <v>19069</v>
      </c>
      <c r="C9605" s="6">
        <v>506.0</v>
      </c>
      <c r="D9605" s="9"/>
      <c r="E9605" s="9"/>
    </row>
    <row r="9606">
      <c r="A9606" s="4" t="s">
        <v>19070</v>
      </c>
      <c r="B9606" s="5" t="s">
        <v>19071</v>
      </c>
      <c r="C9606" s="6">
        <v>506.0</v>
      </c>
      <c r="D9606" s="6">
        <v>3.0</v>
      </c>
      <c r="E9606" s="6">
        <v>2.0</v>
      </c>
    </row>
    <row r="9607">
      <c r="A9607" s="4" t="s">
        <v>19072</v>
      </c>
      <c r="B9607" s="5" t="s">
        <v>19073</v>
      </c>
      <c r="C9607" s="6">
        <v>506.0</v>
      </c>
      <c r="D9607" s="6">
        <v>5.0</v>
      </c>
      <c r="E9607" s="6">
        <v>1.0</v>
      </c>
    </row>
    <row r="9608">
      <c r="A9608" s="4" t="s">
        <v>19074</v>
      </c>
      <c r="B9608" s="5" t="s">
        <v>19075</v>
      </c>
      <c r="C9608" s="6">
        <v>506.0</v>
      </c>
      <c r="D9608" s="6">
        <v>4.875</v>
      </c>
      <c r="E9608" s="6">
        <v>8.0</v>
      </c>
    </row>
    <row r="9609">
      <c r="A9609" s="4" t="s">
        <v>19076</v>
      </c>
      <c r="B9609" s="5" t="s">
        <v>19077</v>
      </c>
      <c r="C9609" s="6">
        <v>505.0</v>
      </c>
      <c r="D9609" s="6">
        <v>5.0</v>
      </c>
      <c r="E9609" s="6">
        <v>4.0</v>
      </c>
    </row>
    <row r="9610">
      <c r="A9610" s="4" t="s">
        <v>19078</v>
      </c>
      <c r="B9610" s="5" t="s">
        <v>19079</v>
      </c>
      <c r="C9610" s="6">
        <v>505.0</v>
      </c>
      <c r="D9610" s="6">
        <v>5.0</v>
      </c>
      <c r="E9610" s="6">
        <v>4.0</v>
      </c>
    </row>
    <row r="9611">
      <c r="A9611" s="4" t="s">
        <v>19080</v>
      </c>
      <c r="B9611" s="5" t="s">
        <v>19081</v>
      </c>
      <c r="C9611" s="6">
        <v>505.0</v>
      </c>
      <c r="D9611" s="6">
        <v>3.0</v>
      </c>
      <c r="E9611" s="6">
        <v>2.0</v>
      </c>
    </row>
    <row r="9612">
      <c r="A9612" s="4" t="s">
        <v>19082</v>
      </c>
      <c r="B9612" s="5" t="s">
        <v>19083</v>
      </c>
      <c r="C9612" s="6">
        <v>505.0</v>
      </c>
      <c r="D9612" s="6">
        <v>4.666666667</v>
      </c>
      <c r="E9612" s="6">
        <v>3.0</v>
      </c>
    </row>
    <row r="9613">
      <c r="A9613" s="4" t="s">
        <v>19084</v>
      </c>
      <c r="B9613" s="5" t="s">
        <v>19085</v>
      </c>
      <c r="C9613" s="6">
        <v>505.0</v>
      </c>
      <c r="D9613" s="6">
        <v>4.0</v>
      </c>
      <c r="E9613" s="6">
        <v>4.0</v>
      </c>
    </row>
    <row r="9614">
      <c r="A9614" s="4" t="s">
        <v>19086</v>
      </c>
      <c r="B9614" s="5" t="s">
        <v>19087</v>
      </c>
      <c r="C9614" s="6">
        <v>505.0</v>
      </c>
      <c r="D9614" s="6">
        <v>4.944444444</v>
      </c>
      <c r="E9614" s="6">
        <v>18.0</v>
      </c>
    </row>
    <row r="9615">
      <c r="A9615" s="4" t="s">
        <v>19088</v>
      </c>
      <c r="B9615" s="5" t="s">
        <v>19089</v>
      </c>
      <c r="C9615" s="6">
        <v>505.0</v>
      </c>
      <c r="D9615" s="6">
        <v>5.0</v>
      </c>
      <c r="E9615" s="6">
        <v>3.0</v>
      </c>
    </row>
    <row r="9616">
      <c r="A9616" s="4" t="s">
        <v>19090</v>
      </c>
      <c r="B9616" s="5" t="s">
        <v>19091</v>
      </c>
      <c r="C9616" s="6">
        <v>505.0</v>
      </c>
      <c r="D9616" s="6">
        <v>3.428571429</v>
      </c>
      <c r="E9616" s="6">
        <v>7.0</v>
      </c>
    </row>
    <row r="9617">
      <c r="A9617" s="4" t="s">
        <v>19092</v>
      </c>
      <c r="B9617" s="5" t="s">
        <v>19093</v>
      </c>
      <c r="C9617" s="6">
        <v>505.0</v>
      </c>
      <c r="D9617" s="6">
        <v>2.0</v>
      </c>
      <c r="E9617" s="6">
        <v>2.0</v>
      </c>
    </row>
    <row r="9618">
      <c r="A9618" s="4" t="s">
        <v>19094</v>
      </c>
      <c r="B9618" s="5" t="s">
        <v>19095</v>
      </c>
      <c r="C9618" s="6">
        <v>505.0</v>
      </c>
      <c r="D9618" s="6">
        <v>4.857142857</v>
      </c>
      <c r="E9618" s="6">
        <v>7.0</v>
      </c>
    </row>
    <row r="9619">
      <c r="A9619" s="4" t="s">
        <v>19096</v>
      </c>
      <c r="B9619" s="5" t="s">
        <v>19097</v>
      </c>
      <c r="C9619" s="6">
        <v>504.0</v>
      </c>
      <c r="D9619" s="6">
        <v>4.25</v>
      </c>
      <c r="E9619" s="6">
        <v>4.0</v>
      </c>
    </row>
    <row r="9620">
      <c r="A9620" s="4" t="s">
        <v>19098</v>
      </c>
      <c r="B9620" s="5" t="s">
        <v>19099</v>
      </c>
      <c r="C9620" s="6">
        <v>504.0</v>
      </c>
      <c r="D9620" s="6">
        <v>4.75</v>
      </c>
      <c r="E9620" s="6">
        <v>4.0</v>
      </c>
    </row>
    <row r="9621">
      <c r="A9621" s="4" t="s">
        <v>19100</v>
      </c>
      <c r="B9621" s="5" t="s">
        <v>19101</v>
      </c>
      <c r="C9621" s="6">
        <v>504.0</v>
      </c>
      <c r="D9621" s="6">
        <v>4.75</v>
      </c>
      <c r="E9621" s="6">
        <v>4.0</v>
      </c>
    </row>
    <row r="9622">
      <c r="A9622" s="4" t="s">
        <v>19102</v>
      </c>
      <c r="B9622" s="5" t="s">
        <v>19103</v>
      </c>
      <c r="C9622" s="6">
        <v>504.0</v>
      </c>
      <c r="D9622" s="6">
        <v>3.166666667</v>
      </c>
      <c r="E9622" s="6">
        <v>6.0</v>
      </c>
    </row>
    <row r="9623">
      <c r="A9623" s="4" t="s">
        <v>19104</v>
      </c>
      <c r="B9623" s="5" t="s">
        <v>19105</v>
      </c>
      <c r="C9623" s="6">
        <v>504.0</v>
      </c>
      <c r="D9623" s="6">
        <v>5.0</v>
      </c>
      <c r="E9623" s="6">
        <v>1.0</v>
      </c>
    </row>
    <row r="9624">
      <c r="A9624" s="4" t="s">
        <v>19106</v>
      </c>
      <c r="B9624" s="5" t="s">
        <v>19107</v>
      </c>
      <c r="C9624" s="6">
        <v>504.0</v>
      </c>
      <c r="D9624" s="6">
        <v>5.0</v>
      </c>
      <c r="E9624" s="6">
        <v>18.0</v>
      </c>
    </row>
    <row r="9625">
      <c r="A9625" s="4" t="s">
        <v>19108</v>
      </c>
      <c r="B9625" s="5" t="s">
        <v>19109</v>
      </c>
      <c r="C9625" s="6">
        <v>504.0</v>
      </c>
      <c r="D9625" s="6">
        <v>3.4</v>
      </c>
      <c r="E9625" s="6">
        <v>5.0</v>
      </c>
    </row>
    <row r="9626">
      <c r="A9626" s="4" t="s">
        <v>19110</v>
      </c>
      <c r="B9626" s="5" t="s">
        <v>19111</v>
      </c>
      <c r="C9626" s="6">
        <v>504.0</v>
      </c>
      <c r="D9626" s="6">
        <v>3.333333333</v>
      </c>
      <c r="E9626" s="6">
        <v>9.0</v>
      </c>
    </row>
    <row r="9627">
      <c r="A9627" s="4" t="s">
        <v>19112</v>
      </c>
      <c r="B9627" s="5" t="s">
        <v>19113</v>
      </c>
      <c r="C9627" s="6">
        <v>504.0</v>
      </c>
      <c r="D9627" s="6">
        <v>1.666666667</v>
      </c>
      <c r="E9627" s="6">
        <v>3.0</v>
      </c>
    </row>
    <row r="9628">
      <c r="A9628" s="4" t="s">
        <v>19114</v>
      </c>
      <c r="B9628" s="5" t="s">
        <v>19115</v>
      </c>
      <c r="C9628" s="6">
        <v>504.0</v>
      </c>
      <c r="D9628" s="6">
        <v>3.15</v>
      </c>
      <c r="E9628" s="6">
        <v>20.0</v>
      </c>
    </row>
    <row r="9629">
      <c r="A9629" s="4" t="s">
        <v>19116</v>
      </c>
      <c r="B9629" s="5" t="s">
        <v>19117</v>
      </c>
      <c r="C9629" s="6">
        <v>504.0</v>
      </c>
      <c r="D9629" s="6">
        <v>4.0</v>
      </c>
      <c r="E9629" s="6">
        <v>5.0</v>
      </c>
    </row>
    <row r="9630">
      <c r="A9630" s="4" t="s">
        <v>19118</v>
      </c>
      <c r="B9630" s="5" t="s">
        <v>19119</v>
      </c>
      <c r="C9630" s="6">
        <v>504.0</v>
      </c>
      <c r="D9630" s="6">
        <v>5.0</v>
      </c>
      <c r="E9630" s="6">
        <v>3.0</v>
      </c>
    </row>
    <row r="9631">
      <c r="A9631" s="4" t="s">
        <v>19120</v>
      </c>
      <c r="B9631" s="5" t="s">
        <v>19121</v>
      </c>
      <c r="C9631" s="6">
        <v>504.0</v>
      </c>
      <c r="D9631" s="6">
        <v>4.142857143</v>
      </c>
      <c r="E9631" s="6">
        <v>28.0</v>
      </c>
    </row>
    <row r="9632">
      <c r="A9632" s="4" t="s">
        <v>19122</v>
      </c>
      <c r="B9632" s="5" t="s">
        <v>19123</v>
      </c>
      <c r="C9632" s="6">
        <v>504.0</v>
      </c>
      <c r="D9632" s="6">
        <v>5.0</v>
      </c>
      <c r="E9632" s="6">
        <v>4.0</v>
      </c>
    </row>
    <row r="9633">
      <c r="A9633" s="4" t="s">
        <v>19124</v>
      </c>
      <c r="B9633" s="5" t="s">
        <v>19125</v>
      </c>
      <c r="C9633" s="6">
        <v>503.0</v>
      </c>
      <c r="D9633" s="6">
        <v>5.0</v>
      </c>
      <c r="E9633" s="6">
        <v>8.0</v>
      </c>
    </row>
    <row r="9634">
      <c r="A9634" s="4" t="s">
        <v>19126</v>
      </c>
      <c r="B9634" s="5" t="s">
        <v>19127</v>
      </c>
      <c r="C9634" s="6">
        <v>503.0</v>
      </c>
      <c r="D9634" s="6">
        <v>4.727272727</v>
      </c>
      <c r="E9634" s="6">
        <v>11.0</v>
      </c>
    </row>
    <row r="9635">
      <c r="A9635" s="4" t="s">
        <v>19128</v>
      </c>
      <c r="B9635" s="5" t="s">
        <v>19129</v>
      </c>
      <c r="C9635" s="6">
        <v>503.0</v>
      </c>
      <c r="D9635" s="6">
        <v>4.285714286</v>
      </c>
      <c r="E9635" s="6">
        <v>14.0</v>
      </c>
    </row>
    <row r="9636">
      <c r="A9636" s="4" t="s">
        <v>19130</v>
      </c>
      <c r="B9636" s="5" t="s">
        <v>19131</v>
      </c>
      <c r="C9636" s="6">
        <v>503.0</v>
      </c>
      <c r="D9636" s="6">
        <v>3.5</v>
      </c>
      <c r="E9636" s="6">
        <v>6.0</v>
      </c>
    </row>
    <row r="9637">
      <c r="A9637" s="4" t="s">
        <v>19132</v>
      </c>
      <c r="B9637" s="5" t="s">
        <v>19133</v>
      </c>
      <c r="C9637" s="6">
        <v>503.0</v>
      </c>
      <c r="D9637" s="6">
        <v>5.0</v>
      </c>
      <c r="E9637" s="6">
        <v>4.0</v>
      </c>
    </row>
    <row r="9638">
      <c r="A9638" s="4" t="s">
        <v>19134</v>
      </c>
      <c r="B9638" s="5" t="s">
        <v>19135</v>
      </c>
      <c r="C9638" s="6">
        <v>503.0</v>
      </c>
      <c r="D9638" s="6">
        <v>4.111111111</v>
      </c>
      <c r="E9638" s="6">
        <v>9.0</v>
      </c>
    </row>
    <row r="9639">
      <c r="A9639" s="4" t="s">
        <v>19136</v>
      </c>
      <c r="B9639" s="5" t="s">
        <v>19137</v>
      </c>
      <c r="C9639" s="6">
        <v>502.0</v>
      </c>
      <c r="D9639" s="6">
        <v>5.0</v>
      </c>
      <c r="E9639" s="6">
        <v>2.0</v>
      </c>
    </row>
    <row r="9640">
      <c r="A9640" s="4" t="s">
        <v>19138</v>
      </c>
      <c r="B9640" s="5" t="s">
        <v>19139</v>
      </c>
      <c r="C9640" s="6">
        <v>502.0</v>
      </c>
      <c r="D9640" s="6">
        <v>5.0</v>
      </c>
      <c r="E9640" s="6">
        <v>4.0</v>
      </c>
    </row>
    <row r="9641">
      <c r="A9641" s="4" t="s">
        <v>19140</v>
      </c>
      <c r="B9641" s="5" t="s">
        <v>19141</v>
      </c>
      <c r="C9641" s="6">
        <v>502.0</v>
      </c>
      <c r="D9641" s="6">
        <v>1.8</v>
      </c>
      <c r="E9641" s="6">
        <v>5.0</v>
      </c>
    </row>
    <row r="9642">
      <c r="A9642" s="4" t="s">
        <v>19142</v>
      </c>
      <c r="B9642" s="5" t="s">
        <v>19143</v>
      </c>
      <c r="C9642" s="6">
        <v>502.0</v>
      </c>
      <c r="D9642" s="6">
        <v>5.0</v>
      </c>
      <c r="E9642" s="6">
        <v>12.0</v>
      </c>
    </row>
    <row r="9643">
      <c r="A9643" s="4" t="s">
        <v>19144</v>
      </c>
      <c r="B9643" s="5" t="s">
        <v>19145</v>
      </c>
      <c r="C9643" s="6">
        <v>502.0</v>
      </c>
      <c r="D9643" s="6">
        <v>3.5</v>
      </c>
      <c r="E9643" s="6">
        <v>8.0</v>
      </c>
    </row>
    <row r="9644">
      <c r="A9644" s="4" t="s">
        <v>19146</v>
      </c>
      <c r="B9644" s="5" t="s">
        <v>19147</v>
      </c>
      <c r="C9644" s="6">
        <v>502.0</v>
      </c>
      <c r="D9644" s="6">
        <v>5.0</v>
      </c>
      <c r="E9644" s="6">
        <v>1.0</v>
      </c>
    </row>
    <row r="9645">
      <c r="A9645" s="4" t="s">
        <v>19148</v>
      </c>
      <c r="B9645" s="5" t="s">
        <v>19149</v>
      </c>
      <c r="C9645" s="6">
        <v>502.0</v>
      </c>
      <c r="D9645" s="6">
        <v>3.666666667</v>
      </c>
      <c r="E9645" s="6">
        <v>12.0</v>
      </c>
    </row>
    <row r="9646">
      <c r="A9646" s="4" t="s">
        <v>19150</v>
      </c>
      <c r="B9646" s="5" t="s">
        <v>19151</v>
      </c>
      <c r="C9646" s="6">
        <v>502.0</v>
      </c>
      <c r="D9646" s="6">
        <v>4.5</v>
      </c>
      <c r="E9646" s="6">
        <v>12.0</v>
      </c>
    </row>
    <row r="9647">
      <c r="A9647" s="4" t="s">
        <v>19152</v>
      </c>
      <c r="B9647" s="5" t="s">
        <v>19153</v>
      </c>
      <c r="C9647" s="6">
        <v>502.0</v>
      </c>
      <c r="D9647" s="6">
        <v>4.428571429</v>
      </c>
      <c r="E9647" s="6">
        <v>7.0</v>
      </c>
    </row>
    <row r="9648">
      <c r="A9648" s="4" t="s">
        <v>19154</v>
      </c>
      <c r="B9648" s="5" t="s">
        <v>19155</v>
      </c>
      <c r="C9648" s="6">
        <v>502.0</v>
      </c>
      <c r="D9648" s="9"/>
      <c r="E9648" s="9"/>
    </row>
    <row r="9649">
      <c r="A9649" s="4" t="s">
        <v>19156</v>
      </c>
      <c r="B9649" s="5" t="s">
        <v>19157</v>
      </c>
      <c r="C9649" s="6">
        <v>502.0</v>
      </c>
      <c r="D9649" s="6">
        <v>4.888888889</v>
      </c>
      <c r="E9649" s="6">
        <v>9.0</v>
      </c>
    </row>
    <row r="9650">
      <c r="A9650" s="4" t="s">
        <v>19158</v>
      </c>
      <c r="B9650" s="12" t="s">
        <v>19159</v>
      </c>
      <c r="C9650" s="6">
        <v>501.0</v>
      </c>
      <c r="D9650" s="6">
        <v>3.8</v>
      </c>
      <c r="E9650" s="6">
        <v>18.0</v>
      </c>
    </row>
    <row r="9651">
      <c r="A9651" s="4" t="s">
        <v>19160</v>
      </c>
      <c r="B9651" s="5" t="s">
        <v>19161</v>
      </c>
      <c r="C9651" s="6">
        <v>501.0</v>
      </c>
      <c r="D9651" s="6">
        <v>4.8</v>
      </c>
      <c r="E9651" s="6">
        <v>5.0</v>
      </c>
    </row>
    <row r="9652">
      <c r="A9652" s="4" t="s">
        <v>19162</v>
      </c>
      <c r="B9652" s="5" t="s">
        <v>19163</v>
      </c>
      <c r="C9652" s="6">
        <v>501.0</v>
      </c>
      <c r="D9652" s="6">
        <v>5.0</v>
      </c>
      <c r="E9652" s="6">
        <v>2.0</v>
      </c>
    </row>
    <row r="9653">
      <c r="A9653" s="4" t="s">
        <v>19164</v>
      </c>
      <c r="B9653" s="5" t="s">
        <v>19165</v>
      </c>
      <c r="C9653" s="6">
        <v>501.0</v>
      </c>
      <c r="D9653" s="6">
        <v>4.0</v>
      </c>
      <c r="E9653" s="6">
        <v>4.0</v>
      </c>
    </row>
    <row r="9654">
      <c r="A9654" s="4" t="s">
        <v>19166</v>
      </c>
      <c r="B9654" s="5" t="s">
        <v>19167</v>
      </c>
      <c r="C9654" s="6">
        <v>501.0</v>
      </c>
      <c r="D9654" s="6">
        <v>5.0</v>
      </c>
      <c r="E9654" s="6">
        <v>4.0</v>
      </c>
    </row>
    <row r="9655">
      <c r="A9655" s="4" t="s">
        <v>19168</v>
      </c>
      <c r="B9655" s="5" t="s">
        <v>19169</v>
      </c>
      <c r="C9655" s="6">
        <v>501.0</v>
      </c>
      <c r="D9655" s="6">
        <v>4.0</v>
      </c>
      <c r="E9655" s="6">
        <v>9.0</v>
      </c>
    </row>
    <row r="9656">
      <c r="A9656" s="4" t="s">
        <v>19170</v>
      </c>
      <c r="B9656" s="12" t="s">
        <v>19171</v>
      </c>
      <c r="C9656" s="6">
        <v>501.0</v>
      </c>
      <c r="D9656" s="6">
        <v>3.0</v>
      </c>
      <c r="E9656" s="6">
        <v>2.0</v>
      </c>
    </row>
    <row r="9657">
      <c r="A9657" s="4" t="s">
        <v>19172</v>
      </c>
      <c r="B9657" s="5" t="s">
        <v>19173</v>
      </c>
      <c r="C9657" s="6">
        <v>501.0</v>
      </c>
      <c r="D9657" s="6">
        <v>3.5</v>
      </c>
      <c r="E9657" s="6">
        <v>8.0</v>
      </c>
    </row>
    <row r="9658">
      <c r="A9658" s="4" t="s">
        <v>19174</v>
      </c>
      <c r="B9658" s="5" t="s">
        <v>19175</v>
      </c>
      <c r="C9658" s="6">
        <v>501.0</v>
      </c>
      <c r="D9658" s="6">
        <v>5.0</v>
      </c>
      <c r="E9658" s="6">
        <v>1.0</v>
      </c>
    </row>
    <row r="9659">
      <c r="A9659" s="4" t="s">
        <v>19176</v>
      </c>
      <c r="B9659" s="5" t="s">
        <v>19177</v>
      </c>
      <c r="C9659" s="6">
        <v>501.0</v>
      </c>
      <c r="D9659" s="6">
        <v>5.0</v>
      </c>
      <c r="E9659" s="6">
        <v>5.0</v>
      </c>
    </row>
    <row r="9660">
      <c r="A9660" s="4" t="s">
        <v>19178</v>
      </c>
      <c r="B9660" s="5" t="s">
        <v>19179</v>
      </c>
      <c r="C9660" s="6">
        <v>501.0</v>
      </c>
      <c r="D9660" s="6">
        <v>4.714285714</v>
      </c>
      <c r="E9660" s="6">
        <v>7.0</v>
      </c>
    </row>
    <row r="9661">
      <c r="C9661" s="6"/>
      <c r="D9661" s="6"/>
      <c r="E9661" s="6"/>
    </row>
    <row r="9662">
      <c r="B9662" s="18"/>
      <c r="C9662" s="9"/>
      <c r="D9662" s="6"/>
      <c r="E9662" s="6"/>
    </row>
    <row r="9663">
      <c r="B9663" s="19"/>
      <c r="C9663" s="7"/>
      <c r="D9663" s="6"/>
      <c r="E9663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A247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6"/>
    <hyperlink r:id="rId277" ref="B277"/>
    <hyperlink r:id="rId278" ref="B278"/>
    <hyperlink r:id="rId279" ref="B279"/>
    <hyperlink r:id="rId280" ref="B280"/>
    <hyperlink r:id="rId281" ref="B281"/>
    <hyperlink r:id="rId282" ref="B282"/>
    <hyperlink r:id="rId283" ref="B283"/>
    <hyperlink r:id="rId284" ref="B284"/>
    <hyperlink r:id="rId285" ref="B285"/>
    <hyperlink r:id="rId286" ref="B286"/>
    <hyperlink r:id="rId287" ref="B287"/>
    <hyperlink r:id="rId288" ref="B288"/>
    <hyperlink r:id="rId289" ref="B289"/>
    <hyperlink r:id="rId290" ref="B290"/>
    <hyperlink r:id="rId291" ref="B291"/>
    <hyperlink r:id="rId292" ref="B292"/>
    <hyperlink r:id="rId293" ref="B293"/>
    <hyperlink r:id="rId294" ref="B294"/>
    <hyperlink r:id="rId295" ref="B295"/>
    <hyperlink r:id="rId296" ref="B296"/>
    <hyperlink r:id="rId297" ref="B297"/>
    <hyperlink r:id="rId298" ref="B298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ref="B309"/>
    <hyperlink r:id="rId310" ref="B310"/>
    <hyperlink r:id="rId311" ref="B311"/>
    <hyperlink r:id="rId312" ref="B312"/>
    <hyperlink r:id="rId313" ref="B313"/>
    <hyperlink r:id="rId314" ref="B314"/>
    <hyperlink r:id="rId315" ref="B315"/>
    <hyperlink r:id="rId316" ref="B316"/>
    <hyperlink r:id="rId317" ref="B317"/>
    <hyperlink r:id="rId318" ref="B318"/>
    <hyperlink r:id="rId319" ref="B319"/>
    <hyperlink r:id="rId320" ref="B320"/>
    <hyperlink r:id="rId321" ref="B321"/>
    <hyperlink r:id="rId322" ref="B322"/>
    <hyperlink r:id="rId323" ref="B323"/>
    <hyperlink r:id="rId324" ref="B324"/>
    <hyperlink r:id="rId325" ref="B325"/>
    <hyperlink r:id="rId326" ref="B326"/>
    <hyperlink r:id="rId327" ref="B327"/>
    <hyperlink r:id="rId328" ref="B328"/>
    <hyperlink r:id="rId329" ref="B329"/>
    <hyperlink r:id="rId330" ref="B330"/>
    <hyperlink r:id="rId331" ref="B331"/>
    <hyperlink r:id="rId332" ref="B332"/>
    <hyperlink r:id="rId333" ref="B333"/>
    <hyperlink r:id="rId334" ref="B334"/>
    <hyperlink r:id="rId335" ref="B335"/>
    <hyperlink r:id="rId336" ref="B336"/>
    <hyperlink r:id="rId337" ref="B337"/>
    <hyperlink r:id="rId338" ref="B338"/>
    <hyperlink r:id="rId339" ref="B339"/>
    <hyperlink r:id="rId340" ref="B340"/>
    <hyperlink r:id="rId341" ref="B341"/>
    <hyperlink r:id="rId342" ref="B342"/>
    <hyperlink r:id="rId343" ref="B343"/>
    <hyperlink r:id="rId344" ref="B344"/>
    <hyperlink r:id="rId345" ref="B345"/>
    <hyperlink r:id="rId346" ref="B346"/>
    <hyperlink r:id="rId347" ref="B347"/>
    <hyperlink r:id="rId348" ref="B348"/>
    <hyperlink r:id="rId349" ref="B349"/>
    <hyperlink r:id="rId350" ref="B350"/>
    <hyperlink r:id="rId351" ref="B351"/>
    <hyperlink r:id="rId352" ref="B352"/>
    <hyperlink r:id="rId353" ref="B353"/>
    <hyperlink r:id="rId354" ref="B354"/>
    <hyperlink r:id="rId355" ref="B355"/>
    <hyperlink r:id="rId356" ref="B356"/>
    <hyperlink r:id="rId357" ref="B357"/>
    <hyperlink r:id="rId358" ref="B358"/>
    <hyperlink r:id="rId359" ref="B359"/>
    <hyperlink r:id="rId360" ref="B360"/>
    <hyperlink r:id="rId361" ref="B361"/>
    <hyperlink r:id="rId362" ref="B362"/>
    <hyperlink r:id="rId363" ref="B363"/>
    <hyperlink r:id="rId364" ref="B364"/>
    <hyperlink r:id="rId365" ref="B365"/>
    <hyperlink r:id="rId366" ref="B366"/>
    <hyperlink r:id="rId367" ref="B367"/>
    <hyperlink r:id="rId368" ref="B368"/>
    <hyperlink r:id="rId369" ref="B369"/>
    <hyperlink r:id="rId370" ref="B370"/>
    <hyperlink r:id="rId371" ref="B371"/>
    <hyperlink r:id="rId372" ref="B372"/>
    <hyperlink r:id="rId373" ref="B373"/>
    <hyperlink r:id="rId374" ref="B374"/>
    <hyperlink r:id="rId375" ref="B375"/>
    <hyperlink r:id="rId376" ref="B376"/>
    <hyperlink r:id="rId377" ref="B377"/>
    <hyperlink r:id="rId378" ref="B378"/>
    <hyperlink r:id="rId379" ref="B379"/>
    <hyperlink r:id="rId380" ref="B380"/>
    <hyperlink r:id="rId381" ref="B381"/>
    <hyperlink r:id="rId382" ref="B382"/>
    <hyperlink r:id="rId383" ref="B383"/>
    <hyperlink r:id="rId384" ref="B384"/>
    <hyperlink r:id="rId385" ref="B385"/>
    <hyperlink r:id="rId386" ref="B386"/>
    <hyperlink r:id="rId387" ref="B387"/>
    <hyperlink r:id="rId388" ref="B388"/>
    <hyperlink r:id="rId389" ref="B389"/>
    <hyperlink r:id="rId390" ref="B390"/>
    <hyperlink r:id="rId391" ref="B391"/>
    <hyperlink r:id="rId392" ref="B392"/>
    <hyperlink r:id="rId393" ref="B393"/>
    <hyperlink r:id="rId394" ref="B394"/>
    <hyperlink r:id="rId395" ref="B395"/>
    <hyperlink r:id="rId396" ref="B396"/>
    <hyperlink r:id="rId397" ref="B397"/>
    <hyperlink r:id="rId398" ref="B398"/>
    <hyperlink r:id="rId399" ref="B399"/>
    <hyperlink r:id="rId400" ref="B400"/>
    <hyperlink r:id="rId401" ref="B401"/>
    <hyperlink r:id="rId402" ref="B402"/>
    <hyperlink r:id="rId403" ref="B403"/>
    <hyperlink r:id="rId404" ref="B404"/>
    <hyperlink r:id="rId405" ref="B405"/>
    <hyperlink r:id="rId406" ref="B406"/>
    <hyperlink r:id="rId407" ref="B407"/>
    <hyperlink r:id="rId408" ref="B408"/>
    <hyperlink r:id="rId409" ref="B409"/>
    <hyperlink r:id="rId410" ref="B410"/>
    <hyperlink r:id="rId411" ref="B411"/>
    <hyperlink r:id="rId412" ref="B412"/>
    <hyperlink r:id="rId413" ref="B413"/>
    <hyperlink r:id="rId414" ref="B414"/>
    <hyperlink r:id="rId415" ref="B415"/>
    <hyperlink r:id="rId416" ref="B416"/>
    <hyperlink r:id="rId417" ref="B417"/>
    <hyperlink r:id="rId418" ref="B418"/>
    <hyperlink r:id="rId419" ref="B419"/>
    <hyperlink r:id="rId420" ref="B420"/>
    <hyperlink r:id="rId421" ref="B421"/>
    <hyperlink r:id="rId422" ref="B422"/>
    <hyperlink r:id="rId423" ref="B423"/>
    <hyperlink r:id="rId424" ref="B424"/>
    <hyperlink r:id="rId425" ref="B425"/>
    <hyperlink r:id="rId426" ref="B426"/>
    <hyperlink r:id="rId427" ref="B427"/>
    <hyperlink r:id="rId428" ref="B428"/>
    <hyperlink r:id="rId429" ref="B429"/>
    <hyperlink r:id="rId430" ref="B430"/>
    <hyperlink r:id="rId431" ref="B431"/>
    <hyperlink r:id="rId432" ref="B432"/>
    <hyperlink r:id="rId433" ref="B433"/>
    <hyperlink r:id="rId434" ref="B434"/>
    <hyperlink r:id="rId435" ref="B435"/>
    <hyperlink r:id="rId436" ref="B436"/>
    <hyperlink r:id="rId437" ref="B437"/>
    <hyperlink r:id="rId438" ref="B438"/>
    <hyperlink r:id="rId439" ref="B439"/>
    <hyperlink r:id="rId440" ref="B440"/>
    <hyperlink r:id="rId441" ref="B441"/>
    <hyperlink r:id="rId442" ref="B442"/>
    <hyperlink r:id="rId443" ref="B443"/>
    <hyperlink r:id="rId444" ref="B444"/>
    <hyperlink r:id="rId445" ref="B445"/>
    <hyperlink r:id="rId446" ref="B446"/>
    <hyperlink r:id="rId447" ref="B447"/>
    <hyperlink r:id="rId448" ref="B448"/>
    <hyperlink r:id="rId449" ref="B449"/>
    <hyperlink r:id="rId450" ref="B450"/>
    <hyperlink r:id="rId451" ref="B451"/>
    <hyperlink r:id="rId452" ref="B452"/>
    <hyperlink r:id="rId453" ref="B453"/>
    <hyperlink r:id="rId454" ref="B454"/>
    <hyperlink r:id="rId455" ref="B455"/>
    <hyperlink r:id="rId456" ref="B456"/>
    <hyperlink r:id="rId457" ref="B457"/>
    <hyperlink r:id="rId458" ref="B458"/>
    <hyperlink r:id="rId459" ref="B459"/>
    <hyperlink r:id="rId460" ref="B460"/>
    <hyperlink r:id="rId461" ref="B461"/>
    <hyperlink r:id="rId462" ref="B462"/>
    <hyperlink r:id="rId463" ref="B463"/>
    <hyperlink r:id="rId464" ref="B464"/>
    <hyperlink r:id="rId465" ref="B465"/>
    <hyperlink r:id="rId466" ref="B466"/>
    <hyperlink r:id="rId467" ref="B467"/>
    <hyperlink r:id="rId468" ref="B468"/>
    <hyperlink r:id="rId469" ref="B469"/>
    <hyperlink r:id="rId470" ref="B470"/>
    <hyperlink r:id="rId471" ref="B471"/>
    <hyperlink r:id="rId472" ref="B472"/>
    <hyperlink r:id="rId473" ref="B473"/>
    <hyperlink r:id="rId474" ref="B474"/>
    <hyperlink r:id="rId475" ref="B475"/>
    <hyperlink r:id="rId476" ref="B476"/>
    <hyperlink r:id="rId477" ref="B477"/>
    <hyperlink r:id="rId478" ref="B478"/>
    <hyperlink r:id="rId479" ref="B479"/>
    <hyperlink r:id="rId480" ref="B480"/>
    <hyperlink r:id="rId481" ref="B481"/>
    <hyperlink r:id="rId482" ref="B482"/>
    <hyperlink r:id="rId483" ref="B483"/>
    <hyperlink r:id="rId484" ref="B484"/>
    <hyperlink r:id="rId485" ref="B485"/>
    <hyperlink r:id="rId486" ref="B486"/>
    <hyperlink r:id="rId487" ref="B487"/>
    <hyperlink r:id="rId488" ref="B488"/>
    <hyperlink r:id="rId489" ref="B489"/>
    <hyperlink r:id="rId490" ref="B490"/>
    <hyperlink r:id="rId491" ref="B491"/>
    <hyperlink r:id="rId492" ref="B492"/>
    <hyperlink r:id="rId493" ref="B493"/>
    <hyperlink r:id="rId494" ref="B494"/>
    <hyperlink r:id="rId495" ref="B495"/>
    <hyperlink r:id="rId496" ref="B496"/>
    <hyperlink r:id="rId497" ref="B497"/>
    <hyperlink r:id="rId498" ref="B498"/>
    <hyperlink r:id="rId499" ref="B499"/>
    <hyperlink r:id="rId500" ref="B500"/>
    <hyperlink r:id="rId501" ref="B501"/>
    <hyperlink r:id="rId502" ref="B502"/>
    <hyperlink r:id="rId503" ref="B503"/>
    <hyperlink r:id="rId504" ref="B504"/>
    <hyperlink r:id="rId505" ref="B505"/>
    <hyperlink r:id="rId506" ref="B506"/>
    <hyperlink r:id="rId507" ref="B507"/>
    <hyperlink r:id="rId508" ref="B508"/>
    <hyperlink r:id="rId509" ref="B509"/>
    <hyperlink r:id="rId510" ref="B510"/>
    <hyperlink r:id="rId511" ref="B511"/>
    <hyperlink r:id="rId512" ref="B512"/>
    <hyperlink r:id="rId513" ref="B513"/>
    <hyperlink r:id="rId514" ref="B514"/>
    <hyperlink r:id="rId515" ref="B515"/>
    <hyperlink r:id="rId516" ref="B516"/>
    <hyperlink r:id="rId517" ref="B517"/>
    <hyperlink r:id="rId518" ref="B518"/>
    <hyperlink r:id="rId519" ref="B519"/>
    <hyperlink r:id="rId520" ref="B520"/>
    <hyperlink r:id="rId521" ref="B521"/>
    <hyperlink r:id="rId522" ref="B522"/>
    <hyperlink r:id="rId523" ref="B523"/>
    <hyperlink r:id="rId524" ref="B524"/>
    <hyperlink r:id="rId525" ref="B525"/>
    <hyperlink r:id="rId526" ref="B526"/>
    <hyperlink r:id="rId527" ref="B527"/>
    <hyperlink r:id="rId528" ref="B528"/>
    <hyperlink r:id="rId529" ref="B529"/>
    <hyperlink r:id="rId530" ref="B530"/>
    <hyperlink r:id="rId531" ref="B531"/>
    <hyperlink r:id="rId532" ref="B532"/>
    <hyperlink r:id="rId533" ref="B533"/>
    <hyperlink r:id="rId534" ref="B534"/>
    <hyperlink r:id="rId535" ref="B535"/>
    <hyperlink r:id="rId536" ref="B536"/>
    <hyperlink r:id="rId537" ref="B537"/>
    <hyperlink r:id="rId538" ref="B538"/>
    <hyperlink r:id="rId539" ref="B539"/>
    <hyperlink r:id="rId540" ref="B540"/>
    <hyperlink r:id="rId541" ref="B541"/>
    <hyperlink r:id="rId542" ref="A542"/>
    <hyperlink r:id="rId543" ref="B542"/>
    <hyperlink r:id="rId544" ref="B543"/>
    <hyperlink r:id="rId545" ref="B544"/>
    <hyperlink r:id="rId546" ref="B545"/>
    <hyperlink r:id="rId547" ref="B546"/>
    <hyperlink r:id="rId548" ref="B547"/>
    <hyperlink r:id="rId549" ref="B548"/>
    <hyperlink r:id="rId550" ref="B549"/>
    <hyperlink r:id="rId551" ref="B550"/>
    <hyperlink r:id="rId552" ref="B551"/>
    <hyperlink r:id="rId553" ref="B552"/>
    <hyperlink r:id="rId554" ref="B553"/>
    <hyperlink r:id="rId555" ref="B554"/>
    <hyperlink r:id="rId556" ref="B555"/>
    <hyperlink r:id="rId557" ref="B556"/>
    <hyperlink r:id="rId558" ref="B557"/>
    <hyperlink r:id="rId559" ref="B558"/>
    <hyperlink r:id="rId560" ref="B559"/>
    <hyperlink r:id="rId561" ref="B560"/>
    <hyperlink r:id="rId562" ref="B561"/>
    <hyperlink r:id="rId563" ref="B562"/>
    <hyperlink r:id="rId564" ref="B563"/>
    <hyperlink r:id="rId565" ref="B564"/>
    <hyperlink r:id="rId566" ref="B565"/>
    <hyperlink r:id="rId567" ref="B566"/>
    <hyperlink r:id="rId568" ref="B567"/>
    <hyperlink r:id="rId569" ref="B568"/>
    <hyperlink r:id="rId570" ref="B569"/>
    <hyperlink r:id="rId571" ref="B570"/>
    <hyperlink r:id="rId572" ref="B571"/>
    <hyperlink r:id="rId573" ref="B572"/>
    <hyperlink r:id="rId574" ref="B573"/>
    <hyperlink r:id="rId575" ref="B574"/>
    <hyperlink r:id="rId576" ref="B575"/>
    <hyperlink r:id="rId577" ref="B576"/>
    <hyperlink r:id="rId578" ref="B577"/>
    <hyperlink r:id="rId579" ref="A578"/>
    <hyperlink r:id="rId580" ref="B578"/>
    <hyperlink r:id="rId581" ref="B579"/>
    <hyperlink r:id="rId582" ref="B580"/>
    <hyperlink r:id="rId583" ref="B581"/>
    <hyperlink r:id="rId584" ref="B582"/>
    <hyperlink r:id="rId585" ref="B583"/>
    <hyperlink r:id="rId586" ref="B584"/>
    <hyperlink r:id="rId587" ref="B585"/>
    <hyperlink r:id="rId588" ref="B586"/>
    <hyperlink r:id="rId589" ref="B587"/>
    <hyperlink r:id="rId590" ref="B588"/>
    <hyperlink r:id="rId591" ref="B589"/>
    <hyperlink r:id="rId592" ref="B590"/>
    <hyperlink r:id="rId593" ref="B591"/>
    <hyperlink r:id="rId594" ref="B592"/>
    <hyperlink r:id="rId595" ref="B593"/>
    <hyperlink r:id="rId596" ref="B594"/>
    <hyperlink r:id="rId597" ref="B595"/>
    <hyperlink r:id="rId598" ref="B596"/>
    <hyperlink r:id="rId599" ref="B597"/>
    <hyperlink r:id="rId600" ref="B598"/>
    <hyperlink r:id="rId601" ref="B599"/>
    <hyperlink r:id="rId602" ref="B600"/>
    <hyperlink r:id="rId603" ref="B601"/>
    <hyperlink r:id="rId604" ref="B602"/>
    <hyperlink r:id="rId605" ref="B603"/>
    <hyperlink r:id="rId606" ref="B604"/>
    <hyperlink r:id="rId607" ref="B605"/>
    <hyperlink r:id="rId608" ref="B606"/>
    <hyperlink r:id="rId609" ref="B607"/>
    <hyperlink r:id="rId610" ref="B608"/>
    <hyperlink r:id="rId611" ref="B609"/>
    <hyperlink r:id="rId612" ref="B610"/>
    <hyperlink r:id="rId613" ref="B611"/>
    <hyperlink r:id="rId614" ref="B612"/>
    <hyperlink r:id="rId615" ref="B613"/>
    <hyperlink r:id="rId616" ref="B614"/>
    <hyperlink r:id="rId617" ref="B615"/>
    <hyperlink r:id="rId618" ref="B616"/>
    <hyperlink r:id="rId619" ref="B617"/>
    <hyperlink r:id="rId620" ref="B618"/>
    <hyperlink r:id="rId621" ref="B619"/>
    <hyperlink r:id="rId622" ref="B620"/>
    <hyperlink r:id="rId623" ref="B621"/>
    <hyperlink r:id="rId624" ref="B622"/>
    <hyperlink r:id="rId625" ref="B623"/>
    <hyperlink r:id="rId626" ref="B624"/>
    <hyperlink r:id="rId627" ref="B625"/>
    <hyperlink r:id="rId628" ref="B626"/>
    <hyperlink r:id="rId629" ref="B627"/>
    <hyperlink r:id="rId630" ref="B628"/>
    <hyperlink r:id="rId631" ref="B629"/>
    <hyperlink r:id="rId632" ref="B630"/>
    <hyperlink r:id="rId633" ref="B631"/>
    <hyperlink r:id="rId634" ref="B632"/>
    <hyperlink r:id="rId635" ref="B633"/>
    <hyperlink r:id="rId636" ref="B634"/>
    <hyperlink r:id="rId637" ref="B635"/>
    <hyperlink r:id="rId638" ref="B636"/>
    <hyperlink r:id="rId639" ref="B637"/>
    <hyperlink r:id="rId640" ref="B638"/>
    <hyperlink r:id="rId641" ref="B639"/>
    <hyperlink r:id="rId642" ref="B640"/>
    <hyperlink r:id="rId643" ref="B641"/>
    <hyperlink r:id="rId644" ref="B642"/>
    <hyperlink r:id="rId645" ref="B643"/>
    <hyperlink r:id="rId646" ref="B644"/>
    <hyperlink r:id="rId647" ref="B645"/>
    <hyperlink r:id="rId648" ref="B646"/>
    <hyperlink r:id="rId649" ref="B647"/>
    <hyperlink r:id="rId650" ref="B648"/>
    <hyperlink r:id="rId651" ref="B649"/>
    <hyperlink r:id="rId652" ref="B650"/>
    <hyperlink r:id="rId653" ref="B651"/>
    <hyperlink r:id="rId654" ref="B652"/>
    <hyperlink r:id="rId655" ref="B653"/>
    <hyperlink r:id="rId656" ref="B654"/>
    <hyperlink r:id="rId657" ref="B655"/>
    <hyperlink r:id="rId658" ref="B656"/>
    <hyperlink r:id="rId659" ref="B657"/>
    <hyperlink r:id="rId660" ref="B658"/>
    <hyperlink r:id="rId661" ref="B659"/>
    <hyperlink r:id="rId662" ref="B660"/>
    <hyperlink r:id="rId663" ref="B661"/>
    <hyperlink r:id="rId664" ref="B662"/>
    <hyperlink r:id="rId665" ref="B663"/>
    <hyperlink r:id="rId666" ref="B664"/>
    <hyperlink r:id="rId667" ref="B665"/>
    <hyperlink r:id="rId668" ref="B666"/>
    <hyperlink r:id="rId669" ref="B667"/>
    <hyperlink r:id="rId670" ref="B668"/>
    <hyperlink r:id="rId671" ref="B669"/>
    <hyperlink r:id="rId672" ref="B670"/>
    <hyperlink r:id="rId673" ref="B671"/>
    <hyperlink r:id="rId674" ref="B672"/>
    <hyperlink r:id="rId675" ref="B673"/>
    <hyperlink r:id="rId676" ref="B674"/>
    <hyperlink r:id="rId677" ref="B675"/>
    <hyperlink r:id="rId678" ref="B676"/>
    <hyperlink r:id="rId679" ref="B677"/>
    <hyperlink r:id="rId680" ref="B678"/>
    <hyperlink r:id="rId681" ref="B679"/>
    <hyperlink r:id="rId682" ref="B680"/>
    <hyperlink r:id="rId683" ref="B681"/>
    <hyperlink r:id="rId684" ref="B682"/>
    <hyperlink r:id="rId685" ref="B683"/>
    <hyperlink r:id="rId686" ref="B684"/>
    <hyperlink r:id="rId687" ref="B685"/>
    <hyperlink r:id="rId688" ref="B686"/>
    <hyperlink r:id="rId689" ref="B687"/>
    <hyperlink r:id="rId690" ref="B688"/>
    <hyperlink r:id="rId691" ref="B689"/>
    <hyperlink r:id="rId692" ref="B690"/>
    <hyperlink r:id="rId693" ref="B691"/>
    <hyperlink r:id="rId694" ref="B692"/>
    <hyperlink r:id="rId695" ref="B693"/>
    <hyperlink r:id="rId696" ref="B694"/>
    <hyperlink r:id="rId697" ref="B695"/>
    <hyperlink r:id="rId698" ref="B696"/>
    <hyperlink r:id="rId699" ref="B697"/>
    <hyperlink r:id="rId700" ref="B698"/>
    <hyperlink r:id="rId701" ref="B699"/>
    <hyperlink r:id="rId702" ref="B700"/>
    <hyperlink r:id="rId703" ref="B701"/>
    <hyperlink r:id="rId704" ref="B702"/>
    <hyperlink r:id="rId705" ref="B703"/>
    <hyperlink r:id="rId706" ref="B704"/>
    <hyperlink r:id="rId707" ref="B705"/>
    <hyperlink r:id="rId708" ref="B706"/>
    <hyperlink r:id="rId709" ref="B707"/>
    <hyperlink r:id="rId710" ref="B708"/>
    <hyperlink r:id="rId711" ref="B709"/>
    <hyperlink r:id="rId712" ref="B710"/>
    <hyperlink r:id="rId713" ref="B711"/>
    <hyperlink r:id="rId714" ref="B712"/>
    <hyperlink r:id="rId715" ref="B713"/>
    <hyperlink r:id="rId716" ref="B714"/>
    <hyperlink r:id="rId717" ref="B715"/>
    <hyperlink r:id="rId718" ref="B716"/>
    <hyperlink r:id="rId719" ref="B717"/>
    <hyperlink r:id="rId720" ref="B718"/>
    <hyperlink r:id="rId721" ref="B719"/>
    <hyperlink r:id="rId722" ref="B720"/>
    <hyperlink r:id="rId723" ref="B721"/>
    <hyperlink r:id="rId724" ref="B722"/>
    <hyperlink r:id="rId725" ref="B723"/>
    <hyperlink r:id="rId726" ref="B724"/>
    <hyperlink r:id="rId727" ref="B725"/>
    <hyperlink r:id="rId728" ref="B726"/>
    <hyperlink r:id="rId729" ref="B727"/>
    <hyperlink r:id="rId730" ref="B728"/>
    <hyperlink r:id="rId731" ref="B729"/>
    <hyperlink r:id="rId732" ref="B730"/>
    <hyperlink r:id="rId733" ref="B731"/>
    <hyperlink r:id="rId734" ref="B732"/>
    <hyperlink r:id="rId735" ref="B733"/>
    <hyperlink r:id="rId736" ref="B734"/>
    <hyperlink r:id="rId737" ref="B735"/>
    <hyperlink r:id="rId738" ref="B736"/>
    <hyperlink r:id="rId739" ref="B737"/>
    <hyperlink r:id="rId740" ref="B738"/>
    <hyperlink r:id="rId741" ref="B739"/>
    <hyperlink r:id="rId742" ref="B740"/>
    <hyperlink r:id="rId743" ref="B741"/>
    <hyperlink r:id="rId744" ref="B742"/>
    <hyperlink r:id="rId745" ref="B743"/>
    <hyperlink r:id="rId746" ref="B744"/>
    <hyperlink r:id="rId747" ref="B745"/>
    <hyperlink r:id="rId748" ref="B746"/>
    <hyperlink r:id="rId749" ref="B747"/>
    <hyperlink r:id="rId750" ref="B748"/>
    <hyperlink r:id="rId751" ref="B749"/>
    <hyperlink r:id="rId752" ref="B750"/>
    <hyperlink r:id="rId753" ref="B751"/>
    <hyperlink r:id="rId754" ref="B752"/>
    <hyperlink r:id="rId755" ref="B753"/>
    <hyperlink r:id="rId756" ref="B754"/>
    <hyperlink r:id="rId757" ref="B755"/>
    <hyperlink r:id="rId758" ref="B756"/>
    <hyperlink r:id="rId759" ref="B757"/>
    <hyperlink r:id="rId760" ref="B758"/>
    <hyperlink r:id="rId761" ref="B759"/>
    <hyperlink r:id="rId762" ref="B760"/>
    <hyperlink r:id="rId763" ref="B761"/>
    <hyperlink r:id="rId764" ref="B762"/>
    <hyperlink r:id="rId765" ref="B763"/>
    <hyperlink r:id="rId766" ref="B764"/>
    <hyperlink r:id="rId767" ref="B765"/>
    <hyperlink r:id="rId768" ref="B766"/>
    <hyperlink r:id="rId769" ref="B767"/>
    <hyperlink r:id="rId770" ref="B768"/>
    <hyperlink r:id="rId771" ref="B769"/>
    <hyperlink r:id="rId772" ref="B770"/>
    <hyperlink r:id="rId773" ref="A771"/>
    <hyperlink r:id="rId774" ref="B771"/>
    <hyperlink r:id="rId775" ref="B772"/>
    <hyperlink r:id="rId776" ref="B773"/>
    <hyperlink r:id="rId777" ref="B774"/>
    <hyperlink r:id="rId778" ref="B775"/>
    <hyperlink r:id="rId779" ref="B776"/>
    <hyperlink r:id="rId780" ref="B777"/>
    <hyperlink r:id="rId781" ref="B778"/>
    <hyperlink r:id="rId782" ref="B779"/>
    <hyperlink r:id="rId783" ref="B780"/>
    <hyperlink r:id="rId784" ref="B781"/>
    <hyperlink r:id="rId785" ref="B782"/>
    <hyperlink r:id="rId786" ref="B783"/>
    <hyperlink r:id="rId787" ref="B784"/>
    <hyperlink r:id="rId788" ref="B785"/>
    <hyperlink r:id="rId789" ref="B786"/>
    <hyperlink r:id="rId790" ref="B787"/>
    <hyperlink r:id="rId791" ref="B788"/>
    <hyperlink r:id="rId792" ref="B789"/>
    <hyperlink r:id="rId793" ref="B790"/>
    <hyperlink r:id="rId794" ref="B791"/>
    <hyperlink r:id="rId795" ref="B792"/>
    <hyperlink r:id="rId796" ref="B793"/>
    <hyperlink r:id="rId797" ref="B794"/>
    <hyperlink r:id="rId798" ref="B795"/>
    <hyperlink r:id="rId799" ref="B796"/>
    <hyperlink r:id="rId800" ref="B797"/>
    <hyperlink r:id="rId801" ref="B798"/>
    <hyperlink r:id="rId802" ref="B799"/>
    <hyperlink r:id="rId803" ref="B800"/>
    <hyperlink r:id="rId804" ref="B801"/>
    <hyperlink r:id="rId805" ref="B802"/>
    <hyperlink r:id="rId806" ref="B803"/>
    <hyperlink r:id="rId807" ref="B804"/>
    <hyperlink r:id="rId808" ref="B805"/>
    <hyperlink r:id="rId809" ref="B806"/>
    <hyperlink r:id="rId810" ref="B807"/>
    <hyperlink r:id="rId811" ref="B808"/>
    <hyperlink r:id="rId812" ref="B809"/>
    <hyperlink r:id="rId813" ref="B810"/>
    <hyperlink r:id="rId814" ref="B811"/>
    <hyperlink r:id="rId815" ref="B812"/>
    <hyperlink r:id="rId816" ref="B813"/>
    <hyperlink r:id="rId817" ref="B814"/>
    <hyperlink r:id="rId818" ref="B815"/>
    <hyperlink r:id="rId819" ref="B816"/>
    <hyperlink r:id="rId820" ref="B817"/>
    <hyperlink r:id="rId821" ref="B818"/>
    <hyperlink r:id="rId822" ref="B819"/>
    <hyperlink r:id="rId823" ref="B820"/>
    <hyperlink r:id="rId824" ref="B821"/>
    <hyperlink r:id="rId825" ref="B822"/>
    <hyperlink r:id="rId826" ref="B823"/>
    <hyperlink r:id="rId827" ref="B824"/>
    <hyperlink r:id="rId828" ref="B825"/>
    <hyperlink r:id="rId829" ref="B826"/>
    <hyperlink r:id="rId830" ref="B827"/>
    <hyperlink r:id="rId831" ref="B828"/>
    <hyperlink r:id="rId832" ref="B829"/>
    <hyperlink r:id="rId833" ref="B830"/>
    <hyperlink r:id="rId834" ref="B831"/>
    <hyperlink r:id="rId835" ref="B832"/>
    <hyperlink r:id="rId836" ref="B833"/>
    <hyperlink r:id="rId837" ref="B834"/>
    <hyperlink r:id="rId838" ref="B835"/>
    <hyperlink r:id="rId839" ref="B836"/>
    <hyperlink r:id="rId840" ref="B837"/>
    <hyperlink r:id="rId841" ref="B838"/>
    <hyperlink r:id="rId842" ref="B839"/>
    <hyperlink r:id="rId843" ref="B840"/>
    <hyperlink r:id="rId844" ref="B841"/>
    <hyperlink r:id="rId845" ref="B842"/>
    <hyperlink r:id="rId846" ref="B843"/>
    <hyperlink r:id="rId847" ref="B844"/>
    <hyperlink r:id="rId848" ref="B845"/>
    <hyperlink r:id="rId849" ref="B846"/>
    <hyperlink r:id="rId850" ref="B847"/>
    <hyperlink r:id="rId851" ref="B848"/>
    <hyperlink r:id="rId852" ref="B849"/>
    <hyperlink r:id="rId853" ref="B850"/>
    <hyperlink r:id="rId854" ref="B851"/>
    <hyperlink r:id="rId855" ref="B852"/>
    <hyperlink r:id="rId856" ref="B853"/>
    <hyperlink r:id="rId857" ref="B854"/>
    <hyperlink r:id="rId858" ref="B855"/>
    <hyperlink r:id="rId859" ref="B856"/>
    <hyperlink r:id="rId860" ref="B857"/>
    <hyperlink r:id="rId861" ref="B858"/>
    <hyperlink r:id="rId862" ref="B859"/>
    <hyperlink r:id="rId863" ref="B860"/>
    <hyperlink r:id="rId864" ref="B861"/>
    <hyperlink r:id="rId865" ref="B862"/>
    <hyperlink r:id="rId866" ref="B863"/>
    <hyperlink r:id="rId867" ref="B864"/>
    <hyperlink r:id="rId868" ref="B865"/>
    <hyperlink r:id="rId869" ref="B866"/>
    <hyperlink r:id="rId870" ref="B867"/>
    <hyperlink r:id="rId871" ref="B868"/>
    <hyperlink r:id="rId872" ref="B869"/>
    <hyperlink r:id="rId873" ref="B870"/>
    <hyperlink r:id="rId874" ref="B871"/>
    <hyperlink r:id="rId875" ref="B872"/>
    <hyperlink r:id="rId876" ref="B873"/>
    <hyperlink r:id="rId877" ref="B874"/>
    <hyperlink r:id="rId878" ref="B875"/>
    <hyperlink r:id="rId879" ref="B876"/>
    <hyperlink r:id="rId880" ref="B877"/>
    <hyperlink r:id="rId881" ref="B878"/>
    <hyperlink r:id="rId882" ref="B879"/>
    <hyperlink r:id="rId883" ref="B880"/>
    <hyperlink r:id="rId884" ref="B881"/>
    <hyperlink r:id="rId885" ref="B882"/>
    <hyperlink r:id="rId886" ref="B883"/>
    <hyperlink r:id="rId887" ref="B884"/>
    <hyperlink r:id="rId888" ref="B885"/>
    <hyperlink r:id="rId889" ref="B886"/>
    <hyperlink r:id="rId890" ref="B887"/>
    <hyperlink r:id="rId891" ref="B888"/>
    <hyperlink r:id="rId892" ref="B889"/>
    <hyperlink r:id="rId893" ref="B890"/>
    <hyperlink r:id="rId894" ref="B891"/>
    <hyperlink r:id="rId895" ref="B892"/>
    <hyperlink r:id="rId896" ref="B893"/>
    <hyperlink r:id="rId897" ref="B894"/>
    <hyperlink r:id="rId898" ref="B895"/>
    <hyperlink r:id="rId899" ref="B896"/>
    <hyperlink r:id="rId900" ref="B897"/>
    <hyperlink r:id="rId901" ref="B898"/>
    <hyperlink r:id="rId902" ref="B899"/>
    <hyperlink r:id="rId903" ref="B900"/>
    <hyperlink r:id="rId904" ref="B901"/>
    <hyperlink r:id="rId905" ref="B902"/>
    <hyperlink r:id="rId906" ref="B903"/>
    <hyperlink r:id="rId907" ref="B904"/>
    <hyperlink r:id="rId908" ref="B905"/>
    <hyperlink r:id="rId909" ref="B906"/>
    <hyperlink r:id="rId910" ref="B907"/>
    <hyperlink r:id="rId911" ref="B908"/>
    <hyperlink r:id="rId912" ref="B909"/>
    <hyperlink r:id="rId913" ref="B910"/>
    <hyperlink r:id="rId914" ref="B911"/>
    <hyperlink r:id="rId915" ref="B912"/>
    <hyperlink r:id="rId916" ref="B913"/>
    <hyperlink r:id="rId917" ref="B914"/>
    <hyperlink r:id="rId918" ref="B915"/>
    <hyperlink r:id="rId919" ref="B916"/>
    <hyperlink r:id="rId920" ref="B917"/>
    <hyperlink r:id="rId921" ref="B918"/>
    <hyperlink r:id="rId922" ref="B919"/>
    <hyperlink r:id="rId923" ref="B920"/>
    <hyperlink r:id="rId924" ref="B921"/>
    <hyperlink r:id="rId925" ref="B922"/>
    <hyperlink r:id="rId926" ref="B923"/>
    <hyperlink r:id="rId927" ref="B924"/>
    <hyperlink r:id="rId928" ref="B925"/>
    <hyperlink r:id="rId929" ref="B926"/>
    <hyperlink r:id="rId930" ref="B927"/>
    <hyperlink r:id="rId931" ref="B928"/>
    <hyperlink r:id="rId932" ref="B929"/>
    <hyperlink r:id="rId933" ref="B930"/>
    <hyperlink r:id="rId934" ref="B931"/>
    <hyperlink r:id="rId935" ref="B932"/>
    <hyperlink r:id="rId936" ref="B933"/>
    <hyperlink r:id="rId937" ref="B934"/>
    <hyperlink r:id="rId938" ref="B935"/>
    <hyperlink r:id="rId939" ref="B936"/>
    <hyperlink r:id="rId940" ref="B937"/>
    <hyperlink r:id="rId941" ref="B938"/>
    <hyperlink r:id="rId942" ref="B939"/>
    <hyperlink r:id="rId943" ref="B940"/>
    <hyperlink r:id="rId944" ref="A941"/>
    <hyperlink r:id="rId945" ref="B941"/>
    <hyperlink r:id="rId946" ref="B942"/>
    <hyperlink r:id="rId947" ref="B943"/>
    <hyperlink r:id="rId948" ref="B944"/>
    <hyperlink r:id="rId949" ref="B945"/>
    <hyperlink r:id="rId950" ref="B946"/>
    <hyperlink r:id="rId951" ref="B947"/>
    <hyperlink r:id="rId952" ref="B948"/>
    <hyperlink r:id="rId953" ref="B949"/>
    <hyperlink r:id="rId954" ref="B950"/>
    <hyperlink r:id="rId955" ref="B951"/>
    <hyperlink r:id="rId956" ref="B952"/>
    <hyperlink r:id="rId957" ref="B953"/>
    <hyperlink r:id="rId958" ref="B954"/>
    <hyperlink r:id="rId959" ref="B955"/>
    <hyperlink r:id="rId960" ref="B956"/>
    <hyperlink r:id="rId961" ref="B957"/>
    <hyperlink r:id="rId962" ref="B958"/>
    <hyperlink r:id="rId963" ref="B959"/>
    <hyperlink r:id="rId964" ref="B960"/>
    <hyperlink r:id="rId965" ref="B961"/>
    <hyperlink r:id="rId966" ref="B962"/>
    <hyperlink r:id="rId967" ref="B963"/>
    <hyperlink r:id="rId968" ref="B964"/>
    <hyperlink r:id="rId969" ref="B965"/>
    <hyperlink r:id="rId970" ref="B966"/>
    <hyperlink r:id="rId971" ref="B967"/>
    <hyperlink r:id="rId972" ref="B968"/>
    <hyperlink r:id="rId973" ref="B969"/>
    <hyperlink r:id="rId974" ref="B970"/>
    <hyperlink r:id="rId975" ref="B971"/>
    <hyperlink r:id="rId976" ref="B972"/>
    <hyperlink r:id="rId977" ref="B973"/>
    <hyperlink r:id="rId978" ref="B974"/>
    <hyperlink r:id="rId979" ref="B975"/>
    <hyperlink r:id="rId980" ref="B976"/>
    <hyperlink r:id="rId981" ref="B977"/>
    <hyperlink r:id="rId982" ref="B978"/>
    <hyperlink r:id="rId983" ref="B979"/>
    <hyperlink r:id="rId984" ref="B980"/>
    <hyperlink r:id="rId985" ref="B981"/>
    <hyperlink r:id="rId986" ref="B982"/>
    <hyperlink r:id="rId987" ref="B983"/>
    <hyperlink r:id="rId988" ref="B984"/>
    <hyperlink r:id="rId989" ref="B985"/>
    <hyperlink r:id="rId990" ref="B986"/>
    <hyperlink r:id="rId991" ref="B987"/>
    <hyperlink r:id="rId992" ref="B988"/>
    <hyperlink r:id="rId993" ref="B989"/>
    <hyperlink r:id="rId994" ref="B990"/>
    <hyperlink r:id="rId995" ref="B991"/>
    <hyperlink r:id="rId996" ref="B992"/>
    <hyperlink r:id="rId997" ref="B993"/>
    <hyperlink r:id="rId998" ref="B994"/>
    <hyperlink r:id="rId999" ref="B995"/>
    <hyperlink r:id="rId1000" ref="B996"/>
    <hyperlink r:id="rId1001" ref="B997"/>
    <hyperlink r:id="rId1002" ref="B998"/>
    <hyperlink r:id="rId1003" ref="B999"/>
    <hyperlink r:id="rId1004" ref="B1000"/>
    <hyperlink r:id="rId1005" ref="B1001"/>
    <hyperlink r:id="rId1006" ref="B1002"/>
    <hyperlink r:id="rId1007" ref="B1003"/>
    <hyperlink r:id="rId1008" ref="B1004"/>
    <hyperlink r:id="rId1009" ref="B1005"/>
    <hyperlink r:id="rId1010" ref="B1006"/>
    <hyperlink r:id="rId1011" ref="B1007"/>
    <hyperlink r:id="rId1012" ref="B1008"/>
    <hyperlink r:id="rId1013" ref="B1009"/>
    <hyperlink r:id="rId1014" ref="B1010"/>
    <hyperlink r:id="rId1015" ref="B1011"/>
    <hyperlink r:id="rId1016" ref="B1012"/>
    <hyperlink r:id="rId1017" ref="B1013"/>
    <hyperlink r:id="rId1018" ref="B1014"/>
    <hyperlink r:id="rId1019" ref="B1015"/>
    <hyperlink r:id="rId1020" ref="B1016"/>
    <hyperlink r:id="rId1021" ref="B1017"/>
    <hyperlink r:id="rId1022" ref="B1018"/>
    <hyperlink r:id="rId1023" ref="B1019"/>
    <hyperlink r:id="rId1024" ref="B1020"/>
    <hyperlink r:id="rId1025" ref="B1021"/>
    <hyperlink r:id="rId1026" ref="B1022"/>
    <hyperlink r:id="rId1027" ref="B1023"/>
    <hyperlink r:id="rId1028" ref="B1024"/>
    <hyperlink r:id="rId1029" ref="B1025"/>
    <hyperlink r:id="rId1030" ref="B1026"/>
    <hyperlink r:id="rId1031" ref="B1027"/>
    <hyperlink r:id="rId1032" ref="B1028"/>
    <hyperlink r:id="rId1033" ref="B1029"/>
    <hyperlink r:id="rId1034" ref="B1030"/>
    <hyperlink r:id="rId1035" ref="B1031"/>
    <hyperlink r:id="rId1036" ref="B1032"/>
    <hyperlink r:id="rId1037" ref="B1033"/>
    <hyperlink r:id="rId1038" ref="B1034"/>
    <hyperlink r:id="rId1039" ref="B1035"/>
    <hyperlink r:id="rId1040" ref="B1036"/>
    <hyperlink r:id="rId1041" ref="B1037"/>
    <hyperlink r:id="rId1042" ref="B1038"/>
    <hyperlink r:id="rId1043" ref="B1039"/>
    <hyperlink r:id="rId1044" ref="B1040"/>
    <hyperlink r:id="rId1045" ref="B1041"/>
    <hyperlink r:id="rId1046" ref="B1042"/>
    <hyperlink r:id="rId1047" ref="B1043"/>
    <hyperlink r:id="rId1048" ref="B1044"/>
    <hyperlink r:id="rId1049" ref="B1045"/>
    <hyperlink r:id="rId1050" ref="B1046"/>
    <hyperlink r:id="rId1051" ref="B1047"/>
    <hyperlink r:id="rId1052" ref="B1048"/>
    <hyperlink r:id="rId1053" ref="B1049"/>
    <hyperlink r:id="rId1054" ref="B1050"/>
    <hyperlink r:id="rId1055" ref="B1051"/>
    <hyperlink r:id="rId1056" ref="B1052"/>
    <hyperlink r:id="rId1057" ref="B1053"/>
    <hyperlink r:id="rId1058" ref="B1054"/>
    <hyperlink r:id="rId1059" ref="B1055"/>
    <hyperlink r:id="rId1060" ref="B1056"/>
    <hyperlink r:id="rId1061" ref="B1057"/>
    <hyperlink r:id="rId1062" ref="B1058"/>
    <hyperlink r:id="rId1063" ref="B1059"/>
    <hyperlink r:id="rId1064" ref="B1060"/>
    <hyperlink r:id="rId1065" ref="B1061"/>
    <hyperlink r:id="rId1066" ref="B1062"/>
    <hyperlink r:id="rId1067" ref="B1063"/>
    <hyperlink r:id="rId1068" ref="B1064"/>
    <hyperlink r:id="rId1069" ref="B1065"/>
    <hyperlink r:id="rId1070" ref="B1066"/>
    <hyperlink r:id="rId1071" ref="B1067"/>
    <hyperlink r:id="rId1072" ref="B1068"/>
    <hyperlink r:id="rId1073" ref="B1069"/>
    <hyperlink r:id="rId1074" ref="B1070"/>
    <hyperlink r:id="rId1075" ref="B1071"/>
    <hyperlink r:id="rId1076" ref="B1072"/>
    <hyperlink r:id="rId1077" ref="B1073"/>
    <hyperlink r:id="rId1078" ref="B1074"/>
    <hyperlink r:id="rId1079" ref="B1075"/>
    <hyperlink r:id="rId1080" ref="B1076"/>
    <hyperlink r:id="rId1081" ref="B1077"/>
    <hyperlink r:id="rId1082" ref="B1078"/>
    <hyperlink r:id="rId1083" ref="B1079"/>
    <hyperlink r:id="rId1084" ref="B1080"/>
    <hyperlink r:id="rId1085" ref="B1081"/>
    <hyperlink r:id="rId1086" ref="B1082"/>
    <hyperlink r:id="rId1087" ref="B1083"/>
    <hyperlink r:id="rId1088" ref="B1084"/>
    <hyperlink r:id="rId1089" ref="B1085"/>
    <hyperlink r:id="rId1090" ref="B1086"/>
    <hyperlink r:id="rId1091" ref="B1087"/>
    <hyperlink r:id="rId1092" ref="B1088"/>
    <hyperlink r:id="rId1093" ref="B1089"/>
    <hyperlink r:id="rId1094" ref="B1090"/>
    <hyperlink r:id="rId1095" ref="B1091"/>
    <hyperlink r:id="rId1096" ref="B1092"/>
    <hyperlink r:id="rId1097" ref="B1093"/>
    <hyperlink r:id="rId1098" ref="B1094"/>
    <hyperlink r:id="rId1099" ref="B1095"/>
    <hyperlink r:id="rId1100" ref="B1096"/>
    <hyperlink r:id="rId1101" ref="B1097"/>
    <hyperlink r:id="rId1102" ref="B1098"/>
    <hyperlink r:id="rId1103" ref="B1099"/>
    <hyperlink r:id="rId1104" ref="B1100"/>
    <hyperlink r:id="rId1105" ref="B1101"/>
    <hyperlink r:id="rId1106" ref="B1102"/>
    <hyperlink r:id="rId1107" ref="B1103"/>
    <hyperlink r:id="rId1108" ref="B1104"/>
    <hyperlink r:id="rId1109" ref="B1105"/>
    <hyperlink r:id="rId1110" ref="B1106"/>
    <hyperlink r:id="rId1111" ref="B1107"/>
    <hyperlink r:id="rId1112" ref="B1108"/>
    <hyperlink r:id="rId1113" ref="B1109"/>
    <hyperlink r:id="rId1114" ref="B1110"/>
    <hyperlink r:id="rId1115" ref="B1111"/>
    <hyperlink r:id="rId1116" ref="B1112"/>
    <hyperlink r:id="rId1117" ref="B1113"/>
    <hyperlink r:id="rId1118" ref="B1114"/>
    <hyperlink r:id="rId1119" ref="B1115"/>
    <hyperlink r:id="rId1120" ref="B1116"/>
    <hyperlink r:id="rId1121" ref="B1117"/>
    <hyperlink r:id="rId1122" ref="B1118"/>
    <hyperlink r:id="rId1123" ref="B1119"/>
    <hyperlink r:id="rId1124" ref="B1120"/>
    <hyperlink r:id="rId1125" ref="B1121"/>
    <hyperlink r:id="rId1126" ref="B1122"/>
    <hyperlink r:id="rId1127" ref="B1123"/>
    <hyperlink r:id="rId1128" ref="B1124"/>
    <hyperlink r:id="rId1129" ref="B1125"/>
    <hyperlink r:id="rId1130" ref="B1126"/>
    <hyperlink r:id="rId1131" ref="B1127"/>
    <hyperlink r:id="rId1132" ref="B1128"/>
    <hyperlink r:id="rId1133" ref="B1129"/>
    <hyperlink r:id="rId1134" ref="B1130"/>
    <hyperlink r:id="rId1135" ref="B1131"/>
    <hyperlink r:id="rId1136" ref="B1132"/>
    <hyperlink r:id="rId1137" ref="B1133"/>
    <hyperlink r:id="rId1138" ref="B1134"/>
    <hyperlink r:id="rId1139" ref="B1135"/>
    <hyperlink r:id="rId1140" ref="B1136"/>
    <hyperlink r:id="rId1141" ref="B1137"/>
    <hyperlink r:id="rId1142" ref="B1138"/>
    <hyperlink r:id="rId1143" ref="B1139"/>
    <hyperlink r:id="rId1144" ref="B1140"/>
    <hyperlink r:id="rId1145" ref="B1141"/>
    <hyperlink r:id="rId1146" ref="B1142"/>
    <hyperlink r:id="rId1147" ref="B1143"/>
    <hyperlink r:id="rId1148" ref="B1144"/>
    <hyperlink r:id="rId1149" ref="B1145"/>
    <hyperlink r:id="rId1150" ref="B1146"/>
    <hyperlink r:id="rId1151" ref="B1147"/>
    <hyperlink r:id="rId1152" ref="B1148"/>
    <hyperlink r:id="rId1153" ref="B1149"/>
    <hyperlink r:id="rId1154" ref="B1150"/>
    <hyperlink r:id="rId1155" ref="B1151"/>
    <hyperlink r:id="rId1156" ref="B1152"/>
    <hyperlink r:id="rId1157" ref="B1153"/>
    <hyperlink r:id="rId1158" ref="B1154"/>
    <hyperlink r:id="rId1159" ref="B1155"/>
    <hyperlink r:id="rId1160" ref="B1156"/>
    <hyperlink r:id="rId1161" ref="B1157"/>
    <hyperlink r:id="rId1162" ref="B1158"/>
    <hyperlink r:id="rId1163" ref="B1159"/>
    <hyperlink r:id="rId1164" ref="B1160"/>
    <hyperlink r:id="rId1165" ref="B1161"/>
    <hyperlink r:id="rId1166" ref="B1162"/>
    <hyperlink r:id="rId1167" ref="B1163"/>
    <hyperlink r:id="rId1168" ref="B1164"/>
    <hyperlink r:id="rId1169" ref="B1165"/>
    <hyperlink r:id="rId1170" ref="B1166"/>
    <hyperlink r:id="rId1171" ref="B1167"/>
    <hyperlink r:id="rId1172" ref="B1168"/>
    <hyperlink r:id="rId1173" ref="B1169"/>
    <hyperlink r:id="rId1174" ref="B1170"/>
    <hyperlink r:id="rId1175" ref="B1171"/>
    <hyperlink r:id="rId1176" ref="B1172"/>
    <hyperlink r:id="rId1177" ref="B1173"/>
    <hyperlink r:id="rId1178" ref="B1174"/>
    <hyperlink r:id="rId1179" ref="B1175"/>
    <hyperlink r:id="rId1180" ref="B1176"/>
    <hyperlink r:id="rId1181" ref="B1177"/>
    <hyperlink r:id="rId1182" ref="B1178"/>
    <hyperlink r:id="rId1183" ref="B1179"/>
    <hyperlink r:id="rId1184" ref="B1180"/>
    <hyperlink r:id="rId1185" ref="B1181"/>
    <hyperlink r:id="rId1186" ref="B1182"/>
    <hyperlink r:id="rId1187" ref="B1183"/>
    <hyperlink r:id="rId1188" ref="B1184"/>
    <hyperlink r:id="rId1189" ref="B1185"/>
    <hyperlink r:id="rId1190" ref="B1186"/>
    <hyperlink r:id="rId1191" ref="B1187"/>
    <hyperlink r:id="rId1192" ref="B1188"/>
    <hyperlink r:id="rId1193" ref="B1189"/>
    <hyperlink r:id="rId1194" ref="B1190"/>
    <hyperlink r:id="rId1195" ref="B1191"/>
    <hyperlink r:id="rId1196" ref="B1192"/>
    <hyperlink r:id="rId1197" ref="B1193"/>
    <hyperlink r:id="rId1198" ref="B1194"/>
    <hyperlink r:id="rId1199" ref="B1195"/>
    <hyperlink r:id="rId1200" ref="B1196"/>
    <hyperlink r:id="rId1201" ref="B1197"/>
    <hyperlink r:id="rId1202" ref="B1198"/>
    <hyperlink r:id="rId1203" ref="B1199"/>
    <hyperlink r:id="rId1204" ref="B1200"/>
    <hyperlink r:id="rId1205" ref="B1201"/>
    <hyperlink r:id="rId1206" ref="B1202"/>
    <hyperlink r:id="rId1207" ref="B1203"/>
    <hyperlink r:id="rId1208" ref="B1204"/>
    <hyperlink r:id="rId1209" ref="B1205"/>
    <hyperlink r:id="rId1210" ref="B1206"/>
    <hyperlink r:id="rId1211" ref="B1207"/>
    <hyperlink r:id="rId1212" ref="B1208"/>
    <hyperlink r:id="rId1213" ref="B1209"/>
    <hyperlink r:id="rId1214" ref="B1210"/>
    <hyperlink r:id="rId1215" ref="B1211"/>
    <hyperlink r:id="rId1216" ref="B1212"/>
    <hyperlink r:id="rId1217" ref="B1213"/>
    <hyperlink r:id="rId1218" ref="B1214"/>
    <hyperlink r:id="rId1219" ref="B1215"/>
    <hyperlink r:id="rId1220" ref="B1216"/>
    <hyperlink r:id="rId1221" ref="B1217"/>
    <hyperlink r:id="rId1222" ref="B1218"/>
    <hyperlink r:id="rId1223" ref="B1219"/>
    <hyperlink r:id="rId1224" ref="B1220"/>
    <hyperlink r:id="rId1225" ref="B1221"/>
    <hyperlink r:id="rId1226" ref="B1222"/>
    <hyperlink r:id="rId1227" ref="B1223"/>
    <hyperlink r:id="rId1228" ref="B1224"/>
    <hyperlink r:id="rId1229" ref="B1225"/>
    <hyperlink r:id="rId1230" ref="B1226"/>
    <hyperlink r:id="rId1231" ref="B1227"/>
    <hyperlink r:id="rId1232" ref="B1228"/>
    <hyperlink r:id="rId1233" ref="B1229"/>
    <hyperlink r:id="rId1234" ref="A1230"/>
    <hyperlink r:id="rId1235" ref="B1230"/>
    <hyperlink r:id="rId1236" ref="B1231"/>
    <hyperlink r:id="rId1237" ref="B1232"/>
    <hyperlink r:id="rId1238" ref="B1233"/>
    <hyperlink r:id="rId1239" ref="B1234"/>
    <hyperlink r:id="rId1240" ref="B1235"/>
    <hyperlink r:id="rId1241" ref="B1236"/>
    <hyperlink r:id="rId1242" ref="B1237"/>
    <hyperlink r:id="rId1243" ref="B1238"/>
    <hyperlink r:id="rId1244" ref="B1239"/>
    <hyperlink r:id="rId1245" ref="B1240"/>
    <hyperlink r:id="rId1246" ref="B1241"/>
    <hyperlink r:id="rId1247" ref="B1242"/>
    <hyperlink r:id="rId1248" ref="B1243"/>
    <hyperlink r:id="rId1249" ref="B1244"/>
    <hyperlink r:id="rId1250" ref="B1245"/>
    <hyperlink r:id="rId1251" ref="B1246"/>
    <hyperlink r:id="rId1252" ref="B1247"/>
    <hyperlink r:id="rId1253" ref="B1248"/>
    <hyperlink r:id="rId1254" ref="B1249"/>
    <hyperlink r:id="rId1255" ref="B1250"/>
    <hyperlink r:id="rId1256" ref="B1251"/>
    <hyperlink r:id="rId1257" ref="B1252"/>
    <hyperlink r:id="rId1258" ref="B1253"/>
    <hyperlink r:id="rId1259" ref="B1254"/>
    <hyperlink r:id="rId1260" ref="B1255"/>
    <hyperlink r:id="rId1261" ref="B1256"/>
    <hyperlink r:id="rId1262" ref="B1257"/>
    <hyperlink r:id="rId1263" ref="B1258"/>
    <hyperlink r:id="rId1264" ref="B1259"/>
    <hyperlink r:id="rId1265" ref="B1260"/>
    <hyperlink r:id="rId1266" ref="B1261"/>
    <hyperlink r:id="rId1267" ref="B1262"/>
    <hyperlink r:id="rId1268" ref="B1263"/>
    <hyperlink r:id="rId1269" ref="B1264"/>
    <hyperlink r:id="rId1270" ref="B1265"/>
    <hyperlink r:id="rId1271" ref="B1266"/>
    <hyperlink r:id="rId1272" ref="B1267"/>
    <hyperlink r:id="rId1273" ref="B1268"/>
    <hyperlink r:id="rId1274" ref="B1269"/>
    <hyperlink r:id="rId1275" ref="B1270"/>
    <hyperlink r:id="rId1276" ref="B1271"/>
    <hyperlink r:id="rId1277" ref="B1272"/>
    <hyperlink r:id="rId1278" ref="B1273"/>
    <hyperlink r:id="rId1279" ref="B1274"/>
    <hyperlink r:id="rId1280" ref="B1275"/>
    <hyperlink r:id="rId1281" ref="B1276"/>
    <hyperlink r:id="rId1282" ref="B1277"/>
    <hyperlink r:id="rId1283" ref="B1278"/>
    <hyperlink r:id="rId1284" ref="B1279"/>
    <hyperlink r:id="rId1285" ref="B1280"/>
    <hyperlink r:id="rId1286" ref="B1281"/>
    <hyperlink r:id="rId1287" ref="B1282"/>
    <hyperlink r:id="rId1288" ref="B1283"/>
    <hyperlink r:id="rId1289" ref="B1284"/>
    <hyperlink r:id="rId1290" ref="B1285"/>
    <hyperlink r:id="rId1291" ref="B1286"/>
    <hyperlink r:id="rId1292" ref="B1287"/>
    <hyperlink r:id="rId1293" ref="B1288"/>
    <hyperlink r:id="rId1294" ref="B1289"/>
    <hyperlink r:id="rId1295" ref="B1290"/>
    <hyperlink r:id="rId1296" ref="B1291"/>
    <hyperlink r:id="rId1297" ref="B1292"/>
    <hyperlink r:id="rId1298" ref="B1293"/>
    <hyperlink r:id="rId1299" ref="B1294"/>
    <hyperlink r:id="rId1300" ref="B1295"/>
    <hyperlink r:id="rId1301" ref="B1296"/>
    <hyperlink r:id="rId1302" ref="B1297"/>
    <hyperlink r:id="rId1303" ref="B1298"/>
    <hyperlink r:id="rId1304" ref="B1299"/>
    <hyperlink r:id="rId1305" ref="B1300"/>
    <hyperlink r:id="rId1306" ref="B1301"/>
    <hyperlink r:id="rId1307" ref="B1302"/>
    <hyperlink r:id="rId1308" ref="B1303"/>
    <hyperlink r:id="rId1309" ref="B1304"/>
    <hyperlink r:id="rId1310" ref="B1305"/>
    <hyperlink r:id="rId1311" ref="B1306"/>
    <hyperlink r:id="rId1312" ref="B1307"/>
    <hyperlink r:id="rId1313" ref="B1308"/>
    <hyperlink r:id="rId1314" ref="B1309"/>
    <hyperlink r:id="rId1315" ref="B1310"/>
    <hyperlink r:id="rId1316" ref="B1311"/>
    <hyperlink r:id="rId1317" ref="B1312"/>
    <hyperlink r:id="rId1318" ref="B1313"/>
    <hyperlink r:id="rId1319" ref="B1314"/>
    <hyperlink r:id="rId1320" ref="B1315"/>
    <hyperlink r:id="rId1321" ref="B1316"/>
    <hyperlink r:id="rId1322" ref="B1317"/>
    <hyperlink r:id="rId1323" ref="B1318"/>
    <hyperlink r:id="rId1324" ref="B1319"/>
    <hyperlink r:id="rId1325" ref="B1320"/>
    <hyperlink r:id="rId1326" ref="B1321"/>
    <hyperlink r:id="rId1327" ref="B1322"/>
    <hyperlink r:id="rId1328" ref="B1323"/>
    <hyperlink r:id="rId1329" ref="B1324"/>
    <hyperlink r:id="rId1330" ref="B1325"/>
    <hyperlink r:id="rId1331" ref="B1326"/>
    <hyperlink r:id="rId1332" ref="B1327"/>
    <hyperlink r:id="rId1333" ref="B1328"/>
    <hyperlink r:id="rId1334" ref="B1329"/>
    <hyperlink r:id="rId1335" ref="B1330"/>
    <hyperlink r:id="rId1336" ref="B1331"/>
    <hyperlink r:id="rId1337" ref="B1332"/>
    <hyperlink r:id="rId1338" ref="B1333"/>
    <hyperlink r:id="rId1339" ref="B1334"/>
    <hyperlink r:id="rId1340" ref="B1335"/>
    <hyperlink r:id="rId1341" ref="B1336"/>
    <hyperlink r:id="rId1342" ref="B1337"/>
    <hyperlink r:id="rId1343" ref="B1338"/>
    <hyperlink r:id="rId1344" ref="B1339"/>
    <hyperlink r:id="rId1345" ref="B1340"/>
    <hyperlink r:id="rId1346" ref="B1341"/>
    <hyperlink r:id="rId1347" ref="B1342"/>
    <hyperlink r:id="rId1348" ref="B1343"/>
    <hyperlink r:id="rId1349" ref="B1344"/>
    <hyperlink r:id="rId1350" ref="B1345"/>
    <hyperlink r:id="rId1351" ref="B1346"/>
    <hyperlink r:id="rId1352" ref="B1347"/>
    <hyperlink r:id="rId1353" ref="B1348"/>
    <hyperlink r:id="rId1354" ref="B1349"/>
    <hyperlink r:id="rId1355" ref="B1350"/>
    <hyperlink r:id="rId1356" ref="B1351"/>
    <hyperlink r:id="rId1357" ref="B1352"/>
    <hyperlink r:id="rId1358" ref="B1353"/>
    <hyperlink r:id="rId1359" ref="B1354"/>
    <hyperlink r:id="rId1360" ref="B1355"/>
    <hyperlink r:id="rId1361" ref="B1356"/>
    <hyperlink r:id="rId1362" ref="B1357"/>
    <hyperlink r:id="rId1363" ref="B1358"/>
    <hyperlink r:id="rId1364" ref="B1359"/>
    <hyperlink r:id="rId1365" ref="B1360"/>
    <hyperlink r:id="rId1366" ref="B1361"/>
    <hyperlink r:id="rId1367" ref="B1362"/>
    <hyperlink r:id="rId1368" ref="B1363"/>
    <hyperlink r:id="rId1369" ref="B1364"/>
    <hyperlink r:id="rId1370" ref="B1365"/>
    <hyperlink r:id="rId1371" ref="B1366"/>
    <hyperlink r:id="rId1372" ref="B1367"/>
    <hyperlink r:id="rId1373" ref="B1368"/>
    <hyperlink r:id="rId1374" ref="B1369"/>
    <hyperlink r:id="rId1375" ref="B1370"/>
    <hyperlink r:id="rId1376" ref="B1371"/>
    <hyperlink r:id="rId1377" ref="B1372"/>
    <hyperlink r:id="rId1378" ref="B1373"/>
    <hyperlink r:id="rId1379" ref="B1374"/>
    <hyperlink r:id="rId1380" ref="B1375"/>
    <hyperlink r:id="rId1381" ref="B1376"/>
    <hyperlink r:id="rId1382" ref="B1377"/>
    <hyperlink r:id="rId1383" ref="B1378"/>
    <hyperlink r:id="rId1384" ref="B1379"/>
    <hyperlink r:id="rId1385" ref="B1380"/>
    <hyperlink r:id="rId1386" ref="B1381"/>
    <hyperlink r:id="rId1387" ref="B1382"/>
    <hyperlink r:id="rId1388" ref="B1383"/>
    <hyperlink r:id="rId1389" ref="B1384"/>
    <hyperlink r:id="rId1390" ref="B1385"/>
    <hyperlink r:id="rId1391" ref="B1386"/>
    <hyperlink r:id="rId1392" ref="B1387"/>
    <hyperlink r:id="rId1393" ref="B1388"/>
    <hyperlink r:id="rId1394" ref="B1389"/>
    <hyperlink r:id="rId1395" ref="B1390"/>
    <hyperlink r:id="rId1396" ref="B1391"/>
    <hyperlink r:id="rId1397" ref="B1392"/>
    <hyperlink r:id="rId1398" ref="B1393"/>
    <hyperlink r:id="rId1399" ref="B1394"/>
    <hyperlink r:id="rId1400" ref="B1395"/>
    <hyperlink r:id="rId1401" ref="B1396"/>
    <hyperlink r:id="rId1402" ref="B1397"/>
    <hyperlink r:id="rId1403" ref="B1398"/>
    <hyperlink r:id="rId1404" ref="B1399"/>
    <hyperlink r:id="rId1405" ref="B1400"/>
    <hyperlink r:id="rId1406" ref="B1401"/>
    <hyperlink r:id="rId1407" ref="B1402"/>
    <hyperlink r:id="rId1408" ref="B1403"/>
    <hyperlink r:id="rId1409" ref="B1404"/>
    <hyperlink r:id="rId1410" ref="B1405"/>
    <hyperlink r:id="rId1411" ref="B1406"/>
    <hyperlink r:id="rId1412" ref="B1407"/>
    <hyperlink r:id="rId1413" ref="B1408"/>
    <hyperlink r:id="rId1414" ref="B1409"/>
    <hyperlink r:id="rId1415" ref="B1410"/>
    <hyperlink r:id="rId1416" ref="B1411"/>
    <hyperlink r:id="rId1417" ref="B1412"/>
    <hyperlink r:id="rId1418" ref="B1413"/>
    <hyperlink r:id="rId1419" ref="A1414"/>
    <hyperlink r:id="rId1420" ref="B1414"/>
    <hyperlink r:id="rId1421" ref="B1415"/>
    <hyperlink r:id="rId1422" ref="B1416"/>
    <hyperlink r:id="rId1423" ref="B1417"/>
    <hyperlink r:id="rId1424" ref="B1418"/>
    <hyperlink r:id="rId1425" ref="B1419"/>
    <hyperlink r:id="rId1426" ref="B1420"/>
    <hyperlink r:id="rId1427" ref="B1421"/>
    <hyperlink r:id="rId1428" ref="B1422"/>
    <hyperlink r:id="rId1429" ref="B1423"/>
    <hyperlink r:id="rId1430" ref="B1424"/>
    <hyperlink r:id="rId1431" ref="B1425"/>
    <hyperlink r:id="rId1432" ref="B1426"/>
    <hyperlink r:id="rId1433" ref="B1427"/>
    <hyperlink r:id="rId1434" ref="B1428"/>
    <hyperlink r:id="rId1435" ref="B1429"/>
    <hyperlink r:id="rId1436" ref="B1430"/>
    <hyperlink r:id="rId1437" ref="B1431"/>
    <hyperlink r:id="rId1438" ref="B1432"/>
    <hyperlink r:id="rId1439" ref="B1433"/>
    <hyperlink r:id="rId1440" ref="B1434"/>
    <hyperlink r:id="rId1441" ref="B1435"/>
    <hyperlink r:id="rId1442" ref="B1436"/>
    <hyperlink r:id="rId1443" ref="B1437"/>
    <hyperlink r:id="rId1444" ref="B1438"/>
    <hyperlink r:id="rId1445" ref="B1439"/>
    <hyperlink r:id="rId1446" ref="B1440"/>
    <hyperlink r:id="rId1447" ref="B1441"/>
    <hyperlink r:id="rId1448" ref="B1442"/>
    <hyperlink r:id="rId1449" ref="B1443"/>
    <hyperlink r:id="rId1450" ref="B1444"/>
    <hyperlink r:id="rId1451" ref="B1445"/>
    <hyperlink r:id="rId1452" ref="B1446"/>
    <hyperlink r:id="rId1453" ref="B1447"/>
    <hyperlink r:id="rId1454" ref="B1448"/>
    <hyperlink r:id="rId1455" ref="B1449"/>
    <hyperlink r:id="rId1456" ref="B1450"/>
    <hyperlink r:id="rId1457" ref="B1451"/>
    <hyperlink r:id="rId1458" ref="B1452"/>
    <hyperlink r:id="rId1459" ref="B1453"/>
    <hyperlink r:id="rId1460" ref="B1454"/>
    <hyperlink r:id="rId1461" ref="B1455"/>
    <hyperlink r:id="rId1462" ref="B1456"/>
    <hyperlink r:id="rId1463" ref="B1457"/>
    <hyperlink r:id="rId1464" ref="B1458"/>
    <hyperlink r:id="rId1465" ref="B1459"/>
    <hyperlink r:id="rId1466" ref="B1460"/>
    <hyperlink r:id="rId1467" ref="B1461"/>
    <hyperlink r:id="rId1468" ref="B1462"/>
    <hyperlink r:id="rId1469" ref="B1463"/>
    <hyperlink r:id="rId1470" ref="B1464"/>
    <hyperlink r:id="rId1471" ref="B1465"/>
    <hyperlink r:id="rId1472" ref="B1466"/>
    <hyperlink r:id="rId1473" ref="B1467"/>
    <hyperlink r:id="rId1474" ref="B1468"/>
    <hyperlink r:id="rId1475" ref="B1469"/>
    <hyperlink r:id="rId1476" ref="B1470"/>
    <hyperlink r:id="rId1477" ref="B1471"/>
    <hyperlink r:id="rId1478" ref="B1472"/>
    <hyperlink r:id="rId1479" ref="B1473"/>
    <hyperlink r:id="rId1480" ref="B1474"/>
    <hyperlink r:id="rId1481" ref="B1475"/>
    <hyperlink r:id="rId1482" ref="B1476"/>
    <hyperlink r:id="rId1483" ref="B1477"/>
    <hyperlink r:id="rId1484" ref="B1478"/>
    <hyperlink r:id="rId1485" ref="B1479"/>
    <hyperlink r:id="rId1486" ref="B1480"/>
    <hyperlink r:id="rId1487" ref="B1481"/>
    <hyperlink r:id="rId1488" ref="B1482"/>
    <hyperlink r:id="rId1489" ref="B1483"/>
    <hyperlink r:id="rId1490" ref="B1484"/>
    <hyperlink r:id="rId1491" ref="B1485"/>
    <hyperlink r:id="rId1492" ref="B1486"/>
    <hyperlink r:id="rId1493" ref="B1487"/>
    <hyperlink r:id="rId1494" ref="B1488"/>
    <hyperlink r:id="rId1495" ref="B1489"/>
    <hyperlink r:id="rId1496" ref="B1490"/>
    <hyperlink r:id="rId1497" ref="B1491"/>
    <hyperlink r:id="rId1498" ref="B1492"/>
    <hyperlink r:id="rId1499" ref="B1493"/>
    <hyperlink r:id="rId1500" ref="B1494"/>
    <hyperlink r:id="rId1501" ref="B1495"/>
    <hyperlink r:id="rId1502" ref="B1496"/>
    <hyperlink r:id="rId1503" ref="B1497"/>
    <hyperlink r:id="rId1504" ref="B1498"/>
    <hyperlink r:id="rId1505" ref="B1499"/>
    <hyperlink r:id="rId1506" ref="B1500"/>
    <hyperlink r:id="rId1507" ref="B1501"/>
    <hyperlink r:id="rId1508" ref="B1502"/>
    <hyperlink r:id="rId1509" ref="B1503"/>
    <hyperlink r:id="rId1510" ref="B1504"/>
    <hyperlink r:id="rId1511" ref="B1505"/>
    <hyperlink r:id="rId1512" ref="B1506"/>
    <hyperlink r:id="rId1513" ref="B1507"/>
    <hyperlink r:id="rId1514" ref="B1508"/>
    <hyperlink r:id="rId1515" ref="B1509"/>
    <hyperlink r:id="rId1516" ref="B1510"/>
    <hyperlink r:id="rId1517" ref="B1511"/>
    <hyperlink r:id="rId1518" ref="B1512"/>
    <hyperlink r:id="rId1519" ref="B1513"/>
    <hyperlink r:id="rId1520" ref="B1514"/>
    <hyperlink r:id="rId1521" ref="B1515"/>
    <hyperlink r:id="rId1522" ref="B1516"/>
    <hyperlink r:id="rId1523" ref="B1517"/>
    <hyperlink r:id="rId1524" ref="B1518"/>
    <hyperlink r:id="rId1525" ref="B1519"/>
    <hyperlink r:id="rId1526" ref="B1520"/>
    <hyperlink r:id="rId1527" ref="B1521"/>
    <hyperlink r:id="rId1528" ref="B1522"/>
    <hyperlink r:id="rId1529" ref="B1523"/>
    <hyperlink r:id="rId1530" ref="B1524"/>
    <hyperlink r:id="rId1531" ref="B1525"/>
    <hyperlink r:id="rId1532" ref="B1526"/>
    <hyperlink r:id="rId1533" ref="B1527"/>
    <hyperlink r:id="rId1534" ref="B1528"/>
    <hyperlink r:id="rId1535" ref="B1529"/>
    <hyperlink r:id="rId1536" ref="B1530"/>
    <hyperlink r:id="rId1537" ref="B1531"/>
    <hyperlink r:id="rId1538" ref="B1532"/>
    <hyperlink r:id="rId1539" ref="B1533"/>
    <hyperlink r:id="rId1540" ref="B1534"/>
    <hyperlink r:id="rId1541" ref="B1535"/>
    <hyperlink r:id="rId1542" ref="B1536"/>
    <hyperlink r:id="rId1543" ref="B1537"/>
    <hyperlink r:id="rId1544" ref="B1538"/>
    <hyperlink r:id="rId1545" ref="B1539"/>
    <hyperlink r:id="rId1546" ref="B1540"/>
    <hyperlink r:id="rId1547" ref="B1541"/>
    <hyperlink r:id="rId1548" ref="B1542"/>
    <hyperlink r:id="rId1549" ref="B1543"/>
    <hyperlink r:id="rId1550" ref="B1544"/>
    <hyperlink r:id="rId1551" ref="B1545"/>
    <hyperlink r:id="rId1552" ref="B1546"/>
    <hyperlink r:id="rId1553" ref="B1547"/>
    <hyperlink r:id="rId1554" ref="B1548"/>
    <hyperlink r:id="rId1555" ref="B1549"/>
    <hyperlink r:id="rId1556" ref="B1550"/>
    <hyperlink r:id="rId1557" ref="B1551"/>
    <hyperlink r:id="rId1558" ref="B1552"/>
    <hyperlink r:id="rId1559" ref="B1553"/>
    <hyperlink r:id="rId1560" ref="B1554"/>
    <hyperlink r:id="rId1561" ref="B1555"/>
    <hyperlink r:id="rId1562" ref="B1556"/>
    <hyperlink r:id="rId1563" ref="B1557"/>
    <hyperlink r:id="rId1564" ref="B1558"/>
    <hyperlink r:id="rId1565" ref="B1559"/>
    <hyperlink r:id="rId1566" ref="B1560"/>
    <hyperlink r:id="rId1567" ref="B1561"/>
    <hyperlink r:id="rId1568" ref="B1562"/>
    <hyperlink r:id="rId1569" ref="B1563"/>
    <hyperlink r:id="rId1570" ref="B1564"/>
    <hyperlink r:id="rId1571" ref="B1565"/>
    <hyperlink r:id="rId1572" ref="B1566"/>
    <hyperlink r:id="rId1573" ref="B1567"/>
    <hyperlink r:id="rId1574" ref="B1568"/>
    <hyperlink r:id="rId1575" ref="B1569"/>
    <hyperlink r:id="rId1576" ref="B1570"/>
    <hyperlink r:id="rId1577" ref="B1571"/>
    <hyperlink r:id="rId1578" ref="B1572"/>
    <hyperlink r:id="rId1579" ref="B1573"/>
    <hyperlink r:id="rId1580" ref="B1574"/>
    <hyperlink r:id="rId1581" ref="B1575"/>
    <hyperlink r:id="rId1582" ref="B1576"/>
    <hyperlink r:id="rId1583" ref="B1577"/>
    <hyperlink r:id="rId1584" ref="B1578"/>
    <hyperlink r:id="rId1585" ref="B1579"/>
    <hyperlink r:id="rId1586" ref="B1580"/>
    <hyperlink r:id="rId1587" ref="B1581"/>
    <hyperlink r:id="rId1588" ref="B1582"/>
    <hyperlink r:id="rId1589" ref="B1583"/>
    <hyperlink r:id="rId1590" ref="B1584"/>
    <hyperlink r:id="rId1591" ref="B1585"/>
    <hyperlink r:id="rId1592" ref="B1586"/>
    <hyperlink r:id="rId1593" ref="B1587"/>
    <hyperlink r:id="rId1594" ref="B1588"/>
    <hyperlink r:id="rId1595" ref="B1589"/>
    <hyperlink r:id="rId1596" ref="B1590"/>
    <hyperlink r:id="rId1597" ref="B1591"/>
    <hyperlink r:id="rId1598" ref="B1592"/>
    <hyperlink r:id="rId1599" ref="B1593"/>
    <hyperlink r:id="rId1600" ref="B1594"/>
    <hyperlink r:id="rId1601" ref="B1595"/>
    <hyperlink r:id="rId1602" ref="B1596"/>
    <hyperlink r:id="rId1603" ref="B1597"/>
    <hyperlink r:id="rId1604" ref="B1598"/>
    <hyperlink r:id="rId1605" ref="B1599"/>
    <hyperlink r:id="rId1606" ref="B1600"/>
    <hyperlink r:id="rId1607" ref="B1601"/>
    <hyperlink r:id="rId1608" ref="B1602"/>
    <hyperlink r:id="rId1609" ref="B1603"/>
    <hyperlink r:id="rId1610" ref="B1604"/>
    <hyperlink r:id="rId1611" ref="B1605"/>
    <hyperlink r:id="rId1612" ref="B1606"/>
    <hyperlink r:id="rId1613" ref="B1607"/>
    <hyperlink r:id="rId1614" ref="B1608"/>
    <hyperlink r:id="rId1615" ref="B1609"/>
    <hyperlink r:id="rId1616" ref="B1610"/>
    <hyperlink r:id="rId1617" ref="B1611"/>
    <hyperlink r:id="rId1618" ref="B1612"/>
    <hyperlink r:id="rId1619" ref="B1613"/>
    <hyperlink r:id="rId1620" ref="B1614"/>
    <hyperlink r:id="rId1621" ref="B1615"/>
    <hyperlink r:id="rId1622" ref="B1616"/>
    <hyperlink r:id="rId1623" ref="B1617"/>
    <hyperlink r:id="rId1624" ref="B1618"/>
    <hyperlink r:id="rId1625" ref="B1619"/>
    <hyperlink r:id="rId1626" ref="B1620"/>
    <hyperlink r:id="rId1627" ref="B1621"/>
    <hyperlink r:id="rId1628" ref="B1622"/>
    <hyperlink r:id="rId1629" ref="B1623"/>
    <hyperlink r:id="rId1630" ref="B1624"/>
    <hyperlink r:id="rId1631" ref="B1625"/>
    <hyperlink r:id="rId1632" ref="B1626"/>
    <hyperlink r:id="rId1633" ref="B1627"/>
    <hyperlink r:id="rId1634" ref="B1628"/>
    <hyperlink r:id="rId1635" ref="B1629"/>
    <hyperlink r:id="rId1636" ref="B1630"/>
    <hyperlink r:id="rId1637" ref="B1631"/>
    <hyperlink r:id="rId1638" ref="B1632"/>
    <hyperlink r:id="rId1639" ref="B1633"/>
    <hyperlink r:id="rId1640" ref="B1634"/>
    <hyperlink r:id="rId1641" ref="B1635"/>
    <hyperlink r:id="rId1642" ref="B1636"/>
    <hyperlink r:id="rId1643" ref="B1637"/>
    <hyperlink r:id="rId1644" ref="B1638"/>
    <hyperlink r:id="rId1645" ref="B1639"/>
    <hyperlink r:id="rId1646" ref="B1640"/>
    <hyperlink r:id="rId1647" ref="B1641"/>
    <hyperlink r:id="rId1648" ref="B1642"/>
    <hyperlink r:id="rId1649" ref="B1643"/>
    <hyperlink r:id="rId1650" ref="B1644"/>
    <hyperlink r:id="rId1651" ref="B1645"/>
    <hyperlink r:id="rId1652" ref="B1646"/>
    <hyperlink r:id="rId1653" ref="B1647"/>
    <hyperlink r:id="rId1654" ref="B1648"/>
    <hyperlink r:id="rId1655" ref="B1649"/>
    <hyperlink r:id="rId1656" ref="B1650"/>
    <hyperlink r:id="rId1657" ref="B1651"/>
    <hyperlink r:id="rId1658" ref="B1652"/>
    <hyperlink r:id="rId1659" ref="B1653"/>
    <hyperlink r:id="rId1660" ref="B1654"/>
    <hyperlink r:id="rId1661" ref="B1655"/>
    <hyperlink r:id="rId1662" ref="B1656"/>
    <hyperlink r:id="rId1663" ref="B1657"/>
    <hyperlink r:id="rId1664" ref="B1658"/>
    <hyperlink r:id="rId1665" ref="B1659"/>
    <hyperlink r:id="rId1666" ref="B1660"/>
    <hyperlink r:id="rId1667" ref="B1661"/>
    <hyperlink r:id="rId1668" ref="B1662"/>
    <hyperlink r:id="rId1669" ref="B1663"/>
    <hyperlink r:id="rId1670" ref="B1664"/>
    <hyperlink r:id="rId1671" ref="B1665"/>
    <hyperlink r:id="rId1672" ref="B1666"/>
    <hyperlink r:id="rId1673" ref="B1667"/>
    <hyperlink r:id="rId1674" ref="B1668"/>
    <hyperlink r:id="rId1675" ref="B1669"/>
    <hyperlink r:id="rId1676" ref="B1670"/>
    <hyperlink r:id="rId1677" ref="B1671"/>
    <hyperlink r:id="rId1678" ref="B1672"/>
    <hyperlink r:id="rId1679" ref="B1673"/>
    <hyperlink r:id="rId1680" ref="B1674"/>
    <hyperlink r:id="rId1681" ref="B1675"/>
    <hyperlink r:id="rId1682" ref="B1676"/>
    <hyperlink r:id="rId1683" ref="B1677"/>
    <hyperlink r:id="rId1684" ref="B1678"/>
    <hyperlink r:id="rId1685" ref="B1679"/>
    <hyperlink r:id="rId1686" ref="B1680"/>
    <hyperlink r:id="rId1687" ref="B1681"/>
    <hyperlink r:id="rId1688" ref="B1682"/>
    <hyperlink r:id="rId1689" ref="B1683"/>
    <hyperlink r:id="rId1690" ref="B1684"/>
    <hyperlink r:id="rId1691" ref="B1685"/>
    <hyperlink r:id="rId1692" ref="B1686"/>
    <hyperlink r:id="rId1693" ref="B1687"/>
    <hyperlink r:id="rId1694" ref="B1688"/>
    <hyperlink r:id="rId1695" ref="B1689"/>
    <hyperlink r:id="rId1696" ref="B1690"/>
    <hyperlink r:id="rId1697" ref="B1691"/>
    <hyperlink r:id="rId1698" ref="B1692"/>
    <hyperlink r:id="rId1699" ref="B1693"/>
    <hyperlink r:id="rId1700" ref="B1694"/>
    <hyperlink r:id="rId1701" ref="B1695"/>
    <hyperlink r:id="rId1702" ref="B1696"/>
    <hyperlink r:id="rId1703" ref="B1697"/>
    <hyperlink r:id="rId1704" ref="B1698"/>
    <hyperlink r:id="rId1705" ref="B1699"/>
    <hyperlink r:id="rId1706" ref="B1700"/>
    <hyperlink r:id="rId1707" ref="B1701"/>
    <hyperlink r:id="rId1708" ref="B1702"/>
    <hyperlink r:id="rId1709" ref="B1703"/>
    <hyperlink r:id="rId1710" ref="B1704"/>
    <hyperlink r:id="rId1711" ref="B1705"/>
    <hyperlink r:id="rId1712" ref="B1706"/>
    <hyperlink r:id="rId1713" ref="B1707"/>
    <hyperlink r:id="rId1714" ref="B1708"/>
    <hyperlink r:id="rId1715" ref="B1709"/>
    <hyperlink r:id="rId1716" ref="B1710"/>
    <hyperlink r:id="rId1717" ref="B1711"/>
    <hyperlink r:id="rId1718" ref="B1712"/>
    <hyperlink r:id="rId1719" ref="B1713"/>
    <hyperlink r:id="rId1720" ref="B1714"/>
    <hyperlink r:id="rId1721" ref="B1715"/>
    <hyperlink r:id="rId1722" ref="B1716"/>
    <hyperlink r:id="rId1723" ref="B1717"/>
    <hyperlink r:id="rId1724" ref="B1718"/>
    <hyperlink r:id="rId1725" ref="B1719"/>
    <hyperlink r:id="rId1726" ref="B1720"/>
    <hyperlink r:id="rId1727" ref="B1721"/>
    <hyperlink r:id="rId1728" ref="B1722"/>
    <hyperlink r:id="rId1729" ref="B1723"/>
    <hyperlink r:id="rId1730" ref="B1724"/>
    <hyperlink r:id="rId1731" ref="B1725"/>
    <hyperlink r:id="rId1732" ref="B1726"/>
    <hyperlink r:id="rId1733" ref="B1727"/>
    <hyperlink r:id="rId1734" ref="B1728"/>
    <hyperlink r:id="rId1735" ref="B1729"/>
    <hyperlink r:id="rId1736" ref="B1730"/>
    <hyperlink r:id="rId1737" ref="B1731"/>
    <hyperlink r:id="rId1738" ref="B1732"/>
    <hyperlink r:id="rId1739" ref="B1733"/>
    <hyperlink r:id="rId1740" ref="B1734"/>
    <hyperlink r:id="rId1741" ref="B1735"/>
    <hyperlink r:id="rId1742" ref="B1736"/>
    <hyperlink r:id="rId1743" ref="B1737"/>
    <hyperlink r:id="rId1744" ref="B1738"/>
    <hyperlink r:id="rId1745" ref="B1739"/>
    <hyperlink r:id="rId1746" ref="B1740"/>
    <hyperlink r:id="rId1747" ref="B1741"/>
    <hyperlink r:id="rId1748" ref="B1742"/>
    <hyperlink r:id="rId1749" ref="B1743"/>
    <hyperlink r:id="rId1750" ref="B1744"/>
    <hyperlink r:id="rId1751" ref="B1745"/>
    <hyperlink r:id="rId1752" ref="B1746"/>
    <hyperlink r:id="rId1753" ref="B1747"/>
    <hyperlink r:id="rId1754" ref="B1748"/>
    <hyperlink r:id="rId1755" ref="B1749"/>
    <hyperlink r:id="rId1756" ref="B1750"/>
    <hyperlink r:id="rId1757" ref="B1751"/>
    <hyperlink r:id="rId1758" ref="B1752"/>
    <hyperlink r:id="rId1759" ref="B1753"/>
    <hyperlink r:id="rId1760" ref="B1754"/>
    <hyperlink r:id="rId1761" ref="B1755"/>
    <hyperlink r:id="rId1762" ref="B1756"/>
    <hyperlink r:id="rId1763" ref="B1757"/>
    <hyperlink r:id="rId1764" ref="B1758"/>
    <hyperlink r:id="rId1765" ref="B1759"/>
    <hyperlink r:id="rId1766" ref="B1760"/>
    <hyperlink r:id="rId1767" ref="B1761"/>
    <hyperlink r:id="rId1768" ref="B1762"/>
    <hyperlink r:id="rId1769" ref="B1763"/>
    <hyperlink r:id="rId1770" ref="B1764"/>
    <hyperlink r:id="rId1771" ref="B1765"/>
    <hyperlink r:id="rId1772" ref="B1766"/>
    <hyperlink r:id="rId1773" ref="B1767"/>
    <hyperlink r:id="rId1774" ref="B1768"/>
    <hyperlink r:id="rId1775" ref="B1769"/>
    <hyperlink r:id="rId1776" ref="B1770"/>
    <hyperlink r:id="rId1777" ref="B1771"/>
    <hyperlink r:id="rId1778" ref="B1772"/>
    <hyperlink r:id="rId1779" ref="B1773"/>
    <hyperlink r:id="rId1780" ref="B1774"/>
    <hyperlink r:id="rId1781" ref="B1775"/>
    <hyperlink r:id="rId1782" ref="B1776"/>
    <hyperlink r:id="rId1783" ref="B1777"/>
    <hyperlink r:id="rId1784" ref="B1778"/>
    <hyperlink r:id="rId1785" ref="B1779"/>
    <hyperlink r:id="rId1786" ref="B1780"/>
    <hyperlink r:id="rId1787" ref="B1781"/>
    <hyperlink r:id="rId1788" ref="B1782"/>
    <hyperlink r:id="rId1789" ref="B1783"/>
    <hyperlink r:id="rId1790" ref="B1784"/>
    <hyperlink r:id="rId1791" ref="B1785"/>
    <hyperlink r:id="rId1792" ref="B1786"/>
    <hyperlink r:id="rId1793" ref="B1787"/>
    <hyperlink r:id="rId1794" ref="B1788"/>
    <hyperlink r:id="rId1795" ref="B1789"/>
    <hyperlink r:id="rId1796" ref="B1790"/>
    <hyperlink r:id="rId1797" ref="B1791"/>
    <hyperlink r:id="rId1798" ref="B1792"/>
    <hyperlink r:id="rId1799" ref="B1793"/>
    <hyperlink r:id="rId1800" ref="B1794"/>
    <hyperlink r:id="rId1801" ref="B1795"/>
    <hyperlink r:id="rId1802" ref="B1796"/>
    <hyperlink r:id="rId1803" ref="B1797"/>
    <hyperlink r:id="rId1804" ref="B1798"/>
    <hyperlink r:id="rId1805" ref="B1799"/>
    <hyperlink r:id="rId1806" ref="B1800"/>
    <hyperlink r:id="rId1807" ref="B1801"/>
    <hyperlink r:id="rId1808" ref="B1802"/>
    <hyperlink r:id="rId1809" ref="B1803"/>
    <hyperlink r:id="rId1810" ref="B1804"/>
    <hyperlink r:id="rId1811" ref="B1805"/>
    <hyperlink r:id="rId1812" ref="B1806"/>
    <hyperlink r:id="rId1813" ref="B1807"/>
    <hyperlink r:id="rId1814" ref="B1808"/>
    <hyperlink r:id="rId1815" ref="B1809"/>
    <hyperlink r:id="rId1816" ref="B1810"/>
    <hyperlink r:id="rId1817" ref="B1811"/>
    <hyperlink r:id="rId1818" ref="B1812"/>
    <hyperlink r:id="rId1819" ref="B1813"/>
    <hyperlink r:id="rId1820" ref="B1814"/>
    <hyperlink r:id="rId1821" ref="B1815"/>
    <hyperlink r:id="rId1822" ref="B1816"/>
    <hyperlink r:id="rId1823" ref="B1817"/>
    <hyperlink r:id="rId1824" ref="B1818"/>
    <hyperlink r:id="rId1825" ref="B1819"/>
    <hyperlink r:id="rId1826" ref="B1820"/>
    <hyperlink r:id="rId1827" ref="B1821"/>
    <hyperlink r:id="rId1828" ref="B1822"/>
    <hyperlink r:id="rId1829" ref="B1823"/>
    <hyperlink r:id="rId1830" ref="B1824"/>
    <hyperlink r:id="rId1831" ref="B1825"/>
    <hyperlink r:id="rId1832" ref="A1826"/>
    <hyperlink r:id="rId1833" ref="B1826"/>
    <hyperlink r:id="rId1834" ref="B1827"/>
    <hyperlink r:id="rId1835" ref="B1828"/>
    <hyperlink r:id="rId1836" ref="B1829"/>
    <hyperlink r:id="rId1837" ref="B1830"/>
    <hyperlink r:id="rId1838" ref="B1831"/>
    <hyperlink r:id="rId1839" ref="B1832"/>
    <hyperlink r:id="rId1840" ref="B1833"/>
    <hyperlink r:id="rId1841" ref="B1834"/>
    <hyperlink r:id="rId1842" ref="B1835"/>
    <hyperlink r:id="rId1843" ref="B1836"/>
    <hyperlink r:id="rId1844" ref="B1837"/>
    <hyperlink r:id="rId1845" ref="B1838"/>
    <hyperlink r:id="rId1846" ref="B1839"/>
    <hyperlink r:id="rId1847" ref="B1840"/>
    <hyperlink r:id="rId1848" ref="B1841"/>
    <hyperlink r:id="rId1849" ref="B1842"/>
    <hyperlink r:id="rId1850" ref="B1843"/>
    <hyperlink r:id="rId1851" ref="B1844"/>
    <hyperlink r:id="rId1852" ref="B1845"/>
    <hyperlink r:id="rId1853" ref="B1846"/>
    <hyperlink r:id="rId1854" ref="B1847"/>
    <hyperlink r:id="rId1855" ref="B1848"/>
    <hyperlink r:id="rId1856" ref="B1849"/>
    <hyperlink r:id="rId1857" ref="B1850"/>
    <hyperlink r:id="rId1858" ref="B1851"/>
    <hyperlink r:id="rId1859" ref="B1852"/>
    <hyperlink r:id="rId1860" ref="B1853"/>
    <hyperlink r:id="rId1861" ref="B1854"/>
    <hyperlink r:id="rId1862" ref="B1855"/>
    <hyperlink r:id="rId1863" ref="B1856"/>
    <hyperlink r:id="rId1864" ref="B1857"/>
    <hyperlink r:id="rId1865" ref="B1858"/>
    <hyperlink r:id="rId1866" ref="B1859"/>
    <hyperlink r:id="rId1867" ref="B1860"/>
    <hyperlink r:id="rId1868" ref="B1861"/>
    <hyperlink r:id="rId1869" ref="B1862"/>
    <hyperlink r:id="rId1870" ref="B1863"/>
    <hyperlink r:id="rId1871" ref="B1864"/>
    <hyperlink r:id="rId1872" ref="B1865"/>
    <hyperlink r:id="rId1873" ref="B1866"/>
    <hyperlink r:id="rId1874" ref="B1867"/>
    <hyperlink r:id="rId1875" ref="B1868"/>
    <hyperlink r:id="rId1876" ref="B1869"/>
    <hyperlink r:id="rId1877" ref="B1870"/>
    <hyperlink r:id="rId1878" ref="B1871"/>
    <hyperlink r:id="rId1879" ref="B1872"/>
    <hyperlink r:id="rId1880" ref="B1873"/>
    <hyperlink r:id="rId1881" ref="B1874"/>
    <hyperlink r:id="rId1882" ref="B1875"/>
    <hyperlink r:id="rId1883" ref="B1876"/>
    <hyperlink r:id="rId1884" ref="B1877"/>
    <hyperlink r:id="rId1885" ref="B1878"/>
    <hyperlink r:id="rId1886" ref="B1879"/>
    <hyperlink r:id="rId1887" ref="B1880"/>
    <hyperlink r:id="rId1888" ref="B1881"/>
    <hyperlink r:id="rId1889" ref="B1882"/>
    <hyperlink r:id="rId1890" ref="B1883"/>
    <hyperlink r:id="rId1891" ref="B1884"/>
    <hyperlink r:id="rId1892" ref="B1885"/>
    <hyperlink r:id="rId1893" ref="B1886"/>
    <hyperlink r:id="rId1894" ref="B1887"/>
    <hyperlink r:id="rId1895" ref="B1888"/>
    <hyperlink r:id="rId1896" ref="B1889"/>
    <hyperlink r:id="rId1897" ref="B1890"/>
    <hyperlink r:id="rId1898" ref="B1891"/>
    <hyperlink r:id="rId1899" ref="B1892"/>
    <hyperlink r:id="rId1900" ref="B1893"/>
    <hyperlink r:id="rId1901" ref="B1894"/>
    <hyperlink r:id="rId1902" ref="B1895"/>
    <hyperlink r:id="rId1903" ref="B1896"/>
    <hyperlink r:id="rId1904" ref="B1897"/>
    <hyperlink r:id="rId1905" ref="B1898"/>
    <hyperlink r:id="rId1906" ref="B1899"/>
    <hyperlink r:id="rId1907" ref="A1900"/>
    <hyperlink r:id="rId1908" ref="B1900"/>
    <hyperlink r:id="rId1909" ref="B1901"/>
    <hyperlink r:id="rId1910" ref="B1902"/>
    <hyperlink r:id="rId1911" ref="B1903"/>
    <hyperlink r:id="rId1912" ref="B1904"/>
    <hyperlink r:id="rId1913" ref="B1905"/>
    <hyperlink r:id="rId1914" ref="B1906"/>
    <hyperlink r:id="rId1915" ref="B1907"/>
    <hyperlink r:id="rId1916" ref="B1908"/>
    <hyperlink r:id="rId1917" ref="B1909"/>
    <hyperlink r:id="rId1918" ref="B1910"/>
    <hyperlink r:id="rId1919" ref="B1911"/>
    <hyperlink r:id="rId1920" ref="B1912"/>
    <hyperlink r:id="rId1921" ref="B1913"/>
    <hyperlink r:id="rId1922" ref="B1914"/>
    <hyperlink r:id="rId1923" ref="B1915"/>
    <hyperlink r:id="rId1924" ref="B1916"/>
    <hyperlink r:id="rId1925" ref="B1917"/>
    <hyperlink r:id="rId1926" ref="B1918"/>
    <hyperlink r:id="rId1927" ref="B1919"/>
    <hyperlink r:id="rId1928" ref="B1920"/>
    <hyperlink r:id="rId1929" ref="B1921"/>
    <hyperlink r:id="rId1930" ref="B1922"/>
    <hyperlink r:id="rId1931" ref="B1923"/>
    <hyperlink r:id="rId1932" ref="B1924"/>
    <hyperlink r:id="rId1933" ref="B1925"/>
    <hyperlink r:id="rId1934" ref="B1926"/>
    <hyperlink r:id="rId1935" ref="B1927"/>
    <hyperlink r:id="rId1936" ref="B1928"/>
    <hyperlink r:id="rId1937" ref="B1929"/>
    <hyperlink r:id="rId1938" ref="B1930"/>
    <hyperlink r:id="rId1939" ref="B1931"/>
    <hyperlink r:id="rId1940" ref="B1932"/>
    <hyperlink r:id="rId1941" ref="B1933"/>
    <hyperlink r:id="rId1942" ref="B1934"/>
    <hyperlink r:id="rId1943" ref="B1935"/>
    <hyperlink r:id="rId1944" ref="B1936"/>
    <hyperlink r:id="rId1945" ref="B1937"/>
    <hyperlink r:id="rId1946" ref="B1938"/>
    <hyperlink r:id="rId1947" ref="B1939"/>
    <hyperlink r:id="rId1948" ref="B1940"/>
    <hyperlink r:id="rId1949" ref="B1941"/>
    <hyperlink r:id="rId1950" ref="B1942"/>
    <hyperlink r:id="rId1951" ref="B1943"/>
    <hyperlink r:id="rId1952" ref="B1944"/>
    <hyperlink r:id="rId1953" ref="B1945"/>
    <hyperlink r:id="rId1954" ref="B1946"/>
    <hyperlink r:id="rId1955" ref="B1947"/>
    <hyperlink r:id="rId1956" ref="B1948"/>
    <hyperlink r:id="rId1957" ref="B1949"/>
    <hyperlink r:id="rId1958" ref="B1950"/>
    <hyperlink r:id="rId1959" ref="B1951"/>
    <hyperlink r:id="rId1960" ref="B1952"/>
    <hyperlink r:id="rId1961" ref="B1953"/>
    <hyperlink r:id="rId1962" ref="B1954"/>
    <hyperlink r:id="rId1963" ref="B1955"/>
    <hyperlink r:id="rId1964" ref="B1956"/>
    <hyperlink r:id="rId1965" ref="B1957"/>
    <hyperlink r:id="rId1966" ref="B1958"/>
    <hyperlink r:id="rId1967" ref="B1959"/>
    <hyperlink r:id="rId1968" ref="B1960"/>
    <hyperlink r:id="rId1969" ref="B1961"/>
    <hyperlink r:id="rId1970" ref="B1962"/>
    <hyperlink r:id="rId1971" ref="B1963"/>
    <hyperlink r:id="rId1972" ref="B1964"/>
    <hyperlink r:id="rId1973" ref="B1965"/>
    <hyperlink r:id="rId1974" ref="B1966"/>
    <hyperlink r:id="rId1975" ref="B1967"/>
    <hyperlink r:id="rId1976" ref="B1968"/>
    <hyperlink r:id="rId1977" ref="B1969"/>
    <hyperlink r:id="rId1978" ref="B1970"/>
    <hyperlink r:id="rId1979" ref="B1971"/>
    <hyperlink r:id="rId1980" ref="B1972"/>
    <hyperlink r:id="rId1981" ref="B1973"/>
    <hyperlink r:id="rId1982" ref="B1974"/>
    <hyperlink r:id="rId1983" ref="B1975"/>
    <hyperlink r:id="rId1984" ref="B1976"/>
    <hyperlink r:id="rId1985" ref="B1977"/>
    <hyperlink r:id="rId1986" ref="B1978"/>
    <hyperlink r:id="rId1987" ref="B1979"/>
    <hyperlink r:id="rId1988" ref="B1980"/>
    <hyperlink r:id="rId1989" ref="B1981"/>
    <hyperlink r:id="rId1990" ref="B1982"/>
    <hyperlink r:id="rId1991" ref="B1983"/>
    <hyperlink r:id="rId1992" ref="B1984"/>
    <hyperlink r:id="rId1993" ref="B1985"/>
    <hyperlink r:id="rId1994" ref="B1986"/>
    <hyperlink r:id="rId1995" ref="B1987"/>
    <hyperlink r:id="rId1996" ref="B1988"/>
    <hyperlink r:id="rId1997" ref="B1989"/>
    <hyperlink r:id="rId1998" ref="B1990"/>
    <hyperlink r:id="rId1999" ref="B1991"/>
    <hyperlink r:id="rId2000" ref="B1992"/>
    <hyperlink r:id="rId2001" ref="B1993"/>
    <hyperlink r:id="rId2002" ref="B1994"/>
    <hyperlink r:id="rId2003" ref="B1995"/>
    <hyperlink r:id="rId2004" ref="B1996"/>
    <hyperlink r:id="rId2005" ref="B1997"/>
    <hyperlink r:id="rId2006" ref="B1998"/>
    <hyperlink r:id="rId2007" ref="B1999"/>
    <hyperlink r:id="rId2008" ref="B2000"/>
    <hyperlink r:id="rId2009" ref="B2001"/>
    <hyperlink r:id="rId2010" ref="B2002"/>
    <hyperlink r:id="rId2011" ref="B2003"/>
    <hyperlink r:id="rId2012" ref="B2004"/>
    <hyperlink r:id="rId2013" ref="B2005"/>
    <hyperlink r:id="rId2014" ref="B2006"/>
    <hyperlink r:id="rId2015" ref="B2007"/>
    <hyperlink r:id="rId2016" ref="B2008"/>
    <hyperlink r:id="rId2017" ref="B2009"/>
    <hyperlink r:id="rId2018" ref="B2010"/>
    <hyperlink r:id="rId2019" ref="B2011"/>
    <hyperlink r:id="rId2020" ref="B2012"/>
    <hyperlink r:id="rId2021" ref="B2013"/>
    <hyperlink r:id="rId2022" ref="B2014"/>
    <hyperlink r:id="rId2023" ref="B2015"/>
    <hyperlink r:id="rId2024" ref="B2016"/>
    <hyperlink r:id="rId2025" ref="B2017"/>
    <hyperlink r:id="rId2026" ref="B2018"/>
    <hyperlink r:id="rId2027" ref="B2019"/>
    <hyperlink r:id="rId2028" ref="B2020"/>
    <hyperlink r:id="rId2029" ref="B2021"/>
    <hyperlink r:id="rId2030" ref="B2022"/>
    <hyperlink r:id="rId2031" ref="B2023"/>
    <hyperlink r:id="rId2032" ref="B2024"/>
    <hyperlink r:id="rId2033" ref="B2025"/>
    <hyperlink r:id="rId2034" ref="B2026"/>
    <hyperlink r:id="rId2035" ref="B2027"/>
    <hyperlink r:id="rId2036" ref="B2028"/>
    <hyperlink r:id="rId2037" ref="B2029"/>
    <hyperlink r:id="rId2038" ref="B2030"/>
    <hyperlink r:id="rId2039" ref="B2031"/>
    <hyperlink r:id="rId2040" ref="B2032"/>
    <hyperlink r:id="rId2041" ref="B2033"/>
    <hyperlink r:id="rId2042" ref="B2034"/>
    <hyperlink r:id="rId2043" ref="B2035"/>
    <hyperlink r:id="rId2044" ref="B2036"/>
    <hyperlink r:id="rId2045" ref="B2037"/>
    <hyperlink r:id="rId2046" ref="B2038"/>
    <hyperlink r:id="rId2047" ref="B2039"/>
    <hyperlink r:id="rId2048" ref="B2040"/>
    <hyperlink r:id="rId2049" ref="B2041"/>
    <hyperlink r:id="rId2050" ref="B2042"/>
    <hyperlink r:id="rId2051" ref="B2043"/>
    <hyperlink r:id="rId2052" ref="B2044"/>
    <hyperlink r:id="rId2053" ref="B2045"/>
    <hyperlink r:id="rId2054" ref="B2046"/>
    <hyperlink r:id="rId2055" ref="B2047"/>
    <hyperlink r:id="rId2056" ref="B2048"/>
    <hyperlink r:id="rId2057" ref="B2049"/>
    <hyperlink r:id="rId2058" ref="B2050"/>
    <hyperlink r:id="rId2059" ref="B2051"/>
    <hyperlink r:id="rId2060" ref="B2052"/>
    <hyperlink r:id="rId2061" ref="B2053"/>
    <hyperlink r:id="rId2062" ref="B2054"/>
    <hyperlink r:id="rId2063" ref="B2055"/>
    <hyperlink r:id="rId2064" ref="B2056"/>
    <hyperlink r:id="rId2065" ref="B2057"/>
    <hyperlink r:id="rId2066" ref="B2058"/>
    <hyperlink r:id="rId2067" ref="B2059"/>
    <hyperlink r:id="rId2068" ref="B2060"/>
    <hyperlink r:id="rId2069" ref="B2061"/>
    <hyperlink r:id="rId2070" ref="B2062"/>
    <hyperlink r:id="rId2071" ref="B2063"/>
    <hyperlink r:id="rId2072" ref="B2064"/>
    <hyperlink r:id="rId2073" ref="B2065"/>
    <hyperlink r:id="rId2074" ref="B2066"/>
    <hyperlink r:id="rId2075" ref="B2067"/>
    <hyperlink r:id="rId2076" ref="B2068"/>
    <hyperlink r:id="rId2077" ref="B2069"/>
    <hyperlink r:id="rId2078" ref="B2070"/>
    <hyperlink r:id="rId2079" ref="B2071"/>
    <hyperlink r:id="rId2080" ref="B2072"/>
    <hyperlink r:id="rId2081" ref="B2073"/>
    <hyperlink r:id="rId2082" ref="B2074"/>
    <hyperlink r:id="rId2083" ref="B2075"/>
    <hyperlink r:id="rId2084" ref="B2076"/>
    <hyperlink r:id="rId2085" ref="B2077"/>
    <hyperlink r:id="rId2086" ref="B2078"/>
    <hyperlink r:id="rId2087" ref="B2079"/>
    <hyperlink r:id="rId2088" ref="B2080"/>
    <hyperlink r:id="rId2089" ref="B2081"/>
    <hyperlink r:id="rId2090" ref="B2082"/>
    <hyperlink r:id="rId2091" ref="B2083"/>
    <hyperlink r:id="rId2092" ref="B2084"/>
    <hyperlink r:id="rId2093" ref="B2085"/>
    <hyperlink r:id="rId2094" ref="B2086"/>
    <hyperlink r:id="rId2095" ref="B2087"/>
    <hyperlink r:id="rId2096" ref="B2088"/>
    <hyperlink r:id="rId2097" ref="B2089"/>
    <hyperlink r:id="rId2098" ref="B2090"/>
    <hyperlink r:id="rId2099" ref="B2091"/>
    <hyperlink r:id="rId2100" ref="B2092"/>
    <hyperlink r:id="rId2101" ref="B2093"/>
    <hyperlink r:id="rId2102" ref="B2094"/>
    <hyperlink r:id="rId2103" ref="B2095"/>
    <hyperlink r:id="rId2104" ref="B2096"/>
    <hyperlink r:id="rId2105" ref="B2097"/>
    <hyperlink r:id="rId2106" ref="B2098"/>
    <hyperlink r:id="rId2107" ref="B2099"/>
    <hyperlink r:id="rId2108" ref="B2100"/>
    <hyperlink r:id="rId2109" ref="B2101"/>
    <hyperlink r:id="rId2110" ref="B2102"/>
    <hyperlink r:id="rId2111" ref="B2103"/>
    <hyperlink r:id="rId2112" ref="B2104"/>
    <hyperlink r:id="rId2113" ref="B2105"/>
    <hyperlink r:id="rId2114" ref="B2106"/>
    <hyperlink r:id="rId2115" ref="B2107"/>
    <hyperlink r:id="rId2116" ref="B2108"/>
    <hyperlink r:id="rId2117" ref="B2109"/>
    <hyperlink r:id="rId2118" ref="B2110"/>
    <hyperlink r:id="rId2119" ref="B2111"/>
    <hyperlink r:id="rId2120" ref="B2112"/>
    <hyperlink r:id="rId2121" ref="B2113"/>
    <hyperlink r:id="rId2122" ref="B2114"/>
    <hyperlink r:id="rId2123" ref="B2115"/>
    <hyperlink r:id="rId2124" ref="B2116"/>
    <hyperlink r:id="rId2125" ref="B2117"/>
    <hyperlink r:id="rId2126" ref="B2118"/>
    <hyperlink r:id="rId2127" ref="B2119"/>
    <hyperlink r:id="rId2128" ref="B2120"/>
    <hyperlink r:id="rId2129" ref="B2121"/>
    <hyperlink r:id="rId2130" ref="B2122"/>
    <hyperlink r:id="rId2131" ref="B2123"/>
    <hyperlink r:id="rId2132" ref="B2124"/>
    <hyperlink r:id="rId2133" ref="B2125"/>
    <hyperlink r:id="rId2134" ref="B2126"/>
    <hyperlink r:id="rId2135" ref="B2127"/>
    <hyperlink r:id="rId2136" ref="B2128"/>
    <hyperlink r:id="rId2137" ref="B2129"/>
    <hyperlink r:id="rId2138" ref="B2130"/>
    <hyperlink r:id="rId2139" ref="B2131"/>
    <hyperlink r:id="rId2140" ref="B2132"/>
    <hyperlink r:id="rId2141" ref="B2133"/>
    <hyperlink r:id="rId2142" ref="B2134"/>
    <hyperlink r:id="rId2143" ref="B2135"/>
    <hyperlink r:id="rId2144" ref="B2136"/>
    <hyperlink r:id="rId2145" ref="B2137"/>
    <hyperlink r:id="rId2146" ref="B2138"/>
    <hyperlink r:id="rId2147" ref="B2139"/>
    <hyperlink r:id="rId2148" ref="B2140"/>
    <hyperlink r:id="rId2149" ref="B2141"/>
    <hyperlink r:id="rId2150" ref="B2142"/>
    <hyperlink r:id="rId2151" ref="B2143"/>
    <hyperlink r:id="rId2152" ref="B2144"/>
    <hyperlink r:id="rId2153" ref="B2145"/>
    <hyperlink r:id="rId2154" ref="B2146"/>
    <hyperlink r:id="rId2155" ref="B2147"/>
    <hyperlink r:id="rId2156" ref="B2148"/>
    <hyperlink r:id="rId2157" ref="B2149"/>
    <hyperlink r:id="rId2158" ref="B2150"/>
    <hyperlink r:id="rId2159" ref="B2151"/>
    <hyperlink r:id="rId2160" ref="B2152"/>
    <hyperlink r:id="rId2161" ref="B2153"/>
    <hyperlink r:id="rId2162" ref="B2154"/>
    <hyperlink r:id="rId2163" ref="B2155"/>
    <hyperlink r:id="rId2164" ref="B2156"/>
    <hyperlink r:id="rId2165" ref="B2157"/>
    <hyperlink r:id="rId2166" ref="B2158"/>
    <hyperlink r:id="rId2167" ref="B2159"/>
    <hyperlink r:id="rId2168" ref="B2160"/>
    <hyperlink r:id="rId2169" ref="B2161"/>
    <hyperlink r:id="rId2170" ref="B2162"/>
    <hyperlink r:id="rId2171" ref="B2163"/>
    <hyperlink r:id="rId2172" ref="B2164"/>
    <hyperlink r:id="rId2173" ref="B2165"/>
    <hyperlink r:id="rId2174" ref="B2166"/>
    <hyperlink r:id="rId2175" ref="B2167"/>
    <hyperlink r:id="rId2176" ref="B2168"/>
    <hyperlink r:id="rId2177" ref="B2169"/>
    <hyperlink r:id="rId2178" ref="B2170"/>
    <hyperlink r:id="rId2179" ref="B2171"/>
    <hyperlink r:id="rId2180" ref="B2172"/>
    <hyperlink r:id="rId2181" ref="B2173"/>
    <hyperlink r:id="rId2182" ref="B2174"/>
    <hyperlink r:id="rId2183" ref="B2175"/>
    <hyperlink r:id="rId2184" ref="B2176"/>
    <hyperlink r:id="rId2185" ref="B2177"/>
    <hyperlink r:id="rId2186" ref="B2178"/>
    <hyperlink r:id="rId2187" ref="B2179"/>
    <hyperlink r:id="rId2188" ref="B2180"/>
    <hyperlink r:id="rId2189" ref="B2181"/>
    <hyperlink r:id="rId2190" ref="B2182"/>
    <hyperlink r:id="rId2191" ref="B2183"/>
    <hyperlink r:id="rId2192" ref="B2184"/>
    <hyperlink r:id="rId2193" ref="B2185"/>
    <hyperlink r:id="rId2194" ref="B2186"/>
    <hyperlink r:id="rId2195" ref="B2187"/>
    <hyperlink r:id="rId2196" ref="B2188"/>
    <hyperlink r:id="rId2197" ref="B2189"/>
    <hyperlink r:id="rId2198" ref="B2190"/>
    <hyperlink r:id="rId2199" ref="B2191"/>
    <hyperlink r:id="rId2200" ref="B2192"/>
    <hyperlink r:id="rId2201" ref="B2193"/>
    <hyperlink r:id="rId2202" ref="B2194"/>
    <hyperlink r:id="rId2203" ref="B2195"/>
    <hyperlink r:id="rId2204" ref="B2196"/>
    <hyperlink r:id="rId2205" ref="B2197"/>
    <hyperlink r:id="rId2206" ref="B2198"/>
    <hyperlink r:id="rId2207" ref="B2199"/>
    <hyperlink r:id="rId2208" ref="B2200"/>
    <hyperlink r:id="rId2209" ref="B2201"/>
    <hyperlink r:id="rId2210" ref="B2202"/>
    <hyperlink r:id="rId2211" ref="B2203"/>
    <hyperlink r:id="rId2212" ref="B2204"/>
    <hyperlink r:id="rId2213" ref="B2205"/>
    <hyperlink r:id="rId2214" ref="B2206"/>
    <hyperlink r:id="rId2215" ref="B2207"/>
    <hyperlink r:id="rId2216" ref="B2208"/>
    <hyperlink r:id="rId2217" ref="B2209"/>
    <hyperlink r:id="rId2218" ref="B2210"/>
    <hyperlink r:id="rId2219" ref="B2211"/>
    <hyperlink r:id="rId2220" ref="B2212"/>
    <hyperlink r:id="rId2221" ref="B2213"/>
    <hyperlink r:id="rId2222" ref="B2214"/>
    <hyperlink r:id="rId2223" ref="B2215"/>
    <hyperlink r:id="rId2224" ref="B2216"/>
    <hyperlink r:id="rId2225" ref="B2217"/>
    <hyperlink r:id="rId2226" ref="B2218"/>
    <hyperlink r:id="rId2227" ref="B2219"/>
    <hyperlink r:id="rId2228" ref="B2220"/>
    <hyperlink r:id="rId2229" ref="B2221"/>
    <hyperlink r:id="rId2230" ref="B2222"/>
    <hyperlink r:id="rId2231" ref="B2223"/>
    <hyperlink r:id="rId2232" ref="B2224"/>
    <hyperlink r:id="rId2233" ref="B2225"/>
    <hyperlink r:id="rId2234" ref="B2226"/>
    <hyperlink r:id="rId2235" ref="B2227"/>
    <hyperlink r:id="rId2236" ref="B2228"/>
    <hyperlink r:id="rId2237" ref="B2229"/>
    <hyperlink r:id="rId2238" ref="B2230"/>
    <hyperlink r:id="rId2239" ref="B2231"/>
    <hyperlink r:id="rId2240" ref="B2232"/>
    <hyperlink r:id="rId2241" ref="B2233"/>
    <hyperlink r:id="rId2242" ref="B2234"/>
    <hyperlink r:id="rId2243" ref="B2235"/>
    <hyperlink r:id="rId2244" ref="B2236"/>
    <hyperlink r:id="rId2245" ref="B2237"/>
    <hyperlink r:id="rId2246" ref="B2238"/>
    <hyperlink r:id="rId2247" ref="B2239"/>
    <hyperlink r:id="rId2248" ref="B2240"/>
    <hyperlink r:id="rId2249" ref="B2241"/>
    <hyperlink r:id="rId2250" ref="B2242"/>
    <hyperlink r:id="rId2251" ref="B2243"/>
    <hyperlink r:id="rId2252" ref="B2244"/>
    <hyperlink r:id="rId2253" ref="B2245"/>
    <hyperlink r:id="rId2254" ref="B2246"/>
    <hyperlink r:id="rId2255" ref="B2247"/>
    <hyperlink r:id="rId2256" ref="B2248"/>
    <hyperlink r:id="rId2257" ref="B2249"/>
    <hyperlink r:id="rId2258" ref="B2250"/>
    <hyperlink r:id="rId2259" ref="B2251"/>
    <hyperlink r:id="rId2260" ref="B2252"/>
    <hyperlink r:id="rId2261" ref="B2253"/>
    <hyperlink r:id="rId2262" ref="B2254"/>
    <hyperlink r:id="rId2263" ref="B2255"/>
    <hyperlink r:id="rId2264" ref="B2256"/>
    <hyperlink r:id="rId2265" ref="B2257"/>
    <hyperlink r:id="rId2266" ref="B2258"/>
    <hyperlink r:id="rId2267" ref="B2259"/>
    <hyperlink r:id="rId2268" ref="B2260"/>
    <hyperlink r:id="rId2269" ref="B2261"/>
    <hyperlink r:id="rId2270" ref="B2262"/>
    <hyperlink r:id="rId2271" ref="B2263"/>
    <hyperlink r:id="rId2272" ref="B2264"/>
    <hyperlink r:id="rId2273" ref="B2265"/>
    <hyperlink r:id="rId2274" ref="B2266"/>
    <hyperlink r:id="rId2275" ref="B2267"/>
    <hyperlink r:id="rId2276" ref="B2268"/>
    <hyperlink r:id="rId2277" ref="B2269"/>
    <hyperlink r:id="rId2278" ref="B2270"/>
    <hyperlink r:id="rId2279" ref="B2271"/>
    <hyperlink r:id="rId2280" ref="B2272"/>
    <hyperlink r:id="rId2281" ref="B2273"/>
    <hyperlink r:id="rId2282" ref="B2274"/>
    <hyperlink r:id="rId2283" ref="B2275"/>
    <hyperlink r:id="rId2284" ref="B2276"/>
    <hyperlink r:id="rId2285" ref="B2277"/>
    <hyperlink r:id="rId2286" ref="B2278"/>
    <hyperlink r:id="rId2287" ref="B2279"/>
    <hyperlink r:id="rId2288" ref="B2280"/>
    <hyperlink r:id="rId2289" ref="B2281"/>
    <hyperlink r:id="rId2290" ref="B2282"/>
    <hyperlink r:id="rId2291" ref="B2283"/>
    <hyperlink r:id="rId2292" ref="B2284"/>
    <hyperlink r:id="rId2293" ref="B2285"/>
    <hyperlink r:id="rId2294" ref="B2286"/>
    <hyperlink r:id="rId2295" ref="B2287"/>
    <hyperlink r:id="rId2296" ref="B2288"/>
    <hyperlink r:id="rId2297" ref="B2289"/>
    <hyperlink r:id="rId2298" ref="B2290"/>
    <hyperlink r:id="rId2299" ref="B2291"/>
    <hyperlink r:id="rId2300" ref="B2292"/>
    <hyperlink r:id="rId2301" ref="B2293"/>
    <hyperlink r:id="rId2302" ref="B2294"/>
    <hyperlink r:id="rId2303" ref="B2295"/>
    <hyperlink r:id="rId2304" ref="B2296"/>
    <hyperlink r:id="rId2305" ref="B2297"/>
    <hyperlink r:id="rId2306" ref="B2298"/>
    <hyperlink r:id="rId2307" ref="B2299"/>
    <hyperlink r:id="rId2308" ref="B2300"/>
    <hyperlink r:id="rId2309" ref="B2301"/>
    <hyperlink r:id="rId2310" ref="B2302"/>
    <hyperlink r:id="rId2311" ref="B2303"/>
    <hyperlink r:id="rId2312" ref="B2304"/>
    <hyperlink r:id="rId2313" ref="B2305"/>
    <hyperlink r:id="rId2314" ref="B2306"/>
    <hyperlink r:id="rId2315" ref="B2307"/>
    <hyperlink r:id="rId2316" ref="B2308"/>
    <hyperlink r:id="rId2317" ref="B2309"/>
    <hyperlink r:id="rId2318" ref="B2310"/>
    <hyperlink r:id="rId2319" ref="B2311"/>
    <hyperlink r:id="rId2320" ref="B2312"/>
    <hyperlink r:id="rId2321" ref="B2313"/>
    <hyperlink r:id="rId2322" ref="B2314"/>
    <hyperlink r:id="rId2323" ref="B2315"/>
    <hyperlink r:id="rId2324" ref="B2316"/>
    <hyperlink r:id="rId2325" ref="B2317"/>
    <hyperlink r:id="rId2326" ref="B2318"/>
    <hyperlink r:id="rId2327" ref="B2319"/>
    <hyperlink r:id="rId2328" ref="B2320"/>
    <hyperlink r:id="rId2329" ref="B2321"/>
    <hyperlink r:id="rId2330" ref="B2322"/>
    <hyperlink r:id="rId2331" ref="B2323"/>
    <hyperlink r:id="rId2332" ref="B2324"/>
    <hyperlink r:id="rId2333" ref="B2325"/>
    <hyperlink r:id="rId2334" ref="B2326"/>
    <hyperlink r:id="rId2335" ref="B2327"/>
    <hyperlink r:id="rId2336" ref="B2328"/>
    <hyperlink r:id="rId2337" ref="B2329"/>
    <hyperlink r:id="rId2338" ref="B2330"/>
    <hyperlink r:id="rId2339" ref="B2331"/>
    <hyperlink r:id="rId2340" ref="B2332"/>
    <hyperlink r:id="rId2341" ref="B2333"/>
    <hyperlink r:id="rId2342" ref="B2334"/>
    <hyperlink r:id="rId2343" ref="B2335"/>
    <hyperlink r:id="rId2344" ref="B2336"/>
    <hyperlink r:id="rId2345" ref="B2337"/>
    <hyperlink r:id="rId2346" ref="B2338"/>
    <hyperlink r:id="rId2347" ref="B2339"/>
    <hyperlink r:id="rId2348" ref="B2340"/>
    <hyperlink r:id="rId2349" ref="B2341"/>
    <hyperlink r:id="rId2350" ref="B2342"/>
    <hyperlink r:id="rId2351" ref="B2343"/>
    <hyperlink r:id="rId2352" ref="B2344"/>
    <hyperlink r:id="rId2353" ref="B2345"/>
    <hyperlink r:id="rId2354" ref="B2346"/>
    <hyperlink r:id="rId2355" ref="B2347"/>
    <hyperlink r:id="rId2356" ref="B2348"/>
    <hyperlink r:id="rId2357" ref="B2349"/>
    <hyperlink r:id="rId2358" ref="B2350"/>
    <hyperlink r:id="rId2359" ref="B2351"/>
    <hyperlink r:id="rId2360" ref="B2352"/>
    <hyperlink r:id="rId2361" ref="B2353"/>
    <hyperlink r:id="rId2362" ref="B2354"/>
    <hyperlink r:id="rId2363" ref="B2355"/>
    <hyperlink r:id="rId2364" ref="B2356"/>
    <hyperlink r:id="rId2365" ref="B2357"/>
    <hyperlink r:id="rId2366" ref="B2358"/>
    <hyperlink r:id="rId2367" ref="B2359"/>
    <hyperlink r:id="rId2368" ref="B2360"/>
    <hyperlink r:id="rId2369" ref="B2361"/>
    <hyperlink r:id="rId2370" ref="B2362"/>
    <hyperlink r:id="rId2371" ref="B2363"/>
    <hyperlink r:id="rId2372" ref="B2364"/>
    <hyperlink r:id="rId2373" ref="B2365"/>
    <hyperlink r:id="rId2374" ref="B2366"/>
    <hyperlink r:id="rId2375" ref="B2367"/>
    <hyperlink r:id="rId2376" ref="B2368"/>
    <hyperlink r:id="rId2377" ref="B2369"/>
    <hyperlink r:id="rId2378" ref="B2370"/>
    <hyperlink r:id="rId2379" ref="B2371"/>
    <hyperlink r:id="rId2380" ref="B2372"/>
    <hyperlink r:id="rId2381" ref="B2373"/>
    <hyperlink r:id="rId2382" ref="B2374"/>
    <hyperlink r:id="rId2383" ref="B2375"/>
    <hyperlink r:id="rId2384" ref="B2376"/>
    <hyperlink r:id="rId2385" ref="B2377"/>
    <hyperlink r:id="rId2386" ref="B2378"/>
    <hyperlink r:id="rId2387" ref="B2379"/>
    <hyperlink r:id="rId2388" ref="B2380"/>
    <hyperlink r:id="rId2389" ref="B2381"/>
    <hyperlink r:id="rId2390" ref="B2382"/>
    <hyperlink r:id="rId2391" ref="B2383"/>
    <hyperlink r:id="rId2392" ref="B2384"/>
    <hyperlink r:id="rId2393" ref="B2385"/>
    <hyperlink r:id="rId2394" ref="B2386"/>
    <hyperlink r:id="rId2395" ref="B2387"/>
    <hyperlink r:id="rId2396" ref="B2388"/>
    <hyperlink r:id="rId2397" ref="B2389"/>
    <hyperlink r:id="rId2398" ref="B2390"/>
    <hyperlink r:id="rId2399" ref="B2391"/>
    <hyperlink r:id="rId2400" ref="B2392"/>
    <hyperlink r:id="rId2401" ref="B2393"/>
    <hyperlink r:id="rId2402" ref="B2394"/>
    <hyperlink r:id="rId2403" ref="B2395"/>
    <hyperlink r:id="rId2404" ref="B2396"/>
    <hyperlink r:id="rId2405" ref="B2397"/>
    <hyperlink r:id="rId2406" ref="B2398"/>
    <hyperlink r:id="rId2407" ref="B2399"/>
    <hyperlink r:id="rId2408" ref="B2400"/>
    <hyperlink r:id="rId2409" ref="B2401"/>
    <hyperlink r:id="rId2410" ref="B2402"/>
    <hyperlink r:id="rId2411" ref="B2403"/>
    <hyperlink r:id="rId2412" ref="B2404"/>
    <hyperlink r:id="rId2413" ref="B2405"/>
    <hyperlink r:id="rId2414" ref="B2406"/>
    <hyperlink r:id="rId2415" ref="B2407"/>
    <hyperlink r:id="rId2416" ref="B2408"/>
    <hyperlink r:id="rId2417" ref="B2409"/>
    <hyperlink r:id="rId2418" ref="B2410"/>
    <hyperlink r:id="rId2419" ref="B2411"/>
    <hyperlink r:id="rId2420" ref="B2412"/>
    <hyperlink r:id="rId2421" ref="B2413"/>
    <hyperlink r:id="rId2422" ref="B2414"/>
    <hyperlink r:id="rId2423" ref="B2415"/>
    <hyperlink r:id="rId2424" ref="B2416"/>
    <hyperlink r:id="rId2425" ref="B2417"/>
    <hyperlink r:id="rId2426" ref="B2418"/>
    <hyperlink r:id="rId2427" ref="B2419"/>
    <hyperlink r:id="rId2428" ref="B2420"/>
    <hyperlink r:id="rId2429" ref="B2421"/>
    <hyperlink r:id="rId2430" ref="B2422"/>
    <hyperlink r:id="rId2431" ref="B2423"/>
    <hyperlink r:id="rId2432" ref="B2424"/>
    <hyperlink r:id="rId2433" ref="B2425"/>
    <hyperlink r:id="rId2434" ref="B2426"/>
    <hyperlink r:id="rId2435" ref="B2427"/>
    <hyperlink r:id="rId2436" ref="B2428"/>
    <hyperlink r:id="rId2437" ref="B2429"/>
    <hyperlink r:id="rId2438" ref="B2430"/>
    <hyperlink r:id="rId2439" ref="B2431"/>
    <hyperlink r:id="rId2440" ref="B2432"/>
    <hyperlink r:id="rId2441" ref="B2433"/>
    <hyperlink r:id="rId2442" ref="B2434"/>
    <hyperlink r:id="rId2443" ref="B2435"/>
    <hyperlink r:id="rId2444" ref="B2436"/>
    <hyperlink r:id="rId2445" ref="B2437"/>
    <hyperlink r:id="rId2446" ref="B2438"/>
    <hyperlink r:id="rId2447" ref="B2439"/>
    <hyperlink r:id="rId2448" ref="B2440"/>
    <hyperlink r:id="rId2449" ref="B2441"/>
    <hyperlink r:id="rId2450" ref="B2442"/>
    <hyperlink r:id="rId2451" ref="B2443"/>
    <hyperlink r:id="rId2452" ref="B2444"/>
    <hyperlink r:id="rId2453" ref="B2445"/>
    <hyperlink r:id="rId2454" ref="B2446"/>
    <hyperlink r:id="rId2455" ref="B2447"/>
    <hyperlink r:id="rId2456" ref="B2448"/>
    <hyperlink r:id="rId2457" ref="B2449"/>
    <hyperlink r:id="rId2458" ref="A2450"/>
    <hyperlink r:id="rId2459" ref="B2450"/>
    <hyperlink r:id="rId2460" ref="B2451"/>
    <hyperlink r:id="rId2461" ref="B2452"/>
    <hyperlink r:id="rId2462" ref="B2453"/>
    <hyperlink r:id="rId2463" ref="B2454"/>
    <hyperlink r:id="rId2464" ref="B2455"/>
    <hyperlink r:id="rId2465" ref="B2456"/>
    <hyperlink r:id="rId2466" ref="B2457"/>
    <hyperlink r:id="rId2467" ref="B2458"/>
    <hyperlink r:id="rId2468" ref="B2459"/>
    <hyperlink r:id="rId2469" ref="B2460"/>
    <hyperlink r:id="rId2470" ref="B2461"/>
    <hyperlink r:id="rId2471" ref="B2462"/>
    <hyperlink r:id="rId2472" ref="B2463"/>
    <hyperlink r:id="rId2473" ref="B2464"/>
    <hyperlink r:id="rId2474" ref="B2465"/>
    <hyperlink r:id="rId2475" ref="A2466"/>
    <hyperlink r:id="rId2476" ref="B2466"/>
    <hyperlink r:id="rId2477" ref="B2467"/>
    <hyperlink r:id="rId2478" ref="B2468"/>
    <hyperlink r:id="rId2479" ref="B2469"/>
    <hyperlink r:id="rId2480" ref="B2470"/>
    <hyperlink r:id="rId2481" ref="B2471"/>
    <hyperlink r:id="rId2482" ref="B2472"/>
    <hyperlink r:id="rId2483" ref="B2473"/>
    <hyperlink r:id="rId2484" ref="B2474"/>
    <hyperlink r:id="rId2485" ref="B2475"/>
    <hyperlink r:id="rId2486" ref="B2476"/>
    <hyperlink r:id="rId2487" ref="B2477"/>
    <hyperlink r:id="rId2488" ref="B2478"/>
    <hyperlink r:id="rId2489" ref="B2479"/>
    <hyperlink r:id="rId2490" ref="B2480"/>
    <hyperlink r:id="rId2491" ref="B2481"/>
    <hyperlink r:id="rId2492" ref="B2482"/>
    <hyperlink r:id="rId2493" ref="B2483"/>
    <hyperlink r:id="rId2494" ref="B2484"/>
    <hyperlink r:id="rId2495" ref="B2485"/>
    <hyperlink r:id="rId2496" ref="B2486"/>
    <hyperlink r:id="rId2497" ref="B2487"/>
    <hyperlink r:id="rId2498" ref="B2488"/>
    <hyperlink r:id="rId2499" ref="B2489"/>
    <hyperlink r:id="rId2500" ref="B2490"/>
    <hyperlink r:id="rId2501" ref="B2491"/>
    <hyperlink r:id="rId2502" ref="B2492"/>
    <hyperlink r:id="rId2503" ref="B2493"/>
    <hyperlink r:id="rId2504" ref="B2494"/>
    <hyperlink r:id="rId2505" ref="B2495"/>
    <hyperlink r:id="rId2506" ref="B2496"/>
    <hyperlink r:id="rId2507" ref="B2497"/>
    <hyperlink r:id="rId2508" ref="B2498"/>
    <hyperlink r:id="rId2509" ref="B2499"/>
    <hyperlink r:id="rId2510" ref="B2500"/>
    <hyperlink r:id="rId2511" ref="B2501"/>
    <hyperlink r:id="rId2512" ref="B2502"/>
    <hyperlink r:id="rId2513" ref="B2503"/>
    <hyperlink r:id="rId2514" ref="B2504"/>
    <hyperlink r:id="rId2515" ref="B2505"/>
    <hyperlink r:id="rId2516" ref="B2506"/>
    <hyperlink r:id="rId2517" ref="B2507"/>
    <hyperlink r:id="rId2518" ref="B2508"/>
    <hyperlink r:id="rId2519" ref="B2509"/>
    <hyperlink r:id="rId2520" ref="B2510"/>
    <hyperlink r:id="rId2521" ref="B2511"/>
    <hyperlink r:id="rId2522" ref="B2512"/>
    <hyperlink r:id="rId2523" ref="B2513"/>
    <hyperlink r:id="rId2524" ref="B2514"/>
    <hyperlink r:id="rId2525" ref="B2515"/>
    <hyperlink r:id="rId2526" ref="B2516"/>
    <hyperlink r:id="rId2527" ref="B2517"/>
    <hyperlink r:id="rId2528" ref="B2518"/>
    <hyperlink r:id="rId2529" ref="B2519"/>
    <hyperlink r:id="rId2530" ref="B2520"/>
    <hyperlink r:id="rId2531" ref="B2521"/>
    <hyperlink r:id="rId2532" ref="B2522"/>
    <hyperlink r:id="rId2533" ref="B2523"/>
    <hyperlink r:id="rId2534" ref="B2524"/>
    <hyperlink r:id="rId2535" ref="B2525"/>
    <hyperlink r:id="rId2536" ref="B2526"/>
    <hyperlink r:id="rId2537" ref="B2527"/>
    <hyperlink r:id="rId2538" ref="B2528"/>
    <hyperlink r:id="rId2539" ref="B2529"/>
    <hyperlink r:id="rId2540" ref="B2530"/>
    <hyperlink r:id="rId2541" ref="B2531"/>
    <hyperlink r:id="rId2542" ref="B2532"/>
    <hyperlink r:id="rId2543" ref="B2533"/>
    <hyperlink r:id="rId2544" ref="B2534"/>
    <hyperlink r:id="rId2545" ref="B2535"/>
    <hyperlink r:id="rId2546" ref="B2536"/>
    <hyperlink r:id="rId2547" ref="B2537"/>
    <hyperlink r:id="rId2548" ref="B2538"/>
    <hyperlink r:id="rId2549" ref="B2539"/>
    <hyperlink r:id="rId2550" ref="B2540"/>
    <hyperlink r:id="rId2551" ref="B2541"/>
    <hyperlink r:id="rId2552" ref="B2542"/>
    <hyperlink r:id="rId2553" ref="B2543"/>
    <hyperlink r:id="rId2554" ref="B2544"/>
    <hyperlink r:id="rId2555" ref="B2545"/>
    <hyperlink r:id="rId2556" ref="B2546"/>
    <hyperlink r:id="rId2557" ref="B2547"/>
    <hyperlink r:id="rId2558" ref="B2548"/>
    <hyperlink r:id="rId2559" ref="B2549"/>
    <hyperlink r:id="rId2560" ref="B2550"/>
    <hyperlink r:id="rId2561" ref="B2551"/>
    <hyperlink r:id="rId2562" ref="B2552"/>
    <hyperlink r:id="rId2563" ref="B2553"/>
    <hyperlink r:id="rId2564" ref="B2554"/>
    <hyperlink r:id="rId2565" ref="B2555"/>
    <hyperlink r:id="rId2566" ref="B2556"/>
    <hyperlink r:id="rId2567" ref="B2557"/>
    <hyperlink r:id="rId2568" ref="B2558"/>
    <hyperlink r:id="rId2569" ref="B2559"/>
    <hyperlink r:id="rId2570" ref="B2560"/>
    <hyperlink r:id="rId2571" ref="B2561"/>
    <hyperlink r:id="rId2572" ref="B2562"/>
    <hyperlink r:id="rId2573" ref="B2563"/>
    <hyperlink r:id="rId2574" ref="B2564"/>
    <hyperlink r:id="rId2575" ref="B2565"/>
    <hyperlink r:id="rId2576" ref="B2566"/>
    <hyperlink r:id="rId2577" ref="B2567"/>
    <hyperlink r:id="rId2578" ref="B2568"/>
    <hyperlink r:id="rId2579" ref="B2569"/>
    <hyperlink r:id="rId2580" ref="A2570"/>
    <hyperlink r:id="rId2581" ref="B2570"/>
    <hyperlink r:id="rId2582" ref="B2571"/>
    <hyperlink r:id="rId2583" ref="B2572"/>
    <hyperlink r:id="rId2584" ref="B2573"/>
    <hyperlink r:id="rId2585" ref="B2574"/>
    <hyperlink r:id="rId2586" ref="B2575"/>
    <hyperlink r:id="rId2587" ref="B2576"/>
    <hyperlink r:id="rId2588" ref="B2577"/>
    <hyperlink r:id="rId2589" ref="B2578"/>
    <hyperlink r:id="rId2590" ref="B2579"/>
    <hyperlink r:id="rId2591" ref="B2580"/>
    <hyperlink r:id="rId2592" ref="B2581"/>
    <hyperlink r:id="rId2593" ref="B2582"/>
    <hyperlink r:id="rId2594" ref="B2583"/>
    <hyperlink r:id="rId2595" ref="B2584"/>
    <hyperlink r:id="rId2596" ref="B2585"/>
    <hyperlink r:id="rId2597" ref="B2586"/>
    <hyperlink r:id="rId2598" ref="B2587"/>
    <hyperlink r:id="rId2599" ref="B2588"/>
    <hyperlink r:id="rId2600" ref="B2589"/>
    <hyperlink r:id="rId2601" ref="A2590"/>
    <hyperlink r:id="rId2602" ref="B2590"/>
    <hyperlink r:id="rId2603" ref="B2591"/>
    <hyperlink r:id="rId2604" ref="B2592"/>
    <hyperlink r:id="rId2605" ref="B2593"/>
    <hyperlink r:id="rId2606" ref="B2594"/>
    <hyperlink r:id="rId2607" ref="B2595"/>
    <hyperlink r:id="rId2608" ref="B2596"/>
    <hyperlink r:id="rId2609" ref="B2597"/>
    <hyperlink r:id="rId2610" ref="B2598"/>
    <hyperlink r:id="rId2611" ref="B2599"/>
    <hyperlink r:id="rId2612" ref="B2600"/>
    <hyperlink r:id="rId2613" ref="B2601"/>
    <hyperlink r:id="rId2614" ref="B2602"/>
    <hyperlink r:id="rId2615" ref="B2603"/>
    <hyperlink r:id="rId2616" ref="B2604"/>
    <hyperlink r:id="rId2617" ref="B2605"/>
    <hyperlink r:id="rId2618" ref="B2606"/>
    <hyperlink r:id="rId2619" ref="B2607"/>
    <hyperlink r:id="rId2620" ref="B2608"/>
    <hyperlink r:id="rId2621" ref="B2609"/>
    <hyperlink r:id="rId2622" ref="B2610"/>
    <hyperlink r:id="rId2623" ref="B2611"/>
    <hyperlink r:id="rId2624" ref="B2612"/>
    <hyperlink r:id="rId2625" ref="B2613"/>
    <hyperlink r:id="rId2626" ref="B2614"/>
    <hyperlink r:id="rId2627" ref="B2615"/>
    <hyperlink r:id="rId2628" ref="B2616"/>
    <hyperlink r:id="rId2629" ref="B2617"/>
    <hyperlink r:id="rId2630" ref="B2618"/>
    <hyperlink r:id="rId2631" ref="B2619"/>
    <hyperlink r:id="rId2632" ref="B2620"/>
    <hyperlink r:id="rId2633" ref="B2621"/>
    <hyperlink r:id="rId2634" ref="B2622"/>
    <hyperlink r:id="rId2635" ref="B2623"/>
    <hyperlink r:id="rId2636" ref="B2624"/>
    <hyperlink r:id="rId2637" ref="B2625"/>
    <hyperlink r:id="rId2638" ref="B2626"/>
    <hyperlink r:id="rId2639" ref="B2627"/>
    <hyperlink r:id="rId2640" ref="B2628"/>
    <hyperlink r:id="rId2641" ref="B2629"/>
    <hyperlink r:id="rId2642" ref="B2630"/>
    <hyperlink r:id="rId2643" ref="B2631"/>
    <hyperlink r:id="rId2644" ref="B2632"/>
    <hyperlink r:id="rId2645" ref="B2633"/>
    <hyperlink r:id="rId2646" ref="B2634"/>
    <hyperlink r:id="rId2647" ref="B2635"/>
    <hyperlink r:id="rId2648" ref="B2636"/>
    <hyperlink r:id="rId2649" ref="B2637"/>
    <hyperlink r:id="rId2650" ref="B2638"/>
    <hyperlink r:id="rId2651" ref="B2639"/>
    <hyperlink r:id="rId2652" ref="B2640"/>
    <hyperlink r:id="rId2653" ref="B2641"/>
    <hyperlink r:id="rId2654" ref="B2642"/>
    <hyperlink r:id="rId2655" ref="B2643"/>
    <hyperlink r:id="rId2656" ref="B2644"/>
    <hyperlink r:id="rId2657" ref="B2645"/>
    <hyperlink r:id="rId2658" ref="B2646"/>
    <hyperlink r:id="rId2659" ref="B2647"/>
    <hyperlink r:id="rId2660" ref="B2648"/>
    <hyperlink r:id="rId2661" ref="B2649"/>
    <hyperlink r:id="rId2662" ref="B2650"/>
    <hyperlink r:id="rId2663" ref="B2651"/>
    <hyperlink r:id="rId2664" ref="B2652"/>
    <hyperlink r:id="rId2665" ref="B2653"/>
    <hyperlink r:id="rId2666" ref="B2654"/>
    <hyperlink r:id="rId2667" ref="B2655"/>
    <hyperlink r:id="rId2668" ref="B2656"/>
    <hyperlink r:id="rId2669" ref="B2657"/>
    <hyperlink r:id="rId2670" ref="B2658"/>
    <hyperlink r:id="rId2671" ref="B2659"/>
    <hyperlink r:id="rId2672" ref="B2660"/>
    <hyperlink r:id="rId2673" ref="B2661"/>
    <hyperlink r:id="rId2674" ref="B2662"/>
    <hyperlink r:id="rId2675" ref="B2663"/>
    <hyperlink r:id="rId2676" ref="B2664"/>
    <hyperlink r:id="rId2677" ref="B2665"/>
    <hyperlink r:id="rId2678" ref="B2666"/>
    <hyperlink r:id="rId2679" ref="B2667"/>
    <hyperlink r:id="rId2680" ref="B2668"/>
    <hyperlink r:id="rId2681" ref="B2669"/>
    <hyperlink r:id="rId2682" ref="B2670"/>
    <hyperlink r:id="rId2683" ref="B2671"/>
    <hyperlink r:id="rId2684" ref="B2672"/>
    <hyperlink r:id="rId2685" ref="B2673"/>
    <hyperlink r:id="rId2686" ref="B2674"/>
    <hyperlink r:id="rId2687" ref="B2675"/>
    <hyperlink r:id="rId2688" ref="B2676"/>
    <hyperlink r:id="rId2689" ref="B2677"/>
    <hyperlink r:id="rId2690" ref="B2678"/>
    <hyperlink r:id="rId2691" ref="B2679"/>
    <hyperlink r:id="rId2692" ref="B2680"/>
    <hyperlink r:id="rId2693" ref="B2681"/>
    <hyperlink r:id="rId2694" ref="B2682"/>
    <hyperlink r:id="rId2695" ref="B2683"/>
    <hyperlink r:id="rId2696" ref="B2684"/>
    <hyperlink r:id="rId2697" ref="B2685"/>
    <hyperlink r:id="rId2698" ref="B2686"/>
    <hyperlink r:id="rId2699" ref="B2687"/>
    <hyperlink r:id="rId2700" ref="B2688"/>
    <hyperlink r:id="rId2701" ref="B2689"/>
    <hyperlink r:id="rId2702" ref="B2690"/>
    <hyperlink r:id="rId2703" ref="B2691"/>
    <hyperlink r:id="rId2704" ref="B2692"/>
    <hyperlink r:id="rId2705" ref="B2693"/>
    <hyperlink r:id="rId2706" ref="B2694"/>
    <hyperlink r:id="rId2707" ref="B2695"/>
    <hyperlink r:id="rId2708" ref="B2696"/>
    <hyperlink r:id="rId2709" ref="B2697"/>
    <hyperlink r:id="rId2710" ref="B2698"/>
    <hyperlink r:id="rId2711" ref="B2699"/>
    <hyperlink r:id="rId2712" ref="B2700"/>
    <hyperlink r:id="rId2713" ref="B2701"/>
    <hyperlink r:id="rId2714" ref="B2702"/>
    <hyperlink r:id="rId2715" ref="B2703"/>
    <hyperlink r:id="rId2716" ref="B2704"/>
    <hyperlink r:id="rId2717" ref="B2705"/>
    <hyperlink r:id="rId2718" ref="B2706"/>
    <hyperlink r:id="rId2719" ref="B2707"/>
    <hyperlink r:id="rId2720" ref="B2708"/>
    <hyperlink r:id="rId2721" ref="B2709"/>
    <hyperlink r:id="rId2722" ref="B2710"/>
    <hyperlink r:id="rId2723" ref="B2711"/>
    <hyperlink r:id="rId2724" ref="B2712"/>
    <hyperlink r:id="rId2725" ref="B2713"/>
    <hyperlink r:id="rId2726" ref="B2714"/>
    <hyperlink r:id="rId2727" ref="B2715"/>
    <hyperlink r:id="rId2728" ref="B2716"/>
    <hyperlink r:id="rId2729" ref="B2717"/>
    <hyperlink r:id="rId2730" ref="B2718"/>
    <hyperlink r:id="rId2731" ref="B2719"/>
    <hyperlink r:id="rId2732" ref="B2720"/>
    <hyperlink r:id="rId2733" ref="B2721"/>
    <hyperlink r:id="rId2734" ref="B2722"/>
    <hyperlink r:id="rId2735" ref="B2723"/>
    <hyperlink r:id="rId2736" ref="B2724"/>
    <hyperlink r:id="rId2737" ref="B2725"/>
    <hyperlink r:id="rId2738" ref="B2726"/>
    <hyperlink r:id="rId2739" ref="B2727"/>
    <hyperlink r:id="rId2740" ref="B2728"/>
    <hyperlink r:id="rId2741" ref="B2729"/>
    <hyperlink r:id="rId2742" ref="B2730"/>
    <hyperlink r:id="rId2743" ref="B2731"/>
    <hyperlink r:id="rId2744" ref="B2732"/>
    <hyperlink r:id="rId2745" ref="B2733"/>
    <hyperlink r:id="rId2746" ref="B2734"/>
    <hyperlink r:id="rId2747" ref="B2735"/>
    <hyperlink r:id="rId2748" ref="B2736"/>
    <hyperlink r:id="rId2749" ref="B2737"/>
    <hyperlink r:id="rId2750" ref="B2738"/>
    <hyperlink r:id="rId2751" ref="B2739"/>
    <hyperlink r:id="rId2752" ref="B2740"/>
    <hyperlink r:id="rId2753" ref="B2741"/>
    <hyperlink r:id="rId2754" ref="B2742"/>
    <hyperlink r:id="rId2755" ref="B2743"/>
    <hyperlink r:id="rId2756" ref="B2744"/>
    <hyperlink r:id="rId2757" ref="B2745"/>
    <hyperlink r:id="rId2758" ref="B2746"/>
    <hyperlink r:id="rId2759" ref="B2747"/>
    <hyperlink r:id="rId2760" ref="B2748"/>
    <hyperlink r:id="rId2761" ref="B2749"/>
    <hyperlink r:id="rId2762" ref="B2750"/>
    <hyperlink r:id="rId2763" ref="B2751"/>
    <hyperlink r:id="rId2764" ref="B2752"/>
    <hyperlink r:id="rId2765" ref="B2753"/>
    <hyperlink r:id="rId2766" ref="B2754"/>
    <hyperlink r:id="rId2767" ref="B2755"/>
    <hyperlink r:id="rId2768" ref="B2756"/>
    <hyperlink r:id="rId2769" ref="B2757"/>
    <hyperlink r:id="rId2770" ref="B2758"/>
    <hyperlink r:id="rId2771" ref="B2759"/>
    <hyperlink r:id="rId2772" ref="B2760"/>
    <hyperlink r:id="rId2773" ref="B2761"/>
    <hyperlink r:id="rId2774" ref="B2762"/>
    <hyperlink r:id="rId2775" ref="B2763"/>
    <hyperlink r:id="rId2776" ref="B2764"/>
    <hyperlink r:id="rId2777" ref="B2765"/>
    <hyperlink r:id="rId2778" ref="B2766"/>
    <hyperlink r:id="rId2779" ref="B2767"/>
    <hyperlink r:id="rId2780" ref="B2768"/>
    <hyperlink r:id="rId2781" ref="B2769"/>
    <hyperlink r:id="rId2782" ref="B2770"/>
    <hyperlink r:id="rId2783" ref="B2771"/>
    <hyperlink r:id="rId2784" ref="B2772"/>
    <hyperlink r:id="rId2785" ref="B2773"/>
    <hyperlink r:id="rId2786" ref="B2774"/>
    <hyperlink r:id="rId2787" ref="B2775"/>
    <hyperlink r:id="rId2788" ref="B2776"/>
    <hyperlink r:id="rId2789" ref="B2777"/>
    <hyperlink r:id="rId2790" ref="B2778"/>
    <hyperlink r:id="rId2791" ref="B2779"/>
    <hyperlink r:id="rId2792" ref="B2780"/>
    <hyperlink r:id="rId2793" ref="B2781"/>
    <hyperlink r:id="rId2794" ref="B2782"/>
    <hyperlink r:id="rId2795" ref="B2783"/>
    <hyperlink r:id="rId2796" ref="B2784"/>
    <hyperlink r:id="rId2797" ref="B2785"/>
    <hyperlink r:id="rId2798" ref="B2786"/>
    <hyperlink r:id="rId2799" ref="B2787"/>
    <hyperlink r:id="rId2800" ref="B2788"/>
    <hyperlink r:id="rId2801" ref="B2789"/>
    <hyperlink r:id="rId2802" ref="B2790"/>
    <hyperlink r:id="rId2803" ref="B2791"/>
    <hyperlink r:id="rId2804" ref="B2792"/>
    <hyperlink r:id="rId2805" ref="B2793"/>
    <hyperlink r:id="rId2806" ref="B2794"/>
    <hyperlink r:id="rId2807" ref="B2795"/>
    <hyperlink r:id="rId2808" ref="B2796"/>
    <hyperlink r:id="rId2809" ref="B2797"/>
    <hyperlink r:id="rId2810" ref="B2798"/>
    <hyperlink r:id="rId2811" ref="B2799"/>
    <hyperlink r:id="rId2812" ref="B2800"/>
    <hyperlink r:id="rId2813" ref="B2801"/>
    <hyperlink r:id="rId2814" ref="B2802"/>
    <hyperlink r:id="rId2815" ref="B2803"/>
    <hyperlink r:id="rId2816" ref="B2804"/>
    <hyperlink r:id="rId2817" ref="B2805"/>
    <hyperlink r:id="rId2818" ref="B2806"/>
    <hyperlink r:id="rId2819" ref="B2807"/>
    <hyperlink r:id="rId2820" ref="B2808"/>
    <hyperlink r:id="rId2821" ref="B2809"/>
    <hyperlink r:id="rId2822" ref="B2810"/>
    <hyperlink r:id="rId2823" ref="B2811"/>
    <hyperlink r:id="rId2824" ref="B2812"/>
    <hyperlink r:id="rId2825" ref="B2813"/>
    <hyperlink r:id="rId2826" ref="B2814"/>
    <hyperlink r:id="rId2827" ref="B2815"/>
    <hyperlink r:id="rId2828" ref="B2816"/>
    <hyperlink r:id="rId2829" ref="B2817"/>
    <hyperlink r:id="rId2830" ref="B2818"/>
    <hyperlink r:id="rId2831" ref="B2819"/>
    <hyperlink r:id="rId2832" ref="B2820"/>
    <hyperlink r:id="rId2833" ref="B2821"/>
    <hyperlink r:id="rId2834" ref="B2822"/>
    <hyperlink r:id="rId2835" ref="B2823"/>
    <hyperlink r:id="rId2836" ref="B2824"/>
    <hyperlink r:id="rId2837" ref="B2825"/>
    <hyperlink r:id="rId2838" ref="B2826"/>
    <hyperlink r:id="rId2839" ref="B2827"/>
    <hyperlink r:id="rId2840" ref="B2828"/>
    <hyperlink r:id="rId2841" ref="B2829"/>
    <hyperlink r:id="rId2842" ref="B2830"/>
    <hyperlink r:id="rId2843" ref="B2831"/>
    <hyperlink r:id="rId2844" ref="B2832"/>
    <hyperlink r:id="rId2845" ref="B2833"/>
    <hyperlink r:id="rId2846" ref="B2834"/>
    <hyperlink r:id="rId2847" ref="B2835"/>
    <hyperlink r:id="rId2848" ref="B2836"/>
    <hyperlink r:id="rId2849" ref="B2837"/>
    <hyperlink r:id="rId2850" ref="B2838"/>
    <hyperlink r:id="rId2851" ref="B2839"/>
    <hyperlink r:id="rId2852" ref="B2840"/>
    <hyperlink r:id="rId2853" ref="B2841"/>
    <hyperlink r:id="rId2854" ref="B2842"/>
    <hyperlink r:id="rId2855" ref="B2843"/>
    <hyperlink r:id="rId2856" ref="B2844"/>
    <hyperlink r:id="rId2857" ref="B2845"/>
    <hyperlink r:id="rId2858" ref="B2846"/>
    <hyperlink r:id="rId2859" ref="B2847"/>
    <hyperlink r:id="rId2860" ref="B2848"/>
    <hyperlink r:id="rId2861" ref="B2849"/>
    <hyperlink r:id="rId2862" ref="B2850"/>
    <hyperlink r:id="rId2863" ref="B2851"/>
    <hyperlink r:id="rId2864" ref="B2852"/>
    <hyperlink r:id="rId2865" ref="B2853"/>
    <hyperlink r:id="rId2866" ref="B2854"/>
    <hyperlink r:id="rId2867" ref="B2855"/>
    <hyperlink r:id="rId2868" ref="B2856"/>
    <hyperlink r:id="rId2869" ref="B2857"/>
    <hyperlink r:id="rId2870" ref="B2858"/>
    <hyperlink r:id="rId2871" ref="B2859"/>
    <hyperlink r:id="rId2872" ref="B2860"/>
    <hyperlink r:id="rId2873" ref="B2861"/>
    <hyperlink r:id="rId2874" ref="B2862"/>
    <hyperlink r:id="rId2875" ref="B2863"/>
    <hyperlink r:id="rId2876" ref="B2864"/>
    <hyperlink r:id="rId2877" ref="B2865"/>
    <hyperlink r:id="rId2878" ref="B2866"/>
    <hyperlink r:id="rId2879" ref="B2867"/>
    <hyperlink r:id="rId2880" ref="B2868"/>
    <hyperlink r:id="rId2881" ref="B2869"/>
    <hyperlink r:id="rId2882" ref="B2870"/>
    <hyperlink r:id="rId2883" ref="B2871"/>
    <hyperlink r:id="rId2884" ref="B2872"/>
    <hyperlink r:id="rId2885" ref="B2873"/>
    <hyperlink r:id="rId2886" ref="B2874"/>
    <hyperlink r:id="rId2887" ref="B2875"/>
    <hyperlink r:id="rId2888" ref="B2876"/>
    <hyperlink r:id="rId2889" ref="B2877"/>
    <hyperlink r:id="rId2890" ref="B2878"/>
    <hyperlink r:id="rId2891" ref="B2879"/>
    <hyperlink r:id="rId2892" ref="B2880"/>
    <hyperlink r:id="rId2893" ref="B2881"/>
    <hyperlink r:id="rId2894" ref="B2882"/>
    <hyperlink r:id="rId2895" ref="B2883"/>
    <hyperlink r:id="rId2896" ref="B2884"/>
    <hyperlink r:id="rId2897" ref="B2885"/>
    <hyperlink r:id="rId2898" ref="B2886"/>
    <hyperlink r:id="rId2899" ref="B2887"/>
    <hyperlink r:id="rId2900" ref="B2888"/>
    <hyperlink r:id="rId2901" ref="B2889"/>
    <hyperlink r:id="rId2902" ref="B2890"/>
    <hyperlink r:id="rId2903" ref="B2891"/>
    <hyperlink r:id="rId2904" ref="B2892"/>
    <hyperlink r:id="rId2905" ref="B2893"/>
    <hyperlink r:id="rId2906" ref="B2894"/>
    <hyperlink r:id="rId2907" ref="B2895"/>
    <hyperlink r:id="rId2908" ref="B2896"/>
    <hyperlink r:id="rId2909" ref="B2897"/>
    <hyperlink r:id="rId2910" ref="B2898"/>
    <hyperlink r:id="rId2911" ref="B2899"/>
    <hyperlink r:id="rId2912" ref="B2900"/>
    <hyperlink r:id="rId2913" ref="B2901"/>
    <hyperlink r:id="rId2914" ref="B2902"/>
    <hyperlink r:id="rId2915" ref="B2903"/>
    <hyperlink r:id="rId2916" ref="B2904"/>
    <hyperlink r:id="rId2917" ref="B2905"/>
    <hyperlink r:id="rId2918" ref="B2906"/>
    <hyperlink r:id="rId2919" ref="B2907"/>
    <hyperlink r:id="rId2920" ref="B2908"/>
    <hyperlink r:id="rId2921" ref="B2909"/>
    <hyperlink r:id="rId2922" ref="B2910"/>
    <hyperlink r:id="rId2923" ref="B2911"/>
    <hyperlink r:id="rId2924" ref="B2912"/>
    <hyperlink r:id="rId2925" ref="B2913"/>
    <hyperlink r:id="rId2926" ref="B2914"/>
    <hyperlink r:id="rId2927" ref="B2915"/>
    <hyperlink r:id="rId2928" ref="B2916"/>
    <hyperlink r:id="rId2929" ref="B2917"/>
    <hyperlink r:id="rId2930" ref="B2918"/>
    <hyperlink r:id="rId2931" ref="B2919"/>
    <hyperlink r:id="rId2932" ref="B2920"/>
    <hyperlink r:id="rId2933" ref="B2921"/>
    <hyperlink r:id="rId2934" ref="B2922"/>
    <hyperlink r:id="rId2935" ref="B2923"/>
    <hyperlink r:id="rId2936" ref="B2924"/>
    <hyperlink r:id="rId2937" ref="B2925"/>
    <hyperlink r:id="rId2938" ref="B2926"/>
    <hyperlink r:id="rId2939" ref="B2927"/>
    <hyperlink r:id="rId2940" ref="B2928"/>
    <hyperlink r:id="rId2941" ref="B2929"/>
    <hyperlink r:id="rId2942" ref="B2930"/>
    <hyperlink r:id="rId2943" ref="B2931"/>
    <hyperlink r:id="rId2944" ref="B2932"/>
    <hyperlink r:id="rId2945" ref="B2933"/>
    <hyperlink r:id="rId2946" ref="B2934"/>
    <hyperlink r:id="rId2947" ref="B2935"/>
    <hyperlink r:id="rId2948" ref="B2936"/>
    <hyperlink r:id="rId2949" ref="B2937"/>
    <hyperlink r:id="rId2950" ref="B2938"/>
    <hyperlink r:id="rId2951" ref="B2939"/>
    <hyperlink r:id="rId2952" ref="B2940"/>
    <hyperlink r:id="rId2953" ref="B2941"/>
    <hyperlink r:id="rId2954" ref="B2942"/>
    <hyperlink r:id="rId2955" ref="B2943"/>
    <hyperlink r:id="rId2956" ref="B2944"/>
    <hyperlink r:id="rId2957" ref="B2945"/>
    <hyperlink r:id="rId2958" ref="B2946"/>
    <hyperlink r:id="rId2959" ref="B2947"/>
    <hyperlink r:id="rId2960" ref="B2948"/>
    <hyperlink r:id="rId2961" ref="B2949"/>
    <hyperlink r:id="rId2962" ref="B2950"/>
    <hyperlink r:id="rId2963" ref="B2951"/>
    <hyperlink r:id="rId2964" ref="B2952"/>
    <hyperlink r:id="rId2965" ref="B2953"/>
    <hyperlink r:id="rId2966" ref="A2954"/>
    <hyperlink r:id="rId2967" ref="B2954"/>
    <hyperlink r:id="rId2968" ref="B2955"/>
    <hyperlink r:id="rId2969" ref="B2956"/>
    <hyperlink r:id="rId2970" ref="B2957"/>
    <hyperlink r:id="rId2971" ref="B2958"/>
    <hyperlink r:id="rId2972" ref="B2959"/>
    <hyperlink r:id="rId2973" ref="B2960"/>
    <hyperlink r:id="rId2974" ref="B2961"/>
    <hyperlink r:id="rId2975" ref="B2962"/>
    <hyperlink r:id="rId2976" ref="B2963"/>
    <hyperlink r:id="rId2977" ref="B2964"/>
    <hyperlink r:id="rId2978" ref="B2965"/>
    <hyperlink r:id="rId2979" ref="B2966"/>
    <hyperlink r:id="rId2980" ref="B2967"/>
    <hyperlink r:id="rId2981" ref="B2968"/>
    <hyperlink r:id="rId2982" ref="B2969"/>
    <hyperlink r:id="rId2983" ref="B2970"/>
    <hyperlink r:id="rId2984" ref="B2971"/>
    <hyperlink r:id="rId2985" ref="B2972"/>
    <hyperlink r:id="rId2986" ref="B2973"/>
    <hyperlink r:id="rId2987" ref="B2974"/>
    <hyperlink r:id="rId2988" ref="B2975"/>
    <hyperlink r:id="rId2989" ref="B2976"/>
    <hyperlink r:id="rId2990" ref="B2977"/>
    <hyperlink r:id="rId2991" ref="B2978"/>
    <hyperlink r:id="rId2992" ref="B2979"/>
    <hyperlink r:id="rId2993" ref="B2980"/>
    <hyperlink r:id="rId2994" ref="B2981"/>
    <hyperlink r:id="rId2995" ref="B2982"/>
    <hyperlink r:id="rId2996" ref="B2983"/>
    <hyperlink r:id="rId2997" ref="B2984"/>
    <hyperlink r:id="rId2998" ref="B2985"/>
    <hyperlink r:id="rId2999" ref="B2986"/>
    <hyperlink r:id="rId3000" ref="B2987"/>
    <hyperlink r:id="rId3001" ref="B2988"/>
    <hyperlink r:id="rId3002" ref="B2989"/>
    <hyperlink r:id="rId3003" ref="B2990"/>
    <hyperlink r:id="rId3004" ref="B2991"/>
    <hyperlink r:id="rId3005" ref="B2992"/>
    <hyperlink r:id="rId3006" ref="B2993"/>
    <hyperlink r:id="rId3007" ref="B2994"/>
    <hyperlink r:id="rId3008" ref="B2995"/>
    <hyperlink r:id="rId3009" ref="B2996"/>
    <hyperlink r:id="rId3010" ref="B2997"/>
    <hyperlink r:id="rId3011" ref="B2998"/>
    <hyperlink r:id="rId3012" ref="B2999"/>
    <hyperlink r:id="rId3013" ref="B3000"/>
    <hyperlink r:id="rId3014" ref="B3001"/>
    <hyperlink r:id="rId3015" ref="B3002"/>
    <hyperlink r:id="rId3016" ref="B3003"/>
    <hyperlink r:id="rId3017" ref="B3004"/>
    <hyperlink r:id="rId3018" ref="B3005"/>
    <hyperlink r:id="rId3019" ref="B3006"/>
    <hyperlink r:id="rId3020" ref="B3007"/>
    <hyperlink r:id="rId3021" ref="B3008"/>
    <hyperlink r:id="rId3022" ref="B3009"/>
    <hyperlink r:id="rId3023" ref="B3010"/>
    <hyperlink r:id="rId3024" ref="B3011"/>
    <hyperlink r:id="rId3025" ref="B3012"/>
    <hyperlink r:id="rId3026" ref="B3013"/>
    <hyperlink r:id="rId3027" ref="B3014"/>
    <hyperlink r:id="rId3028" ref="B3015"/>
    <hyperlink r:id="rId3029" ref="B3016"/>
    <hyperlink r:id="rId3030" ref="B3017"/>
    <hyperlink r:id="rId3031" ref="B3018"/>
    <hyperlink r:id="rId3032" ref="B3019"/>
    <hyperlink r:id="rId3033" ref="B3020"/>
    <hyperlink r:id="rId3034" ref="B3021"/>
    <hyperlink r:id="rId3035" ref="B3022"/>
    <hyperlink r:id="rId3036" ref="B3023"/>
    <hyperlink r:id="rId3037" ref="B3024"/>
    <hyperlink r:id="rId3038" ref="B3025"/>
    <hyperlink r:id="rId3039" ref="B3026"/>
    <hyperlink r:id="rId3040" ref="B3027"/>
    <hyperlink r:id="rId3041" ref="B3028"/>
    <hyperlink r:id="rId3042" ref="B3029"/>
    <hyperlink r:id="rId3043" ref="B3030"/>
    <hyperlink r:id="rId3044" ref="B3031"/>
    <hyperlink r:id="rId3045" ref="B3032"/>
    <hyperlink r:id="rId3046" ref="B3033"/>
    <hyperlink r:id="rId3047" ref="B3034"/>
    <hyperlink r:id="rId3048" ref="B3035"/>
    <hyperlink r:id="rId3049" ref="B3036"/>
    <hyperlink r:id="rId3050" ref="B3037"/>
    <hyperlink r:id="rId3051" ref="B3038"/>
    <hyperlink r:id="rId3052" ref="B3039"/>
    <hyperlink r:id="rId3053" ref="B3040"/>
    <hyperlink r:id="rId3054" ref="B3041"/>
    <hyperlink r:id="rId3055" ref="B3042"/>
    <hyperlink r:id="rId3056" ref="B3043"/>
    <hyperlink r:id="rId3057" ref="B3044"/>
    <hyperlink r:id="rId3058" ref="B3045"/>
    <hyperlink r:id="rId3059" ref="B3046"/>
    <hyperlink r:id="rId3060" ref="B3047"/>
    <hyperlink r:id="rId3061" ref="B3048"/>
    <hyperlink r:id="rId3062" ref="B3049"/>
    <hyperlink r:id="rId3063" ref="B3050"/>
    <hyperlink r:id="rId3064" ref="B3051"/>
    <hyperlink r:id="rId3065" ref="B3052"/>
    <hyperlink r:id="rId3066" ref="B3053"/>
    <hyperlink r:id="rId3067" ref="B3054"/>
    <hyperlink r:id="rId3068" ref="B3055"/>
    <hyperlink r:id="rId3069" ref="B3056"/>
    <hyperlink r:id="rId3070" ref="B3057"/>
    <hyperlink r:id="rId3071" ref="B3058"/>
    <hyperlink r:id="rId3072" ref="B3059"/>
    <hyperlink r:id="rId3073" ref="B3060"/>
    <hyperlink r:id="rId3074" ref="B3061"/>
    <hyperlink r:id="rId3075" ref="B3062"/>
    <hyperlink r:id="rId3076" ref="B3063"/>
    <hyperlink r:id="rId3077" ref="B3064"/>
    <hyperlink r:id="rId3078" ref="B3065"/>
    <hyperlink r:id="rId3079" ref="B3066"/>
    <hyperlink r:id="rId3080" ref="B3067"/>
    <hyperlink r:id="rId3081" ref="B3068"/>
    <hyperlink r:id="rId3082" ref="B3069"/>
    <hyperlink r:id="rId3083" ref="B3070"/>
    <hyperlink r:id="rId3084" ref="B3071"/>
    <hyperlink r:id="rId3085" ref="B3072"/>
    <hyperlink r:id="rId3086" ref="B3073"/>
    <hyperlink r:id="rId3087" ref="B3074"/>
    <hyperlink r:id="rId3088" ref="B3075"/>
    <hyperlink r:id="rId3089" ref="B3076"/>
    <hyperlink r:id="rId3090" ref="B3077"/>
    <hyperlink r:id="rId3091" ref="B3078"/>
    <hyperlink r:id="rId3092" ref="B3079"/>
    <hyperlink r:id="rId3093" ref="B3080"/>
    <hyperlink r:id="rId3094" ref="B3081"/>
    <hyperlink r:id="rId3095" ref="B3082"/>
    <hyperlink r:id="rId3096" ref="B3083"/>
    <hyperlink r:id="rId3097" ref="B3084"/>
    <hyperlink r:id="rId3098" ref="B3085"/>
    <hyperlink r:id="rId3099" ref="B3086"/>
    <hyperlink r:id="rId3100" ref="B3087"/>
    <hyperlink r:id="rId3101" ref="B3088"/>
    <hyperlink r:id="rId3102" ref="B3089"/>
    <hyperlink r:id="rId3103" ref="B3090"/>
    <hyperlink r:id="rId3104" ref="B3091"/>
    <hyperlink r:id="rId3105" ref="B3092"/>
    <hyperlink r:id="rId3106" ref="B3093"/>
    <hyperlink r:id="rId3107" ref="B3094"/>
    <hyperlink r:id="rId3108" ref="B3095"/>
    <hyperlink r:id="rId3109" ref="B3096"/>
    <hyperlink r:id="rId3110" ref="B3097"/>
    <hyperlink r:id="rId3111" ref="B3098"/>
    <hyperlink r:id="rId3112" ref="B3099"/>
    <hyperlink r:id="rId3113" ref="B3100"/>
    <hyperlink r:id="rId3114" ref="B3101"/>
    <hyperlink r:id="rId3115" ref="B3102"/>
    <hyperlink r:id="rId3116" ref="B3103"/>
    <hyperlink r:id="rId3117" ref="B3104"/>
    <hyperlink r:id="rId3118" ref="B3105"/>
    <hyperlink r:id="rId3119" ref="B3106"/>
    <hyperlink r:id="rId3120" ref="B3107"/>
    <hyperlink r:id="rId3121" ref="B3108"/>
    <hyperlink r:id="rId3122" ref="B3109"/>
    <hyperlink r:id="rId3123" ref="B3110"/>
    <hyperlink r:id="rId3124" ref="B3111"/>
    <hyperlink r:id="rId3125" ref="B3112"/>
    <hyperlink r:id="rId3126" ref="B3113"/>
    <hyperlink r:id="rId3127" ref="B3114"/>
    <hyperlink r:id="rId3128" ref="B3115"/>
    <hyperlink r:id="rId3129" ref="B3116"/>
    <hyperlink r:id="rId3130" ref="B3117"/>
    <hyperlink r:id="rId3131" ref="B3118"/>
    <hyperlink r:id="rId3132" ref="B3119"/>
    <hyperlink r:id="rId3133" ref="B3120"/>
    <hyperlink r:id="rId3134" ref="B3121"/>
    <hyperlink r:id="rId3135" ref="B3122"/>
    <hyperlink r:id="rId3136" ref="B3123"/>
    <hyperlink r:id="rId3137" ref="B3124"/>
    <hyperlink r:id="rId3138" ref="B3125"/>
    <hyperlink r:id="rId3139" ref="B3126"/>
    <hyperlink r:id="rId3140" ref="B3127"/>
    <hyperlink r:id="rId3141" ref="B3128"/>
    <hyperlink r:id="rId3142" ref="B3129"/>
    <hyperlink r:id="rId3143" ref="B3130"/>
    <hyperlink r:id="rId3144" ref="B3131"/>
    <hyperlink r:id="rId3145" ref="B3132"/>
    <hyperlink r:id="rId3146" ref="B3133"/>
    <hyperlink r:id="rId3147" ref="B3134"/>
    <hyperlink r:id="rId3148" ref="B3135"/>
    <hyperlink r:id="rId3149" ref="B3136"/>
    <hyperlink r:id="rId3150" ref="B3137"/>
    <hyperlink r:id="rId3151" ref="B3138"/>
    <hyperlink r:id="rId3152" ref="B3139"/>
    <hyperlink r:id="rId3153" ref="B3140"/>
    <hyperlink r:id="rId3154" ref="B3141"/>
    <hyperlink r:id="rId3155" ref="B3142"/>
    <hyperlink r:id="rId3156" ref="B3143"/>
    <hyperlink r:id="rId3157" ref="B3144"/>
    <hyperlink r:id="rId3158" ref="B3145"/>
    <hyperlink r:id="rId3159" ref="B3146"/>
    <hyperlink r:id="rId3160" ref="B3147"/>
    <hyperlink r:id="rId3161" ref="B3148"/>
    <hyperlink r:id="rId3162" ref="B3149"/>
    <hyperlink r:id="rId3163" ref="B3150"/>
    <hyperlink r:id="rId3164" ref="B3151"/>
    <hyperlink r:id="rId3165" ref="B3152"/>
    <hyperlink r:id="rId3166" ref="B3153"/>
    <hyperlink r:id="rId3167" ref="B3154"/>
    <hyperlink r:id="rId3168" ref="B3155"/>
    <hyperlink r:id="rId3169" ref="B3156"/>
    <hyperlink r:id="rId3170" ref="B3157"/>
    <hyperlink r:id="rId3171" ref="B3158"/>
    <hyperlink r:id="rId3172" ref="B3159"/>
    <hyperlink r:id="rId3173" ref="B3160"/>
    <hyperlink r:id="rId3174" ref="B3161"/>
    <hyperlink r:id="rId3175" ref="B3162"/>
    <hyperlink r:id="rId3176" ref="B3163"/>
    <hyperlink r:id="rId3177" ref="B3164"/>
    <hyperlink r:id="rId3178" ref="B3165"/>
    <hyperlink r:id="rId3179" ref="B3166"/>
    <hyperlink r:id="rId3180" ref="B3167"/>
    <hyperlink r:id="rId3181" ref="B3168"/>
    <hyperlink r:id="rId3182" ref="B3169"/>
    <hyperlink r:id="rId3183" ref="B3170"/>
    <hyperlink r:id="rId3184" ref="B3171"/>
    <hyperlink r:id="rId3185" ref="B3172"/>
    <hyperlink r:id="rId3186" ref="B3173"/>
    <hyperlink r:id="rId3187" ref="B3174"/>
    <hyperlink r:id="rId3188" ref="B3175"/>
    <hyperlink r:id="rId3189" ref="B3176"/>
    <hyperlink r:id="rId3190" ref="B3177"/>
    <hyperlink r:id="rId3191" ref="B3178"/>
    <hyperlink r:id="rId3192" ref="B3179"/>
    <hyperlink r:id="rId3193" ref="B3180"/>
    <hyperlink r:id="rId3194" ref="B3181"/>
    <hyperlink r:id="rId3195" ref="B3182"/>
    <hyperlink r:id="rId3196" ref="B3183"/>
    <hyperlink r:id="rId3197" ref="B3184"/>
    <hyperlink r:id="rId3198" ref="B3185"/>
    <hyperlink r:id="rId3199" ref="B3186"/>
    <hyperlink r:id="rId3200" ref="B3187"/>
    <hyperlink r:id="rId3201" ref="B3188"/>
    <hyperlink r:id="rId3202" ref="B3189"/>
    <hyperlink r:id="rId3203" ref="B3190"/>
    <hyperlink r:id="rId3204" ref="B3191"/>
    <hyperlink r:id="rId3205" ref="B3192"/>
    <hyperlink r:id="rId3206" ref="B3193"/>
    <hyperlink r:id="rId3207" ref="B3194"/>
    <hyperlink r:id="rId3208" ref="B3195"/>
    <hyperlink r:id="rId3209" ref="B3196"/>
    <hyperlink r:id="rId3210" ref="B3197"/>
    <hyperlink r:id="rId3211" ref="B3198"/>
    <hyperlink r:id="rId3212" ref="B3199"/>
    <hyperlink r:id="rId3213" ref="B3200"/>
    <hyperlink r:id="rId3214" ref="B3201"/>
    <hyperlink r:id="rId3215" ref="B3202"/>
    <hyperlink r:id="rId3216" ref="B3203"/>
    <hyperlink r:id="rId3217" ref="B3204"/>
    <hyperlink r:id="rId3218" ref="B3205"/>
    <hyperlink r:id="rId3219" ref="B3206"/>
    <hyperlink r:id="rId3220" ref="B3207"/>
    <hyperlink r:id="rId3221" ref="B3208"/>
    <hyperlink r:id="rId3222" ref="B3209"/>
    <hyperlink r:id="rId3223" ref="B3210"/>
    <hyperlink r:id="rId3224" ref="B3211"/>
    <hyperlink r:id="rId3225" ref="B3212"/>
    <hyperlink r:id="rId3226" ref="B3213"/>
    <hyperlink r:id="rId3227" ref="B3214"/>
    <hyperlink r:id="rId3228" ref="B3215"/>
    <hyperlink r:id="rId3229" ref="B3216"/>
    <hyperlink r:id="rId3230" ref="B3217"/>
    <hyperlink r:id="rId3231" ref="B3218"/>
    <hyperlink r:id="rId3232" ref="B3219"/>
    <hyperlink r:id="rId3233" ref="B3220"/>
    <hyperlink r:id="rId3234" ref="B3221"/>
    <hyperlink r:id="rId3235" ref="B3222"/>
    <hyperlink r:id="rId3236" ref="B3223"/>
    <hyperlink r:id="rId3237" ref="B3224"/>
    <hyperlink r:id="rId3238" ref="B3225"/>
    <hyperlink r:id="rId3239" ref="B3226"/>
    <hyperlink r:id="rId3240" ref="B3227"/>
    <hyperlink r:id="rId3241" ref="B3228"/>
    <hyperlink r:id="rId3242" ref="B3229"/>
    <hyperlink r:id="rId3243" ref="B3230"/>
    <hyperlink r:id="rId3244" ref="B3231"/>
    <hyperlink r:id="rId3245" ref="B3232"/>
    <hyperlink r:id="rId3246" ref="B3233"/>
    <hyperlink r:id="rId3247" ref="B3234"/>
    <hyperlink r:id="rId3248" ref="B3235"/>
    <hyperlink r:id="rId3249" ref="B3236"/>
    <hyperlink r:id="rId3250" ref="B3237"/>
    <hyperlink r:id="rId3251" ref="B3238"/>
    <hyperlink r:id="rId3252" ref="B3239"/>
    <hyperlink r:id="rId3253" ref="B3240"/>
    <hyperlink r:id="rId3254" ref="B3241"/>
    <hyperlink r:id="rId3255" ref="B3242"/>
    <hyperlink r:id="rId3256" ref="B3243"/>
    <hyperlink r:id="rId3257" ref="B3244"/>
    <hyperlink r:id="rId3258" ref="B3245"/>
    <hyperlink r:id="rId3259" ref="B3246"/>
    <hyperlink r:id="rId3260" ref="B3247"/>
    <hyperlink r:id="rId3261" ref="B3248"/>
    <hyperlink r:id="rId3262" ref="B3249"/>
    <hyperlink r:id="rId3263" ref="B3250"/>
    <hyperlink r:id="rId3264" ref="B3251"/>
    <hyperlink r:id="rId3265" ref="B3252"/>
    <hyperlink r:id="rId3266" ref="B3253"/>
    <hyperlink r:id="rId3267" ref="B3254"/>
    <hyperlink r:id="rId3268" ref="B3255"/>
    <hyperlink r:id="rId3269" ref="B3256"/>
    <hyperlink r:id="rId3270" ref="B3257"/>
    <hyperlink r:id="rId3271" ref="B3258"/>
    <hyperlink r:id="rId3272" ref="B3259"/>
    <hyperlink r:id="rId3273" ref="B3260"/>
    <hyperlink r:id="rId3274" ref="B3261"/>
    <hyperlink r:id="rId3275" ref="B3262"/>
    <hyperlink r:id="rId3276" ref="B3263"/>
    <hyperlink r:id="rId3277" ref="B3264"/>
    <hyperlink r:id="rId3278" ref="B3265"/>
    <hyperlink r:id="rId3279" ref="B3266"/>
    <hyperlink r:id="rId3280" ref="B3267"/>
    <hyperlink r:id="rId3281" ref="B3268"/>
    <hyperlink r:id="rId3282" ref="B3269"/>
    <hyperlink r:id="rId3283" ref="B3270"/>
    <hyperlink r:id="rId3284" ref="B3271"/>
    <hyperlink r:id="rId3285" ref="B3272"/>
    <hyperlink r:id="rId3286" ref="B3273"/>
    <hyperlink r:id="rId3287" ref="B3274"/>
    <hyperlink r:id="rId3288" ref="B3275"/>
    <hyperlink r:id="rId3289" ref="B3276"/>
    <hyperlink r:id="rId3290" ref="B3277"/>
    <hyperlink r:id="rId3291" ref="B3278"/>
    <hyperlink r:id="rId3292" ref="B3279"/>
    <hyperlink r:id="rId3293" ref="B3280"/>
    <hyperlink r:id="rId3294" ref="B3281"/>
    <hyperlink r:id="rId3295" ref="B3282"/>
    <hyperlink r:id="rId3296" ref="B3283"/>
    <hyperlink r:id="rId3297" ref="B3284"/>
    <hyperlink r:id="rId3298" ref="B3285"/>
    <hyperlink r:id="rId3299" ref="B3286"/>
    <hyperlink r:id="rId3300" ref="B3287"/>
    <hyperlink r:id="rId3301" ref="B3288"/>
    <hyperlink r:id="rId3302" ref="B3289"/>
    <hyperlink r:id="rId3303" ref="B3290"/>
    <hyperlink r:id="rId3304" ref="B3291"/>
    <hyperlink r:id="rId3305" ref="B3292"/>
    <hyperlink r:id="rId3306" ref="B3293"/>
    <hyperlink r:id="rId3307" ref="B3294"/>
    <hyperlink r:id="rId3308" ref="B3295"/>
    <hyperlink r:id="rId3309" ref="B3296"/>
    <hyperlink r:id="rId3310" ref="B3297"/>
    <hyperlink r:id="rId3311" ref="B3298"/>
    <hyperlink r:id="rId3312" ref="B3299"/>
    <hyperlink r:id="rId3313" ref="B3300"/>
    <hyperlink r:id="rId3314" ref="B3301"/>
    <hyperlink r:id="rId3315" ref="B3302"/>
    <hyperlink r:id="rId3316" ref="B3303"/>
    <hyperlink r:id="rId3317" ref="B3304"/>
    <hyperlink r:id="rId3318" ref="B3305"/>
    <hyperlink r:id="rId3319" ref="B3306"/>
    <hyperlink r:id="rId3320" ref="B3307"/>
    <hyperlink r:id="rId3321" ref="B3308"/>
    <hyperlink r:id="rId3322" ref="B3309"/>
    <hyperlink r:id="rId3323" ref="B3310"/>
    <hyperlink r:id="rId3324" ref="B3311"/>
    <hyperlink r:id="rId3325" ref="B3312"/>
    <hyperlink r:id="rId3326" ref="B3313"/>
    <hyperlink r:id="rId3327" ref="B3314"/>
    <hyperlink r:id="rId3328" ref="B3315"/>
    <hyperlink r:id="rId3329" ref="B3316"/>
    <hyperlink r:id="rId3330" ref="B3317"/>
    <hyperlink r:id="rId3331" ref="B3318"/>
    <hyperlink r:id="rId3332" ref="B3319"/>
    <hyperlink r:id="rId3333" ref="B3320"/>
    <hyperlink r:id="rId3334" ref="B3321"/>
    <hyperlink r:id="rId3335" ref="B3322"/>
    <hyperlink r:id="rId3336" ref="B3323"/>
    <hyperlink r:id="rId3337" ref="B3324"/>
    <hyperlink r:id="rId3338" ref="B3325"/>
    <hyperlink r:id="rId3339" ref="B3326"/>
    <hyperlink r:id="rId3340" ref="B3327"/>
    <hyperlink r:id="rId3341" ref="B3328"/>
    <hyperlink r:id="rId3342" ref="B3329"/>
    <hyperlink r:id="rId3343" ref="B3330"/>
    <hyperlink r:id="rId3344" ref="B3331"/>
    <hyperlink r:id="rId3345" ref="B3332"/>
    <hyperlink r:id="rId3346" ref="B3333"/>
    <hyperlink r:id="rId3347" ref="B3334"/>
    <hyperlink r:id="rId3348" ref="B3335"/>
    <hyperlink r:id="rId3349" ref="B3336"/>
    <hyperlink r:id="rId3350" ref="B3337"/>
    <hyperlink r:id="rId3351" ref="B3338"/>
    <hyperlink r:id="rId3352" ref="B3339"/>
    <hyperlink r:id="rId3353" ref="B3340"/>
    <hyperlink r:id="rId3354" ref="B3341"/>
    <hyperlink r:id="rId3355" ref="B3342"/>
    <hyperlink r:id="rId3356" ref="B3343"/>
    <hyperlink r:id="rId3357" ref="B3344"/>
    <hyperlink r:id="rId3358" ref="B3345"/>
    <hyperlink r:id="rId3359" ref="B3346"/>
    <hyperlink r:id="rId3360" ref="B3347"/>
    <hyperlink r:id="rId3361" ref="B3348"/>
    <hyperlink r:id="rId3362" ref="B3349"/>
    <hyperlink r:id="rId3363" ref="B3350"/>
    <hyperlink r:id="rId3364" ref="B3351"/>
    <hyperlink r:id="rId3365" ref="B3352"/>
    <hyperlink r:id="rId3366" ref="B3353"/>
    <hyperlink r:id="rId3367" ref="B3354"/>
    <hyperlink r:id="rId3368" ref="B3355"/>
    <hyperlink r:id="rId3369" ref="B3356"/>
    <hyperlink r:id="rId3370" ref="B3357"/>
    <hyperlink r:id="rId3371" ref="B3358"/>
    <hyperlink r:id="rId3372" ref="B3359"/>
    <hyperlink r:id="rId3373" ref="B3360"/>
    <hyperlink r:id="rId3374" ref="B3361"/>
    <hyperlink r:id="rId3375" ref="B3362"/>
    <hyperlink r:id="rId3376" ref="B3363"/>
    <hyperlink r:id="rId3377" ref="B3364"/>
    <hyperlink r:id="rId3378" ref="B3365"/>
    <hyperlink r:id="rId3379" ref="B3366"/>
    <hyperlink r:id="rId3380" ref="B3367"/>
    <hyperlink r:id="rId3381" ref="B3368"/>
    <hyperlink r:id="rId3382" ref="B3369"/>
    <hyperlink r:id="rId3383" ref="B3370"/>
    <hyperlink r:id="rId3384" ref="B3371"/>
    <hyperlink r:id="rId3385" ref="B3372"/>
    <hyperlink r:id="rId3386" ref="B3373"/>
    <hyperlink r:id="rId3387" ref="B3374"/>
    <hyperlink r:id="rId3388" ref="B3375"/>
    <hyperlink r:id="rId3389" ref="B3376"/>
    <hyperlink r:id="rId3390" ref="B3377"/>
    <hyperlink r:id="rId3391" ref="B3378"/>
    <hyperlink r:id="rId3392" ref="B3379"/>
    <hyperlink r:id="rId3393" ref="B3380"/>
    <hyperlink r:id="rId3394" ref="B3381"/>
    <hyperlink r:id="rId3395" ref="B3382"/>
    <hyperlink r:id="rId3396" ref="B3383"/>
    <hyperlink r:id="rId3397" ref="B3384"/>
    <hyperlink r:id="rId3398" ref="B3385"/>
    <hyperlink r:id="rId3399" ref="B3386"/>
    <hyperlink r:id="rId3400" ref="B3387"/>
    <hyperlink r:id="rId3401" ref="B3388"/>
    <hyperlink r:id="rId3402" ref="B3389"/>
    <hyperlink r:id="rId3403" ref="B3390"/>
    <hyperlink r:id="rId3404" ref="B3391"/>
    <hyperlink r:id="rId3405" ref="B3392"/>
    <hyperlink r:id="rId3406" ref="B3393"/>
    <hyperlink r:id="rId3407" ref="B3394"/>
    <hyperlink r:id="rId3408" ref="B3395"/>
    <hyperlink r:id="rId3409" ref="B3396"/>
    <hyperlink r:id="rId3410" ref="B3397"/>
    <hyperlink r:id="rId3411" ref="B3398"/>
    <hyperlink r:id="rId3412" ref="B3399"/>
    <hyperlink r:id="rId3413" ref="B3400"/>
    <hyperlink r:id="rId3414" ref="B3401"/>
    <hyperlink r:id="rId3415" ref="B3402"/>
    <hyperlink r:id="rId3416" ref="B3403"/>
    <hyperlink r:id="rId3417" ref="B3404"/>
    <hyperlink r:id="rId3418" ref="B3405"/>
    <hyperlink r:id="rId3419" ref="B3406"/>
    <hyperlink r:id="rId3420" ref="B3407"/>
    <hyperlink r:id="rId3421" ref="B3408"/>
    <hyperlink r:id="rId3422" ref="B3409"/>
    <hyperlink r:id="rId3423" ref="B3410"/>
    <hyperlink r:id="rId3424" ref="B3411"/>
    <hyperlink r:id="rId3425" ref="B3412"/>
    <hyperlink r:id="rId3426" ref="B3413"/>
    <hyperlink r:id="rId3427" ref="B3414"/>
    <hyperlink r:id="rId3428" ref="B3415"/>
    <hyperlink r:id="rId3429" ref="B3416"/>
    <hyperlink r:id="rId3430" ref="B3417"/>
    <hyperlink r:id="rId3431" ref="B3418"/>
    <hyperlink r:id="rId3432" ref="B3419"/>
    <hyperlink r:id="rId3433" ref="B3420"/>
    <hyperlink r:id="rId3434" ref="B3421"/>
    <hyperlink r:id="rId3435" ref="B3422"/>
    <hyperlink r:id="rId3436" ref="B3423"/>
    <hyperlink r:id="rId3437" ref="B3424"/>
    <hyperlink r:id="rId3438" ref="B3425"/>
    <hyperlink r:id="rId3439" ref="B3426"/>
    <hyperlink r:id="rId3440" ref="B3427"/>
    <hyperlink r:id="rId3441" ref="B3428"/>
    <hyperlink r:id="rId3442" ref="B3429"/>
    <hyperlink r:id="rId3443" ref="B3430"/>
    <hyperlink r:id="rId3444" ref="B3431"/>
    <hyperlink r:id="rId3445" ref="B3432"/>
    <hyperlink r:id="rId3446" ref="B3433"/>
    <hyperlink r:id="rId3447" ref="B3434"/>
    <hyperlink r:id="rId3448" ref="B3435"/>
    <hyperlink r:id="rId3449" ref="B3436"/>
    <hyperlink r:id="rId3450" ref="B3437"/>
    <hyperlink r:id="rId3451" ref="B3438"/>
    <hyperlink r:id="rId3452" ref="B3439"/>
    <hyperlink r:id="rId3453" ref="B3440"/>
    <hyperlink r:id="rId3454" ref="B3441"/>
    <hyperlink r:id="rId3455" ref="B3442"/>
    <hyperlink r:id="rId3456" ref="B3443"/>
    <hyperlink r:id="rId3457" ref="B3444"/>
    <hyperlink r:id="rId3458" ref="B3445"/>
    <hyperlink r:id="rId3459" ref="B3446"/>
    <hyperlink r:id="rId3460" ref="B3447"/>
    <hyperlink r:id="rId3461" ref="B3448"/>
    <hyperlink r:id="rId3462" ref="B3449"/>
    <hyperlink r:id="rId3463" ref="B3450"/>
    <hyperlink r:id="rId3464" ref="B3451"/>
    <hyperlink r:id="rId3465" ref="B3452"/>
    <hyperlink r:id="rId3466" ref="B3453"/>
    <hyperlink r:id="rId3467" ref="B3454"/>
    <hyperlink r:id="rId3468" ref="B3455"/>
    <hyperlink r:id="rId3469" ref="B3456"/>
    <hyperlink r:id="rId3470" ref="B3457"/>
    <hyperlink r:id="rId3471" ref="B3458"/>
    <hyperlink r:id="rId3472" ref="B3459"/>
    <hyperlink r:id="rId3473" ref="B3460"/>
    <hyperlink r:id="rId3474" ref="B3461"/>
    <hyperlink r:id="rId3475" ref="B3462"/>
    <hyperlink r:id="rId3476" ref="B3463"/>
    <hyperlink r:id="rId3477" ref="B3464"/>
    <hyperlink r:id="rId3478" ref="B3465"/>
    <hyperlink r:id="rId3479" ref="B3466"/>
    <hyperlink r:id="rId3480" ref="B3467"/>
    <hyperlink r:id="rId3481" ref="B3468"/>
    <hyperlink r:id="rId3482" ref="B3469"/>
    <hyperlink r:id="rId3483" ref="B3470"/>
    <hyperlink r:id="rId3484" ref="B3471"/>
    <hyperlink r:id="rId3485" ref="B3472"/>
    <hyperlink r:id="rId3486" ref="B3473"/>
    <hyperlink r:id="rId3487" ref="B3474"/>
    <hyperlink r:id="rId3488" ref="B3475"/>
    <hyperlink r:id="rId3489" ref="B3476"/>
    <hyperlink r:id="rId3490" ref="B3477"/>
    <hyperlink r:id="rId3491" ref="B3478"/>
    <hyperlink r:id="rId3492" ref="B3479"/>
    <hyperlink r:id="rId3493" ref="B3480"/>
    <hyperlink r:id="rId3494" ref="B3481"/>
    <hyperlink r:id="rId3495" ref="B3482"/>
    <hyperlink r:id="rId3496" ref="B3483"/>
    <hyperlink r:id="rId3497" ref="B3484"/>
    <hyperlink r:id="rId3498" ref="B3485"/>
    <hyperlink r:id="rId3499" ref="B3486"/>
    <hyperlink r:id="rId3500" ref="B3487"/>
    <hyperlink r:id="rId3501" ref="B3488"/>
    <hyperlink r:id="rId3502" ref="B3489"/>
    <hyperlink r:id="rId3503" ref="B3490"/>
    <hyperlink r:id="rId3504" ref="B3491"/>
    <hyperlink r:id="rId3505" ref="B3492"/>
    <hyperlink r:id="rId3506" ref="B3493"/>
    <hyperlink r:id="rId3507" ref="B3494"/>
    <hyperlink r:id="rId3508" ref="B3495"/>
    <hyperlink r:id="rId3509" ref="B3496"/>
    <hyperlink r:id="rId3510" ref="B3497"/>
    <hyperlink r:id="rId3511" ref="B3498"/>
    <hyperlink r:id="rId3512" ref="B3499"/>
    <hyperlink r:id="rId3513" ref="B3500"/>
    <hyperlink r:id="rId3514" ref="B3501"/>
    <hyperlink r:id="rId3515" ref="B3502"/>
    <hyperlink r:id="rId3516" ref="B3503"/>
    <hyperlink r:id="rId3517" ref="B3504"/>
    <hyperlink r:id="rId3518" ref="B3505"/>
    <hyperlink r:id="rId3519" ref="B3506"/>
    <hyperlink r:id="rId3520" ref="B3507"/>
    <hyperlink r:id="rId3521" ref="B3508"/>
    <hyperlink r:id="rId3522" ref="B3509"/>
    <hyperlink r:id="rId3523" ref="B3510"/>
    <hyperlink r:id="rId3524" ref="B3511"/>
    <hyperlink r:id="rId3525" ref="B3512"/>
    <hyperlink r:id="rId3526" ref="B3513"/>
    <hyperlink r:id="rId3527" ref="B3514"/>
    <hyperlink r:id="rId3528" ref="B3515"/>
    <hyperlink r:id="rId3529" ref="B3516"/>
    <hyperlink r:id="rId3530" ref="B3517"/>
    <hyperlink r:id="rId3531" ref="B3518"/>
    <hyperlink r:id="rId3532" ref="B3519"/>
    <hyperlink r:id="rId3533" ref="B3520"/>
    <hyperlink r:id="rId3534" ref="B3521"/>
    <hyperlink r:id="rId3535" ref="B3522"/>
    <hyperlink r:id="rId3536" ref="B3523"/>
    <hyperlink r:id="rId3537" ref="B3524"/>
    <hyperlink r:id="rId3538" ref="B3525"/>
    <hyperlink r:id="rId3539" ref="B3526"/>
    <hyperlink r:id="rId3540" ref="B3527"/>
    <hyperlink r:id="rId3541" ref="B3528"/>
    <hyperlink r:id="rId3542" ref="B3529"/>
    <hyperlink r:id="rId3543" ref="B3530"/>
    <hyperlink r:id="rId3544" ref="B3531"/>
    <hyperlink r:id="rId3545" ref="B3532"/>
    <hyperlink r:id="rId3546" ref="B3533"/>
    <hyperlink r:id="rId3547" ref="B3534"/>
    <hyperlink r:id="rId3548" ref="B3535"/>
    <hyperlink r:id="rId3549" ref="B3536"/>
    <hyperlink r:id="rId3550" ref="B3537"/>
    <hyperlink r:id="rId3551" ref="B3538"/>
    <hyperlink r:id="rId3552" ref="B3539"/>
    <hyperlink r:id="rId3553" ref="B3540"/>
    <hyperlink r:id="rId3554" ref="B3541"/>
    <hyperlink r:id="rId3555" ref="B3542"/>
    <hyperlink r:id="rId3556" ref="B3543"/>
    <hyperlink r:id="rId3557" ref="B3544"/>
    <hyperlink r:id="rId3558" ref="B3545"/>
    <hyperlink r:id="rId3559" ref="B3546"/>
    <hyperlink r:id="rId3560" ref="B3547"/>
    <hyperlink r:id="rId3561" ref="B3548"/>
    <hyperlink r:id="rId3562" ref="B3549"/>
    <hyperlink r:id="rId3563" ref="B3550"/>
    <hyperlink r:id="rId3564" ref="B3551"/>
    <hyperlink r:id="rId3565" ref="B3552"/>
    <hyperlink r:id="rId3566" ref="B3553"/>
    <hyperlink r:id="rId3567" ref="B3554"/>
    <hyperlink r:id="rId3568" ref="B3555"/>
    <hyperlink r:id="rId3569" ref="B3556"/>
    <hyperlink r:id="rId3570" ref="B3557"/>
    <hyperlink r:id="rId3571" ref="B3558"/>
    <hyperlink r:id="rId3572" ref="B3559"/>
    <hyperlink r:id="rId3573" ref="B3560"/>
    <hyperlink r:id="rId3574" ref="B3561"/>
    <hyperlink r:id="rId3575" ref="B3562"/>
    <hyperlink r:id="rId3576" ref="B3563"/>
    <hyperlink r:id="rId3577" ref="B3564"/>
    <hyperlink r:id="rId3578" ref="B3565"/>
    <hyperlink r:id="rId3579" ref="B3566"/>
    <hyperlink r:id="rId3580" ref="B3567"/>
    <hyperlink r:id="rId3581" ref="B3568"/>
    <hyperlink r:id="rId3582" ref="B3569"/>
    <hyperlink r:id="rId3583" ref="B3570"/>
    <hyperlink r:id="rId3584" ref="B3571"/>
    <hyperlink r:id="rId3585" ref="B3572"/>
    <hyperlink r:id="rId3586" ref="B3573"/>
    <hyperlink r:id="rId3587" ref="B3574"/>
    <hyperlink r:id="rId3588" ref="B3575"/>
    <hyperlink r:id="rId3589" ref="B3576"/>
    <hyperlink r:id="rId3590" ref="B3577"/>
    <hyperlink r:id="rId3591" ref="B3578"/>
    <hyperlink r:id="rId3592" ref="B3579"/>
    <hyperlink r:id="rId3593" ref="B3580"/>
    <hyperlink r:id="rId3594" ref="B3581"/>
    <hyperlink r:id="rId3595" ref="B3582"/>
    <hyperlink r:id="rId3596" ref="B3583"/>
    <hyperlink r:id="rId3597" ref="B3584"/>
    <hyperlink r:id="rId3598" ref="B3585"/>
    <hyperlink r:id="rId3599" ref="B3586"/>
    <hyperlink r:id="rId3600" ref="B3587"/>
    <hyperlink r:id="rId3601" ref="B3588"/>
    <hyperlink r:id="rId3602" ref="B3589"/>
    <hyperlink r:id="rId3603" ref="B3590"/>
    <hyperlink r:id="rId3604" ref="B3591"/>
    <hyperlink r:id="rId3605" ref="B3592"/>
    <hyperlink r:id="rId3606" ref="B3593"/>
    <hyperlink r:id="rId3607" ref="B3594"/>
    <hyperlink r:id="rId3608" ref="B3595"/>
    <hyperlink r:id="rId3609" ref="B3596"/>
    <hyperlink r:id="rId3610" ref="B3597"/>
    <hyperlink r:id="rId3611" ref="B3598"/>
    <hyperlink r:id="rId3612" ref="B3599"/>
    <hyperlink r:id="rId3613" ref="B3600"/>
    <hyperlink r:id="rId3614" ref="B3601"/>
    <hyperlink r:id="rId3615" ref="B3602"/>
    <hyperlink r:id="rId3616" ref="B3603"/>
    <hyperlink r:id="rId3617" ref="B3604"/>
    <hyperlink r:id="rId3618" ref="B3605"/>
    <hyperlink r:id="rId3619" ref="B3606"/>
    <hyperlink r:id="rId3620" ref="B3607"/>
    <hyperlink r:id="rId3621" ref="B3608"/>
    <hyperlink r:id="rId3622" ref="B3609"/>
    <hyperlink r:id="rId3623" ref="B3610"/>
    <hyperlink r:id="rId3624" ref="B3611"/>
    <hyperlink r:id="rId3625" ref="B3612"/>
    <hyperlink r:id="rId3626" ref="B3613"/>
    <hyperlink r:id="rId3627" ref="B3614"/>
    <hyperlink r:id="rId3628" ref="B3615"/>
    <hyperlink r:id="rId3629" ref="B3616"/>
    <hyperlink r:id="rId3630" ref="B3617"/>
    <hyperlink r:id="rId3631" ref="B3618"/>
    <hyperlink r:id="rId3632" ref="B3619"/>
    <hyperlink r:id="rId3633" ref="B3620"/>
    <hyperlink r:id="rId3634" ref="B3621"/>
    <hyperlink r:id="rId3635" ref="B3622"/>
    <hyperlink r:id="rId3636" ref="B3623"/>
    <hyperlink r:id="rId3637" ref="B3624"/>
    <hyperlink r:id="rId3638" ref="B3625"/>
    <hyperlink r:id="rId3639" ref="B3626"/>
    <hyperlink r:id="rId3640" ref="B3627"/>
    <hyperlink r:id="rId3641" ref="B3628"/>
    <hyperlink r:id="rId3642" ref="B3629"/>
    <hyperlink r:id="rId3643" ref="B3630"/>
    <hyperlink r:id="rId3644" ref="B3631"/>
    <hyperlink r:id="rId3645" ref="B3632"/>
    <hyperlink r:id="rId3646" ref="B3633"/>
    <hyperlink r:id="rId3647" ref="B3634"/>
    <hyperlink r:id="rId3648" ref="B3635"/>
    <hyperlink r:id="rId3649" ref="B3636"/>
    <hyperlink r:id="rId3650" ref="B3637"/>
    <hyperlink r:id="rId3651" ref="B3638"/>
    <hyperlink r:id="rId3652" ref="B3639"/>
    <hyperlink r:id="rId3653" ref="B3640"/>
    <hyperlink r:id="rId3654" ref="B3641"/>
    <hyperlink r:id="rId3655" ref="B3642"/>
    <hyperlink r:id="rId3656" ref="B3643"/>
    <hyperlink r:id="rId3657" ref="B3644"/>
    <hyperlink r:id="rId3658" ref="B3645"/>
    <hyperlink r:id="rId3659" ref="B3646"/>
    <hyperlink r:id="rId3660" ref="B3647"/>
    <hyperlink r:id="rId3661" ref="B3648"/>
    <hyperlink r:id="rId3662" ref="B3649"/>
    <hyperlink r:id="rId3663" ref="B3650"/>
    <hyperlink r:id="rId3664" ref="B3651"/>
    <hyperlink r:id="rId3665" ref="B3652"/>
    <hyperlink r:id="rId3666" ref="B3653"/>
    <hyperlink r:id="rId3667" ref="B3654"/>
    <hyperlink r:id="rId3668" ref="B3655"/>
    <hyperlink r:id="rId3669" ref="B3656"/>
    <hyperlink r:id="rId3670" ref="B3657"/>
    <hyperlink r:id="rId3671" ref="B3658"/>
    <hyperlink r:id="rId3672" ref="B3659"/>
    <hyperlink r:id="rId3673" ref="B3660"/>
    <hyperlink r:id="rId3674" ref="B3661"/>
    <hyperlink r:id="rId3675" ref="B3662"/>
    <hyperlink r:id="rId3676" ref="B3663"/>
    <hyperlink r:id="rId3677" ref="B3664"/>
    <hyperlink r:id="rId3678" ref="B3665"/>
    <hyperlink r:id="rId3679" ref="B3666"/>
    <hyperlink r:id="rId3680" ref="B3667"/>
    <hyperlink r:id="rId3681" ref="B3668"/>
    <hyperlink r:id="rId3682" ref="B3669"/>
    <hyperlink r:id="rId3683" ref="B3670"/>
    <hyperlink r:id="rId3684" ref="B3671"/>
    <hyperlink r:id="rId3685" ref="B3672"/>
    <hyperlink r:id="rId3686" ref="B3673"/>
    <hyperlink r:id="rId3687" ref="B3674"/>
    <hyperlink r:id="rId3688" ref="B3675"/>
    <hyperlink r:id="rId3689" ref="B3676"/>
    <hyperlink r:id="rId3690" ref="B3677"/>
    <hyperlink r:id="rId3691" ref="B3678"/>
    <hyperlink r:id="rId3692" ref="B3679"/>
    <hyperlink r:id="rId3693" ref="B3680"/>
    <hyperlink r:id="rId3694" ref="B3681"/>
    <hyperlink r:id="rId3695" ref="B3682"/>
    <hyperlink r:id="rId3696" ref="B3683"/>
    <hyperlink r:id="rId3697" ref="B3684"/>
    <hyperlink r:id="rId3698" ref="B3685"/>
    <hyperlink r:id="rId3699" ref="B3686"/>
    <hyperlink r:id="rId3700" ref="B3687"/>
    <hyperlink r:id="rId3701" ref="B3688"/>
    <hyperlink r:id="rId3702" ref="B3689"/>
    <hyperlink r:id="rId3703" ref="B3690"/>
    <hyperlink r:id="rId3704" ref="B3691"/>
    <hyperlink r:id="rId3705" ref="B3692"/>
    <hyperlink r:id="rId3706" ref="B3693"/>
    <hyperlink r:id="rId3707" ref="B3694"/>
    <hyperlink r:id="rId3708" ref="B3695"/>
    <hyperlink r:id="rId3709" ref="B3696"/>
    <hyperlink r:id="rId3710" ref="B3697"/>
    <hyperlink r:id="rId3711" ref="B3698"/>
    <hyperlink r:id="rId3712" ref="B3699"/>
    <hyperlink r:id="rId3713" ref="B3700"/>
    <hyperlink r:id="rId3714" ref="B3701"/>
    <hyperlink r:id="rId3715" ref="B3702"/>
    <hyperlink r:id="rId3716" ref="B3703"/>
    <hyperlink r:id="rId3717" ref="B3704"/>
    <hyperlink r:id="rId3718" ref="B3705"/>
    <hyperlink r:id="rId3719" ref="B3706"/>
    <hyperlink r:id="rId3720" ref="B3707"/>
    <hyperlink r:id="rId3721" ref="B3708"/>
    <hyperlink r:id="rId3722" ref="B3709"/>
    <hyperlink r:id="rId3723" ref="B3710"/>
    <hyperlink r:id="rId3724" ref="B3711"/>
    <hyperlink r:id="rId3725" ref="B3712"/>
    <hyperlink r:id="rId3726" ref="B3713"/>
    <hyperlink r:id="rId3727" ref="B3714"/>
    <hyperlink r:id="rId3728" ref="B3715"/>
    <hyperlink r:id="rId3729" ref="B3716"/>
    <hyperlink r:id="rId3730" ref="B3717"/>
    <hyperlink r:id="rId3731" ref="B3718"/>
    <hyperlink r:id="rId3732" ref="B3719"/>
    <hyperlink r:id="rId3733" ref="B3720"/>
    <hyperlink r:id="rId3734" ref="B3721"/>
    <hyperlink r:id="rId3735" ref="B3722"/>
    <hyperlink r:id="rId3736" ref="B3723"/>
    <hyperlink r:id="rId3737" ref="B3724"/>
    <hyperlink r:id="rId3738" ref="B3725"/>
    <hyperlink r:id="rId3739" ref="B3726"/>
    <hyperlink r:id="rId3740" ref="B3727"/>
    <hyperlink r:id="rId3741" ref="B3728"/>
    <hyperlink r:id="rId3742" ref="B3729"/>
    <hyperlink r:id="rId3743" ref="B3730"/>
    <hyperlink r:id="rId3744" ref="B3731"/>
    <hyperlink r:id="rId3745" ref="B3732"/>
    <hyperlink r:id="rId3746" ref="B3733"/>
    <hyperlink r:id="rId3747" ref="B3734"/>
    <hyperlink r:id="rId3748" ref="B3735"/>
    <hyperlink r:id="rId3749" ref="B3736"/>
    <hyperlink r:id="rId3750" ref="B3737"/>
    <hyperlink r:id="rId3751" ref="B3738"/>
    <hyperlink r:id="rId3752" ref="B3739"/>
    <hyperlink r:id="rId3753" ref="B3740"/>
    <hyperlink r:id="rId3754" ref="B3741"/>
    <hyperlink r:id="rId3755" ref="B3742"/>
    <hyperlink r:id="rId3756" ref="B3743"/>
    <hyperlink r:id="rId3757" ref="B3744"/>
    <hyperlink r:id="rId3758" ref="B3745"/>
    <hyperlink r:id="rId3759" ref="B3746"/>
    <hyperlink r:id="rId3760" ref="B3747"/>
    <hyperlink r:id="rId3761" ref="B3748"/>
    <hyperlink r:id="rId3762" ref="B3749"/>
    <hyperlink r:id="rId3763" ref="B3750"/>
    <hyperlink r:id="rId3764" ref="B3751"/>
    <hyperlink r:id="rId3765" ref="B3752"/>
    <hyperlink r:id="rId3766" ref="B3753"/>
    <hyperlink r:id="rId3767" ref="B3754"/>
    <hyperlink r:id="rId3768" ref="B3755"/>
    <hyperlink r:id="rId3769" ref="B3756"/>
    <hyperlink r:id="rId3770" ref="B3757"/>
    <hyperlink r:id="rId3771" ref="B3758"/>
    <hyperlink r:id="rId3772" ref="B3759"/>
    <hyperlink r:id="rId3773" ref="B3760"/>
    <hyperlink r:id="rId3774" ref="B3761"/>
    <hyperlink r:id="rId3775" ref="B3762"/>
    <hyperlink r:id="rId3776" ref="B3763"/>
    <hyperlink r:id="rId3777" ref="B3764"/>
    <hyperlink r:id="rId3778" ref="B3765"/>
    <hyperlink r:id="rId3779" ref="B3766"/>
    <hyperlink r:id="rId3780" ref="B3767"/>
    <hyperlink r:id="rId3781" ref="B3768"/>
    <hyperlink r:id="rId3782" ref="B3769"/>
    <hyperlink r:id="rId3783" ref="B3770"/>
    <hyperlink r:id="rId3784" ref="B3771"/>
    <hyperlink r:id="rId3785" ref="B3772"/>
    <hyperlink r:id="rId3786" ref="B3773"/>
    <hyperlink r:id="rId3787" ref="B3774"/>
    <hyperlink r:id="rId3788" ref="B3775"/>
    <hyperlink r:id="rId3789" ref="B3776"/>
    <hyperlink r:id="rId3790" ref="B3777"/>
    <hyperlink r:id="rId3791" ref="B3778"/>
    <hyperlink r:id="rId3792" ref="B3779"/>
    <hyperlink r:id="rId3793" ref="B3780"/>
    <hyperlink r:id="rId3794" ref="B3781"/>
    <hyperlink r:id="rId3795" ref="B3782"/>
    <hyperlink r:id="rId3796" ref="B3783"/>
    <hyperlink r:id="rId3797" ref="B3784"/>
    <hyperlink r:id="rId3798" ref="B3785"/>
    <hyperlink r:id="rId3799" ref="B3786"/>
    <hyperlink r:id="rId3800" ref="B3787"/>
    <hyperlink r:id="rId3801" ref="B3788"/>
    <hyperlink r:id="rId3802" ref="B3789"/>
    <hyperlink r:id="rId3803" ref="B3790"/>
    <hyperlink r:id="rId3804" ref="B3791"/>
    <hyperlink r:id="rId3805" ref="B3792"/>
    <hyperlink r:id="rId3806" ref="B3793"/>
    <hyperlink r:id="rId3807" ref="B3794"/>
    <hyperlink r:id="rId3808" ref="B3795"/>
    <hyperlink r:id="rId3809" ref="B3796"/>
    <hyperlink r:id="rId3810" ref="B3797"/>
    <hyperlink r:id="rId3811" ref="B3798"/>
    <hyperlink r:id="rId3812" ref="B3799"/>
    <hyperlink r:id="rId3813" ref="B3800"/>
    <hyperlink r:id="rId3814" ref="B3801"/>
    <hyperlink r:id="rId3815" ref="B3802"/>
    <hyperlink r:id="rId3816" ref="B3803"/>
    <hyperlink r:id="rId3817" ref="B3804"/>
    <hyperlink r:id="rId3818" ref="B3805"/>
    <hyperlink r:id="rId3819" ref="B3806"/>
    <hyperlink r:id="rId3820" ref="B3807"/>
    <hyperlink r:id="rId3821" ref="B3808"/>
    <hyperlink r:id="rId3822" ref="B3809"/>
    <hyperlink r:id="rId3823" ref="B3810"/>
    <hyperlink r:id="rId3824" ref="B3811"/>
    <hyperlink r:id="rId3825" ref="B3812"/>
    <hyperlink r:id="rId3826" ref="B3813"/>
    <hyperlink r:id="rId3827" ref="B3814"/>
    <hyperlink r:id="rId3828" ref="B3815"/>
    <hyperlink r:id="rId3829" ref="B3816"/>
    <hyperlink r:id="rId3830" ref="B3817"/>
    <hyperlink r:id="rId3831" ref="B3818"/>
    <hyperlink r:id="rId3832" ref="B3819"/>
    <hyperlink r:id="rId3833" ref="B3820"/>
    <hyperlink r:id="rId3834" ref="B3821"/>
    <hyperlink r:id="rId3835" ref="B3822"/>
    <hyperlink r:id="rId3836" ref="B3823"/>
    <hyperlink r:id="rId3837" ref="B3824"/>
    <hyperlink r:id="rId3838" ref="B3825"/>
    <hyperlink r:id="rId3839" ref="B3826"/>
    <hyperlink r:id="rId3840" ref="B3827"/>
    <hyperlink r:id="rId3841" ref="B3828"/>
    <hyperlink r:id="rId3842" ref="B3829"/>
    <hyperlink r:id="rId3843" ref="B3830"/>
    <hyperlink r:id="rId3844" ref="B3831"/>
    <hyperlink r:id="rId3845" ref="B3832"/>
    <hyperlink r:id="rId3846" ref="B3833"/>
    <hyperlink r:id="rId3847" ref="B3834"/>
    <hyperlink r:id="rId3848" ref="B3835"/>
    <hyperlink r:id="rId3849" ref="B3836"/>
    <hyperlink r:id="rId3850" ref="B3837"/>
    <hyperlink r:id="rId3851" ref="B3838"/>
    <hyperlink r:id="rId3852" ref="B3839"/>
    <hyperlink r:id="rId3853" ref="B3840"/>
    <hyperlink r:id="rId3854" ref="B3841"/>
    <hyperlink r:id="rId3855" ref="B3842"/>
    <hyperlink r:id="rId3856" ref="B3843"/>
    <hyperlink r:id="rId3857" ref="B3844"/>
    <hyperlink r:id="rId3858" ref="B3845"/>
    <hyperlink r:id="rId3859" ref="B3846"/>
    <hyperlink r:id="rId3860" ref="B3847"/>
    <hyperlink r:id="rId3861" ref="B3848"/>
    <hyperlink r:id="rId3862" ref="B3849"/>
    <hyperlink r:id="rId3863" ref="B3850"/>
    <hyperlink r:id="rId3864" ref="B3851"/>
    <hyperlink r:id="rId3865" ref="B3852"/>
    <hyperlink r:id="rId3866" ref="B3853"/>
    <hyperlink r:id="rId3867" ref="B3854"/>
    <hyperlink r:id="rId3868" ref="B3855"/>
    <hyperlink r:id="rId3869" ref="B3856"/>
    <hyperlink r:id="rId3870" ref="B3857"/>
    <hyperlink r:id="rId3871" ref="B3858"/>
    <hyperlink r:id="rId3872" ref="B3859"/>
    <hyperlink r:id="rId3873" ref="B3860"/>
    <hyperlink r:id="rId3874" ref="B3861"/>
    <hyperlink r:id="rId3875" ref="B3862"/>
    <hyperlink r:id="rId3876" ref="B3863"/>
    <hyperlink r:id="rId3877" ref="B3864"/>
    <hyperlink r:id="rId3878" ref="B3865"/>
    <hyperlink r:id="rId3879" ref="B3866"/>
    <hyperlink r:id="rId3880" ref="B3867"/>
    <hyperlink r:id="rId3881" ref="B3868"/>
    <hyperlink r:id="rId3882" ref="B3869"/>
    <hyperlink r:id="rId3883" ref="B3870"/>
    <hyperlink r:id="rId3884" ref="B3871"/>
    <hyperlink r:id="rId3885" ref="B3872"/>
    <hyperlink r:id="rId3886" ref="B3873"/>
    <hyperlink r:id="rId3887" ref="B3874"/>
    <hyperlink r:id="rId3888" ref="B3875"/>
    <hyperlink r:id="rId3889" ref="B3876"/>
    <hyperlink r:id="rId3890" ref="B3877"/>
    <hyperlink r:id="rId3891" ref="B3878"/>
    <hyperlink r:id="rId3892" ref="B3879"/>
    <hyperlink r:id="rId3893" ref="B3880"/>
    <hyperlink r:id="rId3894" ref="B3881"/>
    <hyperlink r:id="rId3895" ref="B3882"/>
    <hyperlink r:id="rId3896" ref="B3883"/>
    <hyperlink r:id="rId3897" ref="B3884"/>
    <hyperlink r:id="rId3898" ref="B3885"/>
    <hyperlink r:id="rId3899" ref="B3886"/>
    <hyperlink r:id="rId3900" ref="B3887"/>
    <hyperlink r:id="rId3901" ref="B3888"/>
    <hyperlink r:id="rId3902" ref="B3889"/>
    <hyperlink r:id="rId3903" ref="B3890"/>
    <hyperlink r:id="rId3904" ref="B3891"/>
    <hyperlink r:id="rId3905" ref="B3892"/>
    <hyperlink r:id="rId3906" ref="B3893"/>
    <hyperlink r:id="rId3907" ref="B3894"/>
    <hyperlink r:id="rId3908" ref="B3895"/>
    <hyperlink r:id="rId3909" ref="B3896"/>
    <hyperlink r:id="rId3910" ref="B3897"/>
    <hyperlink r:id="rId3911" ref="B3898"/>
    <hyperlink r:id="rId3912" ref="B3899"/>
    <hyperlink r:id="rId3913" ref="B3900"/>
    <hyperlink r:id="rId3914" ref="B3901"/>
    <hyperlink r:id="rId3915" ref="B3902"/>
    <hyperlink r:id="rId3916" ref="B3903"/>
    <hyperlink r:id="rId3917" ref="B3904"/>
    <hyperlink r:id="rId3918" ref="B3905"/>
    <hyperlink r:id="rId3919" ref="B3906"/>
    <hyperlink r:id="rId3920" ref="B3907"/>
    <hyperlink r:id="rId3921" ref="B3908"/>
    <hyperlink r:id="rId3922" ref="B3909"/>
    <hyperlink r:id="rId3923" ref="B3910"/>
    <hyperlink r:id="rId3924" ref="B3911"/>
    <hyperlink r:id="rId3925" ref="B3912"/>
    <hyperlink r:id="rId3926" ref="B3913"/>
    <hyperlink r:id="rId3927" ref="B3914"/>
    <hyperlink r:id="rId3928" ref="B3915"/>
    <hyperlink r:id="rId3929" ref="B3916"/>
    <hyperlink r:id="rId3930" ref="B3917"/>
    <hyperlink r:id="rId3931" ref="B3918"/>
    <hyperlink r:id="rId3932" ref="B3919"/>
    <hyperlink r:id="rId3933" ref="B3920"/>
    <hyperlink r:id="rId3934" ref="B3921"/>
    <hyperlink r:id="rId3935" ref="B3922"/>
    <hyperlink r:id="rId3936" ref="B3923"/>
    <hyperlink r:id="rId3937" ref="B3924"/>
    <hyperlink r:id="rId3938" ref="B3925"/>
    <hyperlink r:id="rId3939" ref="B3926"/>
    <hyperlink r:id="rId3940" ref="B3927"/>
    <hyperlink r:id="rId3941" ref="B3928"/>
    <hyperlink r:id="rId3942" ref="B3929"/>
    <hyperlink r:id="rId3943" ref="B3930"/>
    <hyperlink r:id="rId3944" ref="B3931"/>
    <hyperlink r:id="rId3945" ref="B3932"/>
    <hyperlink r:id="rId3946" ref="B3933"/>
    <hyperlink r:id="rId3947" ref="B3934"/>
    <hyperlink r:id="rId3948" ref="B3935"/>
    <hyperlink r:id="rId3949" ref="B3936"/>
    <hyperlink r:id="rId3950" ref="B3937"/>
    <hyperlink r:id="rId3951" ref="B3938"/>
    <hyperlink r:id="rId3952" ref="B3939"/>
    <hyperlink r:id="rId3953" ref="B3940"/>
    <hyperlink r:id="rId3954" ref="B3941"/>
    <hyperlink r:id="rId3955" ref="B3942"/>
    <hyperlink r:id="rId3956" ref="B3943"/>
    <hyperlink r:id="rId3957" ref="B3944"/>
    <hyperlink r:id="rId3958" ref="B3945"/>
    <hyperlink r:id="rId3959" ref="B3946"/>
    <hyperlink r:id="rId3960" ref="B3947"/>
    <hyperlink r:id="rId3961" ref="B3948"/>
    <hyperlink r:id="rId3962" ref="B3949"/>
    <hyperlink r:id="rId3963" ref="B3950"/>
    <hyperlink r:id="rId3964" ref="B3951"/>
    <hyperlink r:id="rId3965" ref="B3952"/>
    <hyperlink r:id="rId3966" ref="B3953"/>
    <hyperlink r:id="rId3967" ref="B3954"/>
    <hyperlink r:id="rId3968" ref="B3955"/>
    <hyperlink r:id="rId3969" ref="B3956"/>
    <hyperlink r:id="rId3970" ref="B3957"/>
    <hyperlink r:id="rId3971" ref="B3958"/>
    <hyperlink r:id="rId3972" ref="B3959"/>
    <hyperlink r:id="rId3973" ref="B3960"/>
    <hyperlink r:id="rId3974" ref="B3961"/>
    <hyperlink r:id="rId3975" ref="B3962"/>
    <hyperlink r:id="rId3976" ref="B3963"/>
    <hyperlink r:id="rId3977" ref="B3964"/>
    <hyperlink r:id="rId3978" ref="B3965"/>
    <hyperlink r:id="rId3979" ref="B3966"/>
    <hyperlink r:id="rId3980" ref="B3967"/>
    <hyperlink r:id="rId3981" ref="B3968"/>
    <hyperlink r:id="rId3982" ref="B3969"/>
    <hyperlink r:id="rId3983" ref="B3970"/>
    <hyperlink r:id="rId3984" ref="B3971"/>
    <hyperlink r:id="rId3985" ref="B3972"/>
    <hyperlink r:id="rId3986" ref="B3973"/>
    <hyperlink r:id="rId3987" ref="B3974"/>
    <hyperlink r:id="rId3988" ref="B3975"/>
    <hyperlink r:id="rId3989" ref="B3976"/>
    <hyperlink r:id="rId3990" ref="B3977"/>
    <hyperlink r:id="rId3991" ref="B3978"/>
    <hyperlink r:id="rId3992" ref="B3979"/>
    <hyperlink r:id="rId3993" ref="B3980"/>
    <hyperlink r:id="rId3994" ref="B3981"/>
    <hyperlink r:id="rId3995" ref="B3982"/>
    <hyperlink r:id="rId3996" ref="B3983"/>
    <hyperlink r:id="rId3997" ref="B3984"/>
    <hyperlink r:id="rId3998" ref="B3985"/>
    <hyperlink r:id="rId3999" ref="B3986"/>
    <hyperlink r:id="rId4000" ref="B3987"/>
    <hyperlink r:id="rId4001" ref="B3988"/>
    <hyperlink r:id="rId4002" ref="B3989"/>
    <hyperlink r:id="rId4003" ref="B3990"/>
    <hyperlink r:id="rId4004" ref="B3991"/>
    <hyperlink r:id="rId4005" ref="B3992"/>
    <hyperlink r:id="rId4006" ref="B3993"/>
    <hyperlink r:id="rId4007" ref="B3994"/>
    <hyperlink r:id="rId4008" ref="B3995"/>
    <hyperlink r:id="rId4009" ref="B3996"/>
    <hyperlink r:id="rId4010" ref="B3997"/>
    <hyperlink r:id="rId4011" ref="B3998"/>
    <hyperlink r:id="rId4012" ref="B3999"/>
    <hyperlink r:id="rId4013" ref="B4000"/>
    <hyperlink r:id="rId4014" ref="B4001"/>
    <hyperlink r:id="rId4015" ref="B4002"/>
    <hyperlink r:id="rId4016" ref="B4003"/>
    <hyperlink r:id="rId4017" ref="B4004"/>
    <hyperlink r:id="rId4018" ref="B4005"/>
    <hyperlink r:id="rId4019" ref="B4006"/>
    <hyperlink r:id="rId4020" ref="B4007"/>
    <hyperlink r:id="rId4021" ref="B4008"/>
    <hyperlink r:id="rId4022" ref="B4009"/>
    <hyperlink r:id="rId4023" ref="B4010"/>
    <hyperlink r:id="rId4024" ref="B4011"/>
    <hyperlink r:id="rId4025" ref="B4012"/>
    <hyperlink r:id="rId4026" ref="B4013"/>
    <hyperlink r:id="rId4027" ref="B4014"/>
    <hyperlink r:id="rId4028" ref="B4015"/>
    <hyperlink r:id="rId4029" ref="B4016"/>
    <hyperlink r:id="rId4030" ref="B4017"/>
    <hyperlink r:id="rId4031" ref="B4018"/>
    <hyperlink r:id="rId4032" ref="B4019"/>
    <hyperlink r:id="rId4033" ref="B4020"/>
    <hyperlink r:id="rId4034" ref="B4021"/>
    <hyperlink r:id="rId4035" ref="B4022"/>
    <hyperlink r:id="rId4036" ref="B4023"/>
    <hyperlink r:id="rId4037" ref="B4024"/>
    <hyperlink r:id="rId4038" ref="B4025"/>
    <hyperlink r:id="rId4039" ref="B4026"/>
    <hyperlink r:id="rId4040" ref="B4027"/>
    <hyperlink r:id="rId4041" ref="B4028"/>
    <hyperlink r:id="rId4042" ref="B4029"/>
    <hyperlink r:id="rId4043" ref="B4030"/>
    <hyperlink r:id="rId4044" ref="B4031"/>
    <hyperlink r:id="rId4045" ref="B4032"/>
    <hyperlink r:id="rId4046" ref="B4033"/>
    <hyperlink r:id="rId4047" ref="B4034"/>
    <hyperlink r:id="rId4048" ref="B4035"/>
    <hyperlink r:id="rId4049" ref="B4036"/>
    <hyperlink r:id="rId4050" ref="B4037"/>
    <hyperlink r:id="rId4051" ref="B4038"/>
    <hyperlink r:id="rId4052" ref="B4039"/>
    <hyperlink r:id="rId4053" ref="B4040"/>
    <hyperlink r:id="rId4054" ref="B4041"/>
    <hyperlink r:id="rId4055" ref="B4042"/>
    <hyperlink r:id="rId4056" ref="B4043"/>
    <hyperlink r:id="rId4057" ref="B4044"/>
    <hyperlink r:id="rId4058" ref="B4045"/>
    <hyperlink r:id="rId4059" ref="B4046"/>
    <hyperlink r:id="rId4060" ref="B4047"/>
    <hyperlink r:id="rId4061" ref="B4048"/>
    <hyperlink r:id="rId4062" ref="B4049"/>
    <hyperlink r:id="rId4063" ref="B4050"/>
    <hyperlink r:id="rId4064" ref="B4051"/>
    <hyperlink r:id="rId4065" ref="B4052"/>
    <hyperlink r:id="rId4066" ref="B4053"/>
    <hyperlink r:id="rId4067" ref="B4054"/>
    <hyperlink r:id="rId4068" ref="B4055"/>
    <hyperlink r:id="rId4069" ref="B4056"/>
    <hyperlink r:id="rId4070" ref="B4057"/>
    <hyperlink r:id="rId4071" ref="B4058"/>
    <hyperlink r:id="rId4072" ref="B4059"/>
    <hyperlink r:id="rId4073" ref="B4060"/>
    <hyperlink r:id="rId4074" ref="B4061"/>
    <hyperlink r:id="rId4075" ref="B4062"/>
    <hyperlink r:id="rId4076" ref="B4063"/>
    <hyperlink r:id="rId4077" ref="B4064"/>
    <hyperlink r:id="rId4078" ref="B4065"/>
    <hyperlink r:id="rId4079" ref="B4066"/>
    <hyperlink r:id="rId4080" ref="B4067"/>
    <hyperlink r:id="rId4081" ref="B4068"/>
    <hyperlink r:id="rId4082" ref="B4069"/>
    <hyperlink r:id="rId4083" ref="B4070"/>
    <hyperlink r:id="rId4084" ref="B4071"/>
    <hyperlink r:id="rId4085" ref="B4072"/>
    <hyperlink r:id="rId4086" ref="B4073"/>
    <hyperlink r:id="rId4087" ref="B4074"/>
    <hyperlink r:id="rId4088" ref="B4075"/>
    <hyperlink r:id="rId4089" ref="B4076"/>
    <hyperlink r:id="rId4090" ref="B4077"/>
    <hyperlink r:id="rId4091" ref="A4078"/>
    <hyperlink r:id="rId4092" ref="B4078"/>
    <hyperlink r:id="rId4093" ref="B4079"/>
    <hyperlink r:id="rId4094" ref="B4080"/>
    <hyperlink r:id="rId4095" ref="B4081"/>
    <hyperlink r:id="rId4096" ref="B4082"/>
    <hyperlink r:id="rId4097" ref="B4083"/>
    <hyperlink r:id="rId4098" ref="B4084"/>
    <hyperlink r:id="rId4099" ref="B4085"/>
    <hyperlink r:id="rId4100" ref="B4086"/>
    <hyperlink r:id="rId4101" ref="B4087"/>
    <hyperlink r:id="rId4102" ref="B4088"/>
    <hyperlink r:id="rId4103" ref="B4089"/>
    <hyperlink r:id="rId4104" ref="B4090"/>
    <hyperlink r:id="rId4105" ref="B4091"/>
    <hyperlink r:id="rId4106" ref="B4092"/>
    <hyperlink r:id="rId4107" ref="B4093"/>
    <hyperlink r:id="rId4108" ref="B4094"/>
    <hyperlink r:id="rId4109" ref="B4095"/>
    <hyperlink r:id="rId4110" ref="B4096"/>
    <hyperlink r:id="rId4111" ref="B4097"/>
    <hyperlink r:id="rId4112" ref="B4098"/>
    <hyperlink r:id="rId4113" ref="B4099"/>
    <hyperlink r:id="rId4114" ref="B4100"/>
    <hyperlink r:id="rId4115" ref="B4101"/>
    <hyperlink r:id="rId4116" ref="B4102"/>
    <hyperlink r:id="rId4117" ref="B4103"/>
    <hyperlink r:id="rId4118" ref="B4104"/>
    <hyperlink r:id="rId4119" ref="B4105"/>
    <hyperlink r:id="rId4120" ref="B4106"/>
    <hyperlink r:id="rId4121" ref="B4107"/>
    <hyperlink r:id="rId4122" ref="B4108"/>
    <hyperlink r:id="rId4123" ref="B4109"/>
    <hyperlink r:id="rId4124" ref="B4110"/>
    <hyperlink r:id="rId4125" ref="B4111"/>
    <hyperlink r:id="rId4126" ref="B4112"/>
    <hyperlink r:id="rId4127" ref="B4113"/>
    <hyperlink r:id="rId4128" ref="B4114"/>
    <hyperlink r:id="rId4129" ref="B4115"/>
    <hyperlink r:id="rId4130" ref="B4116"/>
    <hyperlink r:id="rId4131" ref="B4117"/>
    <hyperlink r:id="rId4132" ref="B4118"/>
    <hyperlink r:id="rId4133" ref="B4119"/>
    <hyperlink r:id="rId4134" ref="B4120"/>
    <hyperlink r:id="rId4135" ref="B4121"/>
    <hyperlink r:id="rId4136" ref="B4122"/>
    <hyperlink r:id="rId4137" ref="B4123"/>
    <hyperlink r:id="rId4138" ref="B4124"/>
    <hyperlink r:id="rId4139" ref="B4125"/>
    <hyperlink r:id="rId4140" ref="B4126"/>
    <hyperlink r:id="rId4141" ref="B4127"/>
    <hyperlink r:id="rId4142" ref="B4128"/>
    <hyperlink r:id="rId4143" ref="B4129"/>
    <hyperlink r:id="rId4144" ref="B4130"/>
    <hyperlink r:id="rId4145" ref="B4131"/>
    <hyperlink r:id="rId4146" ref="B4132"/>
    <hyperlink r:id="rId4147" ref="B4133"/>
    <hyperlink r:id="rId4148" ref="B4134"/>
    <hyperlink r:id="rId4149" ref="B4135"/>
    <hyperlink r:id="rId4150" ref="B4136"/>
    <hyperlink r:id="rId4151" ref="B4137"/>
    <hyperlink r:id="rId4152" ref="B4138"/>
    <hyperlink r:id="rId4153" ref="B4139"/>
    <hyperlink r:id="rId4154" ref="B4140"/>
    <hyperlink r:id="rId4155" ref="B4141"/>
    <hyperlink r:id="rId4156" ref="B4142"/>
    <hyperlink r:id="rId4157" ref="B4143"/>
    <hyperlink r:id="rId4158" ref="B4144"/>
    <hyperlink r:id="rId4159" ref="B4145"/>
    <hyperlink r:id="rId4160" ref="B4146"/>
    <hyperlink r:id="rId4161" ref="B4147"/>
    <hyperlink r:id="rId4162" ref="B4148"/>
    <hyperlink r:id="rId4163" ref="B4149"/>
    <hyperlink r:id="rId4164" ref="B4150"/>
    <hyperlink r:id="rId4165" ref="B4151"/>
    <hyperlink r:id="rId4166" ref="B4152"/>
    <hyperlink r:id="rId4167" ref="B4153"/>
    <hyperlink r:id="rId4168" ref="B4154"/>
    <hyperlink r:id="rId4169" ref="B4155"/>
    <hyperlink r:id="rId4170" ref="B4156"/>
    <hyperlink r:id="rId4171" ref="B4157"/>
    <hyperlink r:id="rId4172" ref="B4158"/>
    <hyperlink r:id="rId4173" ref="B4159"/>
    <hyperlink r:id="rId4174" ref="B4160"/>
    <hyperlink r:id="rId4175" ref="B4161"/>
    <hyperlink r:id="rId4176" ref="B4162"/>
    <hyperlink r:id="rId4177" ref="B4163"/>
    <hyperlink r:id="rId4178" ref="B4164"/>
    <hyperlink r:id="rId4179" ref="B4165"/>
    <hyperlink r:id="rId4180" ref="B4166"/>
    <hyperlink r:id="rId4181" ref="B4167"/>
    <hyperlink r:id="rId4182" ref="B4168"/>
    <hyperlink r:id="rId4183" ref="B4169"/>
    <hyperlink r:id="rId4184" ref="B4170"/>
    <hyperlink r:id="rId4185" ref="B4171"/>
    <hyperlink r:id="rId4186" ref="B4172"/>
    <hyperlink r:id="rId4187" ref="B4173"/>
    <hyperlink r:id="rId4188" ref="B4174"/>
    <hyperlink r:id="rId4189" ref="B4175"/>
    <hyperlink r:id="rId4190" ref="B4176"/>
    <hyperlink r:id="rId4191" ref="B4177"/>
    <hyperlink r:id="rId4192" ref="B4178"/>
    <hyperlink r:id="rId4193" ref="B4179"/>
    <hyperlink r:id="rId4194" ref="B4180"/>
    <hyperlink r:id="rId4195" ref="B4181"/>
    <hyperlink r:id="rId4196" ref="B4182"/>
    <hyperlink r:id="rId4197" ref="B4183"/>
    <hyperlink r:id="rId4198" ref="B4184"/>
    <hyperlink r:id="rId4199" ref="B4185"/>
    <hyperlink r:id="rId4200" ref="B4186"/>
    <hyperlink r:id="rId4201" ref="B4187"/>
    <hyperlink r:id="rId4202" ref="B4188"/>
    <hyperlink r:id="rId4203" ref="B4189"/>
    <hyperlink r:id="rId4204" ref="B4190"/>
    <hyperlink r:id="rId4205" ref="B4191"/>
    <hyperlink r:id="rId4206" ref="B4192"/>
    <hyperlink r:id="rId4207" ref="B4193"/>
    <hyperlink r:id="rId4208" ref="B4194"/>
    <hyperlink r:id="rId4209" ref="B4195"/>
    <hyperlink r:id="rId4210" ref="B4196"/>
    <hyperlink r:id="rId4211" ref="B4197"/>
    <hyperlink r:id="rId4212" ref="B4198"/>
    <hyperlink r:id="rId4213" ref="B4199"/>
    <hyperlink r:id="rId4214" ref="B4200"/>
    <hyperlink r:id="rId4215" ref="B4201"/>
    <hyperlink r:id="rId4216" ref="B4202"/>
    <hyperlink r:id="rId4217" ref="B4203"/>
    <hyperlink r:id="rId4218" ref="B4204"/>
    <hyperlink r:id="rId4219" ref="B4205"/>
    <hyperlink r:id="rId4220" ref="B4206"/>
    <hyperlink r:id="rId4221" ref="B4207"/>
    <hyperlink r:id="rId4222" ref="B4208"/>
    <hyperlink r:id="rId4223" ref="B4209"/>
    <hyperlink r:id="rId4224" ref="B4210"/>
    <hyperlink r:id="rId4225" ref="B4211"/>
    <hyperlink r:id="rId4226" ref="B4212"/>
    <hyperlink r:id="rId4227" ref="B4213"/>
    <hyperlink r:id="rId4228" ref="B4214"/>
    <hyperlink r:id="rId4229" ref="B4215"/>
    <hyperlink r:id="rId4230" ref="B4216"/>
    <hyperlink r:id="rId4231" ref="B4217"/>
    <hyperlink r:id="rId4232" ref="B4218"/>
    <hyperlink r:id="rId4233" ref="B4219"/>
    <hyperlink r:id="rId4234" ref="B4220"/>
    <hyperlink r:id="rId4235" ref="B4221"/>
    <hyperlink r:id="rId4236" ref="B4222"/>
    <hyperlink r:id="rId4237" ref="B4223"/>
    <hyperlink r:id="rId4238" ref="B4224"/>
    <hyperlink r:id="rId4239" ref="B4225"/>
    <hyperlink r:id="rId4240" ref="B4226"/>
    <hyperlink r:id="rId4241" ref="B4227"/>
    <hyperlink r:id="rId4242" ref="B4228"/>
    <hyperlink r:id="rId4243" ref="B4229"/>
    <hyperlink r:id="rId4244" ref="B4230"/>
    <hyperlink r:id="rId4245" ref="B4231"/>
    <hyperlink r:id="rId4246" ref="B4232"/>
    <hyperlink r:id="rId4247" ref="B4233"/>
    <hyperlink r:id="rId4248" ref="B4234"/>
    <hyperlink r:id="rId4249" ref="B4235"/>
    <hyperlink r:id="rId4250" ref="B4236"/>
    <hyperlink r:id="rId4251" ref="B4237"/>
    <hyperlink r:id="rId4252" ref="B4238"/>
    <hyperlink r:id="rId4253" ref="B4239"/>
    <hyperlink r:id="rId4254" ref="B4240"/>
    <hyperlink r:id="rId4255" ref="B4241"/>
    <hyperlink r:id="rId4256" ref="B4242"/>
    <hyperlink r:id="rId4257" ref="B4243"/>
    <hyperlink r:id="rId4258" ref="B4244"/>
    <hyperlink r:id="rId4259" ref="B4245"/>
    <hyperlink r:id="rId4260" ref="B4246"/>
    <hyperlink r:id="rId4261" ref="B4247"/>
    <hyperlink r:id="rId4262" ref="B4248"/>
    <hyperlink r:id="rId4263" ref="B4249"/>
    <hyperlink r:id="rId4264" ref="B4250"/>
    <hyperlink r:id="rId4265" ref="B4251"/>
    <hyperlink r:id="rId4266" ref="B4252"/>
    <hyperlink r:id="rId4267" ref="B4253"/>
    <hyperlink r:id="rId4268" ref="B4254"/>
    <hyperlink r:id="rId4269" ref="B4255"/>
    <hyperlink r:id="rId4270" ref="B4256"/>
    <hyperlink r:id="rId4271" ref="B4257"/>
    <hyperlink r:id="rId4272" ref="B4258"/>
    <hyperlink r:id="rId4273" ref="B4259"/>
    <hyperlink r:id="rId4274" ref="B4260"/>
    <hyperlink r:id="rId4275" ref="B4261"/>
    <hyperlink r:id="rId4276" ref="B4262"/>
    <hyperlink r:id="rId4277" ref="B4263"/>
    <hyperlink r:id="rId4278" ref="B4264"/>
    <hyperlink r:id="rId4279" ref="B4265"/>
    <hyperlink r:id="rId4280" ref="B4266"/>
    <hyperlink r:id="rId4281" ref="B4267"/>
    <hyperlink r:id="rId4282" ref="B4268"/>
    <hyperlink r:id="rId4283" ref="B4269"/>
    <hyperlink r:id="rId4284" ref="B4270"/>
    <hyperlink r:id="rId4285" ref="B4271"/>
    <hyperlink r:id="rId4286" ref="B4272"/>
    <hyperlink r:id="rId4287" ref="B4273"/>
    <hyperlink r:id="rId4288" ref="B4274"/>
    <hyperlink r:id="rId4289" ref="B4275"/>
    <hyperlink r:id="rId4290" ref="B4276"/>
    <hyperlink r:id="rId4291" ref="B4277"/>
    <hyperlink r:id="rId4292" ref="B4278"/>
    <hyperlink r:id="rId4293" ref="B4279"/>
    <hyperlink r:id="rId4294" ref="A4280"/>
    <hyperlink r:id="rId4295" ref="B4280"/>
    <hyperlink r:id="rId4296" ref="B4281"/>
    <hyperlink r:id="rId4297" ref="B4282"/>
    <hyperlink r:id="rId4298" ref="B4283"/>
    <hyperlink r:id="rId4299" ref="B4284"/>
    <hyperlink r:id="rId4300" ref="B4285"/>
    <hyperlink r:id="rId4301" ref="B4286"/>
    <hyperlink r:id="rId4302" ref="B4287"/>
    <hyperlink r:id="rId4303" ref="B4288"/>
    <hyperlink r:id="rId4304" ref="B4289"/>
    <hyperlink r:id="rId4305" ref="B4290"/>
    <hyperlink r:id="rId4306" ref="B4291"/>
    <hyperlink r:id="rId4307" ref="B4292"/>
    <hyperlink r:id="rId4308" ref="B4293"/>
    <hyperlink r:id="rId4309" ref="B4294"/>
    <hyperlink r:id="rId4310" ref="B4295"/>
    <hyperlink r:id="rId4311" ref="B4296"/>
    <hyperlink r:id="rId4312" ref="B4297"/>
    <hyperlink r:id="rId4313" ref="B4298"/>
    <hyperlink r:id="rId4314" ref="B4299"/>
    <hyperlink r:id="rId4315" ref="B4300"/>
    <hyperlink r:id="rId4316" ref="B4301"/>
    <hyperlink r:id="rId4317" ref="B4302"/>
    <hyperlink r:id="rId4318" ref="B4303"/>
    <hyperlink r:id="rId4319" ref="B4304"/>
    <hyperlink r:id="rId4320" ref="B4305"/>
    <hyperlink r:id="rId4321" ref="B4306"/>
    <hyperlink r:id="rId4322" ref="B4307"/>
    <hyperlink r:id="rId4323" ref="B4308"/>
    <hyperlink r:id="rId4324" ref="B4309"/>
    <hyperlink r:id="rId4325" ref="B4310"/>
    <hyperlink r:id="rId4326" ref="B4311"/>
    <hyperlink r:id="rId4327" ref="B4312"/>
    <hyperlink r:id="rId4328" ref="B4313"/>
    <hyperlink r:id="rId4329" ref="B4314"/>
    <hyperlink r:id="rId4330" ref="B4315"/>
    <hyperlink r:id="rId4331" ref="B4316"/>
    <hyperlink r:id="rId4332" ref="B4317"/>
    <hyperlink r:id="rId4333" ref="B4318"/>
    <hyperlink r:id="rId4334" ref="B4319"/>
    <hyperlink r:id="rId4335" ref="B4320"/>
    <hyperlink r:id="rId4336" ref="B4321"/>
    <hyperlink r:id="rId4337" ref="B4322"/>
    <hyperlink r:id="rId4338" ref="B4323"/>
    <hyperlink r:id="rId4339" ref="B4324"/>
    <hyperlink r:id="rId4340" ref="B4325"/>
    <hyperlink r:id="rId4341" ref="B4326"/>
    <hyperlink r:id="rId4342" ref="B4327"/>
    <hyperlink r:id="rId4343" ref="B4328"/>
    <hyperlink r:id="rId4344" ref="B4329"/>
    <hyperlink r:id="rId4345" ref="B4330"/>
    <hyperlink r:id="rId4346" ref="B4331"/>
    <hyperlink r:id="rId4347" ref="B4332"/>
    <hyperlink r:id="rId4348" ref="B4333"/>
    <hyperlink r:id="rId4349" ref="B4334"/>
    <hyperlink r:id="rId4350" ref="B4335"/>
    <hyperlink r:id="rId4351" ref="B4336"/>
    <hyperlink r:id="rId4352" ref="B4337"/>
    <hyperlink r:id="rId4353" ref="B4338"/>
    <hyperlink r:id="rId4354" ref="B4339"/>
    <hyperlink r:id="rId4355" ref="B4340"/>
    <hyperlink r:id="rId4356" ref="B4341"/>
    <hyperlink r:id="rId4357" ref="B4342"/>
    <hyperlink r:id="rId4358" ref="B4343"/>
    <hyperlink r:id="rId4359" ref="B4344"/>
    <hyperlink r:id="rId4360" ref="B4345"/>
    <hyperlink r:id="rId4361" ref="B4346"/>
    <hyperlink r:id="rId4362" ref="B4347"/>
    <hyperlink r:id="rId4363" ref="B4348"/>
    <hyperlink r:id="rId4364" ref="B4349"/>
    <hyperlink r:id="rId4365" ref="B4350"/>
    <hyperlink r:id="rId4366" ref="B4351"/>
    <hyperlink r:id="rId4367" ref="B4352"/>
    <hyperlink r:id="rId4368" ref="B4353"/>
    <hyperlink r:id="rId4369" ref="B4354"/>
    <hyperlink r:id="rId4370" ref="B4355"/>
    <hyperlink r:id="rId4371" ref="B4356"/>
    <hyperlink r:id="rId4372" ref="B4357"/>
    <hyperlink r:id="rId4373" ref="B4358"/>
    <hyperlink r:id="rId4374" ref="B4359"/>
    <hyperlink r:id="rId4375" ref="B4360"/>
    <hyperlink r:id="rId4376" ref="B4361"/>
    <hyperlink r:id="rId4377" ref="B4362"/>
    <hyperlink r:id="rId4378" ref="B4363"/>
    <hyperlink r:id="rId4379" ref="B4364"/>
    <hyperlink r:id="rId4380" ref="B4365"/>
    <hyperlink r:id="rId4381" ref="B4366"/>
    <hyperlink r:id="rId4382" ref="B4367"/>
    <hyperlink r:id="rId4383" ref="B4368"/>
    <hyperlink r:id="rId4384" ref="B4369"/>
    <hyperlink r:id="rId4385" ref="B4370"/>
    <hyperlink r:id="rId4386" ref="B4371"/>
    <hyperlink r:id="rId4387" ref="B4372"/>
    <hyperlink r:id="rId4388" ref="B4373"/>
    <hyperlink r:id="rId4389" ref="B4374"/>
    <hyperlink r:id="rId4390" ref="B4375"/>
    <hyperlink r:id="rId4391" ref="B4376"/>
    <hyperlink r:id="rId4392" ref="B4377"/>
    <hyperlink r:id="rId4393" ref="B4378"/>
    <hyperlink r:id="rId4394" ref="B4379"/>
    <hyperlink r:id="rId4395" ref="B4380"/>
    <hyperlink r:id="rId4396" ref="B4381"/>
    <hyperlink r:id="rId4397" ref="B4382"/>
    <hyperlink r:id="rId4398" ref="B4383"/>
    <hyperlink r:id="rId4399" ref="B4384"/>
    <hyperlink r:id="rId4400" ref="B4385"/>
    <hyperlink r:id="rId4401" ref="B4386"/>
    <hyperlink r:id="rId4402" ref="B4387"/>
    <hyperlink r:id="rId4403" ref="B4388"/>
    <hyperlink r:id="rId4404" ref="B4389"/>
    <hyperlink r:id="rId4405" ref="B4390"/>
    <hyperlink r:id="rId4406" ref="B4391"/>
    <hyperlink r:id="rId4407" ref="B4392"/>
    <hyperlink r:id="rId4408" ref="B4393"/>
    <hyperlink r:id="rId4409" ref="B4394"/>
    <hyperlink r:id="rId4410" ref="B4395"/>
    <hyperlink r:id="rId4411" ref="B4396"/>
    <hyperlink r:id="rId4412" ref="B4397"/>
    <hyperlink r:id="rId4413" ref="B4398"/>
    <hyperlink r:id="rId4414" ref="B4399"/>
    <hyperlink r:id="rId4415" ref="B4400"/>
    <hyperlink r:id="rId4416" ref="B4401"/>
    <hyperlink r:id="rId4417" ref="B4402"/>
    <hyperlink r:id="rId4418" ref="B4403"/>
    <hyperlink r:id="rId4419" ref="B4404"/>
    <hyperlink r:id="rId4420" ref="B4405"/>
    <hyperlink r:id="rId4421" ref="B4406"/>
    <hyperlink r:id="rId4422" ref="B4407"/>
    <hyperlink r:id="rId4423" ref="B4408"/>
    <hyperlink r:id="rId4424" ref="B4409"/>
    <hyperlink r:id="rId4425" ref="B4410"/>
    <hyperlink r:id="rId4426" ref="B4411"/>
    <hyperlink r:id="rId4427" ref="B4412"/>
    <hyperlink r:id="rId4428" ref="B4413"/>
    <hyperlink r:id="rId4429" ref="B4414"/>
    <hyperlink r:id="rId4430" ref="B4415"/>
    <hyperlink r:id="rId4431" ref="B4416"/>
    <hyperlink r:id="rId4432" ref="B4417"/>
    <hyperlink r:id="rId4433" ref="B4418"/>
    <hyperlink r:id="rId4434" ref="B4419"/>
    <hyperlink r:id="rId4435" ref="B4420"/>
    <hyperlink r:id="rId4436" ref="B4421"/>
    <hyperlink r:id="rId4437" ref="B4422"/>
    <hyperlink r:id="rId4438" ref="B4423"/>
    <hyperlink r:id="rId4439" ref="B4424"/>
    <hyperlink r:id="rId4440" ref="B4425"/>
    <hyperlink r:id="rId4441" ref="B4426"/>
    <hyperlink r:id="rId4442" ref="B4427"/>
    <hyperlink r:id="rId4443" ref="B4428"/>
    <hyperlink r:id="rId4444" ref="B4429"/>
    <hyperlink r:id="rId4445" ref="B4430"/>
    <hyperlink r:id="rId4446" ref="B4431"/>
    <hyperlink r:id="rId4447" ref="B4432"/>
    <hyperlink r:id="rId4448" ref="B4433"/>
    <hyperlink r:id="rId4449" ref="B4434"/>
    <hyperlink r:id="rId4450" ref="B4435"/>
    <hyperlink r:id="rId4451" ref="B4436"/>
    <hyperlink r:id="rId4452" ref="B4437"/>
    <hyperlink r:id="rId4453" ref="B4438"/>
    <hyperlink r:id="rId4454" ref="B4439"/>
    <hyperlink r:id="rId4455" ref="B4440"/>
    <hyperlink r:id="rId4456" ref="B4441"/>
    <hyperlink r:id="rId4457" ref="B4442"/>
    <hyperlink r:id="rId4458" ref="B4443"/>
    <hyperlink r:id="rId4459" ref="B4444"/>
    <hyperlink r:id="rId4460" ref="B4445"/>
    <hyperlink r:id="rId4461" ref="B4446"/>
    <hyperlink r:id="rId4462" ref="B4447"/>
    <hyperlink r:id="rId4463" ref="B4448"/>
    <hyperlink r:id="rId4464" ref="B4449"/>
    <hyperlink r:id="rId4465" ref="B4450"/>
    <hyperlink r:id="rId4466" ref="B4451"/>
    <hyperlink r:id="rId4467" ref="B4452"/>
    <hyperlink r:id="rId4468" ref="B4453"/>
    <hyperlink r:id="rId4469" ref="B4454"/>
    <hyperlink r:id="rId4470" ref="B4455"/>
    <hyperlink r:id="rId4471" ref="B4456"/>
    <hyperlink r:id="rId4472" ref="B4457"/>
    <hyperlink r:id="rId4473" ref="B4458"/>
    <hyperlink r:id="rId4474" ref="B4459"/>
    <hyperlink r:id="rId4475" ref="B4460"/>
    <hyperlink r:id="rId4476" ref="B4461"/>
    <hyperlink r:id="rId4477" ref="B4462"/>
    <hyperlink r:id="rId4478" ref="B4463"/>
    <hyperlink r:id="rId4479" ref="B4464"/>
    <hyperlink r:id="rId4480" ref="B4465"/>
    <hyperlink r:id="rId4481" ref="B4466"/>
    <hyperlink r:id="rId4482" ref="B4467"/>
    <hyperlink r:id="rId4483" ref="B4468"/>
    <hyperlink r:id="rId4484" ref="B4469"/>
    <hyperlink r:id="rId4485" ref="B4470"/>
    <hyperlink r:id="rId4486" ref="B4471"/>
    <hyperlink r:id="rId4487" ref="B4472"/>
    <hyperlink r:id="rId4488" ref="B4473"/>
    <hyperlink r:id="rId4489" ref="B4474"/>
    <hyperlink r:id="rId4490" ref="B4475"/>
    <hyperlink r:id="rId4491" ref="B4476"/>
    <hyperlink r:id="rId4492" ref="B4477"/>
    <hyperlink r:id="rId4493" ref="B4478"/>
    <hyperlink r:id="rId4494" ref="B4479"/>
    <hyperlink r:id="rId4495" ref="B4480"/>
    <hyperlink r:id="rId4496" ref="B4481"/>
    <hyperlink r:id="rId4497" ref="B4482"/>
    <hyperlink r:id="rId4498" ref="B4483"/>
    <hyperlink r:id="rId4499" ref="B4484"/>
    <hyperlink r:id="rId4500" ref="B4485"/>
    <hyperlink r:id="rId4501" ref="B4486"/>
    <hyperlink r:id="rId4502" ref="B4487"/>
    <hyperlink r:id="rId4503" ref="B4488"/>
    <hyperlink r:id="rId4504" ref="B4489"/>
    <hyperlink r:id="rId4505" ref="B4490"/>
    <hyperlink r:id="rId4506" ref="B4491"/>
    <hyperlink r:id="rId4507" ref="B4492"/>
    <hyperlink r:id="rId4508" ref="B4493"/>
    <hyperlink r:id="rId4509" ref="B4494"/>
    <hyperlink r:id="rId4510" ref="B4495"/>
    <hyperlink r:id="rId4511" ref="B4496"/>
    <hyperlink r:id="rId4512" ref="B4497"/>
    <hyperlink r:id="rId4513" ref="B4498"/>
    <hyperlink r:id="rId4514" ref="B4499"/>
    <hyperlink r:id="rId4515" ref="B4500"/>
    <hyperlink r:id="rId4516" ref="B4501"/>
    <hyperlink r:id="rId4517" ref="B4502"/>
    <hyperlink r:id="rId4518" ref="B4503"/>
    <hyperlink r:id="rId4519" ref="B4504"/>
    <hyperlink r:id="rId4520" ref="B4505"/>
    <hyperlink r:id="rId4521" ref="B4506"/>
    <hyperlink r:id="rId4522" ref="B4507"/>
    <hyperlink r:id="rId4523" ref="B4508"/>
    <hyperlink r:id="rId4524" ref="B4509"/>
    <hyperlink r:id="rId4525" ref="B4510"/>
    <hyperlink r:id="rId4526" ref="B4511"/>
    <hyperlink r:id="rId4527" ref="B4512"/>
    <hyperlink r:id="rId4528" ref="B4513"/>
    <hyperlink r:id="rId4529" ref="B4514"/>
    <hyperlink r:id="rId4530" ref="B4515"/>
    <hyperlink r:id="rId4531" ref="B4516"/>
    <hyperlink r:id="rId4532" ref="B4517"/>
    <hyperlink r:id="rId4533" ref="B4518"/>
    <hyperlink r:id="rId4534" ref="B4519"/>
    <hyperlink r:id="rId4535" ref="B4520"/>
    <hyperlink r:id="rId4536" ref="B4521"/>
    <hyperlink r:id="rId4537" ref="B4522"/>
    <hyperlink r:id="rId4538" ref="B4523"/>
    <hyperlink r:id="rId4539" ref="B4524"/>
    <hyperlink r:id="rId4540" ref="B4525"/>
    <hyperlink r:id="rId4541" ref="B4526"/>
    <hyperlink r:id="rId4542" ref="B4527"/>
    <hyperlink r:id="rId4543" ref="B4528"/>
    <hyperlink r:id="rId4544" ref="B4529"/>
    <hyperlink r:id="rId4545" ref="B4530"/>
    <hyperlink r:id="rId4546" ref="B4531"/>
    <hyperlink r:id="rId4547" ref="B4532"/>
    <hyperlink r:id="rId4548" ref="B4533"/>
    <hyperlink r:id="rId4549" ref="B4534"/>
    <hyperlink r:id="rId4550" ref="B4535"/>
    <hyperlink r:id="rId4551" ref="B4536"/>
    <hyperlink r:id="rId4552" ref="B4537"/>
    <hyperlink r:id="rId4553" ref="B4538"/>
    <hyperlink r:id="rId4554" ref="B4539"/>
    <hyperlink r:id="rId4555" ref="B4540"/>
    <hyperlink r:id="rId4556" ref="B4541"/>
    <hyperlink r:id="rId4557" ref="B4542"/>
    <hyperlink r:id="rId4558" ref="B4543"/>
    <hyperlink r:id="rId4559" ref="B4544"/>
    <hyperlink r:id="rId4560" ref="B4545"/>
    <hyperlink r:id="rId4561" ref="B4546"/>
    <hyperlink r:id="rId4562" ref="B4547"/>
    <hyperlink r:id="rId4563" ref="B4548"/>
    <hyperlink r:id="rId4564" ref="B4549"/>
    <hyperlink r:id="rId4565" ref="B4550"/>
    <hyperlink r:id="rId4566" ref="B4551"/>
    <hyperlink r:id="rId4567" ref="B4552"/>
    <hyperlink r:id="rId4568" ref="B4553"/>
    <hyperlink r:id="rId4569" ref="B4554"/>
    <hyperlink r:id="rId4570" ref="B4555"/>
    <hyperlink r:id="rId4571" ref="B4556"/>
    <hyperlink r:id="rId4572" ref="B4557"/>
    <hyperlink r:id="rId4573" ref="B4558"/>
    <hyperlink r:id="rId4574" ref="B4559"/>
    <hyperlink r:id="rId4575" ref="B4560"/>
    <hyperlink r:id="rId4576" ref="B4561"/>
    <hyperlink r:id="rId4577" ref="B4562"/>
    <hyperlink r:id="rId4578" ref="B4563"/>
    <hyperlink r:id="rId4579" ref="B4564"/>
    <hyperlink r:id="rId4580" ref="B4565"/>
    <hyperlink r:id="rId4581" ref="B4566"/>
    <hyperlink r:id="rId4582" ref="B4567"/>
    <hyperlink r:id="rId4583" ref="B4568"/>
    <hyperlink r:id="rId4584" ref="B4569"/>
    <hyperlink r:id="rId4585" ref="B4570"/>
    <hyperlink r:id="rId4586" ref="B4571"/>
    <hyperlink r:id="rId4587" ref="B4572"/>
    <hyperlink r:id="rId4588" ref="B4573"/>
    <hyperlink r:id="rId4589" ref="B4574"/>
    <hyperlink r:id="rId4590" ref="B4575"/>
    <hyperlink r:id="rId4591" ref="B4576"/>
    <hyperlink r:id="rId4592" ref="B4577"/>
    <hyperlink r:id="rId4593" ref="B4578"/>
    <hyperlink r:id="rId4594" ref="B4579"/>
    <hyperlink r:id="rId4595" ref="B4580"/>
    <hyperlink r:id="rId4596" ref="B4581"/>
    <hyperlink r:id="rId4597" ref="B4582"/>
    <hyperlink r:id="rId4598" ref="B4583"/>
    <hyperlink r:id="rId4599" ref="B4584"/>
    <hyperlink r:id="rId4600" ref="B4585"/>
    <hyperlink r:id="rId4601" ref="B4586"/>
    <hyperlink r:id="rId4602" ref="B4587"/>
    <hyperlink r:id="rId4603" ref="B4588"/>
    <hyperlink r:id="rId4604" ref="B4589"/>
    <hyperlink r:id="rId4605" ref="B4590"/>
    <hyperlink r:id="rId4606" ref="B4591"/>
    <hyperlink r:id="rId4607" ref="B4592"/>
    <hyperlink r:id="rId4608" ref="B4593"/>
    <hyperlink r:id="rId4609" ref="B4594"/>
    <hyperlink r:id="rId4610" ref="B4595"/>
    <hyperlink r:id="rId4611" ref="B4596"/>
    <hyperlink r:id="rId4612" ref="B4597"/>
    <hyperlink r:id="rId4613" ref="B4598"/>
    <hyperlink r:id="rId4614" ref="B4599"/>
    <hyperlink r:id="rId4615" ref="B4600"/>
    <hyperlink r:id="rId4616" ref="B4601"/>
    <hyperlink r:id="rId4617" ref="B4602"/>
    <hyperlink r:id="rId4618" ref="B4603"/>
    <hyperlink r:id="rId4619" ref="B4604"/>
    <hyperlink r:id="rId4620" ref="B4605"/>
    <hyperlink r:id="rId4621" ref="B4606"/>
    <hyperlink r:id="rId4622" ref="B4607"/>
    <hyperlink r:id="rId4623" ref="B4608"/>
    <hyperlink r:id="rId4624" ref="B4609"/>
    <hyperlink r:id="rId4625" ref="B4610"/>
    <hyperlink r:id="rId4626" ref="B4611"/>
    <hyperlink r:id="rId4627" ref="B4612"/>
    <hyperlink r:id="rId4628" ref="B4613"/>
    <hyperlink r:id="rId4629" ref="B4614"/>
    <hyperlink r:id="rId4630" ref="B4615"/>
    <hyperlink r:id="rId4631" ref="B4616"/>
    <hyperlink r:id="rId4632" ref="B4617"/>
    <hyperlink r:id="rId4633" ref="B4618"/>
    <hyperlink r:id="rId4634" ref="B4619"/>
    <hyperlink r:id="rId4635" ref="B4620"/>
    <hyperlink r:id="rId4636" ref="B4621"/>
    <hyperlink r:id="rId4637" ref="B4622"/>
    <hyperlink r:id="rId4638" ref="B4623"/>
    <hyperlink r:id="rId4639" ref="B4624"/>
    <hyperlink r:id="rId4640" ref="B4625"/>
    <hyperlink r:id="rId4641" ref="B4626"/>
    <hyperlink r:id="rId4642" ref="B4627"/>
    <hyperlink r:id="rId4643" ref="B4628"/>
    <hyperlink r:id="rId4644" ref="B4629"/>
    <hyperlink r:id="rId4645" ref="B4630"/>
    <hyperlink r:id="rId4646" ref="B4631"/>
    <hyperlink r:id="rId4647" ref="B4632"/>
    <hyperlink r:id="rId4648" ref="B4633"/>
    <hyperlink r:id="rId4649" ref="B4634"/>
    <hyperlink r:id="rId4650" ref="B4635"/>
    <hyperlink r:id="rId4651" ref="B4636"/>
    <hyperlink r:id="rId4652" ref="B4637"/>
    <hyperlink r:id="rId4653" ref="B4638"/>
    <hyperlink r:id="rId4654" ref="B4639"/>
    <hyperlink r:id="rId4655" ref="B4640"/>
    <hyperlink r:id="rId4656" ref="B4641"/>
    <hyperlink r:id="rId4657" ref="B4642"/>
    <hyperlink r:id="rId4658" ref="B4643"/>
    <hyperlink r:id="rId4659" ref="B4644"/>
    <hyperlink r:id="rId4660" ref="B4645"/>
    <hyperlink r:id="rId4661" ref="B4646"/>
    <hyperlink r:id="rId4662" ref="B4647"/>
    <hyperlink r:id="rId4663" ref="B4648"/>
    <hyperlink r:id="rId4664" ref="B4649"/>
    <hyperlink r:id="rId4665" ref="B4650"/>
    <hyperlink r:id="rId4666" ref="B4651"/>
    <hyperlink r:id="rId4667" ref="B4652"/>
    <hyperlink r:id="rId4668" ref="B4653"/>
    <hyperlink r:id="rId4669" ref="B4654"/>
    <hyperlink r:id="rId4670" ref="B4655"/>
    <hyperlink r:id="rId4671" ref="B4656"/>
    <hyperlink r:id="rId4672" ref="B4657"/>
    <hyperlink r:id="rId4673" ref="B4658"/>
    <hyperlink r:id="rId4674" ref="B4659"/>
    <hyperlink r:id="rId4675" ref="B4660"/>
    <hyperlink r:id="rId4676" ref="B4661"/>
    <hyperlink r:id="rId4677" ref="B4662"/>
    <hyperlink r:id="rId4678" ref="B4663"/>
    <hyperlink r:id="rId4679" ref="B4664"/>
    <hyperlink r:id="rId4680" ref="B4665"/>
    <hyperlink r:id="rId4681" ref="B4666"/>
    <hyperlink r:id="rId4682" ref="B4667"/>
    <hyperlink r:id="rId4683" ref="B4668"/>
    <hyperlink r:id="rId4684" ref="B4669"/>
    <hyperlink r:id="rId4685" ref="B4670"/>
    <hyperlink r:id="rId4686" ref="B4671"/>
    <hyperlink r:id="rId4687" ref="B4672"/>
    <hyperlink r:id="rId4688" ref="B4673"/>
    <hyperlink r:id="rId4689" ref="B4674"/>
    <hyperlink r:id="rId4690" ref="B4675"/>
    <hyperlink r:id="rId4691" ref="B4676"/>
    <hyperlink r:id="rId4692" ref="B4677"/>
    <hyperlink r:id="rId4693" ref="B4678"/>
    <hyperlink r:id="rId4694" ref="B4679"/>
    <hyperlink r:id="rId4695" ref="B4680"/>
    <hyperlink r:id="rId4696" ref="B4681"/>
    <hyperlink r:id="rId4697" ref="B4682"/>
    <hyperlink r:id="rId4698" ref="B4683"/>
    <hyperlink r:id="rId4699" ref="B4684"/>
    <hyperlink r:id="rId4700" ref="B4685"/>
    <hyperlink r:id="rId4701" ref="B4686"/>
    <hyperlink r:id="rId4702" ref="B4687"/>
    <hyperlink r:id="rId4703" ref="B4688"/>
    <hyperlink r:id="rId4704" ref="B4689"/>
    <hyperlink r:id="rId4705" ref="B4690"/>
    <hyperlink r:id="rId4706" ref="B4691"/>
    <hyperlink r:id="rId4707" ref="B4692"/>
    <hyperlink r:id="rId4708" ref="B4693"/>
    <hyperlink r:id="rId4709" ref="B4694"/>
    <hyperlink r:id="rId4710" ref="B4695"/>
    <hyperlink r:id="rId4711" ref="B4696"/>
    <hyperlink r:id="rId4712" ref="B4697"/>
    <hyperlink r:id="rId4713" ref="B4698"/>
    <hyperlink r:id="rId4714" ref="B4699"/>
    <hyperlink r:id="rId4715" ref="B4700"/>
    <hyperlink r:id="rId4716" ref="B4701"/>
    <hyperlink r:id="rId4717" ref="B4702"/>
    <hyperlink r:id="rId4718" ref="B4703"/>
    <hyperlink r:id="rId4719" ref="B4704"/>
    <hyperlink r:id="rId4720" ref="B4705"/>
    <hyperlink r:id="rId4721" ref="B4706"/>
    <hyperlink r:id="rId4722" ref="B4707"/>
    <hyperlink r:id="rId4723" ref="B4708"/>
    <hyperlink r:id="rId4724" ref="B4709"/>
    <hyperlink r:id="rId4725" ref="B4710"/>
    <hyperlink r:id="rId4726" ref="B4711"/>
    <hyperlink r:id="rId4727" ref="B4712"/>
    <hyperlink r:id="rId4728" ref="B4713"/>
    <hyperlink r:id="rId4729" ref="B4714"/>
    <hyperlink r:id="rId4730" ref="B4715"/>
    <hyperlink r:id="rId4731" ref="B4716"/>
    <hyperlink r:id="rId4732" ref="B4717"/>
    <hyperlink r:id="rId4733" ref="B4718"/>
    <hyperlink r:id="rId4734" ref="B4719"/>
    <hyperlink r:id="rId4735" ref="B4720"/>
    <hyperlink r:id="rId4736" ref="B4721"/>
    <hyperlink r:id="rId4737" ref="B4722"/>
    <hyperlink r:id="rId4738" ref="B4723"/>
    <hyperlink r:id="rId4739" ref="B4724"/>
    <hyperlink r:id="rId4740" ref="B4725"/>
    <hyperlink r:id="rId4741" ref="B4726"/>
    <hyperlink r:id="rId4742" ref="B4727"/>
    <hyperlink r:id="rId4743" ref="B4728"/>
    <hyperlink r:id="rId4744" ref="B4729"/>
    <hyperlink r:id="rId4745" ref="B4730"/>
    <hyperlink r:id="rId4746" ref="B4731"/>
    <hyperlink r:id="rId4747" ref="B4732"/>
    <hyperlink r:id="rId4748" ref="B4733"/>
    <hyperlink r:id="rId4749" ref="B4734"/>
    <hyperlink r:id="rId4750" ref="B4735"/>
    <hyperlink r:id="rId4751" ref="B4736"/>
    <hyperlink r:id="rId4752" ref="B4737"/>
    <hyperlink r:id="rId4753" ref="B4738"/>
    <hyperlink r:id="rId4754" ref="B4739"/>
    <hyperlink r:id="rId4755" ref="B4740"/>
    <hyperlink r:id="rId4756" ref="B4741"/>
    <hyperlink r:id="rId4757" ref="B4742"/>
    <hyperlink r:id="rId4758" ref="B4743"/>
    <hyperlink r:id="rId4759" ref="B4744"/>
    <hyperlink r:id="rId4760" ref="B4745"/>
    <hyperlink r:id="rId4761" ref="B4746"/>
    <hyperlink r:id="rId4762" ref="B4747"/>
    <hyperlink r:id="rId4763" ref="B4748"/>
    <hyperlink r:id="rId4764" ref="B4749"/>
    <hyperlink r:id="rId4765" ref="B4750"/>
    <hyperlink r:id="rId4766" ref="B4751"/>
    <hyperlink r:id="rId4767" ref="B4752"/>
    <hyperlink r:id="rId4768" ref="B4753"/>
    <hyperlink r:id="rId4769" ref="B4754"/>
    <hyperlink r:id="rId4770" ref="B4755"/>
    <hyperlink r:id="rId4771" ref="B4756"/>
    <hyperlink r:id="rId4772" ref="B4757"/>
    <hyperlink r:id="rId4773" ref="B4758"/>
    <hyperlink r:id="rId4774" ref="B4759"/>
    <hyperlink r:id="rId4775" ref="B4760"/>
    <hyperlink r:id="rId4776" ref="B4761"/>
    <hyperlink r:id="rId4777" ref="B4762"/>
    <hyperlink r:id="rId4778" ref="B4763"/>
    <hyperlink r:id="rId4779" ref="B4764"/>
    <hyperlink r:id="rId4780" ref="B4765"/>
    <hyperlink r:id="rId4781" ref="B4766"/>
    <hyperlink r:id="rId4782" ref="B4767"/>
    <hyperlink r:id="rId4783" ref="B4768"/>
    <hyperlink r:id="rId4784" ref="B4769"/>
    <hyperlink r:id="rId4785" ref="B4770"/>
    <hyperlink r:id="rId4786" ref="B4771"/>
    <hyperlink r:id="rId4787" ref="B4772"/>
    <hyperlink r:id="rId4788" ref="B4773"/>
    <hyperlink r:id="rId4789" ref="B4774"/>
    <hyperlink r:id="rId4790" ref="B4775"/>
    <hyperlink r:id="rId4791" ref="B4776"/>
    <hyperlink r:id="rId4792" ref="B4777"/>
    <hyperlink r:id="rId4793" ref="B4778"/>
    <hyperlink r:id="rId4794" ref="B4779"/>
    <hyperlink r:id="rId4795" ref="B4780"/>
    <hyperlink r:id="rId4796" ref="B4781"/>
    <hyperlink r:id="rId4797" ref="B4782"/>
    <hyperlink r:id="rId4798" ref="B4783"/>
    <hyperlink r:id="rId4799" ref="B4784"/>
    <hyperlink r:id="rId4800" ref="B4785"/>
    <hyperlink r:id="rId4801" ref="B4786"/>
    <hyperlink r:id="rId4802" ref="B4787"/>
    <hyperlink r:id="rId4803" ref="B4788"/>
    <hyperlink r:id="rId4804" ref="B4789"/>
    <hyperlink r:id="rId4805" ref="B4790"/>
    <hyperlink r:id="rId4806" ref="B4791"/>
    <hyperlink r:id="rId4807" ref="B4792"/>
    <hyperlink r:id="rId4808" ref="B4793"/>
    <hyperlink r:id="rId4809" ref="B4794"/>
    <hyperlink r:id="rId4810" ref="B4795"/>
    <hyperlink r:id="rId4811" ref="B4796"/>
    <hyperlink r:id="rId4812" ref="B4797"/>
    <hyperlink r:id="rId4813" ref="B4798"/>
    <hyperlink r:id="rId4814" ref="B4799"/>
    <hyperlink r:id="rId4815" ref="B4800"/>
    <hyperlink r:id="rId4816" ref="B4801"/>
    <hyperlink r:id="rId4817" ref="B4802"/>
    <hyperlink r:id="rId4818" ref="B4803"/>
    <hyperlink r:id="rId4819" ref="B4804"/>
    <hyperlink r:id="rId4820" ref="B4805"/>
    <hyperlink r:id="rId4821" ref="B4806"/>
    <hyperlink r:id="rId4822" ref="B4807"/>
    <hyperlink r:id="rId4823" ref="B4808"/>
    <hyperlink r:id="rId4824" ref="B4809"/>
    <hyperlink r:id="rId4825" ref="B4810"/>
    <hyperlink r:id="rId4826" ref="B4811"/>
    <hyperlink r:id="rId4827" ref="B4812"/>
    <hyperlink r:id="rId4828" ref="B4813"/>
    <hyperlink r:id="rId4829" ref="B4814"/>
    <hyperlink r:id="rId4830" ref="B4815"/>
    <hyperlink r:id="rId4831" ref="B4816"/>
    <hyperlink r:id="rId4832" ref="B4817"/>
    <hyperlink r:id="rId4833" ref="B4818"/>
    <hyperlink r:id="rId4834" ref="B4819"/>
    <hyperlink r:id="rId4835" ref="B4820"/>
    <hyperlink r:id="rId4836" ref="B4821"/>
    <hyperlink r:id="rId4837" ref="B4822"/>
    <hyperlink r:id="rId4838" ref="B4823"/>
    <hyperlink r:id="rId4839" ref="B4824"/>
    <hyperlink r:id="rId4840" ref="B4825"/>
    <hyperlink r:id="rId4841" ref="B4826"/>
    <hyperlink r:id="rId4842" ref="B4827"/>
    <hyperlink r:id="rId4843" ref="B4828"/>
    <hyperlink r:id="rId4844" ref="B4829"/>
    <hyperlink r:id="rId4845" ref="B4830"/>
    <hyperlink r:id="rId4846" ref="B4831"/>
    <hyperlink r:id="rId4847" ref="B4832"/>
    <hyperlink r:id="rId4848" ref="B4833"/>
    <hyperlink r:id="rId4849" ref="B4834"/>
    <hyperlink r:id="rId4850" ref="B4835"/>
    <hyperlink r:id="rId4851" ref="B4836"/>
    <hyperlink r:id="rId4852" ref="B4837"/>
    <hyperlink r:id="rId4853" ref="B4838"/>
    <hyperlink r:id="rId4854" ref="B4839"/>
    <hyperlink r:id="rId4855" ref="B4840"/>
    <hyperlink r:id="rId4856" ref="B4841"/>
    <hyperlink r:id="rId4857" ref="B4842"/>
    <hyperlink r:id="rId4858" ref="B4843"/>
    <hyperlink r:id="rId4859" ref="B4844"/>
    <hyperlink r:id="rId4860" ref="B4845"/>
    <hyperlink r:id="rId4861" ref="B4846"/>
    <hyperlink r:id="rId4862" ref="B4847"/>
    <hyperlink r:id="rId4863" ref="B4848"/>
    <hyperlink r:id="rId4864" ref="B4849"/>
    <hyperlink r:id="rId4865" ref="B4850"/>
    <hyperlink r:id="rId4866" ref="B4851"/>
    <hyperlink r:id="rId4867" ref="B4852"/>
    <hyperlink r:id="rId4868" ref="B4853"/>
    <hyperlink r:id="rId4869" ref="B4854"/>
    <hyperlink r:id="rId4870" ref="B4855"/>
    <hyperlink r:id="rId4871" ref="B4856"/>
    <hyperlink r:id="rId4872" ref="B4857"/>
    <hyperlink r:id="rId4873" ref="B4858"/>
    <hyperlink r:id="rId4874" ref="B4859"/>
    <hyperlink r:id="rId4875" ref="B4860"/>
    <hyperlink r:id="rId4876" ref="B4861"/>
    <hyperlink r:id="rId4877" ref="B4862"/>
    <hyperlink r:id="rId4878" ref="B4863"/>
    <hyperlink r:id="rId4879" ref="B4864"/>
    <hyperlink r:id="rId4880" ref="B4865"/>
    <hyperlink r:id="rId4881" ref="B4866"/>
    <hyperlink r:id="rId4882" ref="B4867"/>
    <hyperlink r:id="rId4883" ref="B4868"/>
    <hyperlink r:id="rId4884" ref="B4869"/>
    <hyperlink r:id="rId4885" ref="B4870"/>
    <hyperlink r:id="rId4886" ref="B4871"/>
    <hyperlink r:id="rId4887" ref="B4872"/>
    <hyperlink r:id="rId4888" ref="B4873"/>
    <hyperlink r:id="rId4889" ref="B4874"/>
    <hyperlink r:id="rId4890" ref="B4875"/>
    <hyperlink r:id="rId4891" ref="B4876"/>
    <hyperlink r:id="rId4892" ref="B4877"/>
    <hyperlink r:id="rId4893" ref="B4878"/>
    <hyperlink r:id="rId4894" ref="B4879"/>
    <hyperlink r:id="rId4895" ref="B4880"/>
    <hyperlink r:id="rId4896" ref="B4881"/>
    <hyperlink r:id="rId4897" ref="B4882"/>
    <hyperlink r:id="rId4898" ref="B4883"/>
    <hyperlink r:id="rId4899" ref="B4884"/>
    <hyperlink r:id="rId4900" ref="B4885"/>
    <hyperlink r:id="rId4901" ref="B4886"/>
    <hyperlink r:id="rId4902" ref="B4887"/>
    <hyperlink r:id="rId4903" ref="B4888"/>
    <hyperlink r:id="rId4904" ref="B4889"/>
    <hyperlink r:id="rId4905" ref="B4890"/>
    <hyperlink r:id="rId4906" ref="B4891"/>
    <hyperlink r:id="rId4907" ref="B4892"/>
    <hyperlink r:id="rId4908" ref="B4893"/>
    <hyperlink r:id="rId4909" ref="B4894"/>
    <hyperlink r:id="rId4910" ref="B4895"/>
    <hyperlink r:id="rId4911" ref="B4896"/>
    <hyperlink r:id="rId4912" ref="B4897"/>
    <hyperlink r:id="rId4913" ref="B4898"/>
    <hyperlink r:id="rId4914" ref="B4899"/>
    <hyperlink r:id="rId4915" ref="B4900"/>
    <hyperlink r:id="rId4916" ref="B4901"/>
    <hyperlink r:id="rId4917" ref="B4902"/>
    <hyperlink r:id="rId4918" ref="B4903"/>
    <hyperlink r:id="rId4919" ref="B4904"/>
    <hyperlink r:id="rId4920" ref="B4905"/>
    <hyperlink r:id="rId4921" ref="B4906"/>
    <hyperlink r:id="rId4922" ref="B4907"/>
    <hyperlink r:id="rId4923" ref="B4908"/>
    <hyperlink r:id="rId4924" ref="B4909"/>
    <hyperlink r:id="rId4925" ref="B4910"/>
    <hyperlink r:id="rId4926" ref="B4911"/>
    <hyperlink r:id="rId4927" ref="B4912"/>
    <hyperlink r:id="rId4928" ref="B4913"/>
    <hyperlink r:id="rId4929" ref="B4914"/>
    <hyperlink r:id="rId4930" ref="B4915"/>
    <hyperlink r:id="rId4931" ref="B4916"/>
    <hyperlink r:id="rId4932" ref="B4917"/>
    <hyperlink r:id="rId4933" ref="B4918"/>
    <hyperlink r:id="rId4934" ref="B4919"/>
    <hyperlink r:id="rId4935" ref="B4920"/>
    <hyperlink r:id="rId4936" ref="B4921"/>
    <hyperlink r:id="rId4937" ref="B4922"/>
    <hyperlink r:id="rId4938" ref="B4923"/>
    <hyperlink r:id="rId4939" ref="B4924"/>
    <hyperlink r:id="rId4940" ref="B4925"/>
    <hyperlink r:id="rId4941" ref="B4926"/>
    <hyperlink r:id="rId4942" ref="B4927"/>
    <hyperlink r:id="rId4943" ref="B4928"/>
    <hyperlink r:id="rId4944" ref="B4929"/>
    <hyperlink r:id="rId4945" ref="B4930"/>
    <hyperlink r:id="rId4946" ref="B4931"/>
    <hyperlink r:id="rId4947" ref="B4932"/>
    <hyperlink r:id="rId4948" ref="B4933"/>
    <hyperlink r:id="rId4949" ref="B4934"/>
    <hyperlink r:id="rId4950" ref="B4935"/>
    <hyperlink r:id="rId4951" ref="B4936"/>
    <hyperlink r:id="rId4952" ref="B4937"/>
    <hyperlink r:id="rId4953" ref="B4938"/>
    <hyperlink r:id="rId4954" ref="B4939"/>
    <hyperlink r:id="rId4955" ref="B4940"/>
    <hyperlink r:id="rId4956" ref="B4941"/>
    <hyperlink r:id="rId4957" ref="B4942"/>
    <hyperlink r:id="rId4958" ref="B4943"/>
    <hyperlink r:id="rId4959" ref="B4944"/>
    <hyperlink r:id="rId4960" ref="B4945"/>
    <hyperlink r:id="rId4961" ref="B4946"/>
    <hyperlink r:id="rId4962" ref="B4947"/>
    <hyperlink r:id="rId4963" ref="B4948"/>
    <hyperlink r:id="rId4964" ref="B4949"/>
    <hyperlink r:id="rId4965" ref="B4950"/>
    <hyperlink r:id="rId4966" ref="B4951"/>
    <hyperlink r:id="rId4967" ref="B4952"/>
    <hyperlink r:id="rId4968" ref="B4953"/>
    <hyperlink r:id="rId4969" ref="B4954"/>
    <hyperlink r:id="rId4970" ref="B4955"/>
    <hyperlink r:id="rId4971" ref="B4956"/>
    <hyperlink r:id="rId4972" ref="B4957"/>
    <hyperlink r:id="rId4973" ref="B4958"/>
    <hyperlink r:id="rId4974" ref="B4959"/>
    <hyperlink r:id="rId4975" ref="B4960"/>
    <hyperlink r:id="rId4976" ref="B4961"/>
    <hyperlink r:id="rId4977" ref="B4962"/>
    <hyperlink r:id="rId4978" ref="B4963"/>
    <hyperlink r:id="rId4979" ref="B4964"/>
    <hyperlink r:id="rId4980" ref="B4965"/>
    <hyperlink r:id="rId4981" ref="B4966"/>
    <hyperlink r:id="rId4982" ref="B4967"/>
    <hyperlink r:id="rId4983" ref="B4968"/>
    <hyperlink r:id="rId4984" ref="B4969"/>
    <hyperlink r:id="rId4985" ref="B4970"/>
    <hyperlink r:id="rId4986" ref="B4971"/>
    <hyperlink r:id="rId4987" ref="B4972"/>
    <hyperlink r:id="rId4988" ref="B4973"/>
    <hyperlink r:id="rId4989" ref="B4974"/>
    <hyperlink r:id="rId4990" ref="B4975"/>
    <hyperlink r:id="rId4991" ref="B4976"/>
    <hyperlink r:id="rId4992" ref="B4977"/>
    <hyperlink r:id="rId4993" ref="B4978"/>
    <hyperlink r:id="rId4994" ref="B4979"/>
    <hyperlink r:id="rId4995" ref="B4980"/>
    <hyperlink r:id="rId4996" ref="B4981"/>
    <hyperlink r:id="rId4997" ref="B4982"/>
    <hyperlink r:id="rId4998" ref="B4983"/>
    <hyperlink r:id="rId4999" ref="B4984"/>
    <hyperlink r:id="rId5000" ref="B4985"/>
    <hyperlink r:id="rId5001" ref="B4986"/>
    <hyperlink r:id="rId5002" ref="B4987"/>
    <hyperlink r:id="rId5003" ref="B4988"/>
    <hyperlink r:id="rId5004" ref="B4989"/>
    <hyperlink r:id="rId5005" ref="B4990"/>
    <hyperlink r:id="rId5006" ref="B4991"/>
    <hyperlink r:id="rId5007" ref="B4992"/>
    <hyperlink r:id="rId5008" ref="B4993"/>
    <hyperlink r:id="rId5009" ref="B4994"/>
    <hyperlink r:id="rId5010" ref="B4995"/>
    <hyperlink r:id="rId5011" ref="B4996"/>
    <hyperlink r:id="rId5012" ref="B4997"/>
    <hyperlink r:id="rId5013" ref="B4998"/>
    <hyperlink r:id="rId5014" ref="B4999"/>
    <hyperlink r:id="rId5015" ref="B5000"/>
    <hyperlink r:id="rId5016" ref="B5001"/>
    <hyperlink r:id="rId5017" ref="B5002"/>
    <hyperlink r:id="rId5018" ref="B5003"/>
    <hyperlink r:id="rId5019" ref="B5004"/>
    <hyperlink r:id="rId5020" ref="B5005"/>
    <hyperlink r:id="rId5021" ref="B5006"/>
    <hyperlink r:id="rId5022" ref="B5007"/>
    <hyperlink r:id="rId5023" ref="B5008"/>
    <hyperlink r:id="rId5024" ref="B5009"/>
    <hyperlink r:id="rId5025" ref="B5010"/>
    <hyperlink r:id="rId5026" ref="B5011"/>
    <hyperlink r:id="rId5027" ref="B5012"/>
    <hyperlink r:id="rId5028" ref="B5013"/>
    <hyperlink r:id="rId5029" ref="B5014"/>
    <hyperlink r:id="rId5030" ref="B5015"/>
    <hyperlink r:id="rId5031" ref="B5016"/>
    <hyperlink r:id="rId5032" ref="B5017"/>
    <hyperlink r:id="rId5033" ref="B5018"/>
    <hyperlink r:id="rId5034" ref="B5019"/>
    <hyperlink r:id="rId5035" ref="B5020"/>
    <hyperlink r:id="rId5036" ref="B5021"/>
    <hyperlink r:id="rId5037" ref="B5022"/>
    <hyperlink r:id="rId5038" ref="B5023"/>
    <hyperlink r:id="rId5039" ref="B5024"/>
    <hyperlink r:id="rId5040" ref="B5025"/>
    <hyperlink r:id="rId5041" ref="B5026"/>
    <hyperlink r:id="rId5042" ref="B5027"/>
    <hyperlink r:id="rId5043" ref="B5028"/>
    <hyperlink r:id="rId5044" ref="B5029"/>
    <hyperlink r:id="rId5045" ref="B5030"/>
    <hyperlink r:id="rId5046" ref="B5031"/>
    <hyperlink r:id="rId5047" ref="B5032"/>
    <hyperlink r:id="rId5048" ref="B5033"/>
    <hyperlink r:id="rId5049" ref="B5034"/>
    <hyperlink r:id="rId5050" ref="B5035"/>
    <hyperlink r:id="rId5051" ref="B5036"/>
    <hyperlink r:id="rId5052" ref="B5037"/>
    <hyperlink r:id="rId5053" ref="B5038"/>
    <hyperlink r:id="rId5054" ref="B5039"/>
    <hyperlink r:id="rId5055" ref="B5040"/>
    <hyperlink r:id="rId5056" ref="B5041"/>
    <hyperlink r:id="rId5057" ref="B5042"/>
    <hyperlink r:id="rId5058" ref="B5043"/>
    <hyperlink r:id="rId5059" ref="B5044"/>
    <hyperlink r:id="rId5060" ref="B5045"/>
    <hyperlink r:id="rId5061" ref="B5046"/>
    <hyperlink r:id="rId5062" ref="B5047"/>
    <hyperlink r:id="rId5063" ref="B5048"/>
    <hyperlink r:id="rId5064" ref="B5049"/>
    <hyperlink r:id="rId5065" ref="B5050"/>
    <hyperlink r:id="rId5066" ref="B5051"/>
    <hyperlink r:id="rId5067" ref="B5052"/>
    <hyperlink r:id="rId5068" ref="B5053"/>
    <hyperlink r:id="rId5069" ref="B5054"/>
    <hyperlink r:id="rId5070" ref="B5055"/>
    <hyperlink r:id="rId5071" ref="B5056"/>
    <hyperlink r:id="rId5072" ref="B5057"/>
    <hyperlink r:id="rId5073" ref="B5058"/>
    <hyperlink r:id="rId5074" ref="B5059"/>
    <hyperlink r:id="rId5075" ref="B5060"/>
    <hyperlink r:id="rId5076" ref="B5061"/>
    <hyperlink r:id="rId5077" ref="B5062"/>
    <hyperlink r:id="rId5078" ref="B5063"/>
    <hyperlink r:id="rId5079" ref="B5064"/>
    <hyperlink r:id="rId5080" ref="B5065"/>
    <hyperlink r:id="rId5081" ref="B5066"/>
    <hyperlink r:id="rId5082" ref="B5067"/>
    <hyperlink r:id="rId5083" ref="B5068"/>
    <hyperlink r:id="rId5084" ref="B5069"/>
    <hyperlink r:id="rId5085" ref="B5070"/>
    <hyperlink r:id="rId5086" ref="B5071"/>
    <hyperlink r:id="rId5087" ref="B5072"/>
    <hyperlink r:id="rId5088" ref="B5073"/>
    <hyperlink r:id="rId5089" ref="B5074"/>
    <hyperlink r:id="rId5090" ref="B5075"/>
    <hyperlink r:id="rId5091" ref="B5076"/>
    <hyperlink r:id="rId5092" ref="B5077"/>
    <hyperlink r:id="rId5093" ref="B5078"/>
    <hyperlink r:id="rId5094" ref="B5079"/>
    <hyperlink r:id="rId5095" ref="B5080"/>
    <hyperlink r:id="rId5096" ref="B5081"/>
    <hyperlink r:id="rId5097" ref="B5082"/>
    <hyperlink r:id="rId5098" ref="B5083"/>
    <hyperlink r:id="rId5099" ref="B5084"/>
    <hyperlink r:id="rId5100" ref="B5085"/>
    <hyperlink r:id="rId5101" ref="B5086"/>
    <hyperlink r:id="rId5102" ref="B5087"/>
    <hyperlink r:id="rId5103" ref="B5088"/>
    <hyperlink r:id="rId5104" ref="B5089"/>
    <hyperlink r:id="rId5105" ref="B5090"/>
    <hyperlink r:id="rId5106" ref="B5091"/>
    <hyperlink r:id="rId5107" ref="B5092"/>
    <hyperlink r:id="rId5108" ref="B5093"/>
    <hyperlink r:id="rId5109" ref="B5094"/>
    <hyperlink r:id="rId5110" ref="B5095"/>
    <hyperlink r:id="rId5111" ref="B5096"/>
    <hyperlink r:id="rId5112" ref="B5097"/>
    <hyperlink r:id="rId5113" ref="B5098"/>
    <hyperlink r:id="rId5114" ref="B5099"/>
    <hyperlink r:id="rId5115" ref="B5100"/>
    <hyperlink r:id="rId5116" ref="B5101"/>
    <hyperlink r:id="rId5117" ref="B5102"/>
    <hyperlink r:id="rId5118" ref="B5103"/>
    <hyperlink r:id="rId5119" ref="B5104"/>
    <hyperlink r:id="rId5120" ref="B5105"/>
    <hyperlink r:id="rId5121" ref="B5106"/>
    <hyperlink r:id="rId5122" ref="B5107"/>
    <hyperlink r:id="rId5123" ref="B5108"/>
    <hyperlink r:id="rId5124" ref="B5109"/>
    <hyperlink r:id="rId5125" ref="B5110"/>
    <hyperlink r:id="rId5126" ref="B5111"/>
    <hyperlink r:id="rId5127" ref="B5112"/>
    <hyperlink r:id="rId5128" ref="B5113"/>
    <hyperlink r:id="rId5129" ref="B5114"/>
    <hyperlink r:id="rId5130" ref="B5115"/>
    <hyperlink r:id="rId5131" ref="B5116"/>
    <hyperlink r:id="rId5132" ref="B5117"/>
    <hyperlink r:id="rId5133" ref="B5118"/>
    <hyperlink r:id="rId5134" ref="B5119"/>
    <hyperlink r:id="rId5135" ref="B5120"/>
    <hyperlink r:id="rId5136" ref="B5121"/>
    <hyperlink r:id="rId5137" ref="B5122"/>
    <hyperlink r:id="rId5138" ref="B5123"/>
    <hyperlink r:id="rId5139" ref="B5124"/>
    <hyperlink r:id="rId5140" ref="B5125"/>
    <hyperlink r:id="rId5141" ref="B5126"/>
    <hyperlink r:id="rId5142" ref="B5127"/>
    <hyperlink r:id="rId5143" ref="B5128"/>
    <hyperlink r:id="rId5144" ref="B5129"/>
    <hyperlink r:id="rId5145" ref="B5130"/>
    <hyperlink r:id="rId5146" ref="B5131"/>
    <hyperlink r:id="rId5147" ref="B5132"/>
    <hyperlink r:id="rId5148" ref="B5133"/>
    <hyperlink r:id="rId5149" ref="B5134"/>
    <hyperlink r:id="rId5150" ref="B5135"/>
    <hyperlink r:id="rId5151" ref="B5136"/>
    <hyperlink r:id="rId5152" ref="A5137"/>
    <hyperlink r:id="rId5153" ref="B5137"/>
    <hyperlink r:id="rId5154" ref="B5138"/>
    <hyperlink r:id="rId5155" ref="B5139"/>
    <hyperlink r:id="rId5156" ref="B5140"/>
    <hyperlink r:id="rId5157" ref="B5141"/>
    <hyperlink r:id="rId5158" ref="B5142"/>
    <hyperlink r:id="rId5159" ref="B5143"/>
    <hyperlink r:id="rId5160" ref="B5144"/>
    <hyperlink r:id="rId5161" ref="B5145"/>
    <hyperlink r:id="rId5162" ref="B5146"/>
    <hyperlink r:id="rId5163" ref="B5147"/>
    <hyperlink r:id="rId5164" ref="B5148"/>
    <hyperlink r:id="rId5165" ref="B5149"/>
    <hyperlink r:id="rId5166" ref="B5150"/>
    <hyperlink r:id="rId5167" ref="B5151"/>
    <hyperlink r:id="rId5168" ref="B5152"/>
    <hyperlink r:id="rId5169" ref="B5153"/>
    <hyperlink r:id="rId5170" ref="B5154"/>
    <hyperlink r:id="rId5171" ref="B5155"/>
    <hyperlink r:id="rId5172" ref="B5156"/>
    <hyperlink r:id="rId5173" ref="B5157"/>
    <hyperlink r:id="rId5174" ref="B5158"/>
    <hyperlink r:id="rId5175" ref="B5159"/>
    <hyperlink r:id="rId5176" ref="B5160"/>
    <hyperlink r:id="rId5177" ref="B5161"/>
    <hyperlink r:id="rId5178" ref="B5162"/>
    <hyperlink r:id="rId5179" ref="B5163"/>
    <hyperlink r:id="rId5180" ref="B5164"/>
    <hyperlink r:id="rId5181" ref="B5165"/>
    <hyperlink r:id="rId5182" ref="B5166"/>
    <hyperlink r:id="rId5183" ref="B5167"/>
    <hyperlink r:id="rId5184" ref="B5168"/>
    <hyperlink r:id="rId5185" ref="B5169"/>
    <hyperlink r:id="rId5186" ref="B5170"/>
    <hyperlink r:id="rId5187" ref="B5171"/>
    <hyperlink r:id="rId5188" ref="B5172"/>
    <hyperlink r:id="rId5189" ref="B5173"/>
    <hyperlink r:id="rId5190" ref="B5174"/>
    <hyperlink r:id="rId5191" ref="B5175"/>
    <hyperlink r:id="rId5192" ref="B5176"/>
    <hyperlink r:id="rId5193" ref="B5177"/>
    <hyperlink r:id="rId5194" ref="B5178"/>
    <hyperlink r:id="rId5195" ref="B5179"/>
    <hyperlink r:id="rId5196" ref="B5180"/>
    <hyperlink r:id="rId5197" ref="B5181"/>
    <hyperlink r:id="rId5198" ref="B5182"/>
    <hyperlink r:id="rId5199" ref="B5183"/>
    <hyperlink r:id="rId5200" ref="B5184"/>
    <hyperlink r:id="rId5201" ref="B5185"/>
    <hyperlink r:id="rId5202" ref="B5186"/>
    <hyperlink r:id="rId5203" ref="B5187"/>
    <hyperlink r:id="rId5204" ref="B5188"/>
    <hyperlink r:id="rId5205" ref="B5189"/>
    <hyperlink r:id="rId5206" ref="B5190"/>
    <hyperlink r:id="rId5207" ref="B5191"/>
    <hyperlink r:id="rId5208" ref="B5192"/>
    <hyperlink r:id="rId5209" ref="B5193"/>
    <hyperlink r:id="rId5210" ref="B5194"/>
    <hyperlink r:id="rId5211" ref="B5195"/>
    <hyperlink r:id="rId5212" ref="B5196"/>
    <hyperlink r:id="rId5213" ref="B5197"/>
    <hyperlink r:id="rId5214" ref="B5198"/>
    <hyperlink r:id="rId5215" ref="B5199"/>
    <hyperlink r:id="rId5216" ref="B5200"/>
    <hyperlink r:id="rId5217" ref="B5201"/>
    <hyperlink r:id="rId5218" ref="B5202"/>
    <hyperlink r:id="rId5219" ref="B5203"/>
    <hyperlink r:id="rId5220" ref="B5204"/>
    <hyperlink r:id="rId5221" ref="B5205"/>
    <hyperlink r:id="rId5222" ref="B5206"/>
    <hyperlink r:id="rId5223" ref="B5207"/>
    <hyperlink r:id="rId5224" ref="B5208"/>
    <hyperlink r:id="rId5225" ref="B5209"/>
    <hyperlink r:id="rId5226" ref="B5210"/>
    <hyperlink r:id="rId5227" ref="B5211"/>
    <hyperlink r:id="rId5228" ref="B5212"/>
    <hyperlink r:id="rId5229" ref="B5213"/>
    <hyperlink r:id="rId5230" ref="B5214"/>
    <hyperlink r:id="rId5231" ref="B5215"/>
    <hyperlink r:id="rId5232" ref="B5216"/>
    <hyperlink r:id="rId5233" ref="B5217"/>
    <hyperlink r:id="rId5234" ref="B5218"/>
    <hyperlink r:id="rId5235" ref="B5219"/>
    <hyperlink r:id="rId5236" ref="B5220"/>
    <hyperlink r:id="rId5237" ref="B5221"/>
    <hyperlink r:id="rId5238" ref="B5222"/>
    <hyperlink r:id="rId5239" ref="B5223"/>
    <hyperlink r:id="rId5240" ref="B5224"/>
    <hyperlink r:id="rId5241" ref="B5225"/>
    <hyperlink r:id="rId5242" ref="B5226"/>
    <hyperlink r:id="rId5243" ref="B5227"/>
    <hyperlink r:id="rId5244" ref="B5228"/>
    <hyperlink r:id="rId5245" ref="B5229"/>
    <hyperlink r:id="rId5246" ref="B5230"/>
    <hyperlink r:id="rId5247" ref="B5231"/>
    <hyperlink r:id="rId5248" ref="B5232"/>
    <hyperlink r:id="rId5249" ref="B5233"/>
    <hyperlink r:id="rId5250" ref="B5234"/>
    <hyperlink r:id="rId5251" ref="B5235"/>
    <hyperlink r:id="rId5252" ref="B5236"/>
    <hyperlink r:id="rId5253" ref="B5237"/>
    <hyperlink r:id="rId5254" ref="B5238"/>
    <hyperlink r:id="rId5255" ref="B5239"/>
    <hyperlink r:id="rId5256" ref="B5240"/>
    <hyperlink r:id="rId5257" ref="B5241"/>
    <hyperlink r:id="rId5258" ref="B5242"/>
    <hyperlink r:id="rId5259" ref="B5243"/>
    <hyperlink r:id="rId5260" ref="B5244"/>
    <hyperlink r:id="rId5261" ref="B5245"/>
    <hyperlink r:id="rId5262" ref="B5246"/>
    <hyperlink r:id="rId5263" ref="B5247"/>
    <hyperlink r:id="rId5264" ref="B5248"/>
    <hyperlink r:id="rId5265" ref="B5249"/>
    <hyperlink r:id="rId5266" ref="B5250"/>
    <hyperlink r:id="rId5267" ref="B5251"/>
    <hyperlink r:id="rId5268" ref="B5252"/>
    <hyperlink r:id="rId5269" ref="B5253"/>
    <hyperlink r:id="rId5270" ref="B5254"/>
    <hyperlink r:id="rId5271" ref="B5255"/>
    <hyperlink r:id="rId5272" ref="B5256"/>
    <hyperlink r:id="rId5273" ref="B5257"/>
    <hyperlink r:id="rId5274" ref="B5258"/>
    <hyperlink r:id="rId5275" ref="B5259"/>
    <hyperlink r:id="rId5276" ref="B5260"/>
    <hyperlink r:id="rId5277" ref="B5261"/>
    <hyperlink r:id="rId5278" ref="B5262"/>
    <hyperlink r:id="rId5279" ref="B5263"/>
    <hyperlink r:id="rId5280" ref="B5264"/>
    <hyperlink r:id="rId5281" ref="B5265"/>
    <hyperlink r:id="rId5282" ref="B5266"/>
    <hyperlink r:id="rId5283" ref="B5267"/>
    <hyperlink r:id="rId5284" ref="B5268"/>
    <hyperlink r:id="rId5285" ref="B5269"/>
    <hyperlink r:id="rId5286" ref="B5270"/>
    <hyperlink r:id="rId5287" ref="B5271"/>
    <hyperlink r:id="rId5288" ref="B5272"/>
    <hyperlink r:id="rId5289" ref="B5273"/>
    <hyperlink r:id="rId5290" ref="B5274"/>
    <hyperlink r:id="rId5291" ref="B5275"/>
    <hyperlink r:id="rId5292" ref="B5276"/>
    <hyperlink r:id="rId5293" ref="B5277"/>
    <hyperlink r:id="rId5294" ref="B5278"/>
    <hyperlink r:id="rId5295" ref="B5279"/>
    <hyperlink r:id="rId5296" ref="B5280"/>
    <hyperlink r:id="rId5297" ref="B5281"/>
    <hyperlink r:id="rId5298" ref="B5282"/>
    <hyperlink r:id="rId5299" ref="B5283"/>
    <hyperlink r:id="rId5300" ref="B5284"/>
    <hyperlink r:id="rId5301" ref="B5285"/>
    <hyperlink r:id="rId5302" ref="B5286"/>
    <hyperlink r:id="rId5303" ref="B5287"/>
    <hyperlink r:id="rId5304" ref="B5288"/>
    <hyperlink r:id="rId5305" ref="B5289"/>
    <hyperlink r:id="rId5306" ref="B5290"/>
    <hyperlink r:id="rId5307" ref="B5291"/>
    <hyperlink r:id="rId5308" ref="B5292"/>
    <hyperlink r:id="rId5309" ref="B5293"/>
    <hyperlink r:id="rId5310" ref="B5294"/>
    <hyperlink r:id="rId5311" ref="B5295"/>
    <hyperlink r:id="rId5312" ref="B5296"/>
    <hyperlink r:id="rId5313" ref="B5297"/>
    <hyperlink r:id="rId5314" ref="B5298"/>
    <hyperlink r:id="rId5315" ref="B5299"/>
    <hyperlink r:id="rId5316" ref="B5300"/>
    <hyperlink r:id="rId5317" ref="B5301"/>
    <hyperlink r:id="rId5318" ref="B5302"/>
    <hyperlink r:id="rId5319" ref="B5303"/>
    <hyperlink r:id="rId5320" ref="B5304"/>
    <hyperlink r:id="rId5321" ref="B5305"/>
    <hyperlink r:id="rId5322" ref="B5306"/>
    <hyperlink r:id="rId5323" ref="B5307"/>
    <hyperlink r:id="rId5324" ref="B5308"/>
    <hyperlink r:id="rId5325" ref="B5309"/>
    <hyperlink r:id="rId5326" ref="B5310"/>
    <hyperlink r:id="rId5327" ref="B5311"/>
    <hyperlink r:id="rId5328" ref="B5312"/>
    <hyperlink r:id="rId5329" ref="B5313"/>
    <hyperlink r:id="rId5330" ref="B5314"/>
    <hyperlink r:id="rId5331" ref="B5315"/>
    <hyperlink r:id="rId5332" ref="B5316"/>
    <hyperlink r:id="rId5333" ref="B5317"/>
    <hyperlink r:id="rId5334" ref="B5318"/>
    <hyperlink r:id="rId5335" ref="B5319"/>
    <hyperlink r:id="rId5336" ref="B5320"/>
    <hyperlink r:id="rId5337" ref="B5321"/>
    <hyperlink r:id="rId5338" ref="B5322"/>
    <hyperlink r:id="rId5339" ref="B5323"/>
    <hyperlink r:id="rId5340" ref="B5324"/>
    <hyperlink r:id="rId5341" ref="B5325"/>
    <hyperlink r:id="rId5342" ref="B5326"/>
    <hyperlink r:id="rId5343" ref="B5327"/>
    <hyperlink r:id="rId5344" ref="B5328"/>
    <hyperlink r:id="rId5345" ref="B5329"/>
    <hyperlink r:id="rId5346" ref="B5330"/>
    <hyperlink r:id="rId5347" ref="B5331"/>
    <hyperlink r:id="rId5348" ref="B5332"/>
    <hyperlink r:id="rId5349" ref="B5333"/>
    <hyperlink r:id="rId5350" ref="B5334"/>
    <hyperlink r:id="rId5351" ref="B5335"/>
    <hyperlink r:id="rId5352" ref="B5336"/>
    <hyperlink r:id="rId5353" ref="B5337"/>
    <hyperlink r:id="rId5354" ref="B5338"/>
    <hyperlink r:id="rId5355" ref="B5339"/>
    <hyperlink r:id="rId5356" ref="B5340"/>
    <hyperlink r:id="rId5357" ref="B5341"/>
    <hyperlink r:id="rId5358" ref="B5342"/>
    <hyperlink r:id="rId5359" ref="B5343"/>
    <hyperlink r:id="rId5360" ref="B5344"/>
    <hyperlink r:id="rId5361" ref="B5345"/>
    <hyperlink r:id="rId5362" ref="B5346"/>
    <hyperlink r:id="rId5363" ref="B5347"/>
    <hyperlink r:id="rId5364" ref="B5348"/>
    <hyperlink r:id="rId5365" ref="B5349"/>
    <hyperlink r:id="rId5366" ref="B5350"/>
    <hyperlink r:id="rId5367" ref="B5351"/>
    <hyperlink r:id="rId5368" ref="B5352"/>
    <hyperlink r:id="rId5369" ref="B5353"/>
    <hyperlink r:id="rId5370" ref="B5354"/>
    <hyperlink r:id="rId5371" ref="B5355"/>
    <hyperlink r:id="rId5372" ref="B5356"/>
    <hyperlink r:id="rId5373" ref="B5357"/>
    <hyperlink r:id="rId5374" ref="B5358"/>
    <hyperlink r:id="rId5375" ref="B5359"/>
    <hyperlink r:id="rId5376" ref="B5360"/>
    <hyperlink r:id="rId5377" ref="B5361"/>
    <hyperlink r:id="rId5378" ref="B5362"/>
    <hyperlink r:id="rId5379" ref="B5363"/>
    <hyperlink r:id="rId5380" ref="B5364"/>
    <hyperlink r:id="rId5381" ref="B5365"/>
    <hyperlink r:id="rId5382" ref="B5366"/>
    <hyperlink r:id="rId5383" ref="B5367"/>
    <hyperlink r:id="rId5384" ref="B5368"/>
    <hyperlink r:id="rId5385" ref="B5369"/>
    <hyperlink r:id="rId5386" ref="B5370"/>
    <hyperlink r:id="rId5387" ref="B5371"/>
    <hyperlink r:id="rId5388" ref="B5372"/>
    <hyperlink r:id="rId5389" ref="B5373"/>
    <hyperlink r:id="rId5390" ref="B5374"/>
    <hyperlink r:id="rId5391" ref="B5375"/>
    <hyperlink r:id="rId5392" ref="B5376"/>
    <hyperlink r:id="rId5393" ref="B5377"/>
    <hyperlink r:id="rId5394" ref="B5378"/>
    <hyperlink r:id="rId5395" ref="B5379"/>
    <hyperlink r:id="rId5396" ref="B5380"/>
    <hyperlink r:id="rId5397" ref="B5381"/>
    <hyperlink r:id="rId5398" ref="B5382"/>
    <hyperlink r:id="rId5399" ref="B5383"/>
    <hyperlink r:id="rId5400" ref="B5384"/>
    <hyperlink r:id="rId5401" ref="B5385"/>
    <hyperlink r:id="rId5402" ref="B5386"/>
    <hyperlink r:id="rId5403" ref="B5387"/>
    <hyperlink r:id="rId5404" ref="B5388"/>
    <hyperlink r:id="rId5405" ref="B5389"/>
    <hyperlink r:id="rId5406" ref="A5390"/>
    <hyperlink r:id="rId5407" ref="B5390"/>
    <hyperlink r:id="rId5408" ref="B5391"/>
    <hyperlink r:id="rId5409" ref="B5392"/>
    <hyperlink r:id="rId5410" ref="B5393"/>
    <hyperlink r:id="rId5411" ref="B5394"/>
    <hyperlink r:id="rId5412" ref="B5395"/>
    <hyperlink r:id="rId5413" ref="B5396"/>
    <hyperlink r:id="rId5414" ref="B5397"/>
    <hyperlink r:id="rId5415" ref="B5398"/>
    <hyperlink r:id="rId5416" ref="B5399"/>
    <hyperlink r:id="rId5417" ref="B5400"/>
    <hyperlink r:id="rId5418" ref="B5401"/>
    <hyperlink r:id="rId5419" ref="B5402"/>
    <hyperlink r:id="rId5420" ref="B5403"/>
    <hyperlink r:id="rId5421" ref="B5404"/>
    <hyperlink r:id="rId5422" ref="B5405"/>
    <hyperlink r:id="rId5423" ref="B5406"/>
    <hyperlink r:id="rId5424" ref="B5407"/>
    <hyperlink r:id="rId5425" ref="B5408"/>
    <hyperlink r:id="rId5426" ref="B5409"/>
    <hyperlink r:id="rId5427" ref="B5410"/>
    <hyperlink r:id="rId5428" ref="B5411"/>
    <hyperlink r:id="rId5429" ref="B5412"/>
    <hyperlink r:id="rId5430" ref="B5413"/>
    <hyperlink r:id="rId5431" ref="B5414"/>
    <hyperlink r:id="rId5432" ref="B5415"/>
    <hyperlink r:id="rId5433" ref="B5416"/>
    <hyperlink r:id="rId5434" ref="B5417"/>
    <hyperlink r:id="rId5435" ref="B5418"/>
    <hyperlink r:id="rId5436" ref="B5419"/>
    <hyperlink r:id="rId5437" ref="B5420"/>
    <hyperlink r:id="rId5438" ref="B5421"/>
    <hyperlink r:id="rId5439" ref="B5422"/>
    <hyperlink r:id="rId5440" ref="B5423"/>
    <hyperlink r:id="rId5441" ref="B5424"/>
    <hyperlink r:id="rId5442" ref="B5425"/>
    <hyperlink r:id="rId5443" ref="B5426"/>
    <hyperlink r:id="rId5444" ref="B5427"/>
    <hyperlink r:id="rId5445" ref="B5428"/>
    <hyperlink r:id="rId5446" ref="B5429"/>
    <hyperlink r:id="rId5447" ref="B5430"/>
    <hyperlink r:id="rId5448" ref="B5431"/>
    <hyperlink r:id="rId5449" ref="B5432"/>
    <hyperlink r:id="rId5450" ref="B5433"/>
    <hyperlink r:id="rId5451" ref="B5434"/>
    <hyperlink r:id="rId5452" ref="B5435"/>
    <hyperlink r:id="rId5453" ref="B5436"/>
    <hyperlink r:id="rId5454" ref="B5437"/>
    <hyperlink r:id="rId5455" ref="B5438"/>
    <hyperlink r:id="rId5456" ref="B5439"/>
    <hyperlink r:id="rId5457" ref="B5440"/>
    <hyperlink r:id="rId5458" ref="B5441"/>
    <hyperlink r:id="rId5459" ref="B5442"/>
    <hyperlink r:id="rId5460" ref="B5443"/>
    <hyperlink r:id="rId5461" ref="B5444"/>
    <hyperlink r:id="rId5462" ref="B5445"/>
    <hyperlink r:id="rId5463" ref="B5446"/>
    <hyperlink r:id="rId5464" ref="B5447"/>
    <hyperlink r:id="rId5465" ref="B5448"/>
    <hyperlink r:id="rId5466" ref="B5449"/>
    <hyperlink r:id="rId5467" ref="B5450"/>
    <hyperlink r:id="rId5468" ref="B5451"/>
    <hyperlink r:id="rId5469" ref="B5452"/>
    <hyperlink r:id="rId5470" ref="B5453"/>
    <hyperlink r:id="rId5471" ref="B5454"/>
    <hyperlink r:id="rId5472" ref="B5455"/>
    <hyperlink r:id="rId5473" ref="B5456"/>
    <hyperlink r:id="rId5474" ref="B5457"/>
    <hyperlink r:id="rId5475" ref="B5458"/>
    <hyperlink r:id="rId5476" ref="B5459"/>
    <hyperlink r:id="rId5477" ref="B5460"/>
    <hyperlink r:id="rId5478" ref="B5461"/>
    <hyperlink r:id="rId5479" ref="B5462"/>
    <hyperlink r:id="rId5480" ref="B5463"/>
    <hyperlink r:id="rId5481" ref="B5464"/>
    <hyperlink r:id="rId5482" ref="B5465"/>
    <hyperlink r:id="rId5483" ref="B5466"/>
    <hyperlink r:id="rId5484" ref="B5467"/>
    <hyperlink r:id="rId5485" ref="B5468"/>
    <hyperlink r:id="rId5486" ref="B5469"/>
    <hyperlink r:id="rId5487" ref="B5470"/>
    <hyperlink r:id="rId5488" ref="B5471"/>
    <hyperlink r:id="rId5489" ref="B5472"/>
    <hyperlink r:id="rId5490" ref="B5473"/>
    <hyperlink r:id="rId5491" ref="B5474"/>
    <hyperlink r:id="rId5492" ref="B5475"/>
    <hyperlink r:id="rId5493" ref="B5476"/>
    <hyperlink r:id="rId5494" ref="B5477"/>
    <hyperlink r:id="rId5495" ref="B5478"/>
    <hyperlink r:id="rId5496" ref="B5479"/>
    <hyperlink r:id="rId5497" ref="B5480"/>
    <hyperlink r:id="rId5498" ref="B5481"/>
    <hyperlink r:id="rId5499" ref="B5482"/>
    <hyperlink r:id="rId5500" ref="B5483"/>
    <hyperlink r:id="rId5501" ref="B5484"/>
    <hyperlink r:id="rId5502" ref="B5485"/>
    <hyperlink r:id="rId5503" ref="B5486"/>
    <hyperlink r:id="rId5504" ref="B5487"/>
    <hyperlink r:id="rId5505" ref="B5488"/>
    <hyperlink r:id="rId5506" ref="B5489"/>
    <hyperlink r:id="rId5507" ref="A5490"/>
    <hyperlink r:id="rId5508" ref="B5490"/>
    <hyperlink r:id="rId5509" ref="B5491"/>
    <hyperlink r:id="rId5510" ref="B5492"/>
    <hyperlink r:id="rId5511" ref="B5493"/>
    <hyperlink r:id="rId5512" ref="B5494"/>
    <hyperlink r:id="rId5513" ref="B5495"/>
    <hyperlink r:id="rId5514" ref="B5496"/>
    <hyperlink r:id="rId5515" ref="B5497"/>
    <hyperlink r:id="rId5516" ref="B5498"/>
    <hyperlink r:id="rId5517" ref="B5499"/>
    <hyperlink r:id="rId5518" ref="B5500"/>
    <hyperlink r:id="rId5519" ref="B5501"/>
    <hyperlink r:id="rId5520" ref="B5502"/>
    <hyperlink r:id="rId5521" ref="B5503"/>
    <hyperlink r:id="rId5522" ref="B5504"/>
    <hyperlink r:id="rId5523" ref="B5505"/>
    <hyperlink r:id="rId5524" ref="B5506"/>
    <hyperlink r:id="rId5525" ref="B5507"/>
    <hyperlink r:id="rId5526" ref="B5508"/>
    <hyperlink r:id="rId5527" ref="B5509"/>
    <hyperlink r:id="rId5528" ref="B5510"/>
    <hyperlink r:id="rId5529" ref="B5511"/>
    <hyperlink r:id="rId5530" ref="B5512"/>
    <hyperlink r:id="rId5531" ref="B5513"/>
    <hyperlink r:id="rId5532" ref="B5514"/>
    <hyperlink r:id="rId5533" ref="B5515"/>
    <hyperlink r:id="rId5534" ref="B5516"/>
    <hyperlink r:id="rId5535" ref="B5517"/>
    <hyperlink r:id="rId5536" ref="B5518"/>
    <hyperlink r:id="rId5537" ref="A5519"/>
    <hyperlink r:id="rId5538" ref="B5519"/>
    <hyperlink r:id="rId5539" ref="B5520"/>
    <hyperlink r:id="rId5540" ref="B5521"/>
    <hyperlink r:id="rId5541" ref="B5522"/>
    <hyperlink r:id="rId5542" ref="B5523"/>
    <hyperlink r:id="rId5543" ref="B5524"/>
    <hyperlink r:id="rId5544" ref="B5525"/>
    <hyperlink r:id="rId5545" ref="B5526"/>
    <hyperlink r:id="rId5546" ref="B5527"/>
    <hyperlink r:id="rId5547" ref="B5528"/>
    <hyperlink r:id="rId5548" ref="B5529"/>
    <hyperlink r:id="rId5549" ref="B5530"/>
    <hyperlink r:id="rId5550" ref="B5531"/>
    <hyperlink r:id="rId5551" ref="B5532"/>
    <hyperlink r:id="rId5552" ref="B5533"/>
    <hyperlink r:id="rId5553" ref="B5534"/>
    <hyperlink r:id="rId5554" ref="B5535"/>
    <hyperlink r:id="rId5555" ref="B5536"/>
    <hyperlink r:id="rId5556" ref="B5537"/>
    <hyperlink r:id="rId5557" ref="B5538"/>
    <hyperlink r:id="rId5558" ref="B5539"/>
    <hyperlink r:id="rId5559" ref="B5540"/>
    <hyperlink r:id="rId5560" ref="B5541"/>
    <hyperlink r:id="rId5561" ref="B5542"/>
    <hyperlink r:id="rId5562" ref="B5543"/>
    <hyperlink r:id="rId5563" ref="B5544"/>
    <hyperlink r:id="rId5564" ref="B5545"/>
    <hyperlink r:id="rId5565" ref="B5546"/>
    <hyperlink r:id="rId5566" ref="B5547"/>
    <hyperlink r:id="rId5567" ref="B5548"/>
    <hyperlink r:id="rId5568" ref="B5549"/>
    <hyperlink r:id="rId5569" ref="B5550"/>
    <hyperlink r:id="rId5570" ref="B5551"/>
    <hyperlink r:id="rId5571" ref="B5552"/>
    <hyperlink r:id="rId5572" ref="B5553"/>
    <hyperlink r:id="rId5573" ref="B5554"/>
    <hyperlink r:id="rId5574" ref="B5555"/>
    <hyperlink r:id="rId5575" ref="B5556"/>
    <hyperlink r:id="rId5576" ref="B5557"/>
    <hyperlink r:id="rId5577" ref="B5558"/>
    <hyperlink r:id="rId5578" ref="B5559"/>
    <hyperlink r:id="rId5579" ref="B5560"/>
    <hyperlink r:id="rId5580" ref="B5561"/>
    <hyperlink r:id="rId5581" ref="B5562"/>
    <hyperlink r:id="rId5582" ref="B5563"/>
    <hyperlink r:id="rId5583" ref="B5564"/>
    <hyperlink r:id="rId5584" ref="B5565"/>
    <hyperlink r:id="rId5585" ref="B5566"/>
    <hyperlink r:id="rId5586" ref="B5567"/>
    <hyperlink r:id="rId5587" ref="B5568"/>
    <hyperlink r:id="rId5588" ref="B5569"/>
    <hyperlink r:id="rId5589" ref="B5570"/>
    <hyperlink r:id="rId5590" ref="B5571"/>
    <hyperlink r:id="rId5591" ref="B5572"/>
    <hyperlink r:id="rId5592" ref="B5573"/>
    <hyperlink r:id="rId5593" ref="B5574"/>
    <hyperlink r:id="rId5594" ref="B5575"/>
    <hyperlink r:id="rId5595" ref="B5576"/>
    <hyperlink r:id="rId5596" ref="B5577"/>
    <hyperlink r:id="rId5597" ref="B5578"/>
    <hyperlink r:id="rId5598" ref="B5579"/>
    <hyperlink r:id="rId5599" ref="B5580"/>
    <hyperlink r:id="rId5600" ref="B5581"/>
    <hyperlink r:id="rId5601" ref="B5582"/>
    <hyperlink r:id="rId5602" ref="B5583"/>
    <hyperlink r:id="rId5603" ref="B5584"/>
    <hyperlink r:id="rId5604" ref="B5585"/>
    <hyperlink r:id="rId5605" ref="B5586"/>
    <hyperlink r:id="rId5606" ref="B5587"/>
    <hyperlink r:id="rId5607" ref="B5588"/>
    <hyperlink r:id="rId5608" ref="B5589"/>
    <hyperlink r:id="rId5609" ref="B5590"/>
    <hyperlink r:id="rId5610" ref="B5591"/>
    <hyperlink r:id="rId5611" ref="B5592"/>
    <hyperlink r:id="rId5612" ref="B5593"/>
    <hyperlink r:id="rId5613" ref="B5594"/>
    <hyperlink r:id="rId5614" ref="B5595"/>
    <hyperlink r:id="rId5615" ref="B5596"/>
    <hyperlink r:id="rId5616" ref="B5597"/>
    <hyperlink r:id="rId5617" ref="B5598"/>
    <hyperlink r:id="rId5618" ref="B5599"/>
    <hyperlink r:id="rId5619" ref="B5600"/>
    <hyperlink r:id="rId5620" ref="B5601"/>
    <hyperlink r:id="rId5621" ref="B5602"/>
    <hyperlink r:id="rId5622" ref="B5603"/>
    <hyperlink r:id="rId5623" ref="B5604"/>
    <hyperlink r:id="rId5624" ref="B5605"/>
    <hyperlink r:id="rId5625" ref="B5606"/>
    <hyperlink r:id="rId5626" ref="B5607"/>
    <hyperlink r:id="rId5627" ref="B5608"/>
    <hyperlink r:id="rId5628" ref="B5609"/>
    <hyperlink r:id="rId5629" ref="A5610"/>
    <hyperlink r:id="rId5630" ref="B5610"/>
    <hyperlink r:id="rId5631" ref="B5611"/>
    <hyperlink r:id="rId5632" ref="B5612"/>
    <hyperlink r:id="rId5633" ref="B5613"/>
    <hyperlink r:id="rId5634" ref="B5614"/>
    <hyperlink r:id="rId5635" ref="B5615"/>
    <hyperlink r:id="rId5636" ref="B5616"/>
    <hyperlink r:id="rId5637" ref="B5617"/>
    <hyperlink r:id="rId5638" ref="B5618"/>
    <hyperlink r:id="rId5639" ref="B5619"/>
    <hyperlink r:id="rId5640" ref="B5620"/>
    <hyperlink r:id="rId5641" ref="B5621"/>
    <hyperlink r:id="rId5642" ref="B5622"/>
    <hyperlink r:id="rId5643" ref="A5623"/>
    <hyperlink r:id="rId5644" ref="B5623"/>
    <hyperlink r:id="rId5645" ref="B5624"/>
    <hyperlink r:id="rId5646" ref="B5625"/>
    <hyperlink r:id="rId5647" ref="B5626"/>
    <hyperlink r:id="rId5648" ref="B5627"/>
    <hyperlink r:id="rId5649" ref="B5628"/>
    <hyperlink r:id="rId5650" ref="B5629"/>
    <hyperlink r:id="rId5651" ref="B5630"/>
    <hyperlink r:id="rId5652" ref="B5631"/>
    <hyperlink r:id="rId5653" ref="B5632"/>
    <hyperlink r:id="rId5654" ref="B5633"/>
    <hyperlink r:id="rId5655" ref="B5634"/>
    <hyperlink r:id="rId5656" ref="B5635"/>
    <hyperlink r:id="rId5657" ref="B5636"/>
    <hyperlink r:id="rId5658" ref="B5637"/>
    <hyperlink r:id="rId5659" ref="B5638"/>
    <hyperlink r:id="rId5660" ref="B5639"/>
    <hyperlink r:id="rId5661" ref="B5640"/>
    <hyperlink r:id="rId5662" ref="B5641"/>
    <hyperlink r:id="rId5663" ref="B5642"/>
    <hyperlink r:id="rId5664" ref="B5643"/>
    <hyperlink r:id="rId5665" ref="B5644"/>
    <hyperlink r:id="rId5666" ref="B5645"/>
    <hyperlink r:id="rId5667" ref="B5646"/>
    <hyperlink r:id="rId5668" ref="B5647"/>
    <hyperlink r:id="rId5669" ref="B5648"/>
    <hyperlink r:id="rId5670" ref="B5649"/>
    <hyperlink r:id="rId5671" ref="B5650"/>
    <hyperlink r:id="rId5672" ref="B5651"/>
    <hyperlink r:id="rId5673" ref="B5652"/>
    <hyperlink r:id="rId5674" ref="B5653"/>
    <hyperlink r:id="rId5675" ref="B5654"/>
    <hyperlink r:id="rId5676" ref="B5655"/>
    <hyperlink r:id="rId5677" ref="B5656"/>
    <hyperlink r:id="rId5678" ref="B5657"/>
    <hyperlink r:id="rId5679" ref="B5658"/>
    <hyperlink r:id="rId5680" ref="B5659"/>
    <hyperlink r:id="rId5681" ref="B5660"/>
    <hyperlink r:id="rId5682" ref="B5661"/>
    <hyperlink r:id="rId5683" ref="B5662"/>
    <hyperlink r:id="rId5684" ref="B5663"/>
    <hyperlink r:id="rId5685" ref="B5664"/>
    <hyperlink r:id="rId5686" ref="B5665"/>
    <hyperlink r:id="rId5687" ref="B5666"/>
    <hyperlink r:id="rId5688" ref="B5667"/>
    <hyperlink r:id="rId5689" ref="B5668"/>
    <hyperlink r:id="rId5690" ref="B5669"/>
    <hyperlink r:id="rId5691" ref="B5670"/>
    <hyperlink r:id="rId5692" ref="B5671"/>
    <hyperlink r:id="rId5693" ref="B5672"/>
    <hyperlink r:id="rId5694" ref="B5673"/>
    <hyperlink r:id="rId5695" ref="B5674"/>
    <hyperlink r:id="rId5696" ref="B5675"/>
    <hyperlink r:id="rId5697" ref="B5676"/>
    <hyperlink r:id="rId5698" ref="B5677"/>
    <hyperlink r:id="rId5699" ref="B5678"/>
    <hyperlink r:id="rId5700" ref="B5679"/>
    <hyperlink r:id="rId5701" ref="B5680"/>
    <hyperlink r:id="rId5702" ref="B5681"/>
    <hyperlink r:id="rId5703" ref="B5682"/>
    <hyperlink r:id="rId5704" ref="B5683"/>
    <hyperlink r:id="rId5705" ref="B5684"/>
    <hyperlink r:id="rId5706" ref="B5685"/>
    <hyperlink r:id="rId5707" ref="B5686"/>
    <hyperlink r:id="rId5708" ref="B5687"/>
    <hyperlink r:id="rId5709" ref="B5688"/>
    <hyperlink r:id="rId5710" ref="B5689"/>
    <hyperlink r:id="rId5711" ref="B5690"/>
    <hyperlink r:id="rId5712" ref="B5691"/>
    <hyperlink r:id="rId5713" ref="B5692"/>
    <hyperlink r:id="rId5714" ref="B5693"/>
    <hyperlink r:id="rId5715" ref="B5694"/>
    <hyperlink r:id="rId5716" ref="B5695"/>
    <hyperlink r:id="rId5717" ref="B5696"/>
    <hyperlink r:id="rId5718" ref="B5697"/>
    <hyperlink r:id="rId5719" ref="B5698"/>
    <hyperlink r:id="rId5720" ref="B5699"/>
    <hyperlink r:id="rId5721" ref="B5700"/>
    <hyperlink r:id="rId5722" ref="B5701"/>
    <hyperlink r:id="rId5723" ref="B5702"/>
    <hyperlink r:id="rId5724" ref="B5703"/>
    <hyperlink r:id="rId5725" ref="B5704"/>
    <hyperlink r:id="rId5726" ref="B5705"/>
    <hyperlink r:id="rId5727" ref="B5706"/>
    <hyperlink r:id="rId5728" ref="B5707"/>
    <hyperlink r:id="rId5729" ref="B5708"/>
    <hyperlink r:id="rId5730" ref="B5709"/>
    <hyperlink r:id="rId5731" ref="B5710"/>
    <hyperlink r:id="rId5732" ref="B5711"/>
    <hyperlink r:id="rId5733" ref="B5712"/>
    <hyperlink r:id="rId5734" ref="B5713"/>
    <hyperlink r:id="rId5735" ref="B5714"/>
    <hyperlink r:id="rId5736" ref="B5715"/>
    <hyperlink r:id="rId5737" ref="B5716"/>
    <hyperlink r:id="rId5738" ref="B5717"/>
    <hyperlink r:id="rId5739" ref="B5718"/>
    <hyperlink r:id="rId5740" ref="B5719"/>
    <hyperlink r:id="rId5741" ref="B5720"/>
    <hyperlink r:id="rId5742" ref="B5721"/>
    <hyperlink r:id="rId5743" ref="B5722"/>
    <hyperlink r:id="rId5744" ref="B5723"/>
    <hyperlink r:id="rId5745" ref="B5724"/>
    <hyperlink r:id="rId5746" ref="B5725"/>
    <hyperlink r:id="rId5747" ref="B5726"/>
    <hyperlink r:id="rId5748" ref="B5727"/>
    <hyperlink r:id="rId5749" ref="B5728"/>
    <hyperlink r:id="rId5750" ref="B5729"/>
    <hyperlink r:id="rId5751" ref="B5730"/>
    <hyperlink r:id="rId5752" ref="B5731"/>
    <hyperlink r:id="rId5753" ref="B5732"/>
    <hyperlink r:id="rId5754" ref="B5733"/>
    <hyperlink r:id="rId5755" ref="B5734"/>
    <hyperlink r:id="rId5756" ref="B5735"/>
    <hyperlink r:id="rId5757" ref="B5736"/>
    <hyperlink r:id="rId5758" ref="B5737"/>
    <hyperlink r:id="rId5759" ref="B5738"/>
    <hyperlink r:id="rId5760" ref="B5739"/>
    <hyperlink r:id="rId5761" ref="B5740"/>
    <hyperlink r:id="rId5762" ref="B5741"/>
    <hyperlink r:id="rId5763" ref="B5742"/>
    <hyperlink r:id="rId5764" ref="B5743"/>
    <hyperlink r:id="rId5765" ref="B5744"/>
    <hyperlink r:id="rId5766" ref="B5745"/>
    <hyperlink r:id="rId5767" ref="B5746"/>
    <hyperlink r:id="rId5768" ref="B5747"/>
    <hyperlink r:id="rId5769" ref="B5748"/>
    <hyperlink r:id="rId5770" ref="B5749"/>
    <hyperlink r:id="rId5771" ref="B5750"/>
    <hyperlink r:id="rId5772" ref="B5751"/>
    <hyperlink r:id="rId5773" ref="B5752"/>
    <hyperlink r:id="rId5774" ref="B5753"/>
    <hyperlink r:id="rId5775" ref="B5754"/>
    <hyperlink r:id="rId5776" ref="B5755"/>
    <hyperlink r:id="rId5777" ref="B5756"/>
    <hyperlink r:id="rId5778" ref="B5757"/>
    <hyperlink r:id="rId5779" ref="B5758"/>
    <hyperlink r:id="rId5780" ref="B5759"/>
    <hyperlink r:id="rId5781" ref="B5760"/>
    <hyperlink r:id="rId5782" ref="B5761"/>
    <hyperlink r:id="rId5783" ref="B5762"/>
    <hyperlink r:id="rId5784" ref="B5763"/>
    <hyperlink r:id="rId5785" ref="B5764"/>
    <hyperlink r:id="rId5786" ref="B5765"/>
    <hyperlink r:id="rId5787" ref="B5766"/>
    <hyperlink r:id="rId5788" ref="B5767"/>
    <hyperlink r:id="rId5789" ref="B5768"/>
    <hyperlink r:id="rId5790" ref="B5769"/>
    <hyperlink r:id="rId5791" ref="B5770"/>
    <hyperlink r:id="rId5792" ref="B5771"/>
    <hyperlink r:id="rId5793" ref="B5772"/>
    <hyperlink r:id="rId5794" ref="B5773"/>
    <hyperlink r:id="rId5795" ref="B5774"/>
    <hyperlink r:id="rId5796" ref="B5775"/>
    <hyperlink r:id="rId5797" ref="B5776"/>
    <hyperlink r:id="rId5798" ref="B5777"/>
    <hyperlink r:id="rId5799" ref="B5778"/>
    <hyperlink r:id="rId5800" ref="B5779"/>
    <hyperlink r:id="rId5801" ref="B5780"/>
    <hyperlink r:id="rId5802" ref="B5781"/>
    <hyperlink r:id="rId5803" ref="B5782"/>
    <hyperlink r:id="rId5804" ref="B5783"/>
    <hyperlink r:id="rId5805" ref="B5784"/>
    <hyperlink r:id="rId5806" ref="B5785"/>
    <hyperlink r:id="rId5807" ref="B5786"/>
    <hyperlink r:id="rId5808" ref="B5787"/>
    <hyperlink r:id="rId5809" ref="B5788"/>
    <hyperlink r:id="rId5810" ref="B5789"/>
    <hyperlink r:id="rId5811" ref="B5790"/>
    <hyperlink r:id="rId5812" ref="B5791"/>
    <hyperlink r:id="rId5813" ref="B5792"/>
    <hyperlink r:id="rId5814" ref="B5793"/>
    <hyperlink r:id="rId5815" ref="B5794"/>
    <hyperlink r:id="rId5816" ref="B5795"/>
    <hyperlink r:id="rId5817" ref="B5796"/>
    <hyperlink r:id="rId5818" ref="B5797"/>
    <hyperlink r:id="rId5819" ref="B5798"/>
    <hyperlink r:id="rId5820" ref="B5799"/>
    <hyperlink r:id="rId5821" ref="B5800"/>
    <hyperlink r:id="rId5822" ref="B5801"/>
    <hyperlink r:id="rId5823" ref="B5802"/>
    <hyperlink r:id="rId5824" ref="B5803"/>
    <hyperlink r:id="rId5825" ref="B5804"/>
    <hyperlink r:id="rId5826" ref="B5805"/>
    <hyperlink r:id="rId5827" ref="B5806"/>
    <hyperlink r:id="rId5828" ref="B5807"/>
    <hyperlink r:id="rId5829" ref="B5808"/>
    <hyperlink r:id="rId5830" ref="B5809"/>
    <hyperlink r:id="rId5831" ref="B5810"/>
    <hyperlink r:id="rId5832" ref="B5811"/>
    <hyperlink r:id="rId5833" ref="B5812"/>
    <hyperlink r:id="rId5834" ref="B5813"/>
    <hyperlink r:id="rId5835" ref="B5814"/>
    <hyperlink r:id="rId5836" ref="B5815"/>
    <hyperlink r:id="rId5837" ref="B5816"/>
    <hyperlink r:id="rId5838" ref="B5817"/>
    <hyperlink r:id="rId5839" ref="B5818"/>
    <hyperlink r:id="rId5840" ref="B5819"/>
    <hyperlink r:id="rId5841" ref="B5820"/>
    <hyperlink r:id="rId5842" ref="B5821"/>
    <hyperlink r:id="rId5843" ref="B5822"/>
    <hyperlink r:id="rId5844" ref="B5823"/>
    <hyperlink r:id="rId5845" ref="B5824"/>
    <hyperlink r:id="rId5846" ref="B5825"/>
    <hyperlink r:id="rId5847" ref="B5826"/>
    <hyperlink r:id="rId5848" ref="B5827"/>
    <hyperlink r:id="rId5849" ref="B5828"/>
    <hyperlink r:id="rId5850" ref="B5829"/>
    <hyperlink r:id="rId5851" ref="B5830"/>
    <hyperlink r:id="rId5852" ref="B5831"/>
    <hyperlink r:id="rId5853" ref="B5832"/>
    <hyperlink r:id="rId5854" ref="B5833"/>
    <hyperlink r:id="rId5855" ref="B5834"/>
    <hyperlink r:id="rId5856" ref="B5835"/>
    <hyperlink r:id="rId5857" ref="B5836"/>
    <hyperlink r:id="rId5858" ref="B5837"/>
    <hyperlink r:id="rId5859" ref="B5838"/>
    <hyperlink r:id="rId5860" ref="B5839"/>
    <hyperlink r:id="rId5861" ref="B5840"/>
    <hyperlink r:id="rId5862" ref="B5841"/>
    <hyperlink r:id="rId5863" ref="B5842"/>
    <hyperlink r:id="rId5864" ref="B5843"/>
    <hyperlink r:id="rId5865" ref="B5844"/>
    <hyperlink r:id="rId5866" ref="B5845"/>
    <hyperlink r:id="rId5867" ref="B5846"/>
    <hyperlink r:id="rId5868" ref="B5847"/>
    <hyperlink r:id="rId5869" ref="B5848"/>
    <hyperlink r:id="rId5870" ref="B5849"/>
    <hyperlink r:id="rId5871" ref="B5850"/>
    <hyperlink r:id="rId5872" ref="B5851"/>
    <hyperlink r:id="rId5873" ref="B5852"/>
    <hyperlink r:id="rId5874" ref="B5853"/>
    <hyperlink r:id="rId5875" ref="B5854"/>
    <hyperlink r:id="rId5876" ref="B5855"/>
    <hyperlink r:id="rId5877" ref="B5856"/>
    <hyperlink r:id="rId5878" ref="B5857"/>
    <hyperlink r:id="rId5879" ref="B5858"/>
    <hyperlink r:id="rId5880" ref="B5859"/>
    <hyperlink r:id="rId5881" ref="B5860"/>
    <hyperlink r:id="rId5882" ref="B5861"/>
    <hyperlink r:id="rId5883" ref="B5862"/>
    <hyperlink r:id="rId5884" ref="B5863"/>
    <hyperlink r:id="rId5885" ref="B5864"/>
    <hyperlink r:id="rId5886" ref="B5865"/>
    <hyperlink r:id="rId5887" ref="A5866"/>
    <hyperlink r:id="rId5888" ref="B5866"/>
    <hyperlink r:id="rId5889" ref="B5867"/>
    <hyperlink r:id="rId5890" ref="B5868"/>
    <hyperlink r:id="rId5891" ref="B5869"/>
    <hyperlink r:id="rId5892" ref="B5870"/>
    <hyperlink r:id="rId5893" ref="B5871"/>
    <hyperlink r:id="rId5894" ref="B5872"/>
    <hyperlink r:id="rId5895" ref="B5873"/>
    <hyperlink r:id="rId5896" ref="B5874"/>
    <hyperlink r:id="rId5897" ref="B5875"/>
    <hyperlink r:id="rId5898" ref="B5876"/>
    <hyperlink r:id="rId5899" ref="B5877"/>
    <hyperlink r:id="rId5900" ref="B5878"/>
    <hyperlink r:id="rId5901" ref="B5879"/>
    <hyperlink r:id="rId5902" ref="B5880"/>
    <hyperlink r:id="rId5903" ref="B5881"/>
    <hyperlink r:id="rId5904" ref="B5882"/>
    <hyperlink r:id="rId5905" ref="B5883"/>
    <hyperlink r:id="rId5906" ref="B5884"/>
    <hyperlink r:id="rId5907" ref="B5885"/>
    <hyperlink r:id="rId5908" ref="B5886"/>
    <hyperlink r:id="rId5909" ref="B5887"/>
    <hyperlink r:id="rId5910" ref="B5888"/>
    <hyperlink r:id="rId5911" ref="B5889"/>
    <hyperlink r:id="rId5912" ref="B5890"/>
    <hyperlink r:id="rId5913" ref="B5891"/>
    <hyperlink r:id="rId5914" ref="B5892"/>
    <hyperlink r:id="rId5915" ref="B5893"/>
    <hyperlink r:id="rId5916" ref="B5894"/>
    <hyperlink r:id="rId5917" ref="B5895"/>
    <hyperlink r:id="rId5918" ref="B5896"/>
    <hyperlink r:id="rId5919" ref="B5897"/>
    <hyperlink r:id="rId5920" ref="B5898"/>
    <hyperlink r:id="rId5921" ref="B5899"/>
    <hyperlink r:id="rId5922" ref="B5900"/>
    <hyperlink r:id="rId5923" ref="B5901"/>
    <hyperlink r:id="rId5924" ref="B5902"/>
    <hyperlink r:id="rId5925" ref="B5903"/>
    <hyperlink r:id="rId5926" ref="B5904"/>
    <hyperlink r:id="rId5927" ref="B5905"/>
    <hyperlink r:id="rId5928" ref="B5906"/>
    <hyperlink r:id="rId5929" ref="B5907"/>
    <hyperlink r:id="rId5930" ref="B5908"/>
    <hyperlink r:id="rId5931" ref="B5909"/>
    <hyperlink r:id="rId5932" ref="B5910"/>
    <hyperlink r:id="rId5933" ref="B5911"/>
    <hyperlink r:id="rId5934" ref="B5912"/>
    <hyperlink r:id="rId5935" ref="B5913"/>
    <hyperlink r:id="rId5936" ref="B5914"/>
    <hyperlink r:id="rId5937" ref="B5915"/>
    <hyperlink r:id="rId5938" ref="B5916"/>
    <hyperlink r:id="rId5939" ref="B5917"/>
    <hyperlink r:id="rId5940" ref="B5918"/>
    <hyperlink r:id="rId5941" ref="B5919"/>
    <hyperlink r:id="rId5942" ref="B5920"/>
    <hyperlink r:id="rId5943" ref="B5921"/>
    <hyperlink r:id="rId5944" ref="B5922"/>
    <hyperlink r:id="rId5945" ref="B5923"/>
    <hyperlink r:id="rId5946" ref="B5924"/>
    <hyperlink r:id="rId5947" ref="B5925"/>
    <hyperlink r:id="rId5948" ref="B5926"/>
    <hyperlink r:id="rId5949" ref="B5927"/>
    <hyperlink r:id="rId5950" ref="B5928"/>
    <hyperlink r:id="rId5951" ref="B5929"/>
    <hyperlink r:id="rId5952" ref="B5930"/>
    <hyperlink r:id="rId5953" ref="B5931"/>
    <hyperlink r:id="rId5954" ref="B5932"/>
    <hyperlink r:id="rId5955" ref="B5933"/>
    <hyperlink r:id="rId5956" ref="B5934"/>
    <hyperlink r:id="rId5957" ref="B5935"/>
    <hyperlink r:id="rId5958" ref="B5936"/>
    <hyperlink r:id="rId5959" ref="B5937"/>
    <hyperlink r:id="rId5960" ref="B5938"/>
    <hyperlink r:id="rId5961" ref="B5939"/>
    <hyperlink r:id="rId5962" ref="B5940"/>
    <hyperlink r:id="rId5963" ref="B5941"/>
    <hyperlink r:id="rId5964" ref="B5942"/>
    <hyperlink r:id="rId5965" ref="B5943"/>
    <hyperlink r:id="rId5966" ref="B5944"/>
    <hyperlink r:id="rId5967" ref="B5945"/>
    <hyperlink r:id="rId5968" ref="B5946"/>
    <hyperlink r:id="rId5969" ref="B5947"/>
    <hyperlink r:id="rId5970" ref="B5948"/>
    <hyperlink r:id="rId5971" ref="B5949"/>
    <hyperlink r:id="rId5972" ref="B5950"/>
    <hyperlink r:id="rId5973" ref="B5951"/>
    <hyperlink r:id="rId5974" ref="B5952"/>
    <hyperlink r:id="rId5975" ref="B5953"/>
    <hyperlink r:id="rId5976" ref="B5954"/>
    <hyperlink r:id="rId5977" ref="B5955"/>
    <hyperlink r:id="rId5978" ref="B5956"/>
    <hyperlink r:id="rId5979" ref="B5957"/>
    <hyperlink r:id="rId5980" ref="B5958"/>
    <hyperlink r:id="rId5981" ref="B5959"/>
    <hyperlink r:id="rId5982" ref="B5960"/>
    <hyperlink r:id="rId5983" ref="B5961"/>
    <hyperlink r:id="rId5984" ref="B5962"/>
    <hyperlink r:id="rId5985" ref="B5963"/>
    <hyperlink r:id="rId5986" ref="B5964"/>
    <hyperlink r:id="rId5987" ref="B5965"/>
    <hyperlink r:id="rId5988" ref="B5966"/>
    <hyperlink r:id="rId5989" ref="B5967"/>
    <hyperlink r:id="rId5990" ref="B5968"/>
    <hyperlink r:id="rId5991" ref="B5969"/>
    <hyperlink r:id="rId5992" ref="B5970"/>
    <hyperlink r:id="rId5993" ref="B5971"/>
    <hyperlink r:id="rId5994" ref="B5972"/>
    <hyperlink r:id="rId5995" ref="B5973"/>
    <hyperlink r:id="rId5996" ref="B5974"/>
    <hyperlink r:id="rId5997" ref="B5975"/>
    <hyperlink r:id="rId5998" ref="B5976"/>
    <hyperlink r:id="rId5999" ref="B5977"/>
    <hyperlink r:id="rId6000" ref="B5978"/>
    <hyperlink r:id="rId6001" ref="B5979"/>
    <hyperlink r:id="rId6002" ref="B5980"/>
    <hyperlink r:id="rId6003" ref="B5981"/>
    <hyperlink r:id="rId6004" ref="B5982"/>
    <hyperlink r:id="rId6005" ref="B5983"/>
    <hyperlink r:id="rId6006" ref="B5984"/>
    <hyperlink r:id="rId6007" ref="B5985"/>
    <hyperlink r:id="rId6008" ref="B5986"/>
    <hyperlink r:id="rId6009" ref="B5987"/>
    <hyperlink r:id="rId6010" ref="B5988"/>
    <hyperlink r:id="rId6011" ref="B5989"/>
    <hyperlink r:id="rId6012" ref="B5990"/>
    <hyperlink r:id="rId6013" ref="B5991"/>
    <hyperlink r:id="rId6014" ref="B5992"/>
    <hyperlink r:id="rId6015" ref="B5993"/>
    <hyperlink r:id="rId6016" ref="B5994"/>
    <hyperlink r:id="rId6017" ref="B5995"/>
    <hyperlink r:id="rId6018" ref="B5996"/>
    <hyperlink r:id="rId6019" ref="B5997"/>
    <hyperlink r:id="rId6020" ref="B5998"/>
    <hyperlink r:id="rId6021" ref="B5999"/>
    <hyperlink r:id="rId6022" ref="B6000"/>
    <hyperlink r:id="rId6023" ref="B6001"/>
    <hyperlink r:id="rId6024" ref="B6002"/>
    <hyperlink r:id="rId6025" ref="B6003"/>
    <hyperlink r:id="rId6026" ref="B6004"/>
    <hyperlink r:id="rId6027" ref="B6005"/>
    <hyperlink r:id="rId6028" ref="B6006"/>
    <hyperlink r:id="rId6029" ref="B6007"/>
    <hyperlink r:id="rId6030" ref="B6008"/>
    <hyperlink r:id="rId6031" ref="B6009"/>
    <hyperlink r:id="rId6032" ref="B6010"/>
    <hyperlink r:id="rId6033" ref="B6011"/>
    <hyperlink r:id="rId6034" ref="B6012"/>
    <hyperlink r:id="rId6035" ref="B6013"/>
    <hyperlink r:id="rId6036" ref="B6014"/>
    <hyperlink r:id="rId6037" ref="B6015"/>
    <hyperlink r:id="rId6038" ref="B6016"/>
    <hyperlink r:id="rId6039" ref="B6017"/>
    <hyperlink r:id="rId6040" ref="B6018"/>
    <hyperlink r:id="rId6041" ref="B6019"/>
    <hyperlink r:id="rId6042" ref="B6020"/>
    <hyperlink r:id="rId6043" ref="B6021"/>
    <hyperlink r:id="rId6044" ref="B6022"/>
    <hyperlink r:id="rId6045" ref="B6023"/>
    <hyperlink r:id="rId6046" ref="B6024"/>
    <hyperlink r:id="rId6047" ref="B6025"/>
    <hyperlink r:id="rId6048" ref="B6026"/>
    <hyperlink r:id="rId6049" ref="B6027"/>
    <hyperlink r:id="rId6050" ref="B6028"/>
    <hyperlink r:id="rId6051" ref="B6029"/>
    <hyperlink r:id="rId6052" ref="B6030"/>
    <hyperlink r:id="rId6053" ref="B6031"/>
    <hyperlink r:id="rId6054" ref="B6032"/>
    <hyperlink r:id="rId6055" ref="B6033"/>
    <hyperlink r:id="rId6056" ref="B6034"/>
    <hyperlink r:id="rId6057" ref="B6035"/>
    <hyperlink r:id="rId6058" ref="B6036"/>
    <hyperlink r:id="rId6059" ref="B6037"/>
    <hyperlink r:id="rId6060" ref="B6038"/>
    <hyperlink r:id="rId6061" ref="B6039"/>
    <hyperlink r:id="rId6062" ref="B6040"/>
    <hyperlink r:id="rId6063" ref="B6041"/>
    <hyperlink r:id="rId6064" ref="B6042"/>
    <hyperlink r:id="rId6065" ref="B6043"/>
    <hyperlink r:id="rId6066" ref="B6044"/>
    <hyperlink r:id="rId6067" ref="B6045"/>
    <hyperlink r:id="rId6068" ref="B6046"/>
    <hyperlink r:id="rId6069" ref="B6047"/>
    <hyperlink r:id="rId6070" ref="B6048"/>
    <hyperlink r:id="rId6071" ref="B6049"/>
    <hyperlink r:id="rId6072" ref="B6050"/>
    <hyperlink r:id="rId6073" ref="B6051"/>
    <hyperlink r:id="rId6074" ref="B6052"/>
    <hyperlink r:id="rId6075" ref="B6053"/>
    <hyperlink r:id="rId6076" ref="B6054"/>
    <hyperlink r:id="rId6077" ref="B6055"/>
    <hyperlink r:id="rId6078" ref="B6056"/>
    <hyperlink r:id="rId6079" ref="B6057"/>
    <hyperlink r:id="rId6080" ref="B6058"/>
    <hyperlink r:id="rId6081" ref="B6059"/>
    <hyperlink r:id="rId6082" ref="B6060"/>
    <hyperlink r:id="rId6083" ref="B6061"/>
    <hyperlink r:id="rId6084" ref="B6062"/>
    <hyperlink r:id="rId6085" ref="B6063"/>
    <hyperlink r:id="rId6086" ref="B6064"/>
    <hyperlink r:id="rId6087" ref="B6065"/>
    <hyperlink r:id="rId6088" ref="B6066"/>
    <hyperlink r:id="rId6089" ref="B6067"/>
    <hyperlink r:id="rId6090" ref="B6068"/>
    <hyperlink r:id="rId6091" ref="B6069"/>
    <hyperlink r:id="rId6092" ref="B6070"/>
    <hyperlink r:id="rId6093" ref="B6071"/>
    <hyperlink r:id="rId6094" ref="B6072"/>
    <hyperlink r:id="rId6095" ref="B6073"/>
    <hyperlink r:id="rId6096" ref="B6074"/>
    <hyperlink r:id="rId6097" ref="B6075"/>
    <hyperlink r:id="rId6098" ref="B6076"/>
    <hyperlink r:id="rId6099" ref="B6077"/>
    <hyperlink r:id="rId6100" ref="B6078"/>
    <hyperlink r:id="rId6101" ref="B6079"/>
    <hyperlink r:id="rId6102" ref="B6080"/>
    <hyperlink r:id="rId6103" ref="B6081"/>
    <hyperlink r:id="rId6104" ref="B6082"/>
    <hyperlink r:id="rId6105" ref="B6083"/>
    <hyperlink r:id="rId6106" ref="B6084"/>
    <hyperlink r:id="rId6107" ref="B6085"/>
    <hyperlink r:id="rId6108" ref="B6086"/>
    <hyperlink r:id="rId6109" ref="B6087"/>
    <hyperlink r:id="rId6110" ref="B6088"/>
    <hyperlink r:id="rId6111" ref="B6089"/>
    <hyperlink r:id="rId6112" ref="B6090"/>
    <hyperlink r:id="rId6113" ref="B6091"/>
    <hyperlink r:id="rId6114" ref="B6092"/>
    <hyperlink r:id="rId6115" ref="B6093"/>
    <hyperlink r:id="rId6116" ref="B6094"/>
    <hyperlink r:id="rId6117" ref="B6095"/>
    <hyperlink r:id="rId6118" ref="B6096"/>
    <hyperlink r:id="rId6119" ref="B6097"/>
    <hyperlink r:id="rId6120" ref="B6098"/>
    <hyperlink r:id="rId6121" ref="B6099"/>
    <hyperlink r:id="rId6122" ref="B6100"/>
    <hyperlink r:id="rId6123" ref="B6101"/>
    <hyperlink r:id="rId6124" ref="B6102"/>
    <hyperlink r:id="rId6125" ref="B6103"/>
    <hyperlink r:id="rId6126" ref="B6104"/>
    <hyperlink r:id="rId6127" ref="B6105"/>
    <hyperlink r:id="rId6128" ref="B6106"/>
    <hyperlink r:id="rId6129" ref="B6107"/>
    <hyperlink r:id="rId6130" ref="B6108"/>
    <hyperlink r:id="rId6131" ref="B6109"/>
    <hyperlink r:id="rId6132" ref="B6110"/>
    <hyperlink r:id="rId6133" ref="B6111"/>
    <hyperlink r:id="rId6134" ref="B6112"/>
    <hyperlink r:id="rId6135" ref="B6113"/>
    <hyperlink r:id="rId6136" ref="B6114"/>
    <hyperlink r:id="rId6137" ref="B6115"/>
    <hyperlink r:id="rId6138" ref="B6116"/>
    <hyperlink r:id="rId6139" ref="B6117"/>
    <hyperlink r:id="rId6140" ref="B6118"/>
    <hyperlink r:id="rId6141" ref="B6119"/>
    <hyperlink r:id="rId6142" ref="B6120"/>
    <hyperlink r:id="rId6143" ref="B6121"/>
    <hyperlink r:id="rId6144" ref="B6122"/>
    <hyperlink r:id="rId6145" ref="B6123"/>
    <hyperlink r:id="rId6146" ref="B6124"/>
    <hyperlink r:id="rId6147" ref="B6125"/>
    <hyperlink r:id="rId6148" ref="A6126"/>
    <hyperlink r:id="rId6149" ref="B6126"/>
    <hyperlink r:id="rId6150" ref="B6127"/>
    <hyperlink r:id="rId6151" ref="B6128"/>
    <hyperlink r:id="rId6152" ref="B6129"/>
    <hyperlink r:id="rId6153" ref="B6130"/>
    <hyperlink r:id="rId6154" ref="B6131"/>
    <hyperlink r:id="rId6155" ref="B6132"/>
    <hyperlink r:id="rId6156" ref="B6133"/>
    <hyperlink r:id="rId6157" ref="B6134"/>
    <hyperlink r:id="rId6158" ref="B6135"/>
    <hyperlink r:id="rId6159" ref="B6136"/>
    <hyperlink r:id="rId6160" ref="B6137"/>
    <hyperlink r:id="rId6161" ref="B6138"/>
    <hyperlink r:id="rId6162" ref="B6139"/>
    <hyperlink r:id="rId6163" ref="B6140"/>
    <hyperlink r:id="rId6164" ref="B6141"/>
    <hyperlink r:id="rId6165" ref="B6142"/>
    <hyperlink r:id="rId6166" ref="B6143"/>
    <hyperlink r:id="rId6167" ref="B6144"/>
    <hyperlink r:id="rId6168" ref="B6145"/>
    <hyperlink r:id="rId6169" ref="B6146"/>
    <hyperlink r:id="rId6170" ref="B6147"/>
    <hyperlink r:id="rId6171" ref="B6148"/>
    <hyperlink r:id="rId6172" ref="B6149"/>
    <hyperlink r:id="rId6173" ref="B6150"/>
    <hyperlink r:id="rId6174" ref="B6151"/>
    <hyperlink r:id="rId6175" ref="B6152"/>
    <hyperlink r:id="rId6176" ref="B6153"/>
    <hyperlink r:id="rId6177" ref="B6154"/>
    <hyperlink r:id="rId6178" ref="B6155"/>
    <hyperlink r:id="rId6179" ref="B6156"/>
    <hyperlink r:id="rId6180" ref="B6157"/>
    <hyperlink r:id="rId6181" ref="B6158"/>
    <hyperlink r:id="rId6182" ref="B6159"/>
    <hyperlink r:id="rId6183" ref="B6160"/>
    <hyperlink r:id="rId6184" ref="B6161"/>
    <hyperlink r:id="rId6185" ref="B6162"/>
    <hyperlink r:id="rId6186" ref="B6163"/>
    <hyperlink r:id="rId6187" ref="B6164"/>
    <hyperlink r:id="rId6188" ref="B6165"/>
    <hyperlink r:id="rId6189" ref="B6166"/>
    <hyperlink r:id="rId6190" ref="B6167"/>
    <hyperlink r:id="rId6191" ref="B6168"/>
    <hyperlink r:id="rId6192" ref="B6169"/>
    <hyperlink r:id="rId6193" ref="B6170"/>
    <hyperlink r:id="rId6194" ref="B6171"/>
    <hyperlink r:id="rId6195" ref="B6172"/>
    <hyperlink r:id="rId6196" ref="B6173"/>
    <hyperlink r:id="rId6197" ref="B6174"/>
    <hyperlink r:id="rId6198" ref="B6175"/>
    <hyperlink r:id="rId6199" ref="B6176"/>
    <hyperlink r:id="rId6200" ref="B6177"/>
    <hyperlink r:id="rId6201" ref="B6178"/>
    <hyperlink r:id="rId6202" ref="B6179"/>
    <hyperlink r:id="rId6203" ref="B6180"/>
    <hyperlink r:id="rId6204" ref="B6181"/>
    <hyperlink r:id="rId6205" ref="B6182"/>
    <hyperlink r:id="rId6206" ref="B6183"/>
    <hyperlink r:id="rId6207" ref="B6184"/>
    <hyperlink r:id="rId6208" ref="B6185"/>
    <hyperlink r:id="rId6209" ref="B6186"/>
    <hyperlink r:id="rId6210" ref="B6187"/>
    <hyperlink r:id="rId6211" ref="B6188"/>
    <hyperlink r:id="rId6212" ref="B6189"/>
    <hyperlink r:id="rId6213" ref="B6190"/>
    <hyperlink r:id="rId6214" ref="B6191"/>
    <hyperlink r:id="rId6215" ref="B6192"/>
    <hyperlink r:id="rId6216" ref="B6193"/>
    <hyperlink r:id="rId6217" ref="B6194"/>
    <hyperlink r:id="rId6218" ref="B6195"/>
    <hyperlink r:id="rId6219" ref="B6196"/>
    <hyperlink r:id="rId6220" ref="B6197"/>
    <hyperlink r:id="rId6221" ref="B6198"/>
    <hyperlink r:id="rId6222" ref="B6199"/>
    <hyperlink r:id="rId6223" ref="B6200"/>
    <hyperlink r:id="rId6224" ref="B6201"/>
    <hyperlink r:id="rId6225" ref="B6202"/>
    <hyperlink r:id="rId6226" ref="B6203"/>
    <hyperlink r:id="rId6227" ref="B6204"/>
    <hyperlink r:id="rId6228" ref="B6205"/>
    <hyperlink r:id="rId6229" ref="B6206"/>
    <hyperlink r:id="rId6230" ref="B6207"/>
    <hyperlink r:id="rId6231" ref="B6208"/>
    <hyperlink r:id="rId6232" ref="B6209"/>
    <hyperlink r:id="rId6233" ref="B6210"/>
    <hyperlink r:id="rId6234" ref="B6211"/>
    <hyperlink r:id="rId6235" ref="B6212"/>
    <hyperlink r:id="rId6236" ref="B6213"/>
    <hyperlink r:id="rId6237" ref="B6214"/>
    <hyperlink r:id="rId6238" ref="B6215"/>
    <hyperlink r:id="rId6239" ref="B6216"/>
    <hyperlink r:id="rId6240" ref="B6217"/>
    <hyperlink r:id="rId6241" ref="B6218"/>
    <hyperlink r:id="rId6242" ref="B6219"/>
    <hyperlink r:id="rId6243" ref="B6220"/>
    <hyperlink r:id="rId6244" ref="B6221"/>
    <hyperlink r:id="rId6245" ref="B6222"/>
    <hyperlink r:id="rId6246" ref="B6223"/>
    <hyperlink r:id="rId6247" ref="B6224"/>
    <hyperlink r:id="rId6248" ref="B6225"/>
    <hyperlink r:id="rId6249" ref="B6226"/>
    <hyperlink r:id="rId6250" ref="A6227"/>
    <hyperlink r:id="rId6251" ref="B6227"/>
    <hyperlink r:id="rId6252" ref="B6228"/>
    <hyperlink r:id="rId6253" ref="B6229"/>
    <hyperlink r:id="rId6254" ref="B6230"/>
    <hyperlink r:id="rId6255" ref="B6231"/>
    <hyperlink r:id="rId6256" ref="B6232"/>
    <hyperlink r:id="rId6257" ref="B6233"/>
    <hyperlink r:id="rId6258" ref="B6234"/>
    <hyperlink r:id="rId6259" ref="B6235"/>
    <hyperlink r:id="rId6260" ref="B6236"/>
    <hyperlink r:id="rId6261" ref="B6237"/>
    <hyperlink r:id="rId6262" ref="B6238"/>
    <hyperlink r:id="rId6263" ref="B6239"/>
    <hyperlink r:id="rId6264" ref="B6240"/>
    <hyperlink r:id="rId6265" ref="B6241"/>
    <hyperlink r:id="rId6266" ref="B6242"/>
    <hyperlink r:id="rId6267" ref="B6243"/>
    <hyperlink r:id="rId6268" ref="B6244"/>
    <hyperlink r:id="rId6269" ref="B6245"/>
    <hyperlink r:id="rId6270" ref="B6246"/>
    <hyperlink r:id="rId6271" ref="B6247"/>
    <hyperlink r:id="rId6272" ref="B6248"/>
    <hyperlink r:id="rId6273" ref="B6249"/>
    <hyperlink r:id="rId6274" ref="B6250"/>
    <hyperlink r:id="rId6275" ref="B6251"/>
    <hyperlink r:id="rId6276" ref="B6252"/>
    <hyperlink r:id="rId6277" ref="B6253"/>
    <hyperlink r:id="rId6278" ref="B6254"/>
    <hyperlink r:id="rId6279" ref="B6255"/>
    <hyperlink r:id="rId6280" ref="B6256"/>
    <hyperlink r:id="rId6281" ref="B6257"/>
    <hyperlink r:id="rId6282" ref="B6258"/>
    <hyperlink r:id="rId6283" ref="B6259"/>
    <hyperlink r:id="rId6284" ref="B6260"/>
    <hyperlink r:id="rId6285" ref="B6261"/>
    <hyperlink r:id="rId6286" ref="B6262"/>
    <hyperlink r:id="rId6287" ref="B6263"/>
    <hyperlink r:id="rId6288" ref="B6264"/>
    <hyperlink r:id="rId6289" ref="B6265"/>
    <hyperlink r:id="rId6290" ref="B6266"/>
    <hyperlink r:id="rId6291" ref="B6267"/>
    <hyperlink r:id="rId6292" ref="B6268"/>
    <hyperlink r:id="rId6293" ref="B6269"/>
    <hyperlink r:id="rId6294" ref="B6270"/>
    <hyperlink r:id="rId6295" ref="B6271"/>
    <hyperlink r:id="rId6296" ref="B6272"/>
    <hyperlink r:id="rId6297" ref="B6273"/>
    <hyperlink r:id="rId6298" ref="B6274"/>
    <hyperlink r:id="rId6299" ref="B6275"/>
    <hyperlink r:id="rId6300" ref="B6276"/>
    <hyperlink r:id="rId6301" ref="B6277"/>
    <hyperlink r:id="rId6302" ref="B6278"/>
    <hyperlink r:id="rId6303" ref="B6279"/>
    <hyperlink r:id="rId6304" ref="B6280"/>
    <hyperlink r:id="rId6305" ref="B6281"/>
    <hyperlink r:id="rId6306" ref="B6282"/>
    <hyperlink r:id="rId6307" ref="B6283"/>
    <hyperlink r:id="rId6308" ref="B6284"/>
    <hyperlink r:id="rId6309" ref="B6285"/>
    <hyperlink r:id="rId6310" ref="B6286"/>
    <hyperlink r:id="rId6311" ref="B6287"/>
    <hyperlink r:id="rId6312" ref="B6288"/>
    <hyperlink r:id="rId6313" ref="B6289"/>
    <hyperlink r:id="rId6314" ref="B6290"/>
    <hyperlink r:id="rId6315" ref="B6291"/>
    <hyperlink r:id="rId6316" ref="B6292"/>
    <hyperlink r:id="rId6317" ref="B6293"/>
    <hyperlink r:id="rId6318" ref="B6294"/>
    <hyperlink r:id="rId6319" ref="B6295"/>
    <hyperlink r:id="rId6320" ref="B6296"/>
    <hyperlink r:id="rId6321" ref="B6297"/>
    <hyperlink r:id="rId6322" ref="B6298"/>
    <hyperlink r:id="rId6323" ref="B6299"/>
    <hyperlink r:id="rId6324" ref="B6300"/>
    <hyperlink r:id="rId6325" ref="B6301"/>
    <hyperlink r:id="rId6326" ref="B6302"/>
    <hyperlink r:id="rId6327" ref="B6303"/>
    <hyperlink r:id="rId6328" ref="B6304"/>
    <hyperlink r:id="rId6329" ref="B6305"/>
    <hyperlink r:id="rId6330" ref="B6306"/>
    <hyperlink r:id="rId6331" ref="B6307"/>
    <hyperlink r:id="rId6332" ref="B6308"/>
    <hyperlink r:id="rId6333" ref="B6309"/>
    <hyperlink r:id="rId6334" ref="B6310"/>
    <hyperlink r:id="rId6335" ref="B6311"/>
    <hyperlink r:id="rId6336" ref="B6312"/>
    <hyperlink r:id="rId6337" ref="B6313"/>
    <hyperlink r:id="rId6338" ref="B6314"/>
    <hyperlink r:id="rId6339" ref="B6315"/>
    <hyperlink r:id="rId6340" ref="B6316"/>
    <hyperlink r:id="rId6341" ref="B6317"/>
    <hyperlink r:id="rId6342" ref="B6318"/>
    <hyperlink r:id="rId6343" ref="B6319"/>
    <hyperlink r:id="rId6344" ref="B6320"/>
    <hyperlink r:id="rId6345" ref="B6321"/>
    <hyperlink r:id="rId6346" ref="B6322"/>
    <hyperlink r:id="rId6347" ref="B6323"/>
    <hyperlink r:id="rId6348" ref="B6324"/>
    <hyperlink r:id="rId6349" ref="B6325"/>
    <hyperlink r:id="rId6350" ref="B6326"/>
    <hyperlink r:id="rId6351" ref="B6327"/>
    <hyperlink r:id="rId6352" ref="B6328"/>
    <hyperlink r:id="rId6353" ref="B6329"/>
    <hyperlink r:id="rId6354" ref="B6330"/>
    <hyperlink r:id="rId6355" ref="B6331"/>
    <hyperlink r:id="rId6356" ref="B6332"/>
    <hyperlink r:id="rId6357" ref="B6333"/>
    <hyperlink r:id="rId6358" ref="B6334"/>
    <hyperlink r:id="rId6359" ref="B6335"/>
    <hyperlink r:id="rId6360" ref="B6336"/>
    <hyperlink r:id="rId6361" ref="B6337"/>
    <hyperlink r:id="rId6362" ref="B6338"/>
    <hyperlink r:id="rId6363" ref="B6339"/>
    <hyperlink r:id="rId6364" ref="B6340"/>
    <hyperlink r:id="rId6365" ref="B6341"/>
    <hyperlink r:id="rId6366" ref="B6342"/>
    <hyperlink r:id="rId6367" ref="B6343"/>
    <hyperlink r:id="rId6368" ref="B6344"/>
    <hyperlink r:id="rId6369" ref="B6345"/>
    <hyperlink r:id="rId6370" ref="B6346"/>
    <hyperlink r:id="rId6371" ref="B6347"/>
    <hyperlink r:id="rId6372" ref="B6348"/>
    <hyperlink r:id="rId6373" ref="B6349"/>
    <hyperlink r:id="rId6374" ref="B6350"/>
    <hyperlink r:id="rId6375" ref="B6351"/>
    <hyperlink r:id="rId6376" ref="B6352"/>
    <hyperlink r:id="rId6377" ref="B6353"/>
    <hyperlink r:id="rId6378" ref="B6354"/>
    <hyperlink r:id="rId6379" ref="B6355"/>
    <hyperlink r:id="rId6380" ref="B6356"/>
    <hyperlink r:id="rId6381" ref="B6357"/>
    <hyperlink r:id="rId6382" ref="B6358"/>
    <hyperlink r:id="rId6383" ref="B6359"/>
    <hyperlink r:id="rId6384" ref="B6360"/>
    <hyperlink r:id="rId6385" ref="B6361"/>
    <hyperlink r:id="rId6386" ref="B6362"/>
    <hyperlink r:id="rId6387" ref="B6363"/>
    <hyperlink r:id="rId6388" ref="B6364"/>
    <hyperlink r:id="rId6389" ref="B6365"/>
    <hyperlink r:id="rId6390" ref="B6366"/>
    <hyperlink r:id="rId6391" ref="B6367"/>
    <hyperlink r:id="rId6392" ref="B6368"/>
    <hyperlink r:id="rId6393" ref="B6369"/>
    <hyperlink r:id="rId6394" ref="B6370"/>
    <hyperlink r:id="rId6395" ref="B6371"/>
    <hyperlink r:id="rId6396" ref="B6372"/>
    <hyperlink r:id="rId6397" ref="B6373"/>
    <hyperlink r:id="rId6398" ref="B6374"/>
    <hyperlink r:id="rId6399" ref="B6375"/>
    <hyperlink r:id="rId6400" ref="B6376"/>
    <hyperlink r:id="rId6401" ref="B6377"/>
    <hyperlink r:id="rId6402" ref="B6378"/>
    <hyperlink r:id="rId6403" ref="B6379"/>
    <hyperlink r:id="rId6404" ref="B6380"/>
    <hyperlink r:id="rId6405" ref="B6381"/>
    <hyperlink r:id="rId6406" ref="B6382"/>
    <hyperlink r:id="rId6407" ref="B6383"/>
    <hyperlink r:id="rId6408" ref="B6384"/>
    <hyperlink r:id="rId6409" ref="B6385"/>
    <hyperlink r:id="rId6410" ref="B6386"/>
    <hyperlink r:id="rId6411" ref="B6387"/>
    <hyperlink r:id="rId6412" ref="B6388"/>
    <hyperlink r:id="rId6413" ref="B6389"/>
    <hyperlink r:id="rId6414" ref="B6390"/>
    <hyperlink r:id="rId6415" ref="B6391"/>
    <hyperlink r:id="rId6416" ref="B6392"/>
    <hyperlink r:id="rId6417" ref="B6393"/>
    <hyperlink r:id="rId6418" ref="B6394"/>
    <hyperlink r:id="rId6419" ref="B6395"/>
    <hyperlink r:id="rId6420" ref="B6396"/>
    <hyperlink r:id="rId6421" ref="B6397"/>
    <hyperlink r:id="rId6422" ref="B6398"/>
    <hyperlink r:id="rId6423" ref="B6399"/>
    <hyperlink r:id="rId6424" ref="B6400"/>
    <hyperlink r:id="rId6425" ref="B6401"/>
    <hyperlink r:id="rId6426" ref="B6402"/>
    <hyperlink r:id="rId6427" ref="B6403"/>
    <hyperlink r:id="rId6428" ref="B6404"/>
    <hyperlink r:id="rId6429" ref="B6405"/>
    <hyperlink r:id="rId6430" ref="B6406"/>
    <hyperlink r:id="rId6431" ref="B6407"/>
    <hyperlink r:id="rId6432" ref="B6408"/>
    <hyperlink r:id="rId6433" ref="B6409"/>
    <hyperlink r:id="rId6434" ref="B6410"/>
    <hyperlink r:id="rId6435" ref="B6411"/>
    <hyperlink r:id="rId6436" ref="B6412"/>
    <hyperlink r:id="rId6437" ref="B6413"/>
    <hyperlink r:id="rId6438" ref="B6414"/>
    <hyperlink r:id="rId6439" ref="B6415"/>
    <hyperlink r:id="rId6440" ref="B6416"/>
    <hyperlink r:id="rId6441" ref="B6417"/>
    <hyperlink r:id="rId6442" ref="B6418"/>
    <hyperlink r:id="rId6443" ref="B6419"/>
    <hyperlink r:id="rId6444" ref="B6420"/>
    <hyperlink r:id="rId6445" ref="B6421"/>
    <hyperlink r:id="rId6446" ref="B6422"/>
    <hyperlink r:id="rId6447" ref="B6423"/>
    <hyperlink r:id="rId6448" ref="B6424"/>
    <hyperlink r:id="rId6449" ref="B6425"/>
    <hyperlink r:id="rId6450" ref="B6426"/>
    <hyperlink r:id="rId6451" ref="B6427"/>
    <hyperlink r:id="rId6452" ref="B6428"/>
    <hyperlink r:id="rId6453" ref="B6429"/>
    <hyperlink r:id="rId6454" ref="B6430"/>
    <hyperlink r:id="rId6455" ref="B6431"/>
    <hyperlink r:id="rId6456" ref="B6432"/>
    <hyperlink r:id="rId6457" ref="B6433"/>
    <hyperlink r:id="rId6458" ref="B6434"/>
    <hyperlink r:id="rId6459" ref="B6435"/>
    <hyperlink r:id="rId6460" ref="B6436"/>
    <hyperlink r:id="rId6461" ref="B6437"/>
    <hyperlink r:id="rId6462" ref="B6438"/>
    <hyperlink r:id="rId6463" ref="B6439"/>
    <hyperlink r:id="rId6464" ref="B6440"/>
    <hyperlink r:id="rId6465" ref="B6441"/>
    <hyperlink r:id="rId6466" ref="B6442"/>
    <hyperlink r:id="rId6467" ref="B6443"/>
    <hyperlink r:id="rId6468" ref="B6444"/>
    <hyperlink r:id="rId6469" ref="B6445"/>
    <hyperlink r:id="rId6470" ref="B6446"/>
    <hyperlink r:id="rId6471" ref="B6447"/>
    <hyperlink r:id="rId6472" ref="B6448"/>
    <hyperlink r:id="rId6473" ref="B6449"/>
    <hyperlink r:id="rId6474" ref="B6450"/>
    <hyperlink r:id="rId6475" ref="B6451"/>
    <hyperlink r:id="rId6476" ref="B6452"/>
    <hyperlink r:id="rId6477" ref="B6453"/>
    <hyperlink r:id="rId6478" ref="B6454"/>
    <hyperlink r:id="rId6479" ref="B6455"/>
    <hyperlink r:id="rId6480" ref="B6456"/>
    <hyperlink r:id="rId6481" ref="B6457"/>
    <hyperlink r:id="rId6482" ref="B6458"/>
    <hyperlink r:id="rId6483" ref="B6459"/>
    <hyperlink r:id="rId6484" ref="B6460"/>
    <hyperlink r:id="rId6485" ref="B6461"/>
    <hyperlink r:id="rId6486" ref="B6462"/>
    <hyperlink r:id="rId6487" ref="B6463"/>
    <hyperlink r:id="rId6488" ref="B6464"/>
    <hyperlink r:id="rId6489" ref="B6465"/>
    <hyperlink r:id="rId6490" ref="B6466"/>
    <hyperlink r:id="rId6491" ref="B6467"/>
    <hyperlink r:id="rId6492" ref="B6468"/>
    <hyperlink r:id="rId6493" ref="B6469"/>
    <hyperlink r:id="rId6494" ref="B6470"/>
    <hyperlink r:id="rId6495" ref="B6471"/>
    <hyperlink r:id="rId6496" ref="B6472"/>
    <hyperlink r:id="rId6497" ref="B6473"/>
    <hyperlink r:id="rId6498" ref="B6474"/>
    <hyperlink r:id="rId6499" ref="B6475"/>
    <hyperlink r:id="rId6500" ref="B6476"/>
    <hyperlink r:id="rId6501" ref="B6477"/>
    <hyperlink r:id="rId6502" ref="B6478"/>
    <hyperlink r:id="rId6503" ref="B6479"/>
    <hyperlink r:id="rId6504" ref="B6480"/>
    <hyperlink r:id="rId6505" ref="B6481"/>
    <hyperlink r:id="rId6506" ref="B6482"/>
    <hyperlink r:id="rId6507" ref="B6483"/>
    <hyperlink r:id="rId6508" ref="B6484"/>
    <hyperlink r:id="rId6509" ref="B6485"/>
    <hyperlink r:id="rId6510" ref="B6486"/>
    <hyperlink r:id="rId6511" ref="B6487"/>
    <hyperlink r:id="rId6512" ref="B6488"/>
    <hyperlink r:id="rId6513" ref="B6489"/>
    <hyperlink r:id="rId6514" ref="B6490"/>
    <hyperlink r:id="rId6515" ref="B6491"/>
    <hyperlink r:id="rId6516" ref="B6492"/>
    <hyperlink r:id="rId6517" ref="B6493"/>
    <hyperlink r:id="rId6518" ref="B6494"/>
    <hyperlink r:id="rId6519" ref="B6495"/>
    <hyperlink r:id="rId6520" ref="B6496"/>
    <hyperlink r:id="rId6521" ref="B6497"/>
    <hyperlink r:id="rId6522" ref="B6498"/>
    <hyperlink r:id="rId6523" ref="B6499"/>
    <hyperlink r:id="rId6524" ref="B6500"/>
    <hyperlink r:id="rId6525" ref="A6501"/>
    <hyperlink r:id="rId6526" ref="B6501"/>
    <hyperlink r:id="rId6527" ref="B6502"/>
    <hyperlink r:id="rId6528" ref="B6503"/>
    <hyperlink r:id="rId6529" ref="B6504"/>
    <hyperlink r:id="rId6530" ref="B6505"/>
    <hyperlink r:id="rId6531" ref="B6506"/>
    <hyperlink r:id="rId6532" ref="B6507"/>
    <hyperlink r:id="rId6533" ref="B6508"/>
    <hyperlink r:id="rId6534" ref="B6509"/>
    <hyperlink r:id="rId6535" ref="B6510"/>
    <hyperlink r:id="rId6536" ref="B6511"/>
    <hyperlink r:id="rId6537" ref="B6512"/>
    <hyperlink r:id="rId6538" ref="B6513"/>
    <hyperlink r:id="rId6539" ref="B6514"/>
    <hyperlink r:id="rId6540" ref="B6515"/>
    <hyperlink r:id="rId6541" ref="B6516"/>
    <hyperlink r:id="rId6542" ref="B6517"/>
    <hyperlink r:id="rId6543" ref="B6518"/>
    <hyperlink r:id="rId6544" ref="B6519"/>
    <hyperlink r:id="rId6545" ref="B6520"/>
    <hyperlink r:id="rId6546" ref="B6521"/>
    <hyperlink r:id="rId6547" ref="B6522"/>
    <hyperlink r:id="rId6548" ref="B6523"/>
    <hyperlink r:id="rId6549" ref="B6524"/>
    <hyperlink r:id="rId6550" ref="B6525"/>
    <hyperlink r:id="rId6551" ref="B6526"/>
    <hyperlink r:id="rId6552" ref="B6527"/>
    <hyperlink r:id="rId6553" ref="B6528"/>
    <hyperlink r:id="rId6554" ref="B6529"/>
    <hyperlink r:id="rId6555" ref="B6530"/>
    <hyperlink r:id="rId6556" ref="B6531"/>
    <hyperlink r:id="rId6557" ref="B6532"/>
    <hyperlink r:id="rId6558" ref="B6533"/>
    <hyperlink r:id="rId6559" ref="B6534"/>
    <hyperlink r:id="rId6560" ref="B6535"/>
    <hyperlink r:id="rId6561" ref="B6536"/>
    <hyperlink r:id="rId6562" ref="B6537"/>
    <hyperlink r:id="rId6563" ref="B6538"/>
    <hyperlink r:id="rId6564" ref="B6539"/>
    <hyperlink r:id="rId6565" ref="B6540"/>
    <hyperlink r:id="rId6566" ref="B6541"/>
    <hyperlink r:id="rId6567" ref="B6542"/>
    <hyperlink r:id="rId6568" ref="B6543"/>
    <hyperlink r:id="rId6569" ref="B6544"/>
    <hyperlink r:id="rId6570" ref="B6545"/>
    <hyperlink r:id="rId6571" ref="B6546"/>
    <hyperlink r:id="rId6572" ref="A6547"/>
    <hyperlink r:id="rId6573" ref="B6547"/>
    <hyperlink r:id="rId6574" ref="B6548"/>
    <hyperlink r:id="rId6575" ref="B6549"/>
    <hyperlink r:id="rId6576" ref="B6550"/>
    <hyperlink r:id="rId6577" ref="B6551"/>
    <hyperlink r:id="rId6578" ref="B6552"/>
    <hyperlink r:id="rId6579" ref="B6553"/>
    <hyperlink r:id="rId6580" ref="B6554"/>
    <hyperlink r:id="rId6581" ref="B6555"/>
    <hyperlink r:id="rId6582" ref="B6556"/>
    <hyperlink r:id="rId6583" ref="B6557"/>
    <hyperlink r:id="rId6584" ref="B6558"/>
    <hyperlink r:id="rId6585" ref="B6559"/>
    <hyperlink r:id="rId6586" ref="B6560"/>
    <hyperlink r:id="rId6587" ref="B6561"/>
    <hyperlink r:id="rId6588" ref="B6562"/>
    <hyperlink r:id="rId6589" ref="B6563"/>
    <hyperlink r:id="rId6590" ref="B6564"/>
    <hyperlink r:id="rId6591" ref="B6565"/>
    <hyperlink r:id="rId6592" ref="B6566"/>
    <hyperlink r:id="rId6593" ref="B6567"/>
    <hyperlink r:id="rId6594" ref="B6568"/>
    <hyperlink r:id="rId6595" ref="B6569"/>
    <hyperlink r:id="rId6596" ref="B6570"/>
    <hyperlink r:id="rId6597" ref="B6571"/>
    <hyperlink r:id="rId6598" ref="B6572"/>
    <hyperlink r:id="rId6599" ref="B6573"/>
    <hyperlink r:id="rId6600" ref="B6574"/>
    <hyperlink r:id="rId6601" ref="B6575"/>
    <hyperlink r:id="rId6602" ref="B6576"/>
    <hyperlink r:id="rId6603" ref="B6577"/>
    <hyperlink r:id="rId6604" ref="B6578"/>
    <hyperlink r:id="rId6605" ref="B6579"/>
    <hyperlink r:id="rId6606" ref="B6580"/>
    <hyperlink r:id="rId6607" ref="B6581"/>
    <hyperlink r:id="rId6608" ref="B6582"/>
    <hyperlink r:id="rId6609" ref="B6583"/>
    <hyperlink r:id="rId6610" ref="B6584"/>
    <hyperlink r:id="rId6611" ref="B6585"/>
    <hyperlink r:id="rId6612" ref="B6586"/>
    <hyperlink r:id="rId6613" ref="B6587"/>
    <hyperlink r:id="rId6614" ref="B6588"/>
    <hyperlink r:id="rId6615" ref="B6589"/>
    <hyperlink r:id="rId6616" ref="B6590"/>
    <hyperlink r:id="rId6617" ref="B6591"/>
    <hyperlink r:id="rId6618" ref="B6592"/>
    <hyperlink r:id="rId6619" ref="B6593"/>
    <hyperlink r:id="rId6620" ref="B6594"/>
    <hyperlink r:id="rId6621" ref="B6595"/>
    <hyperlink r:id="rId6622" ref="B6596"/>
    <hyperlink r:id="rId6623" ref="B6597"/>
    <hyperlink r:id="rId6624" ref="B6598"/>
    <hyperlink r:id="rId6625" ref="B6599"/>
    <hyperlink r:id="rId6626" ref="B6600"/>
    <hyperlink r:id="rId6627" ref="B6601"/>
    <hyperlink r:id="rId6628" ref="B6602"/>
    <hyperlink r:id="rId6629" ref="B6603"/>
    <hyperlink r:id="rId6630" ref="B6604"/>
    <hyperlink r:id="rId6631" ref="B6605"/>
    <hyperlink r:id="rId6632" ref="B6606"/>
    <hyperlink r:id="rId6633" ref="B6607"/>
    <hyperlink r:id="rId6634" ref="B6608"/>
    <hyperlink r:id="rId6635" ref="B6609"/>
    <hyperlink r:id="rId6636" ref="B6610"/>
    <hyperlink r:id="rId6637" ref="B6611"/>
    <hyperlink r:id="rId6638" ref="B6612"/>
    <hyperlink r:id="rId6639" ref="B6613"/>
    <hyperlink r:id="rId6640" ref="B6614"/>
    <hyperlink r:id="rId6641" ref="B6615"/>
    <hyperlink r:id="rId6642" ref="B6616"/>
    <hyperlink r:id="rId6643" ref="B6617"/>
    <hyperlink r:id="rId6644" ref="B6618"/>
    <hyperlink r:id="rId6645" ref="B6619"/>
    <hyperlink r:id="rId6646" ref="B6620"/>
    <hyperlink r:id="rId6647" ref="B6621"/>
    <hyperlink r:id="rId6648" ref="B6622"/>
    <hyperlink r:id="rId6649" ref="B6623"/>
    <hyperlink r:id="rId6650" ref="B6624"/>
    <hyperlink r:id="rId6651" ref="B6625"/>
    <hyperlink r:id="rId6652" ref="B6626"/>
    <hyperlink r:id="rId6653" ref="B6627"/>
    <hyperlink r:id="rId6654" ref="B6628"/>
    <hyperlink r:id="rId6655" ref="B6629"/>
    <hyperlink r:id="rId6656" ref="B6630"/>
    <hyperlink r:id="rId6657" ref="B6631"/>
    <hyperlink r:id="rId6658" ref="B6632"/>
    <hyperlink r:id="rId6659" ref="B6633"/>
    <hyperlink r:id="rId6660" ref="B6634"/>
    <hyperlink r:id="rId6661" ref="B6635"/>
    <hyperlink r:id="rId6662" ref="B6636"/>
    <hyperlink r:id="rId6663" ref="B6637"/>
    <hyperlink r:id="rId6664" ref="B6638"/>
    <hyperlink r:id="rId6665" ref="B6639"/>
    <hyperlink r:id="rId6666" ref="B6640"/>
    <hyperlink r:id="rId6667" ref="B6641"/>
    <hyperlink r:id="rId6668" ref="B6642"/>
    <hyperlink r:id="rId6669" ref="B6643"/>
    <hyperlink r:id="rId6670" ref="B6644"/>
    <hyperlink r:id="rId6671" ref="B6645"/>
    <hyperlink r:id="rId6672" ref="B6646"/>
    <hyperlink r:id="rId6673" ref="B6647"/>
    <hyperlink r:id="rId6674" ref="B6648"/>
    <hyperlink r:id="rId6675" ref="A6649"/>
    <hyperlink r:id="rId6676" ref="B6649"/>
    <hyperlink r:id="rId6677" ref="B6650"/>
    <hyperlink r:id="rId6678" ref="B6651"/>
    <hyperlink r:id="rId6679" ref="B6652"/>
    <hyperlink r:id="rId6680" ref="B6653"/>
    <hyperlink r:id="rId6681" ref="B6654"/>
    <hyperlink r:id="rId6682" ref="B6655"/>
    <hyperlink r:id="rId6683" ref="B6656"/>
    <hyperlink r:id="rId6684" ref="B6657"/>
    <hyperlink r:id="rId6685" ref="B6658"/>
    <hyperlink r:id="rId6686" ref="B6659"/>
    <hyperlink r:id="rId6687" ref="B6660"/>
    <hyperlink r:id="rId6688" ref="B6661"/>
    <hyperlink r:id="rId6689" ref="B6662"/>
    <hyperlink r:id="rId6690" ref="B6663"/>
    <hyperlink r:id="rId6691" ref="B6664"/>
    <hyperlink r:id="rId6692" ref="B6665"/>
    <hyperlink r:id="rId6693" ref="B6666"/>
    <hyperlink r:id="rId6694" ref="B6667"/>
    <hyperlink r:id="rId6695" ref="B6668"/>
    <hyperlink r:id="rId6696" ref="B6669"/>
    <hyperlink r:id="rId6697" ref="B6670"/>
    <hyperlink r:id="rId6698" ref="B6671"/>
    <hyperlink r:id="rId6699" ref="B6672"/>
    <hyperlink r:id="rId6700" ref="B6673"/>
    <hyperlink r:id="rId6701" ref="B6674"/>
    <hyperlink r:id="rId6702" ref="B6675"/>
    <hyperlink r:id="rId6703" ref="B6676"/>
    <hyperlink r:id="rId6704" ref="B6677"/>
    <hyperlink r:id="rId6705" ref="B6678"/>
    <hyperlink r:id="rId6706" ref="B6679"/>
    <hyperlink r:id="rId6707" ref="B6680"/>
    <hyperlink r:id="rId6708" ref="B6681"/>
    <hyperlink r:id="rId6709" ref="B6682"/>
    <hyperlink r:id="rId6710" ref="B6683"/>
    <hyperlink r:id="rId6711" ref="B6684"/>
    <hyperlink r:id="rId6712" ref="B6685"/>
    <hyperlink r:id="rId6713" ref="B6686"/>
    <hyperlink r:id="rId6714" ref="B6687"/>
    <hyperlink r:id="rId6715" ref="B6688"/>
    <hyperlink r:id="rId6716" ref="B6689"/>
    <hyperlink r:id="rId6717" ref="B6690"/>
    <hyperlink r:id="rId6718" ref="B6691"/>
    <hyperlink r:id="rId6719" ref="B6692"/>
    <hyperlink r:id="rId6720" ref="B6693"/>
    <hyperlink r:id="rId6721" ref="B6694"/>
    <hyperlink r:id="rId6722" ref="B6695"/>
    <hyperlink r:id="rId6723" ref="B6696"/>
    <hyperlink r:id="rId6724" ref="B6697"/>
    <hyperlink r:id="rId6725" ref="B6698"/>
    <hyperlink r:id="rId6726" ref="B6699"/>
    <hyperlink r:id="rId6727" ref="B6700"/>
    <hyperlink r:id="rId6728" ref="B6701"/>
    <hyperlink r:id="rId6729" ref="B6702"/>
    <hyperlink r:id="rId6730" ref="B6703"/>
    <hyperlink r:id="rId6731" ref="B6704"/>
    <hyperlink r:id="rId6732" ref="B6705"/>
    <hyperlink r:id="rId6733" ref="B6706"/>
    <hyperlink r:id="rId6734" ref="B6707"/>
    <hyperlink r:id="rId6735" ref="B6708"/>
    <hyperlink r:id="rId6736" ref="B6709"/>
    <hyperlink r:id="rId6737" ref="B6710"/>
    <hyperlink r:id="rId6738" ref="B6711"/>
    <hyperlink r:id="rId6739" ref="B6712"/>
    <hyperlink r:id="rId6740" ref="B6713"/>
    <hyperlink r:id="rId6741" ref="B6714"/>
    <hyperlink r:id="rId6742" ref="B6715"/>
    <hyperlink r:id="rId6743" ref="B6716"/>
    <hyperlink r:id="rId6744" ref="B6717"/>
    <hyperlink r:id="rId6745" ref="B6718"/>
    <hyperlink r:id="rId6746" ref="B6719"/>
    <hyperlink r:id="rId6747" ref="B6720"/>
    <hyperlink r:id="rId6748" ref="B6721"/>
    <hyperlink r:id="rId6749" ref="B6722"/>
    <hyperlink r:id="rId6750" ref="B6723"/>
    <hyperlink r:id="rId6751" ref="B6724"/>
    <hyperlink r:id="rId6752" ref="B6725"/>
    <hyperlink r:id="rId6753" ref="B6726"/>
    <hyperlink r:id="rId6754" ref="B6727"/>
    <hyperlink r:id="rId6755" ref="B6728"/>
    <hyperlink r:id="rId6756" ref="B6729"/>
    <hyperlink r:id="rId6757" ref="B6730"/>
    <hyperlink r:id="rId6758" ref="B6731"/>
    <hyperlink r:id="rId6759" ref="B6732"/>
    <hyperlink r:id="rId6760" ref="B6733"/>
    <hyperlink r:id="rId6761" ref="B6734"/>
    <hyperlink r:id="rId6762" ref="B6735"/>
    <hyperlink r:id="rId6763" ref="B6736"/>
    <hyperlink r:id="rId6764" ref="B6737"/>
    <hyperlink r:id="rId6765" ref="A6738"/>
    <hyperlink r:id="rId6766" ref="B6738"/>
    <hyperlink r:id="rId6767" ref="B6739"/>
    <hyperlink r:id="rId6768" ref="B6740"/>
    <hyperlink r:id="rId6769" ref="B6741"/>
    <hyperlink r:id="rId6770" ref="B6742"/>
    <hyperlink r:id="rId6771" ref="B6743"/>
    <hyperlink r:id="rId6772" ref="B6744"/>
    <hyperlink r:id="rId6773" ref="B6745"/>
    <hyperlink r:id="rId6774" ref="B6746"/>
    <hyperlink r:id="rId6775" ref="B6747"/>
    <hyperlink r:id="rId6776" ref="B6748"/>
    <hyperlink r:id="rId6777" ref="B6749"/>
    <hyperlink r:id="rId6778" ref="B6750"/>
    <hyperlink r:id="rId6779" ref="B6751"/>
    <hyperlink r:id="rId6780" ref="B6752"/>
    <hyperlink r:id="rId6781" ref="B6753"/>
    <hyperlink r:id="rId6782" ref="B6754"/>
    <hyperlink r:id="rId6783" ref="B6755"/>
    <hyperlink r:id="rId6784" ref="B6756"/>
    <hyperlink r:id="rId6785" ref="B6757"/>
    <hyperlink r:id="rId6786" ref="B6758"/>
    <hyperlink r:id="rId6787" ref="B6759"/>
    <hyperlink r:id="rId6788" ref="B6760"/>
    <hyperlink r:id="rId6789" ref="B6761"/>
    <hyperlink r:id="rId6790" ref="B6762"/>
    <hyperlink r:id="rId6791" ref="B6763"/>
    <hyperlink r:id="rId6792" ref="B6764"/>
    <hyperlink r:id="rId6793" ref="B6765"/>
    <hyperlink r:id="rId6794" ref="B6766"/>
    <hyperlink r:id="rId6795" ref="B6767"/>
    <hyperlink r:id="rId6796" ref="B6768"/>
    <hyperlink r:id="rId6797" ref="B6769"/>
    <hyperlink r:id="rId6798" ref="B6770"/>
    <hyperlink r:id="rId6799" ref="B6771"/>
    <hyperlink r:id="rId6800" ref="B6772"/>
    <hyperlink r:id="rId6801" ref="B6773"/>
    <hyperlink r:id="rId6802" ref="B6774"/>
    <hyperlink r:id="rId6803" ref="B6775"/>
    <hyperlink r:id="rId6804" ref="B6776"/>
    <hyperlink r:id="rId6805" ref="B6777"/>
    <hyperlink r:id="rId6806" ref="B6778"/>
    <hyperlink r:id="rId6807" ref="B6779"/>
    <hyperlink r:id="rId6808" ref="B6780"/>
    <hyperlink r:id="rId6809" ref="B6781"/>
    <hyperlink r:id="rId6810" ref="B6782"/>
    <hyperlink r:id="rId6811" ref="B6783"/>
    <hyperlink r:id="rId6812" ref="B6784"/>
    <hyperlink r:id="rId6813" ref="B6785"/>
    <hyperlink r:id="rId6814" ref="B6786"/>
    <hyperlink r:id="rId6815" ref="B6787"/>
    <hyperlink r:id="rId6816" ref="B6788"/>
    <hyperlink r:id="rId6817" ref="B6789"/>
    <hyperlink r:id="rId6818" ref="B6790"/>
    <hyperlink r:id="rId6819" ref="B6791"/>
    <hyperlink r:id="rId6820" ref="B6792"/>
    <hyperlink r:id="rId6821" ref="B6793"/>
    <hyperlink r:id="rId6822" ref="B6794"/>
    <hyperlink r:id="rId6823" ref="B6795"/>
    <hyperlink r:id="rId6824" ref="B6796"/>
    <hyperlink r:id="rId6825" ref="B6797"/>
    <hyperlink r:id="rId6826" ref="B6798"/>
    <hyperlink r:id="rId6827" ref="B6799"/>
    <hyperlink r:id="rId6828" ref="B6800"/>
    <hyperlink r:id="rId6829" ref="B6801"/>
    <hyperlink r:id="rId6830" ref="B6802"/>
    <hyperlink r:id="rId6831" ref="B6803"/>
    <hyperlink r:id="rId6832" ref="B6804"/>
    <hyperlink r:id="rId6833" ref="B6805"/>
    <hyperlink r:id="rId6834" ref="B6806"/>
    <hyperlink r:id="rId6835" ref="B6807"/>
    <hyperlink r:id="rId6836" ref="B6808"/>
    <hyperlink r:id="rId6837" ref="B6809"/>
    <hyperlink r:id="rId6838" ref="B6810"/>
    <hyperlink r:id="rId6839" ref="A6811"/>
    <hyperlink r:id="rId6840" ref="B6811"/>
    <hyperlink r:id="rId6841" ref="B6812"/>
    <hyperlink r:id="rId6842" ref="B6813"/>
    <hyperlink r:id="rId6843" ref="B6814"/>
    <hyperlink r:id="rId6844" ref="B6815"/>
    <hyperlink r:id="rId6845" ref="B6816"/>
    <hyperlink r:id="rId6846" ref="B6817"/>
    <hyperlink r:id="rId6847" ref="B6818"/>
    <hyperlink r:id="rId6848" ref="B6819"/>
    <hyperlink r:id="rId6849" ref="B6820"/>
    <hyperlink r:id="rId6850" ref="B6821"/>
    <hyperlink r:id="rId6851" ref="B6822"/>
    <hyperlink r:id="rId6852" ref="B6823"/>
    <hyperlink r:id="rId6853" ref="B6824"/>
    <hyperlink r:id="rId6854" ref="B6825"/>
    <hyperlink r:id="rId6855" ref="B6826"/>
    <hyperlink r:id="rId6856" ref="B6827"/>
    <hyperlink r:id="rId6857" ref="B6828"/>
    <hyperlink r:id="rId6858" ref="B6829"/>
    <hyperlink r:id="rId6859" ref="B6830"/>
    <hyperlink r:id="rId6860" ref="B6831"/>
    <hyperlink r:id="rId6861" ref="B6832"/>
    <hyperlink r:id="rId6862" ref="B6833"/>
    <hyperlink r:id="rId6863" ref="B6834"/>
    <hyperlink r:id="rId6864" ref="B6835"/>
    <hyperlink r:id="rId6865" ref="B6836"/>
    <hyperlink r:id="rId6866" ref="B6837"/>
    <hyperlink r:id="rId6867" ref="B6838"/>
    <hyperlink r:id="rId6868" ref="B6839"/>
    <hyperlink r:id="rId6869" ref="B6840"/>
    <hyperlink r:id="rId6870" ref="B6841"/>
    <hyperlink r:id="rId6871" ref="B6842"/>
    <hyperlink r:id="rId6872" ref="B6843"/>
    <hyperlink r:id="rId6873" ref="B6844"/>
    <hyperlink r:id="rId6874" ref="B6845"/>
    <hyperlink r:id="rId6875" ref="B6846"/>
    <hyperlink r:id="rId6876" ref="B6847"/>
    <hyperlink r:id="rId6877" ref="B6848"/>
    <hyperlink r:id="rId6878" ref="B6849"/>
    <hyperlink r:id="rId6879" ref="B6850"/>
    <hyperlink r:id="rId6880" ref="B6851"/>
    <hyperlink r:id="rId6881" ref="B6852"/>
    <hyperlink r:id="rId6882" ref="B6853"/>
    <hyperlink r:id="rId6883" ref="B6854"/>
    <hyperlink r:id="rId6884" ref="B6855"/>
    <hyperlink r:id="rId6885" ref="B6856"/>
    <hyperlink r:id="rId6886" ref="B6857"/>
    <hyperlink r:id="rId6887" ref="B6858"/>
    <hyperlink r:id="rId6888" ref="B6859"/>
    <hyperlink r:id="rId6889" ref="B6860"/>
    <hyperlink r:id="rId6890" ref="B6861"/>
    <hyperlink r:id="rId6891" ref="B6862"/>
    <hyperlink r:id="rId6892" ref="B6863"/>
    <hyperlink r:id="rId6893" ref="B6864"/>
    <hyperlink r:id="rId6894" ref="B6865"/>
    <hyperlink r:id="rId6895" ref="B6866"/>
    <hyperlink r:id="rId6896" ref="B6867"/>
    <hyperlink r:id="rId6897" ref="B6868"/>
    <hyperlink r:id="rId6898" ref="A6869"/>
    <hyperlink r:id="rId6899" ref="B6869"/>
    <hyperlink r:id="rId6900" ref="B6870"/>
    <hyperlink r:id="rId6901" ref="B6871"/>
    <hyperlink r:id="rId6902" ref="B6872"/>
    <hyperlink r:id="rId6903" ref="B6873"/>
    <hyperlink r:id="rId6904" ref="B6874"/>
    <hyperlink r:id="rId6905" ref="B6875"/>
    <hyperlink r:id="rId6906" ref="B6876"/>
    <hyperlink r:id="rId6907" ref="B6877"/>
    <hyperlink r:id="rId6908" ref="B6878"/>
    <hyperlink r:id="rId6909" ref="B6879"/>
    <hyperlink r:id="rId6910" ref="B6880"/>
    <hyperlink r:id="rId6911" ref="B6881"/>
    <hyperlink r:id="rId6912" ref="B6882"/>
    <hyperlink r:id="rId6913" ref="B6883"/>
    <hyperlink r:id="rId6914" ref="B6884"/>
    <hyperlink r:id="rId6915" ref="B6885"/>
    <hyperlink r:id="rId6916" ref="B6886"/>
    <hyperlink r:id="rId6917" ref="B6887"/>
    <hyperlink r:id="rId6918" ref="B6888"/>
    <hyperlink r:id="rId6919" ref="A6889"/>
    <hyperlink r:id="rId6920" ref="B6889"/>
    <hyperlink r:id="rId6921" ref="B6890"/>
    <hyperlink r:id="rId6922" ref="B6891"/>
    <hyperlink r:id="rId6923" ref="B6892"/>
    <hyperlink r:id="rId6924" ref="B6893"/>
    <hyperlink r:id="rId6925" ref="B6894"/>
    <hyperlink r:id="rId6926" ref="B6895"/>
    <hyperlink r:id="rId6927" ref="B6896"/>
    <hyperlink r:id="rId6928" ref="B6897"/>
    <hyperlink r:id="rId6929" ref="B6898"/>
    <hyperlink r:id="rId6930" ref="B6899"/>
    <hyperlink r:id="rId6931" ref="B6900"/>
    <hyperlink r:id="rId6932" ref="B6901"/>
    <hyperlink r:id="rId6933" ref="B6902"/>
    <hyperlink r:id="rId6934" ref="B6903"/>
    <hyperlink r:id="rId6935" ref="B6904"/>
    <hyperlink r:id="rId6936" ref="B6905"/>
    <hyperlink r:id="rId6937" ref="B6906"/>
    <hyperlink r:id="rId6938" ref="B6907"/>
    <hyperlink r:id="rId6939" ref="B6908"/>
    <hyperlink r:id="rId6940" ref="B6909"/>
    <hyperlink r:id="rId6941" ref="B6910"/>
    <hyperlink r:id="rId6942" ref="B6911"/>
    <hyperlink r:id="rId6943" ref="B6912"/>
    <hyperlink r:id="rId6944" ref="B6913"/>
    <hyperlink r:id="rId6945" ref="B6914"/>
    <hyperlink r:id="rId6946" ref="B6915"/>
    <hyperlink r:id="rId6947" ref="B6916"/>
    <hyperlink r:id="rId6948" ref="B6917"/>
    <hyperlink r:id="rId6949" ref="B6918"/>
    <hyperlink r:id="rId6950" ref="B6919"/>
    <hyperlink r:id="rId6951" ref="B6920"/>
    <hyperlink r:id="rId6952" ref="B6921"/>
    <hyperlink r:id="rId6953" ref="B6922"/>
    <hyperlink r:id="rId6954" ref="B6923"/>
    <hyperlink r:id="rId6955" ref="B6924"/>
    <hyperlink r:id="rId6956" ref="B6925"/>
    <hyperlink r:id="rId6957" ref="B6926"/>
    <hyperlink r:id="rId6958" ref="B6927"/>
    <hyperlink r:id="rId6959" ref="B6928"/>
    <hyperlink r:id="rId6960" ref="B6929"/>
    <hyperlink r:id="rId6961" ref="B6930"/>
    <hyperlink r:id="rId6962" ref="B6931"/>
    <hyperlink r:id="rId6963" ref="B6932"/>
    <hyperlink r:id="rId6964" ref="B6933"/>
    <hyperlink r:id="rId6965" ref="B6934"/>
    <hyperlink r:id="rId6966" ref="B6935"/>
    <hyperlink r:id="rId6967" ref="B6936"/>
    <hyperlink r:id="rId6968" ref="B6937"/>
    <hyperlink r:id="rId6969" ref="B6938"/>
    <hyperlink r:id="rId6970" ref="B6939"/>
    <hyperlink r:id="rId6971" ref="B6940"/>
    <hyperlink r:id="rId6972" ref="B6941"/>
    <hyperlink r:id="rId6973" ref="B6942"/>
    <hyperlink r:id="rId6974" ref="B6943"/>
    <hyperlink r:id="rId6975" ref="B6944"/>
    <hyperlink r:id="rId6976" ref="B6945"/>
    <hyperlink r:id="rId6977" ref="B6946"/>
    <hyperlink r:id="rId6978" ref="B6947"/>
    <hyperlink r:id="rId6979" ref="B6948"/>
    <hyperlink r:id="rId6980" ref="B6949"/>
    <hyperlink r:id="rId6981" ref="A6950"/>
    <hyperlink r:id="rId6982" ref="B6950"/>
    <hyperlink r:id="rId6983" ref="B6951"/>
    <hyperlink r:id="rId6984" ref="B6952"/>
    <hyperlink r:id="rId6985" ref="B6953"/>
    <hyperlink r:id="rId6986" ref="B6954"/>
    <hyperlink r:id="rId6987" ref="B6955"/>
    <hyperlink r:id="rId6988" ref="B6956"/>
    <hyperlink r:id="rId6989" ref="B6957"/>
    <hyperlink r:id="rId6990" ref="B6958"/>
    <hyperlink r:id="rId6991" ref="B6959"/>
    <hyperlink r:id="rId6992" ref="B6960"/>
    <hyperlink r:id="rId6993" ref="B6961"/>
    <hyperlink r:id="rId6994" ref="B6962"/>
    <hyperlink r:id="rId6995" ref="B6963"/>
    <hyperlink r:id="rId6996" ref="B6964"/>
    <hyperlink r:id="rId6997" ref="B6965"/>
    <hyperlink r:id="rId6998" ref="B6966"/>
    <hyperlink r:id="rId6999" ref="B6967"/>
    <hyperlink r:id="rId7000" ref="B6968"/>
    <hyperlink r:id="rId7001" ref="B6969"/>
    <hyperlink r:id="rId7002" ref="B6970"/>
    <hyperlink r:id="rId7003" ref="B6971"/>
    <hyperlink r:id="rId7004" ref="B6972"/>
    <hyperlink r:id="rId7005" ref="B6973"/>
    <hyperlink r:id="rId7006" ref="B6974"/>
    <hyperlink r:id="rId7007" ref="B6975"/>
    <hyperlink r:id="rId7008" ref="B6976"/>
    <hyperlink r:id="rId7009" ref="B6977"/>
    <hyperlink r:id="rId7010" ref="B6978"/>
    <hyperlink r:id="rId7011" ref="B6979"/>
    <hyperlink r:id="rId7012" ref="B6980"/>
    <hyperlink r:id="rId7013" ref="B6981"/>
    <hyperlink r:id="rId7014" ref="B6982"/>
    <hyperlink r:id="rId7015" ref="B6983"/>
    <hyperlink r:id="rId7016" ref="B6984"/>
    <hyperlink r:id="rId7017" ref="B6985"/>
    <hyperlink r:id="rId7018" ref="B6986"/>
    <hyperlink r:id="rId7019" ref="B6987"/>
    <hyperlink r:id="rId7020" ref="B6988"/>
    <hyperlink r:id="rId7021" ref="B6989"/>
    <hyperlink r:id="rId7022" ref="B6990"/>
    <hyperlink r:id="rId7023" ref="B6991"/>
    <hyperlink r:id="rId7024" ref="B6992"/>
    <hyperlink r:id="rId7025" ref="B6993"/>
    <hyperlink r:id="rId7026" ref="B6994"/>
    <hyperlink r:id="rId7027" ref="B6995"/>
    <hyperlink r:id="rId7028" ref="B6996"/>
    <hyperlink r:id="rId7029" ref="B6997"/>
    <hyperlink r:id="rId7030" ref="B6998"/>
    <hyperlink r:id="rId7031" ref="B6999"/>
    <hyperlink r:id="rId7032" ref="B7000"/>
    <hyperlink r:id="rId7033" ref="B7001"/>
    <hyperlink r:id="rId7034" ref="B7002"/>
    <hyperlink r:id="rId7035" ref="B7003"/>
    <hyperlink r:id="rId7036" ref="B7004"/>
    <hyperlink r:id="rId7037" ref="B7005"/>
    <hyperlink r:id="rId7038" ref="B7006"/>
    <hyperlink r:id="rId7039" ref="B7007"/>
    <hyperlink r:id="rId7040" ref="B7008"/>
    <hyperlink r:id="rId7041" ref="B7009"/>
    <hyperlink r:id="rId7042" ref="B7010"/>
    <hyperlink r:id="rId7043" ref="B7011"/>
    <hyperlink r:id="rId7044" ref="B7012"/>
    <hyperlink r:id="rId7045" ref="B7013"/>
    <hyperlink r:id="rId7046" ref="B7014"/>
    <hyperlink r:id="rId7047" ref="B7015"/>
    <hyperlink r:id="rId7048" ref="B7016"/>
    <hyperlink r:id="rId7049" ref="B7017"/>
    <hyperlink r:id="rId7050" ref="B7018"/>
    <hyperlink r:id="rId7051" ref="B7019"/>
    <hyperlink r:id="rId7052" ref="B7020"/>
    <hyperlink r:id="rId7053" ref="B7021"/>
    <hyperlink r:id="rId7054" ref="B7022"/>
    <hyperlink r:id="rId7055" ref="B7023"/>
    <hyperlink r:id="rId7056" ref="B7024"/>
    <hyperlink r:id="rId7057" ref="B7025"/>
    <hyperlink r:id="rId7058" ref="B7026"/>
    <hyperlink r:id="rId7059" ref="B7027"/>
    <hyperlink r:id="rId7060" ref="B7028"/>
    <hyperlink r:id="rId7061" ref="B7029"/>
    <hyperlink r:id="rId7062" ref="B7030"/>
    <hyperlink r:id="rId7063" ref="B7031"/>
    <hyperlink r:id="rId7064" ref="B7032"/>
    <hyperlink r:id="rId7065" ref="B7033"/>
    <hyperlink r:id="rId7066" ref="B7034"/>
    <hyperlink r:id="rId7067" ref="B7035"/>
    <hyperlink r:id="rId7068" ref="B7036"/>
    <hyperlink r:id="rId7069" ref="B7037"/>
    <hyperlink r:id="rId7070" ref="B7038"/>
    <hyperlink r:id="rId7071" ref="B7039"/>
    <hyperlink r:id="rId7072" ref="B7040"/>
    <hyperlink r:id="rId7073" ref="B7041"/>
    <hyperlink r:id="rId7074" ref="B7042"/>
    <hyperlink r:id="rId7075" ref="B7043"/>
    <hyperlink r:id="rId7076" ref="B7044"/>
    <hyperlink r:id="rId7077" ref="B7045"/>
    <hyperlink r:id="rId7078" ref="B7046"/>
    <hyperlink r:id="rId7079" ref="B7047"/>
    <hyperlink r:id="rId7080" ref="B7048"/>
    <hyperlink r:id="rId7081" ref="B7049"/>
    <hyperlink r:id="rId7082" ref="B7050"/>
    <hyperlink r:id="rId7083" ref="B7051"/>
    <hyperlink r:id="rId7084" ref="B7052"/>
    <hyperlink r:id="rId7085" ref="B7053"/>
    <hyperlink r:id="rId7086" ref="B7054"/>
    <hyperlink r:id="rId7087" ref="B7055"/>
    <hyperlink r:id="rId7088" ref="B7056"/>
    <hyperlink r:id="rId7089" ref="B7057"/>
    <hyperlink r:id="rId7090" ref="A7058"/>
    <hyperlink r:id="rId7091" ref="B7058"/>
    <hyperlink r:id="rId7092" ref="B7059"/>
    <hyperlink r:id="rId7093" ref="B7060"/>
    <hyperlink r:id="rId7094" ref="B7061"/>
    <hyperlink r:id="rId7095" ref="B7062"/>
    <hyperlink r:id="rId7096" ref="B7063"/>
    <hyperlink r:id="rId7097" ref="B7064"/>
    <hyperlink r:id="rId7098" ref="B7065"/>
    <hyperlink r:id="rId7099" ref="B7066"/>
    <hyperlink r:id="rId7100" ref="B7067"/>
    <hyperlink r:id="rId7101" ref="B7068"/>
    <hyperlink r:id="rId7102" ref="B7069"/>
    <hyperlink r:id="rId7103" ref="B7070"/>
    <hyperlink r:id="rId7104" ref="B7071"/>
    <hyperlink r:id="rId7105" ref="B7072"/>
    <hyperlink r:id="rId7106" ref="B7073"/>
    <hyperlink r:id="rId7107" ref="B7074"/>
    <hyperlink r:id="rId7108" ref="B7075"/>
    <hyperlink r:id="rId7109" ref="B7076"/>
    <hyperlink r:id="rId7110" ref="B7077"/>
    <hyperlink r:id="rId7111" ref="B7078"/>
    <hyperlink r:id="rId7112" ref="B7079"/>
    <hyperlink r:id="rId7113" ref="B7080"/>
    <hyperlink r:id="rId7114" ref="B7081"/>
    <hyperlink r:id="rId7115" ref="B7082"/>
    <hyperlink r:id="rId7116" ref="B7083"/>
    <hyperlink r:id="rId7117" ref="B7084"/>
    <hyperlink r:id="rId7118" ref="B7085"/>
    <hyperlink r:id="rId7119" ref="B7086"/>
    <hyperlink r:id="rId7120" ref="B7087"/>
    <hyperlink r:id="rId7121" ref="B7088"/>
    <hyperlink r:id="rId7122" ref="B7089"/>
    <hyperlink r:id="rId7123" ref="B7090"/>
    <hyperlink r:id="rId7124" ref="B7091"/>
    <hyperlink r:id="rId7125" ref="B7092"/>
    <hyperlink r:id="rId7126" ref="B7093"/>
    <hyperlink r:id="rId7127" ref="B7094"/>
    <hyperlink r:id="rId7128" ref="B7095"/>
    <hyperlink r:id="rId7129" ref="B7096"/>
    <hyperlink r:id="rId7130" ref="B7097"/>
    <hyperlink r:id="rId7131" ref="B7098"/>
    <hyperlink r:id="rId7132" ref="B7099"/>
    <hyperlink r:id="rId7133" ref="B7100"/>
    <hyperlink r:id="rId7134" ref="B7101"/>
    <hyperlink r:id="rId7135" ref="B7102"/>
    <hyperlink r:id="rId7136" ref="B7103"/>
    <hyperlink r:id="rId7137" ref="B7104"/>
    <hyperlink r:id="rId7138" ref="B7105"/>
    <hyperlink r:id="rId7139" ref="B7106"/>
    <hyperlink r:id="rId7140" ref="B7107"/>
    <hyperlink r:id="rId7141" ref="B7108"/>
    <hyperlink r:id="rId7142" ref="B7109"/>
    <hyperlink r:id="rId7143" ref="B7110"/>
    <hyperlink r:id="rId7144" ref="B7111"/>
    <hyperlink r:id="rId7145" ref="B7112"/>
    <hyperlink r:id="rId7146" ref="B7113"/>
    <hyperlink r:id="rId7147" ref="B7114"/>
    <hyperlink r:id="rId7148" ref="B7115"/>
    <hyperlink r:id="rId7149" ref="B7116"/>
    <hyperlink r:id="rId7150" ref="B7117"/>
    <hyperlink r:id="rId7151" ref="B7118"/>
    <hyperlink r:id="rId7152" ref="B7119"/>
    <hyperlink r:id="rId7153" ref="B7120"/>
    <hyperlink r:id="rId7154" ref="B7121"/>
    <hyperlink r:id="rId7155" ref="B7122"/>
    <hyperlink r:id="rId7156" ref="B7123"/>
    <hyperlink r:id="rId7157" ref="B7124"/>
    <hyperlink r:id="rId7158" ref="B7125"/>
    <hyperlink r:id="rId7159" ref="B7126"/>
    <hyperlink r:id="rId7160" ref="B7127"/>
    <hyperlink r:id="rId7161" ref="B7128"/>
    <hyperlink r:id="rId7162" ref="B7129"/>
    <hyperlink r:id="rId7163" ref="B7130"/>
    <hyperlink r:id="rId7164" ref="B7131"/>
    <hyperlink r:id="rId7165" ref="B7132"/>
    <hyperlink r:id="rId7166" ref="B7133"/>
    <hyperlink r:id="rId7167" ref="B7134"/>
    <hyperlink r:id="rId7168" ref="B7135"/>
    <hyperlink r:id="rId7169" ref="B7136"/>
    <hyperlink r:id="rId7170" ref="B7137"/>
    <hyperlink r:id="rId7171" ref="B7138"/>
    <hyperlink r:id="rId7172" ref="B7139"/>
    <hyperlink r:id="rId7173" ref="B7140"/>
    <hyperlink r:id="rId7174" ref="B7141"/>
    <hyperlink r:id="rId7175" ref="B7142"/>
    <hyperlink r:id="rId7176" ref="B7143"/>
    <hyperlink r:id="rId7177" ref="B7144"/>
    <hyperlink r:id="rId7178" ref="B7145"/>
    <hyperlink r:id="rId7179" ref="B7146"/>
    <hyperlink r:id="rId7180" ref="B7147"/>
    <hyperlink r:id="rId7181" ref="B7148"/>
    <hyperlink r:id="rId7182" ref="B7149"/>
    <hyperlink r:id="rId7183" ref="B7150"/>
    <hyperlink r:id="rId7184" ref="B7151"/>
    <hyperlink r:id="rId7185" ref="B7152"/>
    <hyperlink r:id="rId7186" ref="B7153"/>
    <hyperlink r:id="rId7187" ref="B7154"/>
    <hyperlink r:id="rId7188" ref="B7155"/>
    <hyperlink r:id="rId7189" ref="B7156"/>
    <hyperlink r:id="rId7190" ref="B7157"/>
    <hyperlink r:id="rId7191" ref="B7158"/>
    <hyperlink r:id="rId7192" ref="B7159"/>
    <hyperlink r:id="rId7193" ref="B7160"/>
    <hyperlink r:id="rId7194" ref="B7161"/>
    <hyperlink r:id="rId7195" ref="B7162"/>
    <hyperlink r:id="rId7196" ref="B7163"/>
    <hyperlink r:id="rId7197" ref="B7164"/>
    <hyperlink r:id="rId7198" ref="B7165"/>
    <hyperlink r:id="rId7199" ref="B7166"/>
    <hyperlink r:id="rId7200" ref="B7167"/>
    <hyperlink r:id="rId7201" ref="B7168"/>
    <hyperlink r:id="rId7202" ref="B7169"/>
    <hyperlink r:id="rId7203" ref="B7170"/>
    <hyperlink r:id="rId7204" ref="B7171"/>
    <hyperlink r:id="rId7205" ref="B7172"/>
    <hyperlink r:id="rId7206" ref="B7173"/>
    <hyperlink r:id="rId7207" ref="B7174"/>
    <hyperlink r:id="rId7208" ref="B7175"/>
    <hyperlink r:id="rId7209" ref="B7176"/>
    <hyperlink r:id="rId7210" ref="B7177"/>
    <hyperlink r:id="rId7211" ref="B7178"/>
    <hyperlink r:id="rId7212" ref="B7179"/>
    <hyperlink r:id="rId7213" ref="B7180"/>
    <hyperlink r:id="rId7214" ref="B7181"/>
    <hyperlink r:id="rId7215" ref="B7182"/>
    <hyperlink r:id="rId7216" ref="B7183"/>
    <hyperlink r:id="rId7217" ref="B7184"/>
    <hyperlink r:id="rId7218" ref="B7185"/>
    <hyperlink r:id="rId7219" ref="B7186"/>
    <hyperlink r:id="rId7220" ref="B7187"/>
    <hyperlink r:id="rId7221" ref="B7188"/>
    <hyperlink r:id="rId7222" ref="B7189"/>
    <hyperlink r:id="rId7223" ref="B7190"/>
    <hyperlink r:id="rId7224" ref="B7191"/>
    <hyperlink r:id="rId7225" ref="B7192"/>
    <hyperlink r:id="rId7226" ref="B7193"/>
    <hyperlink r:id="rId7227" ref="B7194"/>
    <hyperlink r:id="rId7228" ref="B7195"/>
    <hyperlink r:id="rId7229" ref="B7196"/>
    <hyperlink r:id="rId7230" ref="B7197"/>
    <hyperlink r:id="rId7231" ref="B7198"/>
    <hyperlink r:id="rId7232" ref="B7199"/>
    <hyperlink r:id="rId7233" ref="B7200"/>
    <hyperlink r:id="rId7234" ref="B7201"/>
    <hyperlink r:id="rId7235" ref="B7202"/>
    <hyperlink r:id="rId7236" ref="B7203"/>
    <hyperlink r:id="rId7237" ref="B7204"/>
    <hyperlink r:id="rId7238" ref="B7205"/>
    <hyperlink r:id="rId7239" ref="B7206"/>
    <hyperlink r:id="rId7240" ref="B7207"/>
    <hyperlink r:id="rId7241" ref="B7208"/>
    <hyperlink r:id="rId7242" ref="B7209"/>
    <hyperlink r:id="rId7243" ref="B7210"/>
    <hyperlink r:id="rId7244" ref="B7211"/>
    <hyperlink r:id="rId7245" ref="B7212"/>
    <hyperlink r:id="rId7246" ref="B7213"/>
    <hyperlink r:id="rId7247" ref="B7214"/>
    <hyperlink r:id="rId7248" ref="B7215"/>
    <hyperlink r:id="rId7249" ref="B7216"/>
    <hyperlink r:id="rId7250" ref="B7217"/>
    <hyperlink r:id="rId7251" ref="B7218"/>
    <hyperlink r:id="rId7252" ref="B7219"/>
    <hyperlink r:id="rId7253" ref="B7220"/>
    <hyperlink r:id="rId7254" ref="B7221"/>
    <hyperlink r:id="rId7255" ref="B7222"/>
    <hyperlink r:id="rId7256" ref="B7223"/>
    <hyperlink r:id="rId7257" ref="B7224"/>
    <hyperlink r:id="rId7258" ref="B7225"/>
    <hyperlink r:id="rId7259" ref="B7226"/>
    <hyperlink r:id="rId7260" ref="B7227"/>
    <hyperlink r:id="rId7261" ref="B7228"/>
    <hyperlink r:id="rId7262" ref="B7229"/>
    <hyperlink r:id="rId7263" ref="B7230"/>
    <hyperlink r:id="rId7264" ref="B7231"/>
    <hyperlink r:id="rId7265" ref="B7232"/>
    <hyperlink r:id="rId7266" ref="B7233"/>
    <hyperlink r:id="rId7267" ref="B7234"/>
    <hyperlink r:id="rId7268" ref="B7235"/>
    <hyperlink r:id="rId7269" ref="B7236"/>
    <hyperlink r:id="rId7270" ref="B7237"/>
    <hyperlink r:id="rId7271" ref="B7238"/>
    <hyperlink r:id="rId7272" ref="B7239"/>
    <hyperlink r:id="rId7273" ref="B7240"/>
    <hyperlink r:id="rId7274" ref="B7241"/>
    <hyperlink r:id="rId7275" ref="B7242"/>
    <hyperlink r:id="rId7276" ref="B7243"/>
    <hyperlink r:id="rId7277" ref="B7244"/>
    <hyperlink r:id="rId7278" ref="B7245"/>
    <hyperlink r:id="rId7279" ref="B7246"/>
    <hyperlink r:id="rId7280" ref="B7247"/>
    <hyperlink r:id="rId7281" ref="B7248"/>
    <hyperlink r:id="rId7282" ref="B7249"/>
    <hyperlink r:id="rId7283" ref="B7250"/>
    <hyperlink r:id="rId7284" ref="B7251"/>
    <hyperlink r:id="rId7285" ref="B7252"/>
    <hyperlink r:id="rId7286" ref="B7253"/>
    <hyperlink r:id="rId7287" ref="B7254"/>
    <hyperlink r:id="rId7288" ref="B7255"/>
    <hyperlink r:id="rId7289" ref="B7256"/>
    <hyperlink r:id="rId7290" ref="B7257"/>
    <hyperlink r:id="rId7291" ref="B7258"/>
    <hyperlink r:id="rId7292" ref="B7259"/>
    <hyperlink r:id="rId7293" ref="B7260"/>
    <hyperlink r:id="rId7294" ref="B7261"/>
    <hyperlink r:id="rId7295" ref="B7262"/>
    <hyperlink r:id="rId7296" ref="B7263"/>
    <hyperlink r:id="rId7297" ref="B7264"/>
    <hyperlink r:id="rId7298" ref="B7265"/>
    <hyperlink r:id="rId7299" ref="B7266"/>
    <hyperlink r:id="rId7300" ref="B7267"/>
    <hyperlink r:id="rId7301" ref="B7268"/>
    <hyperlink r:id="rId7302" ref="B7269"/>
    <hyperlink r:id="rId7303" ref="B7270"/>
    <hyperlink r:id="rId7304" ref="B7271"/>
    <hyperlink r:id="rId7305" ref="B7272"/>
    <hyperlink r:id="rId7306" ref="B7273"/>
    <hyperlink r:id="rId7307" ref="A7274"/>
    <hyperlink r:id="rId7308" ref="B7274"/>
    <hyperlink r:id="rId7309" ref="B7275"/>
    <hyperlink r:id="rId7310" ref="B7276"/>
    <hyperlink r:id="rId7311" ref="B7277"/>
    <hyperlink r:id="rId7312" ref="B7278"/>
    <hyperlink r:id="rId7313" ref="B7279"/>
    <hyperlink r:id="rId7314" ref="B7280"/>
    <hyperlink r:id="rId7315" ref="B7281"/>
    <hyperlink r:id="rId7316" ref="B7282"/>
    <hyperlink r:id="rId7317" ref="B7283"/>
    <hyperlink r:id="rId7318" ref="B7284"/>
    <hyperlink r:id="rId7319" ref="B7285"/>
    <hyperlink r:id="rId7320" ref="B7286"/>
    <hyperlink r:id="rId7321" ref="B7287"/>
    <hyperlink r:id="rId7322" ref="B7288"/>
    <hyperlink r:id="rId7323" ref="B7289"/>
    <hyperlink r:id="rId7324" ref="B7290"/>
    <hyperlink r:id="rId7325" ref="B7291"/>
    <hyperlink r:id="rId7326" ref="B7292"/>
    <hyperlink r:id="rId7327" ref="B7293"/>
    <hyperlink r:id="rId7328" ref="B7294"/>
    <hyperlink r:id="rId7329" ref="B7295"/>
    <hyperlink r:id="rId7330" ref="B7296"/>
    <hyperlink r:id="rId7331" ref="B7297"/>
    <hyperlink r:id="rId7332" ref="B7298"/>
    <hyperlink r:id="rId7333" ref="B7299"/>
    <hyperlink r:id="rId7334" ref="B7300"/>
    <hyperlink r:id="rId7335" ref="B7301"/>
    <hyperlink r:id="rId7336" ref="B7302"/>
    <hyperlink r:id="rId7337" ref="B7303"/>
    <hyperlink r:id="rId7338" ref="B7304"/>
    <hyperlink r:id="rId7339" ref="B7305"/>
    <hyperlink r:id="rId7340" ref="B7306"/>
    <hyperlink r:id="rId7341" ref="B7307"/>
    <hyperlink r:id="rId7342" ref="B7308"/>
    <hyperlink r:id="rId7343" ref="B7309"/>
    <hyperlink r:id="rId7344" ref="B7310"/>
    <hyperlink r:id="rId7345" ref="B7311"/>
    <hyperlink r:id="rId7346" ref="B7312"/>
    <hyperlink r:id="rId7347" ref="B7313"/>
    <hyperlink r:id="rId7348" ref="B7314"/>
    <hyperlink r:id="rId7349" ref="B7315"/>
    <hyperlink r:id="rId7350" ref="B7316"/>
    <hyperlink r:id="rId7351" ref="B7317"/>
    <hyperlink r:id="rId7352" ref="B7318"/>
    <hyperlink r:id="rId7353" ref="B7319"/>
    <hyperlink r:id="rId7354" ref="B7320"/>
    <hyperlink r:id="rId7355" ref="B7321"/>
    <hyperlink r:id="rId7356" ref="B7322"/>
    <hyperlink r:id="rId7357" ref="B7323"/>
    <hyperlink r:id="rId7358" ref="B7324"/>
    <hyperlink r:id="rId7359" ref="B7325"/>
    <hyperlink r:id="rId7360" ref="B7326"/>
    <hyperlink r:id="rId7361" ref="B7327"/>
    <hyperlink r:id="rId7362" ref="B7328"/>
    <hyperlink r:id="rId7363" ref="B7329"/>
    <hyperlink r:id="rId7364" ref="B7330"/>
    <hyperlink r:id="rId7365" ref="B7331"/>
    <hyperlink r:id="rId7366" ref="B7332"/>
    <hyperlink r:id="rId7367" ref="B7333"/>
    <hyperlink r:id="rId7368" ref="B7334"/>
    <hyperlink r:id="rId7369" ref="B7335"/>
    <hyperlink r:id="rId7370" ref="B7336"/>
    <hyperlink r:id="rId7371" ref="B7337"/>
    <hyperlink r:id="rId7372" ref="B7338"/>
    <hyperlink r:id="rId7373" ref="B7339"/>
    <hyperlink r:id="rId7374" ref="B7340"/>
    <hyperlink r:id="rId7375" ref="B7341"/>
    <hyperlink r:id="rId7376" ref="B7342"/>
    <hyperlink r:id="rId7377" ref="B7343"/>
    <hyperlink r:id="rId7378" ref="B7344"/>
    <hyperlink r:id="rId7379" ref="B7345"/>
    <hyperlink r:id="rId7380" ref="B7346"/>
    <hyperlink r:id="rId7381" ref="A7347"/>
    <hyperlink r:id="rId7382" ref="B7347"/>
    <hyperlink r:id="rId7383" ref="B7348"/>
    <hyperlink r:id="rId7384" ref="B7349"/>
    <hyperlink r:id="rId7385" ref="B7350"/>
    <hyperlink r:id="rId7386" ref="B7351"/>
    <hyperlink r:id="rId7387" ref="B7352"/>
    <hyperlink r:id="rId7388" ref="B7353"/>
    <hyperlink r:id="rId7389" ref="B7354"/>
    <hyperlink r:id="rId7390" ref="B7355"/>
    <hyperlink r:id="rId7391" ref="B7356"/>
    <hyperlink r:id="rId7392" ref="B7357"/>
    <hyperlink r:id="rId7393" ref="B7358"/>
    <hyperlink r:id="rId7394" ref="B7359"/>
    <hyperlink r:id="rId7395" ref="B7360"/>
    <hyperlink r:id="rId7396" ref="B7361"/>
    <hyperlink r:id="rId7397" ref="B7362"/>
    <hyperlink r:id="rId7398" ref="B7363"/>
    <hyperlink r:id="rId7399" ref="B7364"/>
    <hyperlink r:id="rId7400" ref="B7365"/>
    <hyperlink r:id="rId7401" ref="B7366"/>
    <hyperlink r:id="rId7402" ref="B7367"/>
    <hyperlink r:id="rId7403" ref="B7368"/>
    <hyperlink r:id="rId7404" ref="B7369"/>
    <hyperlink r:id="rId7405" ref="B7370"/>
    <hyperlink r:id="rId7406" ref="B7371"/>
    <hyperlink r:id="rId7407" ref="B7372"/>
    <hyperlink r:id="rId7408" ref="B7373"/>
    <hyperlink r:id="rId7409" ref="B7374"/>
    <hyperlink r:id="rId7410" ref="B7375"/>
    <hyperlink r:id="rId7411" ref="B7376"/>
    <hyperlink r:id="rId7412" ref="B7377"/>
    <hyperlink r:id="rId7413" ref="B7378"/>
    <hyperlink r:id="rId7414" ref="B7379"/>
    <hyperlink r:id="rId7415" ref="B7380"/>
    <hyperlink r:id="rId7416" ref="B7381"/>
    <hyperlink r:id="rId7417" ref="B7382"/>
    <hyperlink r:id="rId7418" ref="B7383"/>
    <hyperlink r:id="rId7419" ref="B7384"/>
    <hyperlink r:id="rId7420" ref="B7385"/>
    <hyperlink r:id="rId7421" ref="B7386"/>
    <hyperlink r:id="rId7422" ref="B7387"/>
    <hyperlink r:id="rId7423" ref="B7388"/>
    <hyperlink r:id="rId7424" ref="B7389"/>
    <hyperlink r:id="rId7425" ref="B7390"/>
    <hyperlink r:id="rId7426" ref="B7391"/>
    <hyperlink r:id="rId7427" ref="B7392"/>
    <hyperlink r:id="rId7428" ref="B7393"/>
    <hyperlink r:id="rId7429" ref="B7394"/>
    <hyperlink r:id="rId7430" ref="B7395"/>
    <hyperlink r:id="rId7431" ref="B7396"/>
    <hyperlink r:id="rId7432" ref="B7397"/>
    <hyperlink r:id="rId7433" ref="B7398"/>
    <hyperlink r:id="rId7434" ref="B7399"/>
    <hyperlink r:id="rId7435" ref="B7400"/>
    <hyperlink r:id="rId7436" ref="B7401"/>
    <hyperlink r:id="rId7437" ref="B7402"/>
    <hyperlink r:id="rId7438" ref="B7403"/>
    <hyperlink r:id="rId7439" ref="B7404"/>
    <hyperlink r:id="rId7440" ref="B7405"/>
    <hyperlink r:id="rId7441" ref="B7406"/>
    <hyperlink r:id="rId7442" ref="B7407"/>
    <hyperlink r:id="rId7443" ref="B7408"/>
    <hyperlink r:id="rId7444" ref="B7409"/>
    <hyperlink r:id="rId7445" ref="B7410"/>
    <hyperlink r:id="rId7446" ref="B7411"/>
    <hyperlink r:id="rId7447" ref="B7412"/>
    <hyperlink r:id="rId7448" ref="B7413"/>
    <hyperlink r:id="rId7449" ref="B7414"/>
    <hyperlink r:id="rId7450" ref="B7415"/>
    <hyperlink r:id="rId7451" ref="B7416"/>
    <hyperlink r:id="rId7452" ref="B7417"/>
    <hyperlink r:id="rId7453" ref="B7418"/>
    <hyperlink r:id="rId7454" ref="B7419"/>
    <hyperlink r:id="rId7455" ref="B7420"/>
    <hyperlink r:id="rId7456" ref="B7421"/>
    <hyperlink r:id="rId7457" ref="B7422"/>
    <hyperlink r:id="rId7458" ref="B7423"/>
    <hyperlink r:id="rId7459" ref="B7424"/>
    <hyperlink r:id="rId7460" ref="B7425"/>
    <hyperlink r:id="rId7461" ref="B7426"/>
    <hyperlink r:id="rId7462" ref="B7427"/>
    <hyperlink r:id="rId7463" ref="B7428"/>
    <hyperlink r:id="rId7464" ref="B7429"/>
    <hyperlink r:id="rId7465" ref="B7430"/>
    <hyperlink r:id="rId7466" ref="B7431"/>
    <hyperlink r:id="rId7467" ref="B7432"/>
    <hyperlink r:id="rId7468" ref="B7433"/>
    <hyperlink r:id="rId7469" ref="B7434"/>
    <hyperlink r:id="rId7470" ref="B7435"/>
    <hyperlink r:id="rId7471" ref="B7436"/>
    <hyperlink r:id="rId7472" ref="B7437"/>
    <hyperlink r:id="rId7473" ref="B7438"/>
    <hyperlink r:id="rId7474" ref="B7439"/>
    <hyperlink r:id="rId7475" ref="B7440"/>
    <hyperlink r:id="rId7476" ref="B7441"/>
    <hyperlink r:id="rId7477" ref="B7442"/>
    <hyperlink r:id="rId7478" ref="B7443"/>
    <hyperlink r:id="rId7479" ref="B7444"/>
    <hyperlink r:id="rId7480" ref="B7445"/>
    <hyperlink r:id="rId7481" ref="B7446"/>
    <hyperlink r:id="rId7482" ref="B7447"/>
    <hyperlink r:id="rId7483" ref="B7448"/>
    <hyperlink r:id="rId7484" ref="B7449"/>
    <hyperlink r:id="rId7485" ref="B7450"/>
    <hyperlink r:id="rId7486" ref="B7451"/>
    <hyperlink r:id="rId7487" ref="B7452"/>
    <hyperlink r:id="rId7488" ref="B7453"/>
    <hyperlink r:id="rId7489" ref="B7454"/>
    <hyperlink r:id="rId7490" ref="B7455"/>
    <hyperlink r:id="rId7491" ref="B7456"/>
    <hyperlink r:id="rId7492" ref="B7457"/>
    <hyperlink r:id="rId7493" ref="B7458"/>
    <hyperlink r:id="rId7494" ref="B7459"/>
    <hyperlink r:id="rId7495" ref="B7460"/>
    <hyperlink r:id="rId7496" ref="B7461"/>
    <hyperlink r:id="rId7497" ref="B7462"/>
    <hyperlink r:id="rId7498" ref="B7463"/>
    <hyperlink r:id="rId7499" ref="B7464"/>
    <hyperlink r:id="rId7500" ref="B7465"/>
    <hyperlink r:id="rId7501" ref="B7466"/>
    <hyperlink r:id="rId7502" ref="B7467"/>
    <hyperlink r:id="rId7503" ref="B7468"/>
    <hyperlink r:id="rId7504" ref="B7469"/>
    <hyperlink r:id="rId7505" ref="B7470"/>
    <hyperlink r:id="rId7506" ref="B7471"/>
    <hyperlink r:id="rId7507" ref="B7472"/>
    <hyperlink r:id="rId7508" ref="B7473"/>
    <hyperlink r:id="rId7509" ref="B7474"/>
    <hyperlink r:id="rId7510" ref="B7475"/>
    <hyperlink r:id="rId7511" ref="B7476"/>
    <hyperlink r:id="rId7512" ref="B7477"/>
    <hyperlink r:id="rId7513" ref="B7478"/>
    <hyperlink r:id="rId7514" ref="B7479"/>
    <hyperlink r:id="rId7515" ref="B7480"/>
    <hyperlink r:id="rId7516" ref="B7481"/>
    <hyperlink r:id="rId7517" ref="B7482"/>
    <hyperlink r:id="rId7518" ref="B7483"/>
    <hyperlink r:id="rId7519" ref="B7484"/>
    <hyperlink r:id="rId7520" ref="B7485"/>
    <hyperlink r:id="rId7521" ref="B7486"/>
    <hyperlink r:id="rId7522" ref="B7487"/>
    <hyperlink r:id="rId7523" ref="B7488"/>
    <hyperlink r:id="rId7524" ref="B7489"/>
    <hyperlink r:id="rId7525" ref="B7490"/>
    <hyperlink r:id="rId7526" ref="B7491"/>
    <hyperlink r:id="rId7527" ref="B7492"/>
    <hyperlink r:id="rId7528" ref="B7493"/>
    <hyperlink r:id="rId7529" ref="B7494"/>
    <hyperlink r:id="rId7530" ref="B7495"/>
    <hyperlink r:id="rId7531" ref="B7496"/>
    <hyperlink r:id="rId7532" ref="B7497"/>
    <hyperlink r:id="rId7533" ref="B7498"/>
    <hyperlink r:id="rId7534" ref="B7499"/>
    <hyperlink r:id="rId7535" ref="B7500"/>
    <hyperlink r:id="rId7536" ref="B7501"/>
    <hyperlink r:id="rId7537" ref="B7502"/>
    <hyperlink r:id="rId7538" ref="B7503"/>
    <hyperlink r:id="rId7539" ref="B7504"/>
    <hyperlink r:id="rId7540" ref="B7505"/>
    <hyperlink r:id="rId7541" ref="B7506"/>
    <hyperlink r:id="rId7542" ref="B7507"/>
    <hyperlink r:id="rId7543" ref="B7508"/>
    <hyperlink r:id="rId7544" ref="B7509"/>
    <hyperlink r:id="rId7545" ref="B7510"/>
    <hyperlink r:id="rId7546" ref="B7511"/>
    <hyperlink r:id="rId7547" ref="B7512"/>
    <hyperlink r:id="rId7548" ref="B7513"/>
    <hyperlink r:id="rId7549" ref="B7514"/>
    <hyperlink r:id="rId7550" ref="B7515"/>
    <hyperlink r:id="rId7551" ref="B7516"/>
    <hyperlink r:id="rId7552" ref="B7517"/>
    <hyperlink r:id="rId7553" ref="B7518"/>
    <hyperlink r:id="rId7554" ref="B7519"/>
    <hyperlink r:id="rId7555" ref="B7520"/>
    <hyperlink r:id="rId7556" ref="B7521"/>
    <hyperlink r:id="rId7557" ref="B7522"/>
    <hyperlink r:id="rId7558" ref="B7523"/>
    <hyperlink r:id="rId7559" ref="B7524"/>
    <hyperlink r:id="rId7560" ref="B7525"/>
    <hyperlink r:id="rId7561" ref="B7526"/>
    <hyperlink r:id="rId7562" ref="B7527"/>
    <hyperlink r:id="rId7563" ref="B7528"/>
    <hyperlink r:id="rId7564" ref="B7529"/>
    <hyperlink r:id="rId7565" ref="B7530"/>
    <hyperlink r:id="rId7566" ref="B7531"/>
    <hyperlink r:id="rId7567" ref="B7532"/>
    <hyperlink r:id="rId7568" ref="B7533"/>
    <hyperlink r:id="rId7569" ref="B7534"/>
    <hyperlink r:id="rId7570" ref="B7535"/>
    <hyperlink r:id="rId7571" ref="B7536"/>
    <hyperlink r:id="rId7572" ref="B7537"/>
    <hyperlink r:id="rId7573" ref="B7538"/>
    <hyperlink r:id="rId7574" ref="B7539"/>
    <hyperlink r:id="rId7575" ref="B7540"/>
    <hyperlink r:id="rId7576" ref="B7541"/>
    <hyperlink r:id="rId7577" ref="B7542"/>
    <hyperlink r:id="rId7578" ref="B7543"/>
    <hyperlink r:id="rId7579" ref="B7544"/>
    <hyperlink r:id="rId7580" ref="B7545"/>
    <hyperlink r:id="rId7581" ref="B7546"/>
    <hyperlink r:id="rId7582" ref="B7547"/>
    <hyperlink r:id="rId7583" ref="B7548"/>
    <hyperlink r:id="rId7584" ref="B7549"/>
    <hyperlink r:id="rId7585" ref="B7550"/>
    <hyperlink r:id="rId7586" ref="B7551"/>
    <hyperlink r:id="rId7587" ref="B7552"/>
    <hyperlink r:id="rId7588" ref="B7553"/>
    <hyperlink r:id="rId7589" ref="B7554"/>
    <hyperlink r:id="rId7590" ref="B7555"/>
    <hyperlink r:id="rId7591" ref="B7556"/>
    <hyperlink r:id="rId7592" ref="B7557"/>
    <hyperlink r:id="rId7593" ref="B7558"/>
    <hyperlink r:id="rId7594" ref="B7559"/>
    <hyperlink r:id="rId7595" ref="B7560"/>
    <hyperlink r:id="rId7596" ref="B7561"/>
    <hyperlink r:id="rId7597" ref="B7562"/>
    <hyperlink r:id="rId7598" ref="B7563"/>
    <hyperlink r:id="rId7599" ref="B7564"/>
    <hyperlink r:id="rId7600" ref="B7565"/>
    <hyperlink r:id="rId7601" ref="B7566"/>
    <hyperlink r:id="rId7602" ref="B7567"/>
    <hyperlink r:id="rId7603" ref="B7568"/>
    <hyperlink r:id="rId7604" ref="B7569"/>
    <hyperlink r:id="rId7605" ref="B7570"/>
    <hyperlink r:id="rId7606" ref="B7571"/>
    <hyperlink r:id="rId7607" ref="B7572"/>
    <hyperlink r:id="rId7608" ref="B7573"/>
    <hyperlink r:id="rId7609" ref="B7574"/>
    <hyperlink r:id="rId7610" ref="B7575"/>
    <hyperlink r:id="rId7611" ref="B7576"/>
    <hyperlink r:id="rId7612" ref="B7577"/>
    <hyperlink r:id="rId7613" ref="B7578"/>
    <hyperlink r:id="rId7614" ref="B7579"/>
    <hyperlink r:id="rId7615" ref="B7580"/>
    <hyperlink r:id="rId7616" ref="B7581"/>
    <hyperlink r:id="rId7617" ref="B7582"/>
    <hyperlink r:id="rId7618" ref="B7583"/>
    <hyperlink r:id="rId7619" ref="B7584"/>
    <hyperlink r:id="rId7620" ref="B7585"/>
    <hyperlink r:id="rId7621" ref="B7586"/>
    <hyperlink r:id="rId7622" ref="B7587"/>
    <hyperlink r:id="rId7623" ref="B7588"/>
    <hyperlink r:id="rId7624" ref="B7589"/>
    <hyperlink r:id="rId7625" ref="B7590"/>
    <hyperlink r:id="rId7626" ref="B7591"/>
    <hyperlink r:id="rId7627" ref="B7592"/>
    <hyperlink r:id="rId7628" ref="B7593"/>
    <hyperlink r:id="rId7629" ref="B7594"/>
    <hyperlink r:id="rId7630" ref="B7595"/>
    <hyperlink r:id="rId7631" ref="B7596"/>
    <hyperlink r:id="rId7632" ref="B7597"/>
    <hyperlink r:id="rId7633" ref="B7598"/>
    <hyperlink r:id="rId7634" ref="B7599"/>
    <hyperlink r:id="rId7635" ref="B7600"/>
    <hyperlink r:id="rId7636" ref="B7601"/>
    <hyperlink r:id="rId7637" ref="B7602"/>
    <hyperlink r:id="rId7638" ref="B7603"/>
    <hyperlink r:id="rId7639" ref="B7604"/>
    <hyperlink r:id="rId7640" ref="B7605"/>
    <hyperlink r:id="rId7641" ref="B7606"/>
    <hyperlink r:id="rId7642" ref="B7607"/>
    <hyperlink r:id="rId7643" ref="B7608"/>
    <hyperlink r:id="rId7644" ref="B7609"/>
    <hyperlink r:id="rId7645" ref="B7610"/>
    <hyperlink r:id="rId7646" ref="B7611"/>
    <hyperlink r:id="rId7647" ref="B7612"/>
    <hyperlink r:id="rId7648" ref="B7613"/>
    <hyperlink r:id="rId7649" ref="B7614"/>
    <hyperlink r:id="rId7650" ref="B7615"/>
    <hyperlink r:id="rId7651" ref="B7616"/>
    <hyperlink r:id="rId7652" ref="B7617"/>
    <hyperlink r:id="rId7653" ref="B7618"/>
    <hyperlink r:id="rId7654" ref="B7619"/>
    <hyperlink r:id="rId7655" ref="B7620"/>
    <hyperlink r:id="rId7656" ref="B7621"/>
    <hyperlink r:id="rId7657" ref="B7622"/>
    <hyperlink r:id="rId7658" ref="B7623"/>
    <hyperlink r:id="rId7659" ref="B7624"/>
    <hyperlink r:id="rId7660" ref="B7625"/>
    <hyperlink r:id="rId7661" ref="B7626"/>
    <hyperlink r:id="rId7662" ref="B7627"/>
    <hyperlink r:id="rId7663" ref="B7628"/>
    <hyperlink r:id="rId7664" ref="B7629"/>
    <hyperlink r:id="rId7665" ref="B7630"/>
    <hyperlink r:id="rId7666" ref="B7631"/>
    <hyperlink r:id="rId7667" ref="B7632"/>
    <hyperlink r:id="rId7668" ref="B7633"/>
    <hyperlink r:id="rId7669" ref="B7634"/>
    <hyperlink r:id="rId7670" ref="B7635"/>
    <hyperlink r:id="rId7671" ref="B7636"/>
    <hyperlink r:id="rId7672" ref="B7637"/>
    <hyperlink r:id="rId7673" ref="B7638"/>
    <hyperlink r:id="rId7674" ref="B7639"/>
    <hyperlink r:id="rId7675" ref="B7640"/>
    <hyperlink r:id="rId7676" ref="B7641"/>
    <hyperlink r:id="rId7677" ref="B7642"/>
    <hyperlink r:id="rId7678" ref="B7643"/>
    <hyperlink r:id="rId7679" ref="B7644"/>
    <hyperlink r:id="rId7680" ref="B7645"/>
    <hyperlink r:id="rId7681" ref="B7646"/>
    <hyperlink r:id="rId7682" ref="B7647"/>
    <hyperlink r:id="rId7683" ref="B7648"/>
    <hyperlink r:id="rId7684" ref="B7649"/>
    <hyperlink r:id="rId7685" ref="B7650"/>
    <hyperlink r:id="rId7686" ref="B7651"/>
    <hyperlink r:id="rId7687" ref="B7652"/>
    <hyperlink r:id="rId7688" ref="B7653"/>
    <hyperlink r:id="rId7689" ref="B7654"/>
    <hyperlink r:id="rId7690" ref="B7655"/>
    <hyperlink r:id="rId7691" ref="B7656"/>
    <hyperlink r:id="rId7692" ref="B7657"/>
    <hyperlink r:id="rId7693" ref="B7658"/>
    <hyperlink r:id="rId7694" ref="B7659"/>
    <hyperlink r:id="rId7695" ref="B7660"/>
    <hyperlink r:id="rId7696" ref="B7661"/>
    <hyperlink r:id="rId7697" ref="B7662"/>
    <hyperlink r:id="rId7698" ref="B7663"/>
    <hyperlink r:id="rId7699" ref="B7664"/>
    <hyperlink r:id="rId7700" ref="B7665"/>
    <hyperlink r:id="rId7701" ref="B7666"/>
    <hyperlink r:id="rId7702" ref="B7667"/>
    <hyperlink r:id="rId7703" ref="B7668"/>
    <hyperlink r:id="rId7704" ref="B7669"/>
    <hyperlink r:id="rId7705" ref="B7670"/>
    <hyperlink r:id="rId7706" ref="B7671"/>
    <hyperlink r:id="rId7707" ref="B7672"/>
    <hyperlink r:id="rId7708" ref="B7673"/>
    <hyperlink r:id="rId7709" ref="B7674"/>
    <hyperlink r:id="rId7710" ref="B7675"/>
    <hyperlink r:id="rId7711" ref="B7676"/>
    <hyperlink r:id="rId7712" ref="B7677"/>
    <hyperlink r:id="rId7713" ref="B7678"/>
    <hyperlink r:id="rId7714" ref="B7679"/>
    <hyperlink r:id="rId7715" ref="B7680"/>
    <hyperlink r:id="rId7716" ref="B7681"/>
    <hyperlink r:id="rId7717" ref="B7682"/>
    <hyperlink r:id="rId7718" ref="B7683"/>
    <hyperlink r:id="rId7719" ref="B7684"/>
    <hyperlink r:id="rId7720" ref="B7685"/>
    <hyperlink r:id="rId7721" ref="B7686"/>
    <hyperlink r:id="rId7722" ref="B7687"/>
    <hyperlink r:id="rId7723" ref="B7688"/>
    <hyperlink r:id="rId7724" ref="B7689"/>
    <hyperlink r:id="rId7725" ref="B7690"/>
    <hyperlink r:id="rId7726" ref="B7691"/>
    <hyperlink r:id="rId7727" ref="B7692"/>
    <hyperlink r:id="rId7728" ref="B7693"/>
    <hyperlink r:id="rId7729" ref="B7694"/>
    <hyperlink r:id="rId7730" ref="B7695"/>
    <hyperlink r:id="rId7731" ref="B7696"/>
    <hyperlink r:id="rId7732" ref="B7697"/>
    <hyperlink r:id="rId7733" ref="B7698"/>
    <hyperlink r:id="rId7734" ref="B7699"/>
    <hyperlink r:id="rId7735" ref="B7700"/>
    <hyperlink r:id="rId7736" ref="B7701"/>
    <hyperlink r:id="rId7737" ref="B7702"/>
    <hyperlink r:id="rId7738" ref="B7703"/>
    <hyperlink r:id="rId7739" ref="B7704"/>
    <hyperlink r:id="rId7740" ref="B7705"/>
    <hyperlink r:id="rId7741" ref="B7706"/>
    <hyperlink r:id="rId7742" ref="B7707"/>
    <hyperlink r:id="rId7743" ref="B7708"/>
    <hyperlink r:id="rId7744" ref="B7709"/>
    <hyperlink r:id="rId7745" ref="B7710"/>
    <hyperlink r:id="rId7746" ref="B7711"/>
    <hyperlink r:id="rId7747" ref="B7712"/>
    <hyperlink r:id="rId7748" ref="B7713"/>
    <hyperlink r:id="rId7749" ref="B7714"/>
    <hyperlink r:id="rId7750" ref="B7715"/>
    <hyperlink r:id="rId7751" ref="B7716"/>
    <hyperlink r:id="rId7752" ref="B7717"/>
    <hyperlink r:id="rId7753" ref="B7718"/>
    <hyperlink r:id="rId7754" ref="B7719"/>
    <hyperlink r:id="rId7755" ref="B7720"/>
    <hyperlink r:id="rId7756" ref="B7721"/>
    <hyperlink r:id="rId7757" ref="B7722"/>
    <hyperlink r:id="rId7758" ref="B7723"/>
    <hyperlink r:id="rId7759" ref="B7724"/>
    <hyperlink r:id="rId7760" ref="B7725"/>
    <hyperlink r:id="rId7761" ref="B7726"/>
    <hyperlink r:id="rId7762" ref="B7727"/>
    <hyperlink r:id="rId7763" ref="B7728"/>
    <hyperlink r:id="rId7764" ref="B7729"/>
    <hyperlink r:id="rId7765" ref="B7730"/>
    <hyperlink r:id="rId7766" ref="B7731"/>
    <hyperlink r:id="rId7767" ref="B7732"/>
    <hyperlink r:id="rId7768" ref="B7733"/>
    <hyperlink r:id="rId7769" ref="B7734"/>
    <hyperlink r:id="rId7770" ref="B7735"/>
    <hyperlink r:id="rId7771" ref="B7736"/>
    <hyperlink r:id="rId7772" ref="B7737"/>
    <hyperlink r:id="rId7773" ref="B7738"/>
    <hyperlink r:id="rId7774" ref="B7739"/>
    <hyperlink r:id="rId7775" ref="B7740"/>
    <hyperlink r:id="rId7776" ref="B7741"/>
    <hyperlink r:id="rId7777" ref="B7742"/>
    <hyperlink r:id="rId7778" ref="B7743"/>
    <hyperlink r:id="rId7779" ref="B7744"/>
    <hyperlink r:id="rId7780" ref="B7745"/>
    <hyperlink r:id="rId7781" ref="B7746"/>
    <hyperlink r:id="rId7782" ref="B7747"/>
    <hyperlink r:id="rId7783" ref="B7748"/>
    <hyperlink r:id="rId7784" ref="B7749"/>
    <hyperlink r:id="rId7785" ref="B7750"/>
    <hyperlink r:id="rId7786" ref="B7751"/>
    <hyperlink r:id="rId7787" ref="B7752"/>
    <hyperlink r:id="rId7788" ref="B7753"/>
    <hyperlink r:id="rId7789" ref="B7754"/>
    <hyperlink r:id="rId7790" ref="B7755"/>
    <hyperlink r:id="rId7791" ref="B7756"/>
    <hyperlink r:id="rId7792" ref="B7757"/>
    <hyperlink r:id="rId7793" ref="B7758"/>
    <hyperlink r:id="rId7794" ref="B7759"/>
    <hyperlink r:id="rId7795" ref="B7760"/>
    <hyperlink r:id="rId7796" ref="B7761"/>
    <hyperlink r:id="rId7797" ref="B7762"/>
    <hyperlink r:id="rId7798" ref="B7763"/>
    <hyperlink r:id="rId7799" ref="B7764"/>
    <hyperlink r:id="rId7800" ref="B7765"/>
    <hyperlink r:id="rId7801" ref="B7766"/>
    <hyperlink r:id="rId7802" ref="B7767"/>
    <hyperlink r:id="rId7803" ref="B7768"/>
    <hyperlink r:id="rId7804" ref="B7769"/>
    <hyperlink r:id="rId7805" ref="B7770"/>
    <hyperlink r:id="rId7806" ref="B7771"/>
    <hyperlink r:id="rId7807" ref="B7772"/>
    <hyperlink r:id="rId7808" ref="B7773"/>
    <hyperlink r:id="rId7809" ref="B7774"/>
    <hyperlink r:id="rId7810" ref="B7775"/>
    <hyperlink r:id="rId7811" ref="B7776"/>
    <hyperlink r:id="rId7812" ref="B7777"/>
    <hyperlink r:id="rId7813" ref="B7778"/>
    <hyperlink r:id="rId7814" ref="B7779"/>
    <hyperlink r:id="rId7815" ref="B7780"/>
    <hyperlink r:id="rId7816" ref="B7781"/>
    <hyperlink r:id="rId7817" ref="B7782"/>
    <hyperlink r:id="rId7818" ref="B7783"/>
    <hyperlink r:id="rId7819" ref="B7784"/>
    <hyperlink r:id="rId7820" ref="B7785"/>
    <hyperlink r:id="rId7821" ref="B7786"/>
    <hyperlink r:id="rId7822" ref="B7787"/>
    <hyperlink r:id="rId7823" ref="B7788"/>
    <hyperlink r:id="rId7824" ref="B7789"/>
    <hyperlink r:id="rId7825" ref="B7790"/>
    <hyperlink r:id="rId7826" ref="B7791"/>
    <hyperlink r:id="rId7827" ref="B7792"/>
    <hyperlink r:id="rId7828" ref="B7793"/>
    <hyperlink r:id="rId7829" ref="B7794"/>
    <hyperlink r:id="rId7830" ref="B7795"/>
    <hyperlink r:id="rId7831" ref="B7796"/>
    <hyperlink r:id="rId7832" ref="B7797"/>
    <hyperlink r:id="rId7833" ref="B7798"/>
    <hyperlink r:id="rId7834" ref="B7799"/>
    <hyperlink r:id="rId7835" ref="B7800"/>
    <hyperlink r:id="rId7836" ref="B7801"/>
    <hyperlink r:id="rId7837" ref="B7802"/>
    <hyperlink r:id="rId7838" ref="B7803"/>
    <hyperlink r:id="rId7839" ref="B7804"/>
    <hyperlink r:id="rId7840" ref="B7805"/>
    <hyperlink r:id="rId7841" ref="B7806"/>
    <hyperlink r:id="rId7842" ref="B7807"/>
    <hyperlink r:id="rId7843" ref="B7808"/>
    <hyperlink r:id="rId7844" ref="B7809"/>
    <hyperlink r:id="rId7845" ref="B7810"/>
    <hyperlink r:id="rId7846" ref="A7811"/>
    <hyperlink r:id="rId7847" ref="B7811"/>
    <hyperlink r:id="rId7848" ref="B7812"/>
    <hyperlink r:id="rId7849" ref="B7813"/>
    <hyperlink r:id="rId7850" ref="A7814"/>
    <hyperlink r:id="rId7851" ref="B7814"/>
    <hyperlink r:id="rId7852" ref="B7815"/>
    <hyperlink r:id="rId7853" ref="B7816"/>
    <hyperlink r:id="rId7854" ref="B7817"/>
    <hyperlink r:id="rId7855" ref="B7818"/>
    <hyperlink r:id="rId7856" ref="B7819"/>
    <hyperlink r:id="rId7857" ref="B7820"/>
    <hyperlink r:id="rId7858" ref="B7821"/>
    <hyperlink r:id="rId7859" ref="B7822"/>
    <hyperlink r:id="rId7860" ref="B7823"/>
    <hyperlink r:id="rId7861" ref="B7824"/>
    <hyperlink r:id="rId7862" ref="B7825"/>
    <hyperlink r:id="rId7863" ref="B7826"/>
    <hyperlink r:id="rId7864" ref="B7827"/>
    <hyperlink r:id="rId7865" ref="B7828"/>
    <hyperlink r:id="rId7866" ref="B7829"/>
    <hyperlink r:id="rId7867" ref="B7830"/>
    <hyperlink r:id="rId7868" ref="B7831"/>
    <hyperlink r:id="rId7869" ref="B7832"/>
    <hyperlink r:id="rId7870" ref="B7833"/>
    <hyperlink r:id="rId7871" ref="B7834"/>
    <hyperlink r:id="rId7872" ref="B7835"/>
    <hyperlink r:id="rId7873" ref="B7836"/>
    <hyperlink r:id="rId7874" ref="B7837"/>
    <hyperlink r:id="rId7875" ref="B7838"/>
    <hyperlink r:id="rId7876" ref="B7839"/>
    <hyperlink r:id="rId7877" ref="B7840"/>
    <hyperlink r:id="rId7878" ref="B7841"/>
    <hyperlink r:id="rId7879" ref="B7842"/>
    <hyperlink r:id="rId7880" ref="B7843"/>
    <hyperlink r:id="rId7881" ref="B7844"/>
    <hyperlink r:id="rId7882" ref="B7845"/>
    <hyperlink r:id="rId7883" ref="B7846"/>
    <hyperlink r:id="rId7884" ref="B7847"/>
    <hyperlink r:id="rId7885" ref="B7848"/>
    <hyperlink r:id="rId7886" ref="B7849"/>
    <hyperlink r:id="rId7887" ref="B7850"/>
    <hyperlink r:id="rId7888" ref="B7851"/>
    <hyperlink r:id="rId7889" ref="A7852"/>
    <hyperlink r:id="rId7890" ref="B7852"/>
    <hyperlink r:id="rId7891" ref="B7853"/>
    <hyperlink r:id="rId7892" ref="B7854"/>
    <hyperlink r:id="rId7893" ref="B7855"/>
    <hyperlink r:id="rId7894" ref="B7856"/>
    <hyperlink r:id="rId7895" ref="B7857"/>
    <hyperlink r:id="rId7896" ref="B7858"/>
    <hyperlink r:id="rId7897" ref="B7859"/>
    <hyperlink r:id="rId7898" ref="B7860"/>
    <hyperlink r:id="rId7899" ref="B7861"/>
    <hyperlink r:id="rId7900" ref="B7862"/>
    <hyperlink r:id="rId7901" ref="B7863"/>
    <hyperlink r:id="rId7902" ref="B7864"/>
    <hyperlink r:id="rId7903" ref="B7865"/>
    <hyperlink r:id="rId7904" ref="B7866"/>
    <hyperlink r:id="rId7905" ref="B7867"/>
    <hyperlink r:id="rId7906" ref="B7868"/>
    <hyperlink r:id="rId7907" ref="B7869"/>
    <hyperlink r:id="rId7908" ref="B7870"/>
    <hyperlink r:id="rId7909" ref="B7871"/>
    <hyperlink r:id="rId7910" ref="B7872"/>
    <hyperlink r:id="rId7911" ref="B7873"/>
    <hyperlink r:id="rId7912" ref="B7874"/>
    <hyperlink r:id="rId7913" ref="B7875"/>
    <hyperlink r:id="rId7914" ref="B7876"/>
    <hyperlink r:id="rId7915" ref="B7877"/>
    <hyperlink r:id="rId7916" ref="B7878"/>
    <hyperlink r:id="rId7917" ref="B7879"/>
    <hyperlink r:id="rId7918" ref="B7880"/>
    <hyperlink r:id="rId7919" ref="B7881"/>
    <hyperlink r:id="rId7920" ref="B7882"/>
    <hyperlink r:id="rId7921" ref="B7883"/>
    <hyperlink r:id="rId7922" ref="B7884"/>
    <hyperlink r:id="rId7923" ref="B7885"/>
    <hyperlink r:id="rId7924" ref="B7886"/>
    <hyperlink r:id="rId7925" ref="B7887"/>
    <hyperlink r:id="rId7926" ref="B7888"/>
    <hyperlink r:id="rId7927" ref="B7889"/>
    <hyperlink r:id="rId7928" ref="B7890"/>
    <hyperlink r:id="rId7929" ref="B7891"/>
    <hyperlink r:id="rId7930" ref="B7892"/>
    <hyperlink r:id="rId7931" ref="B7893"/>
    <hyperlink r:id="rId7932" ref="B7894"/>
    <hyperlink r:id="rId7933" ref="B7895"/>
    <hyperlink r:id="rId7934" ref="B7896"/>
    <hyperlink r:id="rId7935" ref="B7897"/>
    <hyperlink r:id="rId7936" ref="B7898"/>
    <hyperlink r:id="rId7937" ref="B7899"/>
    <hyperlink r:id="rId7938" ref="B7900"/>
    <hyperlink r:id="rId7939" ref="B7901"/>
    <hyperlink r:id="rId7940" ref="B7902"/>
    <hyperlink r:id="rId7941" ref="B7903"/>
    <hyperlink r:id="rId7942" ref="B7904"/>
    <hyperlink r:id="rId7943" ref="B7905"/>
    <hyperlink r:id="rId7944" ref="B7906"/>
    <hyperlink r:id="rId7945" ref="B7907"/>
    <hyperlink r:id="rId7946" ref="B7908"/>
    <hyperlink r:id="rId7947" ref="B7909"/>
    <hyperlink r:id="rId7948" ref="B7910"/>
    <hyperlink r:id="rId7949" ref="B7911"/>
    <hyperlink r:id="rId7950" ref="B7912"/>
    <hyperlink r:id="rId7951" ref="B7913"/>
    <hyperlink r:id="rId7952" ref="B7914"/>
    <hyperlink r:id="rId7953" ref="B7915"/>
    <hyperlink r:id="rId7954" ref="B7916"/>
    <hyperlink r:id="rId7955" ref="B7917"/>
    <hyperlink r:id="rId7956" ref="B7918"/>
    <hyperlink r:id="rId7957" ref="B7919"/>
    <hyperlink r:id="rId7958" ref="B7920"/>
    <hyperlink r:id="rId7959" ref="B7921"/>
    <hyperlink r:id="rId7960" ref="B7922"/>
    <hyperlink r:id="rId7961" ref="B7923"/>
    <hyperlink r:id="rId7962" ref="B7924"/>
    <hyperlink r:id="rId7963" ref="B7925"/>
    <hyperlink r:id="rId7964" ref="B7926"/>
    <hyperlink r:id="rId7965" ref="B7927"/>
    <hyperlink r:id="rId7966" ref="B7928"/>
    <hyperlink r:id="rId7967" ref="B7929"/>
    <hyperlink r:id="rId7968" ref="B7930"/>
    <hyperlink r:id="rId7969" ref="B7931"/>
    <hyperlink r:id="rId7970" ref="B7932"/>
    <hyperlink r:id="rId7971" ref="B7933"/>
    <hyperlink r:id="rId7972" ref="B7934"/>
    <hyperlink r:id="rId7973" ref="B7935"/>
    <hyperlink r:id="rId7974" ref="B7936"/>
    <hyperlink r:id="rId7975" ref="B7937"/>
    <hyperlink r:id="rId7976" ref="B7938"/>
    <hyperlink r:id="rId7977" ref="B7939"/>
    <hyperlink r:id="rId7978" ref="B7940"/>
    <hyperlink r:id="rId7979" ref="B7941"/>
    <hyperlink r:id="rId7980" ref="B7942"/>
    <hyperlink r:id="rId7981" ref="B7943"/>
    <hyperlink r:id="rId7982" ref="B7944"/>
    <hyperlink r:id="rId7983" ref="B7945"/>
    <hyperlink r:id="rId7984" ref="B7946"/>
    <hyperlink r:id="rId7985" ref="B7947"/>
    <hyperlink r:id="rId7986" ref="B7948"/>
    <hyperlink r:id="rId7987" ref="B7949"/>
    <hyperlink r:id="rId7988" ref="B7950"/>
    <hyperlink r:id="rId7989" ref="B7951"/>
    <hyperlink r:id="rId7990" ref="B7952"/>
    <hyperlink r:id="rId7991" ref="B7953"/>
    <hyperlink r:id="rId7992" ref="B7954"/>
    <hyperlink r:id="rId7993" ref="B7955"/>
    <hyperlink r:id="rId7994" ref="B7956"/>
    <hyperlink r:id="rId7995" ref="B7957"/>
    <hyperlink r:id="rId7996" ref="B7958"/>
    <hyperlink r:id="rId7997" ref="B7959"/>
    <hyperlink r:id="rId7998" ref="B7960"/>
    <hyperlink r:id="rId7999" ref="B7961"/>
    <hyperlink r:id="rId8000" ref="B7962"/>
    <hyperlink r:id="rId8001" ref="B7963"/>
    <hyperlink r:id="rId8002" ref="B7964"/>
    <hyperlink r:id="rId8003" ref="B7965"/>
    <hyperlink r:id="rId8004" ref="B7966"/>
    <hyperlink r:id="rId8005" ref="B7967"/>
    <hyperlink r:id="rId8006" ref="B7968"/>
    <hyperlink r:id="rId8007" ref="B7969"/>
    <hyperlink r:id="rId8008" ref="B7970"/>
    <hyperlink r:id="rId8009" ref="B7971"/>
    <hyperlink r:id="rId8010" ref="B7972"/>
    <hyperlink r:id="rId8011" ref="B7973"/>
    <hyperlink r:id="rId8012" ref="B7974"/>
    <hyperlink r:id="rId8013" ref="B7975"/>
    <hyperlink r:id="rId8014" ref="B7976"/>
    <hyperlink r:id="rId8015" ref="B7977"/>
    <hyperlink r:id="rId8016" ref="B7978"/>
    <hyperlink r:id="rId8017" ref="B7979"/>
    <hyperlink r:id="rId8018" ref="B7980"/>
    <hyperlink r:id="rId8019" ref="B7981"/>
    <hyperlink r:id="rId8020" ref="B7982"/>
    <hyperlink r:id="rId8021" ref="B7983"/>
    <hyperlink r:id="rId8022" ref="B7984"/>
    <hyperlink r:id="rId8023" ref="B7985"/>
    <hyperlink r:id="rId8024" ref="B7986"/>
    <hyperlink r:id="rId8025" ref="B7987"/>
    <hyperlink r:id="rId8026" ref="B7988"/>
    <hyperlink r:id="rId8027" ref="B7989"/>
    <hyperlink r:id="rId8028" ref="B7990"/>
    <hyperlink r:id="rId8029" ref="B7991"/>
    <hyperlink r:id="rId8030" ref="B7992"/>
    <hyperlink r:id="rId8031" ref="B7993"/>
    <hyperlink r:id="rId8032" ref="B7994"/>
    <hyperlink r:id="rId8033" ref="B7995"/>
    <hyperlink r:id="rId8034" ref="B7996"/>
    <hyperlink r:id="rId8035" ref="B7997"/>
    <hyperlink r:id="rId8036" ref="B7998"/>
    <hyperlink r:id="rId8037" ref="B7999"/>
    <hyperlink r:id="rId8038" ref="B8000"/>
    <hyperlink r:id="rId8039" ref="B8001"/>
    <hyperlink r:id="rId8040" ref="B8002"/>
    <hyperlink r:id="rId8041" ref="B8003"/>
    <hyperlink r:id="rId8042" ref="B8004"/>
    <hyperlink r:id="rId8043" ref="B8005"/>
    <hyperlink r:id="rId8044" ref="B8006"/>
    <hyperlink r:id="rId8045" ref="B8007"/>
    <hyperlink r:id="rId8046" ref="B8008"/>
    <hyperlink r:id="rId8047" ref="B8009"/>
    <hyperlink r:id="rId8048" ref="B8010"/>
    <hyperlink r:id="rId8049" ref="B8011"/>
    <hyperlink r:id="rId8050" ref="B8012"/>
    <hyperlink r:id="rId8051" ref="B8013"/>
    <hyperlink r:id="rId8052" ref="B8014"/>
    <hyperlink r:id="rId8053" ref="B8015"/>
    <hyperlink r:id="rId8054" ref="B8016"/>
    <hyperlink r:id="rId8055" ref="B8017"/>
    <hyperlink r:id="rId8056" ref="B8018"/>
    <hyperlink r:id="rId8057" ref="B8019"/>
    <hyperlink r:id="rId8058" ref="B8020"/>
    <hyperlink r:id="rId8059" ref="B8021"/>
    <hyperlink r:id="rId8060" ref="B8022"/>
    <hyperlink r:id="rId8061" ref="B8023"/>
    <hyperlink r:id="rId8062" ref="B8024"/>
    <hyperlink r:id="rId8063" ref="B8025"/>
    <hyperlink r:id="rId8064" ref="B8026"/>
    <hyperlink r:id="rId8065" ref="B8027"/>
    <hyperlink r:id="rId8066" ref="B8028"/>
    <hyperlink r:id="rId8067" ref="B8029"/>
    <hyperlink r:id="rId8068" ref="B8030"/>
    <hyperlink r:id="rId8069" ref="B8031"/>
    <hyperlink r:id="rId8070" ref="B8032"/>
    <hyperlink r:id="rId8071" ref="B8033"/>
    <hyperlink r:id="rId8072" ref="B8034"/>
    <hyperlink r:id="rId8073" ref="B8035"/>
    <hyperlink r:id="rId8074" ref="B8036"/>
    <hyperlink r:id="rId8075" ref="B8037"/>
    <hyperlink r:id="rId8076" ref="B8038"/>
    <hyperlink r:id="rId8077" ref="B8039"/>
    <hyperlink r:id="rId8078" ref="B8040"/>
    <hyperlink r:id="rId8079" ref="B8041"/>
    <hyperlink r:id="rId8080" ref="B8042"/>
    <hyperlink r:id="rId8081" ref="B8043"/>
    <hyperlink r:id="rId8082" ref="B8044"/>
    <hyperlink r:id="rId8083" ref="B8045"/>
    <hyperlink r:id="rId8084" ref="B8046"/>
    <hyperlink r:id="rId8085" ref="B8047"/>
    <hyperlink r:id="rId8086" ref="B8048"/>
    <hyperlink r:id="rId8087" ref="B8049"/>
    <hyperlink r:id="rId8088" ref="B8050"/>
    <hyperlink r:id="rId8089" ref="B8051"/>
    <hyperlink r:id="rId8090" ref="B8052"/>
    <hyperlink r:id="rId8091" ref="B8053"/>
    <hyperlink r:id="rId8092" ref="B8054"/>
    <hyperlink r:id="rId8093" ref="B8055"/>
    <hyperlink r:id="rId8094" ref="B8056"/>
    <hyperlink r:id="rId8095" ref="B8057"/>
    <hyperlink r:id="rId8096" ref="B8058"/>
    <hyperlink r:id="rId8097" ref="B8059"/>
    <hyperlink r:id="rId8098" ref="B8060"/>
    <hyperlink r:id="rId8099" ref="B8061"/>
    <hyperlink r:id="rId8100" ref="B8062"/>
    <hyperlink r:id="rId8101" ref="B8063"/>
    <hyperlink r:id="rId8102" ref="B8064"/>
    <hyperlink r:id="rId8103" ref="B8065"/>
    <hyperlink r:id="rId8104" ref="B8066"/>
    <hyperlink r:id="rId8105" ref="B8067"/>
    <hyperlink r:id="rId8106" ref="B8068"/>
    <hyperlink r:id="rId8107" ref="B8069"/>
    <hyperlink r:id="rId8108" ref="B8070"/>
    <hyperlink r:id="rId8109" ref="B8071"/>
    <hyperlink r:id="rId8110" ref="B8072"/>
    <hyperlink r:id="rId8111" ref="B8073"/>
    <hyperlink r:id="rId8112" ref="B8074"/>
    <hyperlink r:id="rId8113" ref="B8075"/>
    <hyperlink r:id="rId8114" ref="B8076"/>
    <hyperlink r:id="rId8115" ref="B8077"/>
    <hyperlink r:id="rId8116" ref="B8078"/>
    <hyperlink r:id="rId8117" ref="B8079"/>
    <hyperlink r:id="rId8118" ref="B8080"/>
    <hyperlink r:id="rId8119" ref="B8081"/>
    <hyperlink r:id="rId8120" ref="B8082"/>
    <hyperlink r:id="rId8121" ref="B8083"/>
    <hyperlink r:id="rId8122" ref="B8084"/>
    <hyperlink r:id="rId8123" ref="B8085"/>
    <hyperlink r:id="rId8124" ref="B8086"/>
    <hyperlink r:id="rId8125" ref="B8087"/>
    <hyperlink r:id="rId8126" ref="B8088"/>
    <hyperlink r:id="rId8127" ref="B8089"/>
    <hyperlink r:id="rId8128" ref="B8090"/>
    <hyperlink r:id="rId8129" ref="B8091"/>
    <hyperlink r:id="rId8130" ref="B8092"/>
    <hyperlink r:id="rId8131" ref="B8093"/>
    <hyperlink r:id="rId8132" ref="B8094"/>
    <hyperlink r:id="rId8133" ref="B8095"/>
    <hyperlink r:id="rId8134" ref="B8096"/>
    <hyperlink r:id="rId8135" ref="B8097"/>
    <hyperlink r:id="rId8136" ref="B8098"/>
    <hyperlink r:id="rId8137" ref="B8099"/>
    <hyperlink r:id="rId8138" ref="B8100"/>
    <hyperlink r:id="rId8139" ref="B8101"/>
    <hyperlink r:id="rId8140" ref="B8102"/>
    <hyperlink r:id="rId8141" ref="B8103"/>
    <hyperlink r:id="rId8142" ref="B8104"/>
    <hyperlink r:id="rId8143" ref="B8105"/>
    <hyperlink r:id="rId8144" ref="B8106"/>
    <hyperlink r:id="rId8145" ref="B8107"/>
    <hyperlink r:id="rId8146" ref="B8108"/>
    <hyperlink r:id="rId8147" ref="B8109"/>
    <hyperlink r:id="rId8148" ref="B8110"/>
    <hyperlink r:id="rId8149" ref="B8111"/>
    <hyperlink r:id="rId8150" ref="B8112"/>
    <hyperlink r:id="rId8151" ref="B8113"/>
    <hyperlink r:id="rId8152" ref="B8114"/>
    <hyperlink r:id="rId8153" ref="B8115"/>
    <hyperlink r:id="rId8154" ref="B8116"/>
    <hyperlink r:id="rId8155" ref="B8117"/>
    <hyperlink r:id="rId8156" ref="B8118"/>
    <hyperlink r:id="rId8157" ref="B8119"/>
    <hyperlink r:id="rId8158" ref="B8120"/>
    <hyperlink r:id="rId8159" ref="B8121"/>
    <hyperlink r:id="rId8160" ref="B8122"/>
    <hyperlink r:id="rId8161" ref="B8123"/>
    <hyperlink r:id="rId8162" ref="B8124"/>
    <hyperlink r:id="rId8163" ref="B8125"/>
    <hyperlink r:id="rId8164" ref="B8126"/>
    <hyperlink r:id="rId8165" ref="B8127"/>
    <hyperlink r:id="rId8166" ref="B8128"/>
    <hyperlink r:id="rId8167" ref="B8129"/>
    <hyperlink r:id="rId8168" ref="B8130"/>
    <hyperlink r:id="rId8169" ref="B8131"/>
    <hyperlink r:id="rId8170" ref="B8132"/>
    <hyperlink r:id="rId8171" ref="B8133"/>
    <hyperlink r:id="rId8172" ref="B8134"/>
    <hyperlink r:id="rId8173" ref="B8135"/>
    <hyperlink r:id="rId8174" ref="B8136"/>
    <hyperlink r:id="rId8175" ref="B8137"/>
    <hyperlink r:id="rId8176" ref="B8138"/>
    <hyperlink r:id="rId8177" ref="B8139"/>
    <hyperlink r:id="rId8178" ref="B8140"/>
    <hyperlink r:id="rId8179" ref="B8141"/>
    <hyperlink r:id="rId8180" ref="B8142"/>
    <hyperlink r:id="rId8181" ref="B8143"/>
    <hyperlink r:id="rId8182" ref="B8144"/>
    <hyperlink r:id="rId8183" ref="B8145"/>
    <hyperlink r:id="rId8184" ref="B8146"/>
    <hyperlink r:id="rId8185" ref="B8147"/>
    <hyperlink r:id="rId8186" ref="B8148"/>
    <hyperlink r:id="rId8187" ref="B8149"/>
    <hyperlink r:id="rId8188" ref="B8150"/>
    <hyperlink r:id="rId8189" ref="B8151"/>
    <hyperlink r:id="rId8190" ref="B8152"/>
    <hyperlink r:id="rId8191" ref="B8153"/>
    <hyperlink r:id="rId8192" ref="B8154"/>
    <hyperlink r:id="rId8193" ref="B8155"/>
    <hyperlink r:id="rId8194" ref="B8156"/>
    <hyperlink r:id="rId8195" ref="B8157"/>
    <hyperlink r:id="rId8196" ref="B8158"/>
    <hyperlink r:id="rId8197" ref="B8159"/>
    <hyperlink r:id="rId8198" ref="B8160"/>
    <hyperlink r:id="rId8199" ref="B8161"/>
    <hyperlink r:id="rId8200" ref="B8162"/>
    <hyperlink r:id="rId8201" ref="B8163"/>
    <hyperlink r:id="rId8202" ref="B8164"/>
    <hyperlink r:id="rId8203" ref="B8165"/>
    <hyperlink r:id="rId8204" ref="B8166"/>
    <hyperlink r:id="rId8205" ref="B8167"/>
    <hyperlink r:id="rId8206" ref="B8168"/>
    <hyperlink r:id="rId8207" ref="B8169"/>
    <hyperlink r:id="rId8208" ref="B8170"/>
    <hyperlink r:id="rId8209" ref="B8171"/>
    <hyperlink r:id="rId8210" ref="B8172"/>
    <hyperlink r:id="rId8211" ref="B8173"/>
    <hyperlink r:id="rId8212" ref="B8174"/>
    <hyperlink r:id="rId8213" ref="B8175"/>
    <hyperlink r:id="rId8214" ref="B8176"/>
    <hyperlink r:id="rId8215" ref="B8177"/>
    <hyperlink r:id="rId8216" ref="B8178"/>
    <hyperlink r:id="rId8217" ref="B8179"/>
    <hyperlink r:id="rId8218" ref="B8180"/>
    <hyperlink r:id="rId8219" ref="B8181"/>
    <hyperlink r:id="rId8220" ref="B8182"/>
    <hyperlink r:id="rId8221" ref="B8183"/>
    <hyperlink r:id="rId8222" ref="B8184"/>
    <hyperlink r:id="rId8223" ref="B8185"/>
    <hyperlink r:id="rId8224" ref="B8186"/>
    <hyperlink r:id="rId8225" ref="B8187"/>
    <hyperlink r:id="rId8226" ref="B8188"/>
    <hyperlink r:id="rId8227" ref="B8189"/>
    <hyperlink r:id="rId8228" ref="B8190"/>
    <hyperlink r:id="rId8229" ref="B8191"/>
    <hyperlink r:id="rId8230" ref="B8192"/>
    <hyperlink r:id="rId8231" ref="B8193"/>
    <hyperlink r:id="rId8232" ref="B8194"/>
    <hyperlink r:id="rId8233" ref="B8195"/>
    <hyperlink r:id="rId8234" ref="B8196"/>
    <hyperlink r:id="rId8235" ref="B8197"/>
    <hyperlink r:id="rId8236" ref="B8198"/>
    <hyperlink r:id="rId8237" ref="B8199"/>
    <hyperlink r:id="rId8238" ref="B8200"/>
    <hyperlink r:id="rId8239" ref="B8201"/>
    <hyperlink r:id="rId8240" ref="B8202"/>
    <hyperlink r:id="rId8241" ref="B8203"/>
    <hyperlink r:id="rId8242" ref="B8204"/>
    <hyperlink r:id="rId8243" ref="B8205"/>
    <hyperlink r:id="rId8244" ref="B8206"/>
    <hyperlink r:id="rId8245" ref="B8207"/>
    <hyperlink r:id="rId8246" ref="B8208"/>
    <hyperlink r:id="rId8247" ref="B8209"/>
    <hyperlink r:id="rId8248" ref="B8210"/>
    <hyperlink r:id="rId8249" ref="B8211"/>
    <hyperlink r:id="rId8250" ref="B8212"/>
    <hyperlink r:id="rId8251" ref="B8213"/>
    <hyperlink r:id="rId8252" ref="B8214"/>
    <hyperlink r:id="rId8253" ref="B8215"/>
    <hyperlink r:id="rId8254" ref="B8216"/>
    <hyperlink r:id="rId8255" ref="B8217"/>
    <hyperlink r:id="rId8256" ref="B8218"/>
    <hyperlink r:id="rId8257" ref="B8219"/>
    <hyperlink r:id="rId8258" ref="B8220"/>
    <hyperlink r:id="rId8259" ref="B8221"/>
    <hyperlink r:id="rId8260" ref="B8222"/>
    <hyperlink r:id="rId8261" ref="B8223"/>
    <hyperlink r:id="rId8262" ref="B8224"/>
    <hyperlink r:id="rId8263" ref="A8225"/>
    <hyperlink r:id="rId8264" ref="B8225"/>
    <hyperlink r:id="rId8265" ref="B8226"/>
    <hyperlink r:id="rId8266" ref="B8227"/>
    <hyperlink r:id="rId8267" ref="B8228"/>
    <hyperlink r:id="rId8268" ref="B8229"/>
    <hyperlink r:id="rId8269" ref="B8230"/>
    <hyperlink r:id="rId8270" ref="B8231"/>
    <hyperlink r:id="rId8271" ref="B8232"/>
    <hyperlink r:id="rId8272" ref="B8233"/>
    <hyperlink r:id="rId8273" ref="B8234"/>
    <hyperlink r:id="rId8274" ref="B8235"/>
    <hyperlink r:id="rId8275" ref="B8236"/>
    <hyperlink r:id="rId8276" ref="B8237"/>
    <hyperlink r:id="rId8277" ref="B8238"/>
    <hyperlink r:id="rId8278" ref="B8239"/>
    <hyperlink r:id="rId8279" ref="B8240"/>
    <hyperlink r:id="rId8280" ref="B8241"/>
    <hyperlink r:id="rId8281" ref="B8242"/>
    <hyperlink r:id="rId8282" ref="B8243"/>
    <hyperlink r:id="rId8283" ref="B8244"/>
    <hyperlink r:id="rId8284" ref="B8245"/>
    <hyperlink r:id="rId8285" ref="B8246"/>
    <hyperlink r:id="rId8286" ref="B8247"/>
    <hyperlink r:id="rId8287" ref="B8248"/>
    <hyperlink r:id="rId8288" ref="B8249"/>
    <hyperlink r:id="rId8289" ref="B8250"/>
    <hyperlink r:id="rId8290" ref="B8251"/>
    <hyperlink r:id="rId8291" ref="B8252"/>
    <hyperlink r:id="rId8292" ref="B8253"/>
    <hyperlink r:id="rId8293" ref="B8254"/>
    <hyperlink r:id="rId8294" ref="B8255"/>
    <hyperlink r:id="rId8295" ref="B8256"/>
    <hyperlink r:id="rId8296" ref="B8257"/>
    <hyperlink r:id="rId8297" ref="B8258"/>
    <hyperlink r:id="rId8298" ref="B8259"/>
    <hyperlink r:id="rId8299" ref="B8260"/>
    <hyperlink r:id="rId8300" ref="B8261"/>
    <hyperlink r:id="rId8301" ref="B8262"/>
    <hyperlink r:id="rId8302" ref="B8263"/>
    <hyperlink r:id="rId8303" ref="B8264"/>
    <hyperlink r:id="rId8304" ref="B8265"/>
    <hyperlink r:id="rId8305" ref="B8266"/>
    <hyperlink r:id="rId8306" ref="B8267"/>
    <hyperlink r:id="rId8307" ref="B8268"/>
    <hyperlink r:id="rId8308" ref="B8269"/>
    <hyperlink r:id="rId8309" ref="B8270"/>
    <hyperlink r:id="rId8310" ref="B8271"/>
    <hyperlink r:id="rId8311" ref="B8272"/>
    <hyperlink r:id="rId8312" ref="B8273"/>
    <hyperlink r:id="rId8313" ref="B8274"/>
    <hyperlink r:id="rId8314" ref="B8275"/>
    <hyperlink r:id="rId8315" ref="B8276"/>
    <hyperlink r:id="rId8316" ref="B8277"/>
    <hyperlink r:id="rId8317" ref="B8278"/>
    <hyperlink r:id="rId8318" ref="B8279"/>
    <hyperlink r:id="rId8319" ref="B8280"/>
    <hyperlink r:id="rId8320" ref="B8281"/>
    <hyperlink r:id="rId8321" ref="B8282"/>
    <hyperlink r:id="rId8322" ref="B8283"/>
    <hyperlink r:id="rId8323" ref="B8284"/>
    <hyperlink r:id="rId8324" ref="B8285"/>
    <hyperlink r:id="rId8325" ref="B8286"/>
    <hyperlink r:id="rId8326" ref="B8287"/>
    <hyperlink r:id="rId8327" ref="B8288"/>
    <hyperlink r:id="rId8328" ref="B8289"/>
    <hyperlink r:id="rId8329" ref="B8290"/>
    <hyperlink r:id="rId8330" ref="B8291"/>
    <hyperlink r:id="rId8331" ref="B8292"/>
    <hyperlink r:id="rId8332" ref="B8293"/>
    <hyperlink r:id="rId8333" ref="B8294"/>
    <hyperlink r:id="rId8334" ref="B8295"/>
    <hyperlink r:id="rId8335" ref="B8296"/>
    <hyperlink r:id="rId8336" ref="B8297"/>
    <hyperlink r:id="rId8337" ref="B8298"/>
    <hyperlink r:id="rId8338" ref="B8299"/>
    <hyperlink r:id="rId8339" ref="B8300"/>
    <hyperlink r:id="rId8340" ref="B8301"/>
    <hyperlink r:id="rId8341" ref="B8302"/>
    <hyperlink r:id="rId8342" ref="B8303"/>
    <hyperlink r:id="rId8343" ref="B8304"/>
    <hyperlink r:id="rId8344" ref="B8305"/>
    <hyperlink r:id="rId8345" ref="B8306"/>
    <hyperlink r:id="rId8346" ref="B8307"/>
    <hyperlink r:id="rId8347" ref="B8308"/>
    <hyperlink r:id="rId8348" ref="B8309"/>
    <hyperlink r:id="rId8349" ref="B8310"/>
    <hyperlink r:id="rId8350" ref="B8311"/>
    <hyperlink r:id="rId8351" ref="B8312"/>
    <hyperlink r:id="rId8352" ref="B8313"/>
    <hyperlink r:id="rId8353" ref="B8314"/>
    <hyperlink r:id="rId8354" ref="B8315"/>
    <hyperlink r:id="rId8355" ref="B8316"/>
    <hyperlink r:id="rId8356" ref="B8317"/>
    <hyperlink r:id="rId8357" ref="B8318"/>
    <hyperlink r:id="rId8358" ref="B8319"/>
    <hyperlink r:id="rId8359" ref="B8320"/>
    <hyperlink r:id="rId8360" ref="B8321"/>
    <hyperlink r:id="rId8361" ref="B8322"/>
    <hyperlink r:id="rId8362" ref="B8323"/>
    <hyperlink r:id="rId8363" ref="B8324"/>
    <hyperlink r:id="rId8364" ref="B8325"/>
    <hyperlink r:id="rId8365" ref="B8326"/>
    <hyperlink r:id="rId8366" ref="B8327"/>
    <hyperlink r:id="rId8367" ref="B8328"/>
    <hyperlink r:id="rId8368" ref="B8329"/>
    <hyperlink r:id="rId8369" ref="B8330"/>
    <hyperlink r:id="rId8370" ref="B8331"/>
    <hyperlink r:id="rId8371" ref="B8332"/>
    <hyperlink r:id="rId8372" ref="B8333"/>
    <hyperlink r:id="rId8373" ref="B8334"/>
    <hyperlink r:id="rId8374" ref="B8335"/>
    <hyperlink r:id="rId8375" ref="B8336"/>
    <hyperlink r:id="rId8376" ref="B8337"/>
    <hyperlink r:id="rId8377" ref="B8338"/>
    <hyperlink r:id="rId8378" ref="B8339"/>
    <hyperlink r:id="rId8379" ref="B8340"/>
    <hyperlink r:id="rId8380" ref="B8341"/>
    <hyperlink r:id="rId8381" ref="B8342"/>
    <hyperlink r:id="rId8382" ref="B8343"/>
    <hyperlink r:id="rId8383" ref="B8344"/>
    <hyperlink r:id="rId8384" ref="B8345"/>
    <hyperlink r:id="rId8385" ref="B8346"/>
    <hyperlink r:id="rId8386" ref="B8347"/>
    <hyperlink r:id="rId8387" ref="B8348"/>
    <hyperlink r:id="rId8388" ref="B8349"/>
    <hyperlink r:id="rId8389" ref="B8350"/>
    <hyperlink r:id="rId8390" ref="B8351"/>
    <hyperlink r:id="rId8391" ref="B8352"/>
    <hyperlink r:id="rId8392" ref="B8353"/>
    <hyperlink r:id="rId8393" ref="B8354"/>
    <hyperlink r:id="rId8394" ref="B8355"/>
    <hyperlink r:id="rId8395" ref="B8356"/>
    <hyperlink r:id="rId8396" ref="B8357"/>
    <hyperlink r:id="rId8397" ref="B8358"/>
    <hyperlink r:id="rId8398" ref="B8359"/>
    <hyperlink r:id="rId8399" ref="B8360"/>
    <hyperlink r:id="rId8400" ref="B8361"/>
    <hyperlink r:id="rId8401" ref="B8362"/>
    <hyperlink r:id="rId8402" ref="B8363"/>
    <hyperlink r:id="rId8403" ref="B8364"/>
    <hyperlink r:id="rId8404" ref="B8365"/>
    <hyperlink r:id="rId8405" ref="B8366"/>
    <hyperlink r:id="rId8406" ref="B8367"/>
    <hyperlink r:id="rId8407" ref="B8368"/>
    <hyperlink r:id="rId8408" ref="B8369"/>
    <hyperlink r:id="rId8409" ref="B8370"/>
    <hyperlink r:id="rId8410" ref="B8371"/>
    <hyperlink r:id="rId8411" ref="B8372"/>
    <hyperlink r:id="rId8412" ref="B8373"/>
    <hyperlink r:id="rId8413" ref="B8374"/>
    <hyperlink r:id="rId8414" ref="B8375"/>
    <hyperlink r:id="rId8415" ref="B8376"/>
    <hyperlink r:id="rId8416" ref="B8377"/>
    <hyperlink r:id="rId8417" ref="B8378"/>
    <hyperlink r:id="rId8418" ref="B8379"/>
    <hyperlink r:id="rId8419" ref="B8380"/>
    <hyperlink r:id="rId8420" ref="B8381"/>
    <hyperlink r:id="rId8421" ref="B8382"/>
    <hyperlink r:id="rId8422" ref="B8383"/>
    <hyperlink r:id="rId8423" ref="B8384"/>
    <hyperlink r:id="rId8424" ref="B8385"/>
    <hyperlink r:id="rId8425" ref="B8386"/>
    <hyperlink r:id="rId8426" ref="B8387"/>
    <hyperlink r:id="rId8427" ref="B8388"/>
    <hyperlink r:id="rId8428" ref="B8389"/>
    <hyperlink r:id="rId8429" ref="B8390"/>
    <hyperlink r:id="rId8430" ref="B8391"/>
    <hyperlink r:id="rId8431" ref="B8392"/>
    <hyperlink r:id="rId8432" ref="B8393"/>
    <hyperlink r:id="rId8433" ref="B8394"/>
    <hyperlink r:id="rId8434" ref="B8395"/>
    <hyperlink r:id="rId8435" ref="B8396"/>
    <hyperlink r:id="rId8436" ref="B8397"/>
    <hyperlink r:id="rId8437" ref="B8398"/>
    <hyperlink r:id="rId8438" ref="B8399"/>
    <hyperlink r:id="rId8439" ref="B8400"/>
    <hyperlink r:id="rId8440" ref="B8401"/>
    <hyperlink r:id="rId8441" ref="B8402"/>
    <hyperlink r:id="rId8442" ref="B8403"/>
    <hyperlink r:id="rId8443" ref="B8404"/>
    <hyperlink r:id="rId8444" ref="B8405"/>
    <hyperlink r:id="rId8445" ref="B8406"/>
    <hyperlink r:id="rId8446" ref="B8407"/>
    <hyperlink r:id="rId8447" ref="B8408"/>
    <hyperlink r:id="rId8448" ref="B8409"/>
    <hyperlink r:id="rId8449" ref="B8410"/>
    <hyperlink r:id="rId8450" ref="B8411"/>
    <hyperlink r:id="rId8451" ref="B8412"/>
    <hyperlink r:id="rId8452" ref="B8413"/>
    <hyperlink r:id="rId8453" ref="B8414"/>
    <hyperlink r:id="rId8454" ref="B8415"/>
    <hyperlink r:id="rId8455" ref="B8416"/>
    <hyperlink r:id="rId8456" ref="B8417"/>
    <hyperlink r:id="rId8457" ref="B8418"/>
    <hyperlink r:id="rId8458" ref="B8419"/>
    <hyperlink r:id="rId8459" ref="B8420"/>
    <hyperlink r:id="rId8460" ref="B8421"/>
    <hyperlink r:id="rId8461" ref="B8422"/>
    <hyperlink r:id="rId8462" ref="B8423"/>
    <hyperlink r:id="rId8463" ref="B8424"/>
    <hyperlink r:id="rId8464" ref="B8425"/>
    <hyperlink r:id="rId8465" ref="B8426"/>
    <hyperlink r:id="rId8466" ref="B8427"/>
    <hyperlink r:id="rId8467" ref="B8428"/>
    <hyperlink r:id="rId8468" ref="B8429"/>
    <hyperlink r:id="rId8469" ref="B8430"/>
    <hyperlink r:id="rId8470" ref="B8431"/>
    <hyperlink r:id="rId8471" ref="B8432"/>
    <hyperlink r:id="rId8472" ref="B8433"/>
    <hyperlink r:id="rId8473" ref="B8434"/>
    <hyperlink r:id="rId8474" ref="B8435"/>
    <hyperlink r:id="rId8475" ref="B8436"/>
    <hyperlink r:id="rId8476" ref="B8437"/>
    <hyperlink r:id="rId8477" ref="B8438"/>
    <hyperlink r:id="rId8478" ref="B8439"/>
    <hyperlink r:id="rId8479" ref="B8440"/>
    <hyperlink r:id="rId8480" ref="B8441"/>
    <hyperlink r:id="rId8481" ref="B8442"/>
    <hyperlink r:id="rId8482" ref="B8443"/>
    <hyperlink r:id="rId8483" ref="B8444"/>
    <hyperlink r:id="rId8484" ref="B8445"/>
    <hyperlink r:id="rId8485" ref="B8446"/>
    <hyperlink r:id="rId8486" ref="B8447"/>
    <hyperlink r:id="rId8487" ref="B8448"/>
    <hyperlink r:id="rId8488" ref="B8449"/>
    <hyperlink r:id="rId8489" ref="B8450"/>
    <hyperlink r:id="rId8490" ref="B8451"/>
    <hyperlink r:id="rId8491" ref="B8452"/>
    <hyperlink r:id="rId8492" ref="B8453"/>
    <hyperlink r:id="rId8493" ref="B8454"/>
    <hyperlink r:id="rId8494" ref="B8455"/>
    <hyperlink r:id="rId8495" ref="B8456"/>
    <hyperlink r:id="rId8496" ref="B8457"/>
    <hyperlink r:id="rId8497" ref="B8458"/>
    <hyperlink r:id="rId8498" ref="B8459"/>
    <hyperlink r:id="rId8499" ref="B8460"/>
    <hyperlink r:id="rId8500" ref="B8461"/>
    <hyperlink r:id="rId8501" ref="B8462"/>
    <hyperlink r:id="rId8502" ref="B8463"/>
    <hyperlink r:id="rId8503" ref="B8464"/>
    <hyperlink r:id="rId8504" ref="B8465"/>
    <hyperlink r:id="rId8505" ref="B8466"/>
    <hyperlink r:id="rId8506" ref="B8467"/>
    <hyperlink r:id="rId8507" ref="B8468"/>
    <hyperlink r:id="rId8508" ref="B8469"/>
    <hyperlink r:id="rId8509" ref="B8470"/>
    <hyperlink r:id="rId8510" ref="B8471"/>
    <hyperlink r:id="rId8511" ref="B8472"/>
    <hyperlink r:id="rId8512" ref="B8473"/>
    <hyperlink r:id="rId8513" ref="B8474"/>
    <hyperlink r:id="rId8514" ref="B8475"/>
    <hyperlink r:id="rId8515" ref="B8476"/>
    <hyperlink r:id="rId8516" ref="B8477"/>
    <hyperlink r:id="rId8517" ref="B8478"/>
    <hyperlink r:id="rId8518" ref="B8479"/>
    <hyperlink r:id="rId8519" ref="B8480"/>
    <hyperlink r:id="rId8520" ref="A8481"/>
    <hyperlink r:id="rId8521" ref="B8481"/>
    <hyperlink r:id="rId8522" ref="B8482"/>
    <hyperlink r:id="rId8523" ref="B8483"/>
    <hyperlink r:id="rId8524" ref="B8484"/>
    <hyperlink r:id="rId8525" ref="B8485"/>
    <hyperlink r:id="rId8526" ref="B8486"/>
    <hyperlink r:id="rId8527" ref="B8487"/>
    <hyperlink r:id="rId8528" ref="B8488"/>
    <hyperlink r:id="rId8529" ref="B8489"/>
    <hyperlink r:id="rId8530" ref="B8490"/>
    <hyperlink r:id="rId8531" ref="B8491"/>
    <hyperlink r:id="rId8532" ref="B8492"/>
    <hyperlink r:id="rId8533" ref="B8493"/>
    <hyperlink r:id="rId8534" ref="B8494"/>
    <hyperlink r:id="rId8535" ref="B8495"/>
    <hyperlink r:id="rId8536" ref="B8496"/>
    <hyperlink r:id="rId8537" ref="B8497"/>
    <hyperlink r:id="rId8538" ref="B8498"/>
    <hyperlink r:id="rId8539" ref="B8499"/>
    <hyperlink r:id="rId8540" ref="B8500"/>
    <hyperlink r:id="rId8541" ref="B8501"/>
    <hyperlink r:id="rId8542" ref="B8502"/>
    <hyperlink r:id="rId8543" ref="B8503"/>
    <hyperlink r:id="rId8544" ref="B8504"/>
    <hyperlink r:id="rId8545" ref="B8505"/>
    <hyperlink r:id="rId8546" ref="B8506"/>
    <hyperlink r:id="rId8547" ref="B8507"/>
    <hyperlink r:id="rId8548" ref="B8508"/>
    <hyperlink r:id="rId8549" ref="B8509"/>
    <hyperlink r:id="rId8550" ref="B8510"/>
    <hyperlink r:id="rId8551" ref="B8511"/>
    <hyperlink r:id="rId8552" ref="B8512"/>
    <hyperlink r:id="rId8553" ref="B8513"/>
    <hyperlink r:id="rId8554" ref="B8514"/>
    <hyperlink r:id="rId8555" ref="B8515"/>
    <hyperlink r:id="rId8556" ref="B8516"/>
    <hyperlink r:id="rId8557" ref="B8517"/>
    <hyperlink r:id="rId8558" ref="B8518"/>
    <hyperlink r:id="rId8559" ref="B8519"/>
    <hyperlink r:id="rId8560" ref="B8520"/>
    <hyperlink r:id="rId8561" ref="B8521"/>
    <hyperlink r:id="rId8562" ref="B8522"/>
    <hyperlink r:id="rId8563" ref="B8523"/>
    <hyperlink r:id="rId8564" ref="B8524"/>
    <hyperlink r:id="rId8565" ref="B8525"/>
    <hyperlink r:id="rId8566" ref="B8526"/>
    <hyperlink r:id="rId8567" ref="B8527"/>
    <hyperlink r:id="rId8568" ref="B8528"/>
    <hyperlink r:id="rId8569" ref="B8529"/>
    <hyperlink r:id="rId8570" ref="B8530"/>
    <hyperlink r:id="rId8571" ref="B8531"/>
    <hyperlink r:id="rId8572" ref="B8532"/>
    <hyperlink r:id="rId8573" ref="B8533"/>
    <hyperlink r:id="rId8574" ref="B8534"/>
    <hyperlink r:id="rId8575" ref="B8535"/>
    <hyperlink r:id="rId8576" ref="B8536"/>
    <hyperlink r:id="rId8577" ref="B8537"/>
    <hyperlink r:id="rId8578" ref="B8538"/>
    <hyperlink r:id="rId8579" ref="B8539"/>
    <hyperlink r:id="rId8580" ref="B8540"/>
    <hyperlink r:id="rId8581" ref="B8541"/>
    <hyperlink r:id="rId8582" ref="B8542"/>
    <hyperlink r:id="rId8583" ref="B8543"/>
    <hyperlink r:id="rId8584" ref="B8544"/>
    <hyperlink r:id="rId8585" ref="B8545"/>
    <hyperlink r:id="rId8586" ref="B8546"/>
    <hyperlink r:id="rId8587" ref="B8547"/>
    <hyperlink r:id="rId8588" ref="B8548"/>
    <hyperlink r:id="rId8589" ref="B8549"/>
    <hyperlink r:id="rId8590" ref="B8550"/>
    <hyperlink r:id="rId8591" ref="B8551"/>
    <hyperlink r:id="rId8592" ref="B8552"/>
    <hyperlink r:id="rId8593" ref="B8553"/>
    <hyperlink r:id="rId8594" ref="B8554"/>
    <hyperlink r:id="rId8595" ref="B8555"/>
    <hyperlink r:id="rId8596" ref="B8556"/>
    <hyperlink r:id="rId8597" ref="B8557"/>
    <hyperlink r:id="rId8598" ref="B8558"/>
    <hyperlink r:id="rId8599" ref="B8559"/>
    <hyperlink r:id="rId8600" ref="B8560"/>
    <hyperlink r:id="rId8601" ref="B8561"/>
    <hyperlink r:id="rId8602" ref="B8562"/>
    <hyperlink r:id="rId8603" ref="B8563"/>
    <hyperlink r:id="rId8604" ref="B8564"/>
    <hyperlink r:id="rId8605" ref="B8565"/>
    <hyperlink r:id="rId8606" ref="B8566"/>
    <hyperlink r:id="rId8607" ref="B8567"/>
    <hyperlink r:id="rId8608" ref="B8568"/>
    <hyperlink r:id="rId8609" ref="B8569"/>
    <hyperlink r:id="rId8610" ref="B8570"/>
    <hyperlink r:id="rId8611" ref="B8571"/>
    <hyperlink r:id="rId8612" ref="B8572"/>
    <hyperlink r:id="rId8613" ref="B8573"/>
    <hyperlink r:id="rId8614" ref="B8574"/>
    <hyperlink r:id="rId8615" ref="B8575"/>
    <hyperlink r:id="rId8616" ref="B8576"/>
    <hyperlink r:id="rId8617" ref="B8577"/>
    <hyperlink r:id="rId8618" ref="B8578"/>
    <hyperlink r:id="rId8619" ref="B8579"/>
    <hyperlink r:id="rId8620" ref="B8580"/>
    <hyperlink r:id="rId8621" ref="B8581"/>
    <hyperlink r:id="rId8622" ref="B8582"/>
    <hyperlink r:id="rId8623" ref="B8583"/>
    <hyperlink r:id="rId8624" ref="B8584"/>
    <hyperlink r:id="rId8625" ref="B8585"/>
    <hyperlink r:id="rId8626" ref="B8586"/>
    <hyperlink r:id="rId8627" ref="B8587"/>
    <hyperlink r:id="rId8628" ref="B8588"/>
    <hyperlink r:id="rId8629" ref="B8589"/>
    <hyperlink r:id="rId8630" ref="B8590"/>
    <hyperlink r:id="rId8631" ref="B8591"/>
    <hyperlink r:id="rId8632" ref="B8592"/>
    <hyperlink r:id="rId8633" ref="B8593"/>
    <hyperlink r:id="rId8634" ref="B8594"/>
    <hyperlink r:id="rId8635" ref="B8595"/>
    <hyperlink r:id="rId8636" ref="B8596"/>
    <hyperlink r:id="rId8637" ref="B8597"/>
    <hyperlink r:id="rId8638" ref="B8598"/>
    <hyperlink r:id="rId8639" ref="B8599"/>
    <hyperlink r:id="rId8640" ref="B8600"/>
    <hyperlink r:id="rId8641" ref="B8601"/>
    <hyperlink r:id="rId8642" ref="B8602"/>
    <hyperlink r:id="rId8643" ref="B8603"/>
    <hyperlink r:id="rId8644" ref="B8604"/>
    <hyperlink r:id="rId8645" ref="B8605"/>
    <hyperlink r:id="rId8646" ref="B8606"/>
    <hyperlink r:id="rId8647" ref="B8607"/>
    <hyperlink r:id="rId8648" ref="B8608"/>
    <hyperlink r:id="rId8649" ref="B8609"/>
    <hyperlink r:id="rId8650" ref="B8610"/>
    <hyperlink r:id="rId8651" ref="B8611"/>
    <hyperlink r:id="rId8652" ref="B8612"/>
    <hyperlink r:id="rId8653" ref="B8613"/>
    <hyperlink r:id="rId8654" ref="B8614"/>
    <hyperlink r:id="rId8655" ref="B8615"/>
    <hyperlink r:id="rId8656" ref="B8616"/>
    <hyperlink r:id="rId8657" ref="B8617"/>
    <hyperlink r:id="rId8658" ref="B8618"/>
    <hyperlink r:id="rId8659" ref="B8619"/>
    <hyperlink r:id="rId8660" ref="B8620"/>
    <hyperlink r:id="rId8661" ref="B8621"/>
    <hyperlink r:id="rId8662" ref="B8622"/>
    <hyperlink r:id="rId8663" ref="B8623"/>
    <hyperlink r:id="rId8664" ref="B8624"/>
    <hyperlink r:id="rId8665" ref="B8625"/>
    <hyperlink r:id="rId8666" ref="B8626"/>
    <hyperlink r:id="rId8667" ref="B8627"/>
    <hyperlink r:id="rId8668" ref="B8628"/>
    <hyperlink r:id="rId8669" ref="B8629"/>
    <hyperlink r:id="rId8670" ref="B8630"/>
    <hyperlink r:id="rId8671" ref="B8631"/>
    <hyperlink r:id="rId8672" ref="B8632"/>
    <hyperlink r:id="rId8673" ref="B8633"/>
    <hyperlink r:id="rId8674" ref="B8634"/>
    <hyperlink r:id="rId8675" ref="B8635"/>
    <hyperlink r:id="rId8676" ref="B8636"/>
    <hyperlink r:id="rId8677" ref="B8637"/>
    <hyperlink r:id="rId8678" ref="B8638"/>
    <hyperlink r:id="rId8679" ref="B8639"/>
    <hyperlink r:id="rId8680" ref="B8640"/>
    <hyperlink r:id="rId8681" ref="B8641"/>
    <hyperlink r:id="rId8682" ref="B8642"/>
    <hyperlink r:id="rId8683" ref="B8643"/>
    <hyperlink r:id="rId8684" ref="B8644"/>
    <hyperlink r:id="rId8685" ref="B8645"/>
    <hyperlink r:id="rId8686" ref="A8646"/>
    <hyperlink r:id="rId8687" ref="B8646"/>
    <hyperlink r:id="rId8688" ref="B8647"/>
    <hyperlink r:id="rId8689" ref="B8648"/>
    <hyperlink r:id="rId8690" ref="B8649"/>
    <hyperlink r:id="rId8691" ref="B8650"/>
    <hyperlink r:id="rId8692" ref="B8651"/>
    <hyperlink r:id="rId8693" ref="B8652"/>
    <hyperlink r:id="rId8694" ref="B8653"/>
    <hyperlink r:id="rId8695" ref="B8654"/>
    <hyperlink r:id="rId8696" ref="B8655"/>
    <hyperlink r:id="rId8697" ref="B8656"/>
    <hyperlink r:id="rId8698" ref="B8657"/>
    <hyperlink r:id="rId8699" ref="B8658"/>
    <hyperlink r:id="rId8700" ref="B8659"/>
    <hyperlink r:id="rId8701" ref="B8660"/>
    <hyperlink r:id="rId8702" ref="B8661"/>
    <hyperlink r:id="rId8703" ref="B8662"/>
    <hyperlink r:id="rId8704" ref="B8663"/>
    <hyperlink r:id="rId8705" ref="B8664"/>
    <hyperlink r:id="rId8706" ref="B8665"/>
    <hyperlink r:id="rId8707" ref="B8666"/>
    <hyperlink r:id="rId8708" ref="B8667"/>
    <hyperlink r:id="rId8709" ref="B8668"/>
    <hyperlink r:id="rId8710" ref="B8669"/>
    <hyperlink r:id="rId8711" ref="B8670"/>
    <hyperlink r:id="rId8712" ref="B8671"/>
    <hyperlink r:id="rId8713" ref="B8672"/>
    <hyperlink r:id="rId8714" ref="B8673"/>
    <hyperlink r:id="rId8715" ref="B8674"/>
    <hyperlink r:id="rId8716" ref="B8675"/>
    <hyperlink r:id="rId8717" ref="B8676"/>
    <hyperlink r:id="rId8718" ref="B8677"/>
    <hyperlink r:id="rId8719" ref="B8678"/>
    <hyperlink r:id="rId8720" ref="B8679"/>
    <hyperlink r:id="rId8721" ref="B8680"/>
    <hyperlink r:id="rId8722" ref="B8681"/>
    <hyperlink r:id="rId8723" ref="B8682"/>
    <hyperlink r:id="rId8724" ref="B8683"/>
    <hyperlink r:id="rId8725" ref="B8684"/>
    <hyperlink r:id="rId8726" ref="B8685"/>
    <hyperlink r:id="rId8727" ref="B8686"/>
    <hyperlink r:id="rId8728" ref="B8687"/>
    <hyperlink r:id="rId8729" ref="B8688"/>
    <hyperlink r:id="rId8730" ref="B8689"/>
    <hyperlink r:id="rId8731" ref="B8690"/>
    <hyperlink r:id="rId8732" ref="B8691"/>
    <hyperlink r:id="rId8733" ref="B8692"/>
    <hyperlink r:id="rId8734" ref="B8693"/>
    <hyperlink r:id="rId8735" ref="B8694"/>
    <hyperlink r:id="rId8736" ref="B8695"/>
    <hyperlink r:id="rId8737" ref="B8696"/>
    <hyperlink r:id="rId8738" ref="B8697"/>
    <hyperlink r:id="rId8739" ref="B8698"/>
    <hyperlink r:id="rId8740" ref="B8699"/>
    <hyperlink r:id="rId8741" ref="B8700"/>
    <hyperlink r:id="rId8742" ref="B8701"/>
    <hyperlink r:id="rId8743" ref="B8702"/>
    <hyperlink r:id="rId8744" ref="B8703"/>
    <hyperlink r:id="rId8745" ref="B8704"/>
    <hyperlink r:id="rId8746" ref="B8705"/>
    <hyperlink r:id="rId8747" ref="B8706"/>
    <hyperlink r:id="rId8748" ref="B8707"/>
    <hyperlink r:id="rId8749" ref="B8708"/>
    <hyperlink r:id="rId8750" ref="B8709"/>
    <hyperlink r:id="rId8751" ref="B8710"/>
    <hyperlink r:id="rId8752" ref="B8711"/>
    <hyperlink r:id="rId8753" ref="B8712"/>
    <hyperlink r:id="rId8754" ref="B8713"/>
    <hyperlink r:id="rId8755" ref="B8714"/>
    <hyperlink r:id="rId8756" ref="B8715"/>
    <hyperlink r:id="rId8757" ref="B8716"/>
    <hyperlink r:id="rId8758" ref="B8717"/>
    <hyperlink r:id="rId8759" ref="B8718"/>
    <hyperlink r:id="rId8760" ref="B8719"/>
    <hyperlink r:id="rId8761" ref="B8720"/>
    <hyperlink r:id="rId8762" ref="B8721"/>
    <hyperlink r:id="rId8763" ref="B8722"/>
    <hyperlink r:id="rId8764" ref="A8723"/>
    <hyperlink r:id="rId8765" ref="B8723"/>
    <hyperlink r:id="rId8766" ref="B8724"/>
    <hyperlink r:id="rId8767" ref="B8725"/>
    <hyperlink r:id="rId8768" ref="B8726"/>
    <hyperlink r:id="rId8769" ref="B8727"/>
    <hyperlink r:id="rId8770" ref="B8728"/>
    <hyperlink r:id="rId8771" ref="B8729"/>
    <hyperlink r:id="rId8772" ref="B8730"/>
    <hyperlink r:id="rId8773" ref="B8731"/>
    <hyperlink r:id="rId8774" ref="B8732"/>
    <hyperlink r:id="rId8775" ref="B8733"/>
    <hyperlink r:id="rId8776" ref="B8734"/>
    <hyperlink r:id="rId8777" ref="B8735"/>
    <hyperlink r:id="rId8778" ref="B8736"/>
    <hyperlink r:id="rId8779" ref="B8737"/>
    <hyperlink r:id="rId8780" ref="B8738"/>
    <hyperlink r:id="rId8781" ref="B8739"/>
    <hyperlink r:id="rId8782" ref="B8740"/>
    <hyperlink r:id="rId8783" ref="B8741"/>
    <hyperlink r:id="rId8784" ref="B8742"/>
    <hyperlink r:id="rId8785" ref="B8743"/>
    <hyperlink r:id="rId8786" ref="B8744"/>
    <hyperlink r:id="rId8787" ref="A8745"/>
    <hyperlink r:id="rId8788" ref="B8745"/>
    <hyperlink r:id="rId8789" ref="B8746"/>
    <hyperlink r:id="rId8790" ref="B8747"/>
    <hyperlink r:id="rId8791" ref="B8748"/>
    <hyperlink r:id="rId8792" ref="B8749"/>
    <hyperlink r:id="rId8793" ref="B8750"/>
    <hyperlink r:id="rId8794" ref="B8751"/>
    <hyperlink r:id="rId8795" ref="B8752"/>
    <hyperlink r:id="rId8796" ref="B8753"/>
    <hyperlink r:id="rId8797" ref="B8754"/>
    <hyperlink r:id="rId8798" ref="B8755"/>
    <hyperlink r:id="rId8799" ref="B8756"/>
    <hyperlink r:id="rId8800" ref="B8757"/>
    <hyperlink r:id="rId8801" ref="B8758"/>
    <hyperlink r:id="rId8802" ref="B8759"/>
    <hyperlink r:id="rId8803" ref="B8760"/>
    <hyperlink r:id="rId8804" ref="B8761"/>
    <hyperlink r:id="rId8805" ref="B8762"/>
    <hyperlink r:id="rId8806" ref="B8763"/>
    <hyperlink r:id="rId8807" ref="B8764"/>
    <hyperlink r:id="rId8808" ref="B8765"/>
    <hyperlink r:id="rId8809" ref="B8766"/>
    <hyperlink r:id="rId8810" ref="B8767"/>
    <hyperlink r:id="rId8811" ref="B8768"/>
    <hyperlink r:id="rId8812" ref="B8769"/>
    <hyperlink r:id="rId8813" ref="B8770"/>
    <hyperlink r:id="rId8814" ref="B8771"/>
    <hyperlink r:id="rId8815" ref="B8772"/>
    <hyperlink r:id="rId8816" ref="B8773"/>
    <hyperlink r:id="rId8817" ref="B8774"/>
    <hyperlink r:id="rId8818" ref="B8775"/>
    <hyperlink r:id="rId8819" ref="B8776"/>
    <hyperlink r:id="rId8820" ref="B8777"/>
    <hyperlink r:id="rId8821" ref="B8778"/>
    <hyperlink r:id="rId8822" ref="B8779"/>
    <hyperlink r:id="rId8823" ref="B8780"/>
    <hyperlink r:id="rId8824" ref="B8781"/>
    <hyperlink r:id="rId8825" ref="B8782"/>
    <hyperlink r:id="rId8826" ref="B8783"/>
    <hyperlink r:id="rId8827" ref="B8784"/>
    <hyperlink r:id="rId8828" ref="B8785"/>
    <hyperlink r:id="rId8829" ref="B8786"/>
    <hyperlink r:id="rId8830" ref="B8787"/>
    <hyperlink r:id="rId8831" ref="B8788"/>
    <hyperlink r:id="rId8832" ref="B8789"/>
    <hyperlink r:id="rId8833" ref="B8790"/>
    <hyperlink r:id="rId8834" ref="B8791"/>
    <hyperlink r:id="rId8835" ref="B8792"/>
    <hyperlink r:id="rId8836" ref="B8793"/>
    <hyperlink r:id="rId8837" ref="B8794"/>
    <hyperlink r:id="rId8838" ref="B8795"/>
    <hyperlink r:id="rId8839" ref="B8796"/>
    <hyperlink r:id="rId8840" ref="B8797"/>
    <hyperlink r:id="rId8841" ref="B8798"/>
    <hyperlink r:id="rId8842" ref="B8799"/>
    <hyperlink r:id="rId8843" ref="B8800"/>
    <hyperlink r:id="rId8844" ref="B8801"/>
    <hyperlink r:id="rId8845" ref="B8802"/>
    <hyperlink r:id="rId8846" ref="B8803"/>
    <hyperlink r:id="rId8847" ref="B8804"/>
    <hyperlink r:id="rId8848" ref="B8805"/>
    <hyperlink r:id="rId8849" ref="B8806"/>
    <hyperlink r:id="rId8850" ref="B8807"/>
    <hyperlink r:id="rId8851" ref="B8808"/>
    <hyperlink r:id="rId8852" ref="B8809"/>
    <hyperlink r:id="rId8853" ref="B8810"/>
    <hyperlink r:id="rId8854" ref="B8811"/>
    <hyperlink r:id="rId8855" ref="B8812"/>
    <hyperlink r:id="rId8856" ref="B8813"/>
    <hyperlink r:id="rId8857" ref="B8814"/>
    <hyperlink r:id="rId8858" ref="B8815"/>
    <hyperlink r:id="rId8859" ref="B8816"/>
    <hyperlink r:id="rId8860" ref="B8817"/>
    <hyperlink r:id="rId8861" ref="B8818"/>
    <hyperlink r:id="rId8862" ref="B8819"/>
    <hyperlink r:id="rId8863" ref="B8820"/>
    <hyperlink r:id="rId8864" ref="B8821"/>
    <hyperlink r:id="rId8865" ref="B8822"/>
    <hyperlink r:id="rId8866" ref="B8823"/>
    <hyperlink r:id="rId8867" ref="B8824"/>
    <hyperlink r:id="rId8868" ref="B8825"/>
    <hyperlink r:id="rId8869" ref="B8826"/>
    <hyperlink r:id="rId8870" ref="B8827"/>
    <hyperlink r:id="rId8871" ref="B8828"/>
    <hyperlink r:id="rId8872" ref="B8829"/>
    <hyperlink r:id="rId8873" ref="B8830"/>
    <hyperlink r:id="rId8874" ref="B8831"/>
    <hyperlink r:id="rId8875" ref="B8832"/>
    <hyperlink r:id="rId8876" ref="B8833"/>
    <hyperlink r:id="rId8877" ref="B8834"/>
    <hyperlink r:id="rId8878" ref="B8835"/>
    <hyperlink r:id="rId8879" ref="B8836"/>
    <hyperlink r:id="rId8880" ref="B8837"/>
    <hyperlink r:id="rId8881" ref="B8838"/>
    <hyperlink r:id="rId8882" ref="B8839"/>
    <hyperlink r:id="rId8883" ref="B8840"/>
    <hyperlink r:id="rId8884" ref="B8841"/>
    <hyperlink r:id="rId8885" ref="B8842"/>
    <hyperlink r:id="rId8886" ref="B8843"/>
    <hyperlink r:id="rId8887" ref="B8844"/>
    <hyperlink r:id="rId8888" ref="B8845"/>
    <hyperlink r:id="rId8889" ref="B8846"/>
    <hyperlink r:id="rId8890" ref="B8847"/>
    <hyperlink r:id="rId8891" ref="B8848"/>
    <hyperlink r:id="rId8892" ref="B8849"/>
    <hyperlink r:id="rId8893" ref="B8850"/>
    <hyperlink r:id="rId8894" ref="B8851"/>
    <hyperlink r:id="rId8895" ref="B8852"/>
    <hyperlink r:id="rId8896" ref="B8853"/>
    <hyperlink r:id="rId8897" ref="B8854"/>
    <hyperlink r:id="rId8898" ref="B8855"/>
    <hyperlink r:id="rId8899" ref="B8856"/>
    <hyperlink r:id="rId8900" ref="B8857"/>
    <hyperlink r:id="rId8901" ref="B8858"/>
    <hyperlink r:id="rId8902" ref="B8859"/>
    <hyperlink r:id="rId8903" ref="B8860"/>
    <hyperlink r:id="rId8904" ref="B8861"/>
    <hyperlink r:id="rId8905" ref="B8862"/>
    <hyperlink r:id="rId8906" ref="B8863"/>
    <hyperlink r:id="rId8907" ref="B8864"/>
    <hyperlink r:id="rId8908" ref="B8865"/>
    <hyperlink r:id="rId8909" ref="B8866"/>
    <hyperlink r:id="rId8910" ref="B8867"/>
    <hyperlink r:id="rId8911" ref="B8868"/>
    <hyperlink r:id="rId8912" ref="B8869"/>
    <hyperlink r:id="rId8913" ref="B8870"/>
    <hyperlink r:id="rId8914" ref="B8871"/>
    <hyperlink r:id="rId8915" ref="B8872"/>
    <hyperlink r:id="rId8916" ref="B8873"/>
    <hyperlink r:id="rId8917" ref="B8874"/>
    <hyperlink r:id="rId8918" ref="B8875"/>
    <hyperlink r:id="rId8919" ref="B8876"/>
    <hyperlink r:id="rId8920" ref="B8877"/>
    <hyperlink r:id="rId8921" ref="B8878"/>
    <hyperlink r:id="rId8922" ref="B8879"/>
    <hyperlink r:id="rId8923" ref="B8880"/>
    <hyperlink r:id="rId8924" ref="B8881"/>
    <hyperlink r:id="rId8925" ref="B8882"/>
    <hyperlink r:id="rId8926" ref="B8883"/>
    <hyperlink r:id="rId8927" ref="B8884"/>
    <hyperlink r:id="rId8928" ref="B8885"/>
    <hyperlink r:id="rId8929" ref="B8886"/>
    <hyperlink r:id="rId8930" ref="B8887"/>
    <hyperlink r:id="rId8931" ref="B8888"/>
    <hyperlink r:id="rId8932" ref="B8889"/>
    <hyperlink r:id="rId8933" ref="B8890"/>
    <hyperlink r:id="rId8934" ref="B8891"/>
    <hyperlink r:id="rId8935" ref="B8892"/>
    <hyperlink r:id="rId8936" ref="B8893"/>
    <hyperlink r:id="rId8937" ref="B8894"/>
    <hyperlink r:id="rId8938" ref="B8895"/>
    <hyperlink r:id="rId8939" ref="B8896"/>
    <hyperlink r:id="rId8940" ref="B8897"/>
    <hyperlink r:id="rId8941" ref="B8898"/>
    <hyperlink r:id="rId8942" ref="B8899"/>
    <hyperlink r:id="rId8943" ref="B8900"/>
    <hyperlink r:id="rId8944" ref="B8901"/>
    <hyperlink r:id="rId8945" ref="B8902"/>
    <hyperlink r:id="rId8946" ref="B8903"/>
    <hyperlink r:id="rId8947" ref="B8904"/>
    <hyperlink r:id="rId8948" ref="B8905"/>
    <hyperlink r:id="rId8949" ref="B8906"/>
    <hyperlink r:id="rId8950" ref="B8907"/>
    <hyperlink r:id="rId8951" ref="B8908"/>
    <hyperlink r:id="rId8952" ref="B8909"/>
    <hyperlink r:id="rId8953" ref="B8910"/>
    <hyperlink r:id="rId8954" ref="B8911"/>
    <hyperlink r:id="rId8955" ref="B8912"/>
    <hyperlink r:id="rId8956" ref="B8913"/>
    <hyperlink r:id="rId8957" ref="B8914"/>
    <hyperlink r:id="rId8958" ref="B8915"/>
    <hyperlink r:id="rId8959" ref="B8916"/>
    <hyperlink r:id="rId8960" ref="B8917"/>
    <hyperlink r:id="rId8961" ref="B8918"/>
    <hyperlink r:id="rId8962" ref="B8919"/>
    <hyperlink r:id="rId8963" ref="B8920"/>
    <hyperlink r:id="rId8964" ref="B8921"/>
    <hyperlink r:id="rId8965" ref="B8922"/>
    <hyperlink r:id="rId8966" ref="B8923"/>
    <hyperlink r:id="rId8967" ref="B8924"/>
    <hyperlink r:id="rId8968" ref="B8925"/>
    <hyperlink r:id="rId8969" ref="B8926"/>
    <hyperlink r:id="rId8970" ref="B8927"/>
    <hyperlink r:id="rId8971" ref="B8928"/>
    <hyperlink r:id="rId8972" ref="B8929"/>
    <hyperlink r:id="rId8973" ref="B8930"/>
    <hyperlink r:id="rId8974" ref="B8931"/>
    <hyperlink r:id="rId8975" ref="B8932"/>
    <hyperlink r:id="rId8976" ref="B8933"/>
    <hyperlink r:id="rId8977" ref="B8934"/>
    <hyperlink r:id="rId8978" ref="B8935"/>
    <hyperlink r:id="rId8979" ref="B8936"/>
    <hyperlink r:id="rId8980" ref="B8937"/>
    <hyperlink r:id="rId8981" ref="B8938"/>
    <hyperlink r:id="rId8982" ref="B8939"/>
    <hyperlink r:id="rId8983" ref="B8940"/>
    <hyperlink r:id="rId8984" ref="B8941"/>
    <hyperlink r:id="rId8985" ref="B8942"/>
    <hyperlink r:id="rId8986" ref="B8943"/>
    <hyperlink r:id="rId8987" ref="B8944"/>
    <hyperlink r:id="rId8988" ref="B8945"/>
    <hyperlink r:id="rId8989" ref="B8946"/>
    <hyperlink r:id="rId8990" ref="B8947"/>
    <hyperlink r:id="rId8991" ref="B8948"/>
    <hyperlink r:id="rId8992" ref="B8949"/>
    <hyperlink r:id="rId8993" ref="B8950"/>
    <hyperlink r:id="rId8994" ref="B8951"/>
    <hyperlink r:id="rId8995" ref="B8952"/>
    <hyperlink r:id="rId8996" ref="B8953"/>
    <hyperlink r:id="rId8997" ref="B8954"/>
    <hyperlink r:id="rId8998" ref="B8955"/>
    <hyperlink r:id="rId8999" ref="B8956"/>
    <hyperlink r:id="rId9000" ref="B8957"/>
    <hyperlink r:id="rId9001" ref="B8958"/>
    <hyperlink r:id="rId9002" ref="B8959"/>
    <hyperlink r:id="rId9003" ref="B8960"/>
    <hyperlink r:id="rId9004" ref="B8961"/>
    <hyperlink r:id="rId9005" ref="B8962"/>
    <hyperlink r:id="rId9006" ref="B8963"/>
    <hyperlink r:id="rId9007" ref="B8964"/>
    <hyperlink r:id="rId9008" ref="B8965"/>
    <hyperlink r:id="rId9009" ref="B8966"/>
    <hyperlink r:id="rId9010" ref="B8967"/>
    <hyperlink r:id="rId9011" ref="B8968"/>
    <hyperlink r:id="rId9012" ref="B8969"/>
    <hyperlink r:id="rId9013" ref="B8970"/>
    <hyperlink r:id="rId9014" ref="B8971"/>
    <hyperlink r:id="rId9015" ref="B8972"/>
    <hyperlink r:id="rId9016" ref="B8973"/>
    <hyperlink r:id="rId9017" ref="B8974"/>
    <hyperlink r:id="rId9018" ref="B8975"/>
    <hyperlink r:id="rId9019" ref="B8976"/>
    <hyperlink r:id="rId9020" ref="B8977"/>
    <hyperlink r:id="rId9021" ref="B8978"/>
    <hyperlink r:id="rId9022" ref="B8979"/>
    <hyperlink r:id="rId9023" ref="B8980"/>
    <hyperlink r:id="rId9024" ref="B8981"/>
    <hyperlink r:id="rId9025" ref="B8982"/>
    <hyperlink r:id="rId9026" ref="B8983"/>
    <hyperlink r:id="rId9027" ref="B8984"/>
    <hyperlink r:id="rId9028" ref="B8985"/>
    <hyperlink r:id="rId9029" ref="B8986"/>
    <hyperlink r:id="rId9030" ref="B8987"/>
    <hyperlink r:id="rId9031" ref="B8988"/>
    <hyperlink r:id="rId9032" ref="B8989"/>
    <hyperlink r:id="rId9033" ref="B8990"/>
    <hyperlink r:id="rId9034" ref="B8991"/>
    <hyperlink r:id="rId9035" ref="B8992"/>
    <hyperlink r:id="rId9036" ref="B8993"/>
    <hyperlink r:id="rId9037" ref="B8994"/>
    <hyperlink r:id="rId9038" ref="B8995"/>
    <hyperlink r:id="rId9039" ref="B8996"/>
    <hyperlink r:id="rId9040" ref="B8997"/>
    <hyperlink r:id="rId9041" ref="B8998"/>
    <hyperlink r:id="rId9042" ref="B8999"/>
    <hyperlink r:id="rId9043" ref="B9000"/>
    <hyperlink r:id="rId9044" ref="B9001"/>
    <hyperlink r:id="rId9045" ref="B9002"/>
    <hyperlink r:id="rId9046" ref="B9003"/>
    <hyperlink r:id="rId9047" ref="B9004"/>
    <hyperlink r:id="rId9048" ref="B9005"/>
    <hyperlink r:id="rId9049" ref="B9006"/>
    <hyperlink r:id="rId9050" ref="B9007"/>
    <hyperlink r:id="rId9051" ref="B9008"/>
    <hyperlink r:id="rId9052" ref="B9009"/>
    <hyperlink r:id="rId9053" ref="B9010"/>
    <hyperlink r:id="rId9054" ref="B9011"/>
    <hyperlink r:id="rId9055" ref="B9012"/>
    <hyperlink r:id="rId9056" ref="B9013"/>
    <hyperlink r:id="rId9057" ref="B9014"/>
    <hyperlink r:id="rId9058" ref="B9015"/>
    <hyperlink r:id="rId9059" ref="B9016"/>
    <hyperlink r:id="rId9060" ref="B9017"/>
    <hyperlink r:id="rId9061" ref="B9018"/>
    <hyperlink r:id="rId9062" ref="B9019"/>
    <hyperlink r:id="rId9063" ref="B9020"/>
    <hyperlink r:id="rId9064" ref="B9021"/>
    <hyperlink r:id="rId9065" ref="B9022"/>
    <hyperlink r:id="rId9066" ref="B9023"/>
    <hyperlink r:id="rId9067" ref="B9024"/>
    <hyperlink r:id="rId9068" ref="B9025"/>
    <hyperlink r:id="rId9069" ref="B9026"/>
    <hyperlink r:id="rId9070" ref="B9027"/>
    <hyperlink r:id="rId9071" ref="B9028"/>
    <hyperlink r:id="rId9072" ref="B9029"/>
    <hyperlink r:id="rId9073" ref="B9030"/>
    <hyperlink r:id="rId9074" ref="B9031"/>
    <hyperlink r:id="rId9075" ref="B9032"/>
    <hyperlink r:id="rId9076" ref="B9033"/>
    <hyperlink r:id="rId9077" ref="B9034"/>
    <hyperlink r:id="rId9078" ref="B9035"/>
    <hyperlink r:id="rId9079" ref="B9036"/>
    <hyperlink r:id="rId9080" ref="B9037"/>
    <hyperlink r:id="rId9081" ref="B9038"/>
    <hyperlink r:id="rId9082" ref="B9039"/>
    <hyperlink r:id="rId9083" ref="B9040"/>
    <hyperlink r:id="rId9084" ref="B9041"/>
    <hyperlink r:id="rId9085" ref="B9042"/>
    <hyperlink r:id="rId9086" ref="B9043"/>
    <hyperlink r:id="rId9087" ref="B9044"/>
    <hyperlink r:id="rId9088" ref="B9045"/>
    <hyperlink r:id="rId9089" ref="B9046"/>
    <hyperlink r:id="rId9090" ref="B9047"/>
    <hyperlink r:id="rId9091" ref="B9048"/>
    <hyperlink r:id="rId9092" ref="B9049"/>
    <hyperlink r:id="rId9093" ref="B9050"/>
    <hyperlink r:id="rId9094" ref="B9051"/>
    <hyperlink r:id="rId9095" ref="B9052"/>
    <hyperlink r:id="rId9096" ref="B9053"/>
    <hyperlink r:id="rId9097" ref="B9054"/>
    <hyperlink r:id="rId9098" ref="B9055"/>
    <hyperlink r:id="rId9099" ref="B9056"/>
    <hyperlink r:id="rId9100" ref="B9057"/>
    <hyperlink r:id="rId9101" ref="B9058"/>
    <hyperlink r:id="rId9102" ref="B9059"/>
    <hyperlink r:id="rId9103" ref="B9060"/>
    <hyperlink r:id="rId9104" ref="B9061"/>
    <hyperlink r:id="rId9105" ref="B9062"/>
    <hyperlink r:id="rId9106" ref="B9063"/>
    <hyperlink r:id="rId9107" ref="B9064"/>
    <hyperlink r:id="rId9108" ref="B9065"/>
    <hyperlink r:id="rId9109" ref="B9066"/>
    <hyperlink r:id="rId9110" ref="B9067"/>
    <hyperlink r:id="rId9111" ref="B9068"/>
    <hyperlink r:id="rId9112" ref="A9069"/>
    <hyperlink r:id="rId9113" ref="B9069"/>
    <hyperlink r:id="rId9114" ref="B9070"/>
    <hyperlink r:id="rId9115" ref="B9071"/>
    <hyperlink r:id="rId9116" ref="B9072"/>
    <hyperlink r:id="rId9117" ref="B9073"/>
    <hyperlink r:id="rId9118" ref="B9074"/>
    <hyperlink r:id="rId9119" ref="B9075"/>
    <hyperlink r:id="rId9120" ref="B9076"/>
    <hyperlink r:id="rId9121" ref="B9077"/>
    <hyperlink r:id="rId9122" ref="B9078"/>
    <hyperlink r:id="rId9123" ref="B9079"/>
    <hyperlink r:id="rId9124" ref="B9080"/>
    <hyperlink r:id="rId9125" ref="B9081"/>
    <hyperlink r:id="rId9126" ref="B9082"/>
    <hyperlink r:id="rId9127" ref="B9083"/>
    <hyperlink r:id="rId9128" ref="B9084"/>
    <hyperlink r:id="rId9129" ref="B9085"/>
    <hyperlink r:id="rId9130" ref="B9086"/>
    <hyperlink r:id="rId9131" ref="B9087"/>
    <hyperlink r:id="rId9132" ref="B9088"/>
    <hyperlink r:id="rId9133" ref="B9089"/>
    <hyperlink r:id="rId9134" ref="B9090"/>
    <hyperlink r:id="rId9135" ref="B9091"/>
    <hyperlink r:id="rId9136" ref="B9092"/>
    <hyperlink r:id="rId9137" ref="B9093"/>
    <hyperlink r:id="rId9138" ref="B9094"/>
    <hyperlink r:id="rId9139" ref="B9095"/>
    <hyperlink r:id="rId9140" ref="B9096"/>
    <hyperlink r:id="rId9141" ref="B9097"/>
    <hyperlink r:id="rId9142" ref="B9098"/>
    <hyperlink r:id="rId9143" ref="B9099"/>
    <hyperlink r:id="rId9144" ref="B9100"/>
    <hyperlink r:id="rId9145" ref="B9101"/>
    <hyperlink r:id="rId9146" ref="B9102"/>
    <hyperlink r:id="rId9147" ref="B9103"/>
    <hyperlink r:id="rId9148" ref="B9104"/>
    <hyperlink r:id="rId9149" ref="B9105"/>
    <hyperlink r:id="rId9150" ref="B9106"/>
    <hyperlink r:id="rId9151" ref="B9107"/>
    <hyperlink r:id="rId9152" ref="B9108"/>
    <hyperlink r:id="rId9153" ref="B9109"/>
    <hyperlink r:id="rId9154" ref="B9110"/>
    <hyperlink r:id="rId9155" ref="B9111"/>
    <hyperlink r:id="rId9156" ref="B9112"/>
    <hyperlink r:id="rId9157" ref="B9113"/>
    <hyperlink r:id="rId9158" ref="B9114"/>
    <hyperlink r:id="rId9159" ref="B9115"/>
    <hyperlink r:id="rId9160" ref="B9116"/>
    <hyperlink r:id="rId9161" ref="B9117"/>
    <hyperlink r:id="rId9162" ref="B9118"/>
    <hyperlink r:id="rId9163" ref="B9119"/>
    <hyperlink r:id="rId9164" ref="B9120"/>
    <hyperlink r:id="rId9165" ref="B9121"/>
    <hyperlink r:id="rId9166" ref="B9122"/>
    <hyperlink r:id="rId9167" ref="B9123"/>
    <hyperlink r:id="rId9168" ref="B9124"/>
    <hyperlink r:id="rId9169" ref="B9125"/>
    <hyperlink r:id="rId9170" ref="B9126"/>
    <hyperlink r:id="rId9171" ref="B9127"/>
    <hyperlink r:id="rId9172" ref="B9128"/>
    <hyperlink r:id="rId9173" ref="B9129"/>
    <hyperlink r:id="rId9174" ref="B9130"/>
    <hyperlink r:id="rId9175" ref="B9131"/>
    <hyperlink r:id="rId9176" ref="B9132"/>
    <hyperlink r:id="rId9177" ref="B9133"/>
    <hyperlink r:id="rId9178" ref="B9134"/>
    <hyperlink r:id="rId9179" ref="B9135"/>
    <hyperlink r:id="rId9180" ref="B9136"/>
    <hyperlink r:id="rId9181" ref="B9137"/>
    <hyperlink r:id="rId9182" ref="B9138"/>
    <hyperlink r:id="rId9183" ref="B9139"/>
    <hyperlink r:id="rId9184" ref="B9140"/>
    <hyperlink r:id="rId9185" ref="B9141"/>
    <hyperlink r:id="rId9186" ref="B9142"/>
    <hyperlink r:id="rId9187" ref="B9143"/>
    <hyperlink r:id="rId9188" ref="B9144"/>
    <hyperlink r:id="rId9189" ref="B9145"/>
    <hyperlink r:id="rId9190" ref="B9146"/>
    <hyperlink r:id="rId9191" ref="B9147"/>
    <hyperlink r:id="rId9192" ref="B9148"/>
    <hyperlink r:id="rId9193" ref="B9149"/>
    <hyperlink r:id="rId9194" ref="B9150"/>
    <hyperlink r:id="rId9195" ref="B9151"/>
    <hyperlink r:id="rId9196" ref="B9152"/>
    <hyperlink r:id="rId9197" ref="B9153"/>
    <hyperlink r:id="rId9198" ref="B9154"/>
    <hyperlink r:id="rId9199" ref="B9155"/>
    <hyperlink r:id="rId9200" ref="B9156"/>
    <hyperlink r:id="rId9201" ref="B9157"/>
    <hyperlink r:id="rId9202" ref="B9158"/>
    <hyperlink r:id="rId9203" ref="B9159"/>
    <hyperlink r:id="rId9204" ref="B9160"/>
    <hyperlink r:id="rId9205" ref="B9161"/>
    <hyperlink r:id="rId9206" ref="B9162"/>
    <hyperlink r:id="rId9207" ref="B9163"/>
    <hyperlink r:id="rId9208" ref="B9164"/>
    <hyperlink r:id="rId9209" ref="B9165"/>
    <hyperlink r:id="rId9210" ref="B9166"/>
    <hyperlink r:id="rId9211" ref="B9167"/>
    <hyperlink r:id="rId9212" ref="B9168"/>
    <hyperlink r:id="rId9213" ref="B9169"/>
    <hyperlink r:id="rId9214" ref="B9170"/>
    <hyperlink r:id="rId9215" ref="B9171"/>
    <hyperlink r:id="rId9216" ref="B9172"/>
    <hyperlink r:id="rId9217" ref="B9173"/>
    <hyperlink r:id="rId9218" ref="B9174"/>
    <hyperlink r:id="rId9219" ref="B9175"/>
    <hyperlink r:id="rId9220" ref="B9176"/>
    <hyperlink r:id="rId9221" ref="B9177"/>
    <hyperlink r:id="rId9222" ref="B9178"/>
    <hyperlink r:id="rId9223" ref="B9179"/>
    <hyperlink r:id="rId9224" ref="B9180"/>
    <hyperlink r:id="rId9225" ref="B9181"/>
    <hyperlink r:id="rId9226" ref="B9182"/>
    <hyperlink r:id="rId9227" ref="B9183"/>
    <hyperlink r:id="rId9228" ref="B9184"/>
    <hyperlink r:id="rId9229" ref="B9185"/>
    <hyperlink r:id="rId9230" ref="B9186"/>
    <hyperlink r:id="rId9231" ref="B9187"/>
    <hyperlink r:id="rId9232" ref="B9188"/>
    <hyperlink r:id="rId9233" ref="B9189"/>
    <hyperlink r:id="rId9234" ref="B9190"/>
    <hyperlink r:id="rId9235" ref="B9191"/>
    <hyperlink r:id="rId9236" ref="B9192"/>
    <hyperlink r:id="rId9237" ref="B9193"/>
    <hyperlink r:id="rId9238" ref="B9194"/>
    <hyperlink r:id="rId9239" ref="B9195"/>
    <hyperlink r:id="rId9240" ref="B9196"/>
    <hyperlink r:id="rId9241" ref="B9197"/>
    <hyperlink r:id="rId9242" ref="B9198"/>
    <hyperlink r:id="rId9243" ref="B9199"/>
    <hyperlink r:id="rId9244" ref="B9200"/>
    <hyperlink r:id="rId9245" ref="B9201"/>
    <hyperlink r:id="rId9246" ref="B9202"/>
    <hyperlink r:id="rId9247" ref="B9203"/>
    <hyperlink r:id="rId9248" ref="B9204"/>
    <hyperlink r:id="rId9249" ref="B9205"/>
    <hyperlink r:id="rId9250" ref="B9206"/>
    <hyperlink r:id="rId9251" ref="B9207"/>
    <hyperlink r:id="rId9252" ref="B9208"/>
    <hyperlink r:id="rId9253" ref="B9209"/>
    <hyperlink r:id="rId9254" ref="B9210"/>
    <hyperlink r:id="rId9255" ref="B9211"/>
    <hyperlink r:id="rId9256" ref="B9212"/>
    <hyperlink r:id="rId9257" ref="B9213"/>
    <hyperlink r:id="rId9258" ref="B9214"/>
    <hyperlink r:id="rId9259" ref="B9215"/>
    <hyperlink r:id="rId9260" ref="B9216"/>
    <hyperlink r:id="rId9261" ref="B9217"/>
    <hyperlink r:id="rId9262" ref="B9218"/>
    <hyperlink r:id="rId9263" ref="B9219"/>
    <hyperlink r:id="rId9264" ref="B9220"/>
    <hyperlink r:id="rId9265" ref="B9221"/>
    <hyperlink r:id="rId9266" ref="B9222"/>
    <hyperlink r:id="rId9267" ref="B9223"/>
    <hyperlink r:id="rId9268" ref="B9224"/>
    <hyperlink r:id="rId9269" ref="B9225"/>
    <hyperlink r:id="rId9270" ref="B9226"/>
    <hyperlink r:id="rId9271" ref="B9227"/>
    <hyperlink r:id="rId9272" ref="B9228"/>
    <hyperlink r:id="rId9273" ref="B9229"/>
    <hyperlink r:id="rId9274" ref="B9230"/>
    <hyperlink r:id="rId9275" ref="B9231"/>
    <hyperlink r:id="rId9276" ref="B9232"/>
    <hyperlink r:id="rId9277" ref="B9233"/>
    <hyperlink r:id="rId9278" ref="B9234"/>
    <hyperlink r:id="rId9279" ref="B9235"/>
    <hyperlink r:id="rId9280" ref="B9236"/>
    <hyperlink r:id="rId9281" ref="B9237"/>
    <hyperlink r:id="rId9282" ref="B9238"/>
    <hyperlink r:id="rId9283" ref="B9239"/>
    <hyperlink r:id="rId9284" ref="B9240"/>
    <hyperlink r:id="rId9285" ref="B9241"/>
    <hyperlink r:id="rId9286" ref="B9242"/>
    <hyperlink r:id="rId9287" ref="B9243"/>
    <hyperlink r:id="rId9288" ref="B9244"/>
    <hyperlink r:id="rId9289" ref="B9245"/>
    <hyperlink r:id="rId9290" ref="B9246"/>
    <hyperlink r:id="rId9291" ref="B9247"/>
    <hyperlink r:id="rId9292" ref="B9248"/>
    <hyperlink r:id="rId9293" ref="B9249"/>
    <hyperlink r:id="rId9294" ref="B9250"/>
    <hyperlink r:id="rId9295" ref="B9251"/>
    <hyperlink r:id="rId9296" ref="B9252"/>
    <hyperlink r:id="rId9297" ref="B9253"/>
    <hyperlink r:id="rId9298" ref="B9254"/>
    <hyperlink r:id="rId9299" ref="B9255"/>
    <hyperlink r:id="rId9300" ref="B9256"/>
    <hyperlink r:id="rId9301" ref="B9257"/>
    <hyperlink r:id="rId9302" ref="B9258"/>
    <hyperlink r:id="rId9303" ref="B9259"/>
    <hyperlink r:id="rId9304" ref="B9260"/>
    <hyperlink r:id="rId9305" ref="B9261"/>
    <hyperlink r:id="rId9306" ref="B9262"/>
    <hyperlink r:id="rId9307" ref="B9263"/>
    <hyperlink r:id="rId9308" ref="B9264"/>
    <hyperlink r:id="rId9309" ref="B9265"/>
    <hyperlink r:id="rId9310" ref="B9266"/>
    <hyperlink r:id="rId9311" ref="B9267"/>
    <hyperlink r:id="rId9312" ref="B9268"/>
    <hyperlink r:id="rId9313" ref="B9269"/>
    <hyperlink r:id="rId9314" ref="B9270"/>
    <hyperlink r:id="rId9315" ref="B9271"/>
    <hyperlink r:id="rId9316" ref="B9272"/>
    <hyperlink r:id="rId9317" ref="B9273"/>
    <hyperlink r:id="rId9318" ref="B9274"/>
    <hyperlink r:id="rId9319" ref="B9275"/>
    <hyperlink r:id="rId9320" ref="B9276"/>
    <hyperlink r:id="rId9321" ref="B9277"/>
    <hyperlink r:id="rId9322" ref="B9278"/>
    <hyperlink r:id="rId9323" ref="B9279"/>
    <hyperlink r:id="rId9324" ref="B9280"/>
    <hyperlink r:id="rId9325" ref="B9281"/>
    <hyperlink r:id="rId9326" ref="B9282"/>
    <hyperlink r:id="rId9327" ref="B9283"/>
    <hyperlink r:id="rId9328" ref="B9284"/>
    <hyperlink r:id="rId9329" ref="B9285"/>
    <hyperlink r:id="rId9330" ref="B9286"/>
    <hyperlink r:id="rId9331" ref="B9287"/>
    <hyperlink r:id="rId9332" ref="B9288"/>
    <hyperlink r:id="rId9333" ref="B9289"/>
    <hyperlink r:id="rId9334" ref="B9290"/>
    <hyperlink r:id="rId9335" ref="B9291"/>
    <hyperlink r:id="rId9336" ref="B9292"/>
    <hyperlink r:id="rId9337" ref="B9293"/>
    <hyperlink r:id="rId9338" ref="B9294"/>
    <hyperlink r:id="rId9339" ref="B9295"/>
    <hyperlink r:id="rId9340" ref="B9296"/>
    <hyperlink r:id="rId9341" ref="B9297"/>
    <hyperlink r:id="rId9342" ref="B9298"/>
    <hyperlink r:id="rId9343" ref="B9299"/>
    <hyperlink r:id="rId9344" ref="B9300"/>
    <hyperlink r:id="rId9345" ref="B9301"/>
    <hyperlink r:id="rId9346" ref="B9302"/>
    <hyperlink r:id="rId9347" ref="B9303"/>
    <hyperlink r:id="rId9348" ref="B9304"/>
    <hyperlink r:id="rId9349" ref="B9305"/>
    <hyperlink r:id="rId9350" ref="B9306"/>
    <hyperlink r:id="rId9351" ref="B9307"/>
    <hyperlink r:id="rId9352" ref="B9308"/>
    <hyperlink r:id="rId9353" ref="B9309"/>
    <hyperlink r:id="rId9354" ref="B9310"/>
    <hyperlink r:id="rId9355" ref="B9311"/>
    <hyperlink r:id="rId9356" ref="B9312"/>
    <hyperlink r:id="rId9357" ref="B9313"/>
    <hyperlink r:id="rId9358" ref="B9314"/>
    <hyperlink r:id="rId9359" ref="B9315"/>
    <hyperlink r:id="rId9360" ref="B9316"/>
    <hyperlink r:id="rId9361" ref="B9317"/>
    <hyperlink r:id="rId9362" ref="B9318"/>
    <hyperlink r:id="rId9363" ref="B9319"/>
    <hyperlink r:id="rId9364" ref="B9320"/>
    <hyperlink r:id="rId9365" ref="B9321"/>
    <hyperlink r:id="rId9366" ref="B9322"/>
    <hyperlink r:id="rId9367" ref="B9323"/>
    <hyperlink r:id="rId9368" ref="B9324"/>
    <hyperlink r:id="rId9369" ref="B9325"/>
    <hyperlink r:id="rId9370" ref="B9326"/>
    <hyperlink r:id="rId9371" ref="B9327"/>
    <hyperlink r:id="rId9372" ref="B9328"/>
    <hyperlink r:id="rId9373" ref="B9329"/>
    <hyperlink r:id="rId9374" ref="B9330"/>
    <hyperlink r:id="rId9375" ref="B9331"/>
    <hyperlink r:id="rId9376" ref="B9332"/>
    <hyperlink r:id="rId9377" ref="B9333"/>
    <hyperlink r:id="rId9378" ref="B9334"/>
    <hyperlink r:id="rId9379" ref="B9335"/>
    <hyperlink r:id="rId9380" ref="B9336"/>
    <hyperlink r:id="rId9381" ref="B9337"/>
    <hyperlink r:id="rId9382" ref="B9338"/>
    <hyperlink r:id="rId9383" ref="B9339"/>
    <hyperlink r:id="rId9384" ref="B9340"/>
    <hyperlink r:id="rId9385" ref="B9341"/>
    <hyperlink r:id="rId9386" ref="B9342"/>
    <hyperlink r:id="rId9387" ref="B9343"/>
    <hyperlink r:id="rId9388" ref="B9344"/>
    <hyperlink r:id="rId9389" ref="B9345"/>
    <hyperlink r:id="rId9390" ref="B9346"/>
    <hyperlink r:id="rId9391" ref="B9347"/>
    <hyperlink r:id="rId9392" ref="B9348"/>
    <hyperlink r:id="rId9393" ref="B9349"/>
    <hyperlink r:id="rId9394" ref="B9350"/>
    <hyperlink r:id="rId9395" ref="B9351"/>
    <hyperlink r:id="rId9396" ref="B9352"/>
    <hyperlink r:id="rId9397" ref="B9353"/>
    <hyperlink r:id="rId9398" ref="B9354"/>
    <hyperlink r:id="rId9399" ref="B9355"/>
    <hyperlink r:id="rId9400" ref="B9356"/>
    <hyperlink r:id="rId9401" ref="B9357"/>
    <hyperlink r:id="rId9402" ref="B9358"/>
    <hyperlink r:id="rId9403" ref="B9359"/>
    <hyperlink r:id="rId9404" ref="B9360"/>
    <hyperlink r:id="rId9405" ref="B9361"/>
    <hyperlink r:id="rId9406" ref="B9362"/>
    <hyperlink r:id="rId9407" ref="B9363"/>
    <hyperlink r:id="rId9408" ref="B9364"/>
    <hyperlink r:id="rId9409" ref="B9365"/>
    <hyperlink r:id="rId9410" ref="B9366"/>
    <hyperlink r:id="rId9411" ref="B9367"/>
    <hyperlink r:id="rId9412" ref="B9368"/>
    <hyperlink r:id="rId9413" ref="B9369"/>
    <hyperlink r:id="rId9414" ref="B9370"/>
    <hyperlink r:id="rId9415" ref="B9371"/>
    <hyperlink r:id="rId9416" ref="B9372"/>
    <hyperlink r:id="rId9417" ref="B9373"/>
    <hyperlink r:id="rId9418" ref="B9374"/>
    <hyperlink r:id="rId9419" ref="B9375"/>
    <hyperlink r:id="rId9420" ref="B9376"/>
    <hyperlink r:id="rId9421" ref="B9377"/>
    <hyperlink r:id="rId9422" ref="B9378"/>
    <hyperlink r:id="rId9423" ref="B9379"/>
    <hyperlink r:id="rId9424" ref="B9380"/>
    <hyperlink r:id="rId9425" ref="B9381"/>
    <hyperlink r:id="rId9426" ref="B9382"/>
    <hyperlink r:id="rId9427" ref="B9383"/>
    <hyperlink r:id="rId9428" ref="B9384"/>
    <hyperlink r:id="rId9429" ref="B9385"/>
    <hyperlink r:id="rId9430" ref="B9386"/>
    <hyperlink r:id="rId9431" ref="B9387"/>
    <hyperlink r:id="rId9432" ref="B9388"/>
    <hyperlink r:id="rId9433" ref="B9389"/>
    <hyperlink r:id="rId9434" ref="B9390"/>
    <hyperlink r:id="rId9435" ref="B9391"/>
    <hyperlink r:id="rId9436" ref="B9392"/>
    <hyperlink r:id="rId9437" ref="B9393"/>
    <hyperlink r:id="rId9438" ref="B9394"/>
    <hyperlink r:id="rId9439" ref="B9395"/>
    <hyperlink r:id="rId9440" ref="B9396"/>
    <hyperlink r:id="rId9441" ref="B9397"/>
    <hyperlink r:id="rId9442" ref="B9398"/>
    <hyperlink r:id="rId9443" ref="B9399"/>
    <hyperlink r:id="rId9444" ref="B9400"/>
    <hyperlink r:id="rId9445" ref="B9401"/>
    <hyperlink r:id="rId9446" ref="B9402"/>
    <hyperlink r:id="rId9447" ref="B9403"/>
    <hyperlink r:id="rId9448" ref="B9404"/>
    <hyperlink r:id="rId9449" ref="B9405"/>
    <hyperlink r:id="rId9450" ref="B9406"/>
    <hyperlink r:id="rId9451" ref="B9407"/>
    <hyperlink r:id="rId9452" ref="B9408"/>
    <hyperlink r:id="rId9453" ref="B9409"/>
    <hyperlink r:id="rId9454" ref="B9410"/>
    <hyperlink r:id="rId9455" ref="B9411"/>
    <hyperlink r:id="rId9456" ref="B9412"/>
    <hyperlink r:id="rId9457" ref="B9413"/>
    <hyperlink r:id="rId9458" ref="B9414"/>
    <hyperlink r:id="rId9459" ref="B9415"/>
    <hyperlink r:id="rId9460" ref="B9416"/>
    <hyperlink r:id="rId9461" ref="B9417"/>
    <hyperlink r:id="rId9462" ref="B9418"/>
    <hyperlink r:id="rId9463" ref="B9419"/>
    <hyperlink r:id="rId9464" ref="B9420"/>
    <hyperlink r:id="rId9465" ref="B9421"/>
    <hyperlink r:id="rId9466" ref="B9422"/>
    <hyperlink r:id="rId9467" ref="B9423"/>
    <hyperlink r:id="rId9468" ref="B9424"/>
    <hyperlink r:id="rId9469" ref="B9425"/>
    <hyperlink r:id="rId9470" ref="B9426"/>
    <hyperlink r:id="rId9471" ref="B9427"/>
    <hyperlink r:id="rId9472" ref="B9428"/>
    <hyperlink r:id="rId9473" ref="B9429"/>
    <hyperlink r:id="rId9474" ref="B9430"/>
    <hyperlink r:id="rId9475" ref="B9431"/>
    <hyperlink r:id="rId9476" ref="B9432"/>
    <hyperlink r:id="rId9477" ref="B9433"/>
    <hyperlink r:id="rId9478" ref="B9434"/>
    <hyperlink r:id="rId9479" ref="B9435"/>
    <hyperlink r:id="rId9480" ref="B9436"/>
    <hyperlink r:id="rId9481" ref="B9437"/>
    <hyperlink r:id="rId9482" ref="B9438"/>
    <hyperlink r:id="rId9483" ref="B9439"/>
    <hyperlink r:id="rId9484" ref="B9440"/>
    <hyperlink r:id="rId9485" ref="B9441"/>
    <hyperlink r:id="rId9486" ref="B9442"/>
    <hyperlink r:id="rId9487" ref="B9443"/>
    <hyperlink r:id="rId9488" ref="B9444"/>
    <hyperlink r:id="rId9489" ref="B9445"/>
    <hyperlink r:id="rId9490" ref="B9446"/>
    <hyperlink r:id="rId9491" ref="B9447"/>
    <hyperlink r:id="rId9492" ref="B9448"/>
    <hyperlink r:id="rId9493" ref="B9449"/>
    <hyperlink r:id="rId9494" ref="B9450"/>
    <hyperlink r:id="rId9495" ref="B9451"/>
    <hyperlink r:id="rId9496" ref="B9452"/>
    <hyperlink r:id="rId9497" ref="B9453"/>
    <hyperlink r:id="rId9498" ref="B9454"/>
    <hyperlink r:id="rId9499" ref="B9455"/>
    <hyperlink r:id="rId9500" ref="B9456"/>
    <hyperlink r:id="rId9501" ref="B9457"/>
    <hyperlink r:id="rId9502" ref="B9458"/>
    <hyperlink r:id="rId9503" ref="B9459"/>
    <hyperlink r:id="rId9504" ref="B9460"/>
    <hyperlink r:id="rId9505" ref="B9461"/>
    <hyperlink r:id="rId9506" ref="B9462"/>
    <hyperlink r:id="rId9507" ref="B9463"/>
    <hyperlink r:id="rId9508" ref="B9464"/>
    <hyperlink r:id="rId9509" ref="B9465"/>
    <hyperlink r:id="rId9510" ref="B9466"/>
    <hyperlink r:id="rId9511" ref="B9467"/>
    <hyperlink r:id="rId9512" ref="B9468"/>
    <hyperlink r:id="rId9513" ref="B9469"/>
    <hyperlink r:id="rId9514" ref="B9470"/>
    <hyperlink r:id="rId9515" ref="B9471"/>
    <hyperlink r:id="rId9516" ref="B9472"/>
    <hyperlink r:id="rId9517" ref="B9473"/>
    <hyperlink r:id="rId9518" ref="B9474"/>
    <hyperlink r:id="rId9519" ref="B9475"/>
    <hyperlink r:id="rId9520" ref="B9476"/>
    <hyperlink r:id="rId9521" ref="B9477"/>
    <hyperlink r:id="rId9522" ref="B9478"/>
    <hyperlink r:id="rId9523" ref="B9479"/>
    <hyperlink r:id="rId9524" ref="B9480"/>
    <hyperlink r:id="rId9525" ref="B9481"/>
    <hyperlink r:id="rId9526" ref="B9482"/>
    <hyperlink r:id="rId9527" ref="B9483"/>
    <hyperlink r:id="rId9528" ref="B9484"/>
    <hyperlink r:id="rId9529" ref="B9485"/>
    <hyperlink r:id="rId9530" ref="B9486"/>
    <hyperlink r:id="rId9531" ref="B9487"/>
    <hyperlink r:id="rId9532" ref="B9488"/>
    <hyperlink r:id="rId9533" ref="B9489"/>
    <hyperlink r:id="rId9534" ref="B9490"/>
    <hyperlink r:id="rId9535" ref="B9491"/>
    <hyperlink r:id="rId9536" ref="B9492"/>
    <hyperlink r:id="rId9537" ref="B9493"/>
    <hyperlink r:id="rId9538" ref="B9494"/>
    <hyperlink r:id="rId9539" ref="B9495"/>
    <hyperlink r:id="rId9540" ref="B9496"/>
    <hyperlink r:id="rId9541" ref="B9497"/>
    <hyperlink r:id="rId9542" ref="B9498"/>
    <hyperlink r:id="rId9543" ref="B9499"/>
    <hyperlink r:id="rId9544" ref="B9500"/>
    <hyperlink r:id="rId9545" ref="B9501"/>
    <hyperlink r:id="rId9546" ref="B9502"/>
    <hyperlink r:id="rId9547" ref="B9503"/>
    <hyperlink r:id="rId9548" ref="B9504"/>
    <hyperlink r:id="rId9549" ref="B9505"/>
    <hyperlink r:id="rId9550" ref="B9506"/>
    <hyperlink r:id="rId9551" ref="B9507"/>
    <hyperlink r:id="rId9552" ref="B9508"/>
    <hyperlink r:id="rId9553" ref="B9509"/>
    <hyperlink r:id="rId9554" ref="B9510"/>
    <hyperlink r:id="rId9555" ref="B9511"/>
    <hyperlink r:id="rId9556" ref="B9512"/>
    <hyperlink r:id="rId9557" ref="B9513"/>
    <hyperlink r:id="rId9558" ref="B9514"/>
    <hyperlink r:id="rId9559" ref="B9515"/>
    <hyperlink r:id="rId9560" ref="B9516"/>
    <hyperlink r:id="rId9561" ref="B9517"/>
    <hyperlink r:id="rId9562" ref="B9518"/>
    <hyperlink r:id="rId9563" ref="B9519"/>
    <hyperlink r:id="rId9564" ref="B9520"/>
    <hyperlink r:id="rId9565" ref="B9521"/>
    <hyperlink r:id="rId9566" ref="B9522"/>
    <hyperlink r:id="rId9567" ref="B9523"/>
    <hyperlink r:id="rId9568" ref="B9524"/>
    <hyperlink r:id="rId9569" ref="B9525"/>
    <hyperlink r:id="rId9570" ref="B9526"/>
    <hyperlink r:id="rId9571" ref="B9527"/>
    <hyperlink r:id="rId9572" ref="B9528"/>
    <hyperlink r:id="rId9573" ref="B9529"/>
    <hyperlink r:id="rId9574" ref="B9530"/>
    <hyperlink r:id="rId9575" ref="B9531"/>
    <hyperlink r:id="rId9576" ref="B9532"/>
    <hyperlink r:id="rId9577" ref="B9533"/>
    <hyperlink r:id="rId9578" ref="B9534"/>
    <hyperlink r:id="rId9579" ref="A9535"/>
    <hyperlink r:id="rId9580" ref="B9535"/>
    <hyperlink r:id="rId9581" ref="B9536"/>
    <hyperlink r:id="rId9582" ref="B9537"/>
    <hyperlink r:id="rId9583" ref="B9538"/>
    <hyperlink r:id="rId9584" ref="B9539"/>
    <hyperlink r:id="rId9585" ref="B9540"/>
    <hyperlink r:id="rId9586" ref="B9541"/>
    <hyperlink r:id="rId9587" ref="B9542"/>
    <hyperlink r:id="rId9588" ref="B9543"/>
    <hyperlink r:id="rId9589" ref="B9544"/>
    <hyperlink r:id="rId9590" ref="B9545"/>
    <hyperlink r:id="rId9591" ref="B9546"/>
    <hyperlink r:id="rId9592" ref="B9547"/>
    <hyperlink r:id="rId9593" ref="B9548"/>
    <hyperlink r:id="rId9594" ref="B9549"/>
    <hyperlink r:id="rId9595" ref="B9550"/>
    <hyperlink r:id="rId9596" ref="B9551"/>
    <hyperlink r:id="rId9597" ref="B9552"/>
    <hyperlink r:id="rId9598" ref="B9553"/>
    <hyperlink r:id="rId9599" ref="B9554"/>
    <hyperlink r:id="rId9600" ref="B9555"/>
    <hyperlink r:id="rId9601" ref="B9556"/>
    <hyperlink r:id="rId9602" ref="B9557"/>
    <hyperlink r:id="rId9603" ref="B9558"/>
    <hyperlink r:id="rId9604" ref="B9559"/>
    <hyperlink r:id="rId9605" ref="B9560"/>
    <hyperlink r:id="rId9606" ref="B9561"/>
    <hyperlink r:id="rId9607" ref="B9562"/>
    <hyperlink r:id="rId9608" ref="B9563"/>
    <hyperlink r:id="rId9609" ref="B9564"/>
    <hyperlink r:id="rId9610" ref="B9565"/>
    <hyperlink r:id="rId9611" ref="B9566"/>
    <hyperlink r:id="rId9612" ref="B9567"/>
    <hyperlink r:id="rId9613" ref="B9568"/>
    <hyperlink r:id="rId9614" ref="B9569"/>
    <hyperlink r:id="rId9615" ref="B9570"/>
    <hyperlink r:id="rId9616" ref="B9571"/>
    <hyperlink r:id="rId9617" ref="B9572"/>
    <hyperlink r:id="rId9618" ref="B9573"/>
    <hyperlink r:id="rId9619" ref="B9574"/>
    <hyperlink r:id="rId9620" ref="B9575"/>
    <hyperlink r:id="rId9621" ref="B9576"/>
    <hyperlink r:id="rId9622" ref="B9577"/>
    <hyperlink r:id="rId9623" ref="B9578"/>
    <hyperlink r:id="rId9624" ref="B9579"/>
    <hyperlink r:id="rId9625" ref="B9580"/>
    <hyperlink r:id="rId9626" ref="B9581"/>
    <hyperlink r:id="rId9627" ref="B9582"/>
    <hyperlink r:id="rId9628" ref="B9583"/>
    <hyperlink r:id="rId9629" ref="B9584"/>
    <hyperlink r:id="rId9630" ref="B9585"/>
    <hyperlink r:id="rId9631" ref="B9586"/>
    <hyperlink r:id="rId9632" ref="B9587"/>
    <hyperlink r:id="rId9633" ref="B9588"/>
    <hyperlink r:id="rId9634" ref="B9589"/>
    <hyperlink r:id="rId9635" ref="B9590"/>
    <hyperlink r:id="rId9636" ref="B9591"/>
    <hyperlink r:id="rId9637" ref="B9592"/>
    <hyperlink r:id="rId9638" ref="B9593"/>
    <hyperlink r:id="rId9639" ref="B9594"/>
    <hyperlink r:id="rId9640" ref="B9595"/>
    <hyperlink r:id="rId9641" ref="B9596"/>
    <hyperlink r:id="rId9642" ref="B9597"/>
    <hyperlink r:id="rId9643" ref="B9598"/>
    <hyperlink r:id="rId9644" ref="B9599"/>
    <hyperlink r:id="rId9645" ref="B9600"/>
    <hyperlink r:id="rId9646" ref="B9601"/>
    <hyperlink r:id="rId9647" ref="B9602"/>
    <hyperlink r:id="rId9648" ref="B9603"/>
    <hyperlink r:id="rId9649" ref="B9604"/>
    <hyperlink r:id="rId9650" ref="B9605"/>
    <hyperlink r:id="rId9651" ref="B9606"/>
    <hyperlink r:id="rId9652" ref="B9607"/>
    <hyperlink r:id="rId9653" ref="B9608"/>
    <hyperlink r:id="rId9654" ref="B9609"/>
    <hyperlink r:id="rId9655" ref="B9610"/>
    <hyperlink r:id="rId9656" ref="B9611"/>
    <hyperlink r:id="rId9657" ref="B9612"/>
    <hyperlink r:id="rId9658" ref="B9613"/>
    <hyperlink r:id="rId9659" ref="B9614"/>
    <hyperlink r:id="rId9660" ref="B9615"/>
    <hyperlink r:id="rId9661" ref="B9616"/>
    <hyperlink r:id="rId9662" ref="B9617"/>
    <hyperlink r:id="rId9663" ref="B9618"/>
    <hyperlink r:id="rId9664" ref="B9619"/>
    <hyperlink r:id="rId9665" ref="B9620"/>
    <hyperlink r:id="rId9666" ref="B9621"/>
    <hyperlink r:id="rId9667" ref="B9622"/>
    <hyperlink r:id="rId9668" ref="B9623"/>
    <hyperlink r:id="rId9669" ref="B9624"/>
    <hyperlink r:id="rId9670" ref="B9625"/>
    <hyperlink r:id="rId9671" ref="B9626"/>
    <hyperlink r:id="rId9672" ref="B9627"/>
    <hyperlink r:id="rId9673" ref="B9628"/>
    <hyperlink r:id="rId9674" ref="B9629"/>
    <hyperlink r:id="rId9675" ref="B9630"/>
    <hyperlink r:id="rId9676" ref="B9631"/>
    <hyperlink r:id="rId9677" ref="B9632"/>
    <hyperlink r:id="rId9678" ref="B9633"/>
    <hyperlink r:id="rId9679" ref="B9634"/>
    <hyperlink r:id="rId9680" ref="B9635"/>
    <hyperlink r:id="rId9681" ref="B9636"/>
    <hyperlink r:id="rId9682" ref="B9637"/>
    <hyperlink r:id="rId9683" ref="B9638"/>
    <hyperlink r:id="rId9684" ref="B9639"/>
    <hyperlink r:id="rId9685" ref="B9640"/>
    <hyperlink r:id="rId9686" ref="B9641"/>
    <hyperlink r:id="rId9687" ref="B9642"/>
    <hyperlink r:id="rId9688" ref="B9643"/>
    <hyperlink r:id="rId9689" ref="B9644"/>
    <hyperlink r:id="rId9690" ref="B9645"/>
    <hyperlink r:id="rId9691" ref="B9646"/>
    <hyperlink r:id="rId9692" ref="B9647"/>
    <hyperlink r:id="rId9693" ref="B9648"/>
    <hyperlink r:id="rId9694" ref="B9649"/>
    <hyperlink r:id="rId9695" ref="B9650"/>
    <hyperlink r:id="rId9696" ref="B9651"/>
    <hyperlink r:id="rId9697" ref="B9652"/>
    <hyperlink r:id="rId9698" ref="B9653"/>
    <hyperlink r:id="rId9699" ref="B9654"/>
    <hyperlink r:id="rId9700" ref="B9655"/>
    <hyperlink r:id="rId9701" ref="B9656"/>
    <hyperlink r:id="rId9702" ref="B9657"/>
    <hyperlink r:id="rId9703" ref="B9658"/>
    <hyperlink r:id="rId9704" ref="B9659"/>
    <hyperlink r:id="rId9705" ref="B9660"/>
  </hyperlinks>
  <drawing r:id="rId970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5"/>
    <col customWidth="1" min="2" max="2" width="20.63"/>
  </cols>
  <sheetData>
    <row r="1">
      <c r="A1" s="4" t="s">
        <v>19180</v>
      </c>
      <c r="B1" s="4" t="s">
        <v>6</v>
      </c>
      <c r="C1" s="16" t="str">
        <f>IFERROR(__xludf.DUMMYFUNCTION(""""""""" &amp; REGEXEXTRACT(B1, ""/detail/([^/?]+)"") &amp; """""","""),"""cjpalhdlnbpafiamejdnhcphjbkeiagm"",")</f>
        <v>"cjpalhdlnbpafiamejdnhcphjbkeiagm",</v>
      </c>
    </row>
    <row r="2">
      <c r="A2" s="4" t="s">
        <v>19181</v>
      </c>
      <c r="B2" s="4" t="s">
        <v>8</v>
      </c>
      <c r="C2" s="16" t="str">
        <f>IFERROR(__xludf.DUMMYFUNCTION(""""""""" &amp; REGEXEXTRACT(B2, ""/detail/([^/?]+)"") &amp; """""","""),"""ngpampappnmepgilojfohadhhmbhlaek"",")</f>
        <v>"ngpampappnmepgilojfohadhhmbhlaek",</v>
      </c>
    </row>
    <row r="3">
      <c r="A3" s="4" t="s">
        <v>19182</v>
      </c>
      <c r="B3" s="4" t="s">
        <v>10</v>
      </c>
      <c r="C3" s="16" t="str">
        <f>IFERROR(__xludf.DUMMYFUNCTION(""""""""" &amp; REGEXEXTRACT(B3, ""/detail/([^/?]+)"") &amp; """""","""),"""ifbmcpbgkhlpfcodhjhdbllhiaomkdej"",")</f>
        <v>"ifbmcpbgkhlpfcodhjhdbllhiaomkdej",</v>
      </c>
    </row>
    <row r="4">
      <c r="A4" s="4" t="s">
        <v>19183</v>
      </c>
      <c r="B4" s="4" t="s">
        <v>12</v>
      </c>
      <c r="C4" s="16" t="str">
        <f>IFERROR(__xludf.DUMMYFUNCTION(""""""""" &amp; REGEXEXTRACT(B4, ""/detail/([^/?]+)"") &amp; """""","""),"""okgjbfikepgflmlelgfgecmgjnmnmnnb"",")</f>
        <v>"okgjbfikepgflmlelgfgecmgjnmnmnnb",</v>
      </c>
    </row>
    <row r="5">
      <c r="A5" s="4" t="s">
        <v>19184</v>
      </c>
      <c r="B5" s="4" t="s">
        <v>14</v>
      </c>
      <c r="C5" s="16" t="str">
        <f>IFERROR(__xludf.DUMMYFUNCTION(""""""""" &amp; REGEXEXTRACT(B5, ""/detail/([^/?]+)"") &amp; """""","""),"""ohcpnigalekghcmgcdcenkpelffpdolg"",")</f>
        <v>"ohcpnigalekghcmgcdcenkpelffpdolg",</v>
      </c>
    </row>
    <row r="6">
      <c r="A6" s="4" t="s">
        <v>19185</v>
      </c>
      <c r="B6" s="4" t="s">
        <v>16</v>
      </c>
      <c r="C6" s="16" t="str">
        <f>IFERROR(__xludf.DUMMYFUNCTION(""""""""" &amp; REGEXEXTRACT(B6, ""/detail/([^/?]+)"") &amp; """""","""),"""padekgcemlokbadohgkifijomclgjgif"",")</f>
        <v>"padekgcemlokbadohgkifijomclgjgif",</v>
      </c>
    </row>
    <row r="7">
      <c r="A7" s="4" t="s">
        <v>19186</v>
      </c>
      <c r="B7" s="4" t="s">
        <v>72</v>
      </c>
      <c r="C7" s="16" t="str">
        <f>IFERROR(__xludf.DUMMYFUNCTION(""""""""" &amp; REGEXEXTRACT(B7, ""/detail/([^/?]+)"") &amp; """""","""),"""cmcmennehclgdccnlmnjladhlkmclbkb"",")</f>
        <v>"cmcmennehclgdccnlmnjladhlkmclbkb",</v>
      </c>
    </row>
    <row r="8">
      <c r="A8" s="4" t="s">
        <v>19187</v>
      </c>
      <c r="B8" s="4" t="s">
        <v>62</v>
      </c>
      <c r="C8" s="16" t="str">
        <f>IFERROR(__xludf.DUMMYFUNCTION(""""""""" &amp; REGEXEXTRACT(B8, ""/detail/([^/?]+)"") &amp; """""","""),"""fbcohnmimjicjdomonkcbcpbpnhggkip"",")</f>
        <v>"fbcohnmimjicjdomonkcbcpbpnhggkip",</v>
      </c>
    </row>
    <row r="9">
      <c r="A9" s="4" t="s">
        <v>19188</v>
      </c>
      <c r="B9" s="4" t="s">
        <v>18</v>
      </c>
      <c r="C9" s="16" t="str">
        <f>IFERROR(__xludf.DUMMYFUNCTION(""""""""" &amp; REGEXEXTRACT(B9, ""/detail/([^/?]+)"") &amp; """""","""),"""fhbjgbiflinjbdggehcddcbncdddomop"",")</f>
        <v>"fhbjgbiflinjbdggehcddcbncdddomop",</v>
      </c>
    </row>
    <row r="10">
      <c r="A10" s="4" t="s">
        <v>19189</v>
      </c>
      <c r="B10" s="4" t="s">
        <v>19190</v>
      </c>
      <c r="C10" s="16" t="str">
        <f>IFERROR(__xludf.DUMMYFUNCTION(""""""""" &amp; REGEXEXTRACT(B10, ""/detail/([^/?]+)"") &amp; """""","""),"""fhbohimaelbohpjbbldcngcnapndodjp"",")</f>
        <v>"fhbohimaelbohpjbbldcngcnapndodjp",</v>
      </c>
    </row>
    <row r="11">
      <c r="A11" s="4" t="s">
        <v>19191</v>
      </c>
      <c r="B11" s="4" t="s">
        <v>20</v>
      </c>
      <c r="C11" s="16" t="str">
        <f>IFERROR(__xludf.DUMMYFUNCTION(""""""""" &amp; REGEXEXTRACT(B11, ""/detail/([^/?]+)"") &amp; """""","""),"""fmidkjgknpkbmninbmklhcgaalfalbdh"",")</f>
        <v>"fmidkjgknpkbmninbmklhcgaalfalbdh",</v>
      </c>
    </row>
    <row r="12">
      <c r="A12" s="4" t="s">
        <v>19192</v>
      </c>
      <c r="B12" s="4" t="s">
        <v>22</v>
      </c>
      <c r="C12" s="16" t="str">
        <f>IFERROR(__xludf.DUMMYFUNCTION(""""""""" &amp; REGEXEXTRACT(B12, ""/detail/([^/?]+)"") &amp; """""","""),"""gbmdgpbipfallnflgajpaliibnhdgobh"",")</f>
        <v>"gbmdgpbipfallnflgajpaliibnhdgobh",</v>
      </c>
    </row>
    <row r="13">
      <c r="A13" s="4" t="s">
        <v>19193</v>
      </c>
      <c r="B13" s="4" t="s">
        <v>24</v>
      </c>
      <c r="C13" s="16" t="str">
        <f>IFERROR(__xludf.DUMMYFUNCTION(""""""""" &amp; REGEXEXTRACT(B13, ""/detail/([^/?]+)"") &amp; """""","""),"""gjgfobnenmnljakmhboildkafdkicala"",")</f>
        <v>"gjgfobnenmnljakmhboildkafdkicala",</v>
      </c>
    </row>
    <row r="14">
      <c r="A14" s="4" t="s">
        <v>19194</v>
      </c>
      <c r="B14" s="4" t="s">
        <v>26</v>
      </c>
      <c r="C14" s="16" t="str">
        <f>IFERROR(__xludf.DUMMYFUNCTION(""""""""" &amp; REGEXEXTRACT(B14, ""/detail/([^/?]+)"") &amp; """""","""),"""ioekoebejdcmnlefjiknokhhafglcjdl"",")</f>
        <v>"ioekoebejdcmnlefjiknokhhafglcjdl",</v>
      </c>
    </row>
    <row r="15">
      <c r="A15" s="4" t="s">
        <v>19195</v>
      </c>
      <c r="B15" s="4" t="s">
        <v>28</v>
      </c>
      <c r="C15" s="16" t="str">
        <f>IFERROR(__xludf.DUMMYFUNCTION(""""""""" &amp; REGEXEXTRACT(B15, ""/detail/([^/?]+)"") &amp; """""","""),"""jdogphakondfdmcanpapfahkdomaicfa"",")</f>
        <v>"jdogphakondfdmcanpapfahkdomaicfa",</v>
      </c>
    </row>
    <row r="16">
      <c r="A16" s="4" t="s">
        <v>19196</v>
      </c>
      <c r="B16" s="4" t="s">
        <v>30</v>
      </c>
      <c r="C16" s="16" t="str">
        <f>IFERROR(__xludf.DUMMYFUNCTION(""""""""" &amp; REGEXEXTRACT(B16, ""/detail/([^/?]+)"") &amp; """""","""),"""jinjaccalgkegednnccohejagnlnfdag"",")</f>
        <v>"jinjaccalgkegednnccohejagnlnfdag",</v>
      </c>
    </row>
    <row r="17">
      <c r="A17" s="4" t="s">
        <v>19197</v>
      </c>
      <c r="B17" s="4" t="s">
        <v>54</v>
      </c>
      <c r="C17" s="16" t="str">
        <f>IFERROR(__xludf.DUMMYFUNCTION(""""""""" &amp; REGEXEXTRACT(B17, ""/detail/([^/?]+)"") &amp; """""","""),"""jkfpchpiljkaemlpmpebnglgkomamfeo"",")</f>
        <v>"jkfpchpiljkaemlpmpebnglgkomamfeo",</v>
      </c>
    </row>
    <row r="18">
      <c r="A18" s="4" t="s">
        <v>19198</v>
      </c>
      <c r="B18" s="4" t="s">
        <v>32</v>
      </c>
      <c r="C18" s="16" t="str">
        <f>IFERROR(__xludf.DUMMYFUNCTION(""""""""" &amp; REGEXEXTRACT(B18, ""/detail/([^/?]+)"") &amp; """""","""),"""jmfikkaogpplgnfjmbjdpalkhclendgd"",")</f>
        <v>"jmfikkaogpplgnfjmbjdpalkhclendgd",</v>
      </c>
    </row>
    <row r="19">
      <c r="A19" s="4" t="s">
        <v>19199</v>
      </c>
      <c r="B19" s="4" t="s">
        <v>34</v>
      </c>
      <c r="C19" s="16" t="str">
        <f>IFERROR(__xludf.DUMMYFUNCTION(""""""""" &amp; REGEXEXTRACT(B19, ""/detail/([^/?]+)"") &amp; """""","""),"""kmffehbidlalibfeklaefnckpidbodff"",")</f>
        <v>"kmffehbidlalibfeklaefnckpidbodff",</v>
      </c>
    </row>
    <row r="20">
      <c r="A20" s="4" t="s">
        <v>19200</v>
      </c>
      <c r="B20" s="4" t="s">
        <v>36</v>
      </c>
      <c r="C20" s="16" t="str">
        <f>IFERROR(__xludf.DUMMYFUNCTION(""""""""" &amp; REGEXEXTRACT(B20, ""/detail/([^/?]+)"") &amp; """""","""),"""lbfehkoinhhcknnbdgnnmjhiladcgbol"",")</f>
        <v>"lbfehkoinhhcknnbdgnnmjhiladcgbol",</v>
      </c>
    </row>
    <row r="21">
      <c r="A21" s="4" t="s">
        <v>19201</v>
      </c>
      <c r="B21" s="4" t="s">
        <v>38</v>
      </c>
      <c r="C21" s="16" t="str">
        <f>IFERROR(__xludf.DUMMYFUNCTION(""""""""" &amp; REGEXEXTRACT(B21, ""/detail/([^/?]+)"") &amp; """""","""),"""llcdellnofncikmhimjdbkdjgpmcjbik"",")</f>
        <v>"llcdellnofncikmhimjdbkdjgpmcjbik",</v>
      </c>
    </row>
    <row r="22">
      <c r="A22" s="4" t="s">
        <v>19202</v>
      </c>
      <c r="B22" s="4" t="s">
        <v>40</v>
      </c>
      <c r="C22" s="16" t="str">
        <f>IFERROR(__xludf.DUMMYFUNCTION(""""""""" &amp; REGEXEXTRACT(B22, ""/detail/([^/?]+)"") &amp; """""","""),"""nlbejmccbhkncgokjcmghpfloaajcffj"",")</f>
        <v>"nlbejmccbhkncgokjcmghpfloaajcffj",</v>
      </c>
    </row>
    <row r="23">
      <c r="A23" s="4" t="s">
        <v>19203</v>
      </c>
      <c r="B23" s="4" t="s">
        <v>44</v>
      </c>
      <c r="C23" s="16" t="str">
        <f>IFERROR(__xludf.DUMMYFUNCTION(""""""""" &amp; REGEXEXTRACT(B23, ""/detail/([^/?]+)"") &amp; """""","""),"""npgcnondjocldhldegnakemclmfkngch"",")</f>
        <v>"npgcnondjocldhldegnakemclmfkngch",</v>
      </c>
    </row>
    <row r="24">
      <c r="A24" s="4" t="s">
        <v>19204</v>
      </c>
      <c r="B24" s="4" t="s">
        <v>42</v>
      </c>
      <c r="C24" s="16" t="str">
        <f>IFERROR(__xludf.DUMMYFUNCTION(""""""""" &amp; REGEXEXTRACT(B24, ""/detail/([^/?]+)"") &amp; """""","""),"""oakfpjifgmfpainopanfgfckhkcfgacb"",")</f>
        <v>"oakfpjifgmfpainopanfgfckhkcfgacb",</v>
      </c>
    </row>
    <row r="25">
      <c r="A25" s="4" t="s">
        <v>19205</v>
      </c>
      <c r="B25" s="4" t="s">
        <v>46</v>
      </c>
      <c r="C25" s="16" t="str">
        <f>IFERROR(__xludf.DUMMYFUNCTION(""""""""" &amp; REGEXEXTRACT(B25, ""/detail/([^/?]+)"") &amp; """""","""),"""ciniambnphakdoflgeamacamhfllbkmo"",")</f>
        <v>"ciniambnphakdoflgeamacamhfllbkmo",</v>
      </c>
    </row>
    <row r="26">
      <c r="A26" s="4" t="s">
        <v>19206</v>
      </c>
      <c r="B26" s="4" t="s">
        <v>74</v>
      </c>
      <c r="C26" s="16" t="str">
        <f>IFERROR(__xludf.DUMMYFUNCTION(""""""""" &amp; REGEXEXTRACT(B26, ""/detail/([^/?]+)"") &amp; """""","""),"""dpplndkoilcedkdjicmbeoahnckdcnle"",")</f>
        <v>"dpplndkoilcedkdjicmbeoahnckdcnle",</v>
      </c>
    </row>
    <row r="27">
      <c r="A27" s="4" t="s">
        <v>19207</v>
      </c>
      <c r="B27" s="4" t="s">
        <v>48</v>
      </c>
      <c r="C27" s="16" t="str">
        <f>IFERROR(__xludf.DUMMYFUNCTION(""""""""" &amp; REGEXEXTRACT(B27, ""/detail/([^/?]+)"") &amp; """""","""),"""eebnbmbhdfnfhfhigoklhaklkodghbla"",")</f>
        <v>"eebnbmbhdfnfhfhigoklhaklkodghbla",</v>
      </c>
    </row>
    <row r="28">
      <c r="A28" s="4" t="s">
        <v>19208</v>
      </c>
      <c r="B28" s="4" t="s">
        <v>50</v>
      </c>
      <c r="C28" s="16" t="str">
        <f>IFERROR(__xludf.DUMMYFUNCTION(""""""""" &amp; REGEXEXTRACT(B28, ""/detail/([^/?]+)"") &amp; """""","""),"""gadbpecoinogdkljjbjffmiijpebooce"",")</f>
        <v>"gadbpecoinogdkljjbjffmiijpebooce",</v>
      </c>
    </row>
    <row r="29">
      <c r="A29" s="4" t="s">
        <v>19209</v>
      </c>
      <c r="B29" s="4" t="s">
        <v>52</v>
      </c>
      <c r="C29" s="16" t="str">
        <f>IFERROR(__xludf.DUMMYFUNCTION(""""""""" &amp; REGEXEXTRACT(B29, ""/detail/([^/?]+)"") &amp; """""","""),"""oejigobjchedidhlafnpdpccihgbmbka"",")</f>
        <v>"oejigobjchedidhlafnpdpccihgbmbka",</v>
      </c>
    </row>
    <row r="30">
      <c r="A30" s="4" t="s">
        <v>19210</v>
      </c>
      <c r="B30" s="4" t="s">
        <v>56</v>
      </c>
      <c r="C30" s="16" t="str">
        <f>IFERROR(__xludf.DUMMYFUNCTION(""""""""" &amp; REGEXEXTRACT(B30, ""/detail/([^/?]+)"") &amp; """""","""),"""dhikfimimcjpoaliefjlffaebdeomeni"",")</f>
        <v>"dhikfimimcjpoaliefjlffaebdeomeni",</v>
      </c>
    </row>
    <row r="31">
      <c r="A31" s="4" t="s">
        <v>19211</v>
      </c>
      <c r="B31" s="4" t="s">
        <v>58</v>
      </c>
      <c r="C31" s="16" t="str">
        <f>IFERROR(__xludf.DUMMYFUNCTION(""""""""" &amp; REGEXEXTRACT(B31, ""/detail/([^/?]+)"") &amp; """""","""),"""gidgenkbbabolejbgbpnhbimgjbffefm"",")</f>
        <v>"gidgenkbbabolejbgbpnhbimgjbffefm",</v>
      </c>
    </row>
    <row r="32">
      <c r="A32" s="4" t="s">
        <v>19212</v>
      </c>
      <c r="B32" s="4" t="s">
        <v>64</v>
      </c>
      <c r="C32" s="16" t="str">
        <f>IFERROR(__xludf.DUMMYFUNCTION(""""""""" &amp; REGEXEXTRACT(B32, ""/detail/([^/?]+)"") &amp; """""","""),"""gjknjjomckknofjidppipffbpoekiipm"",")</f>
        <v>"gjknjjomckknofjidppipffbpoekiipm",</v>
      </c>
    </row>
    <row r="33">
      <c r="A33" s="4" t="s">
        <v>19213</v>
      </c>
      <c r="B33" s="4" t="s">
        <v>76</v>
      </c>
      <c r="C33" s="16" t="str">
        <f>IFERROR(__xludf.DUMMYFUNCTION(""""""""" &amp; REGEXEXTRACT(B33, ""/detail/([^/?]+)"") &amp; """""","""),"""jdocbkpgdakpekjlhemmfcncgdjeiika"",")</f>
        <v>"jdocbkpgdakpekjlhemmfcncgdjeiika",</v>
      </c>
    </row>
    <row r="34">
      <c r="A34" s="4" t="s">
        <v>19214</v>
      </c>
      <c r="B34" s="4" t="s">
        <v>60</v>
      </c>
      <c r="C34" s="16" t="str">
        <f>IFERROR(__xludf.DUMMYFUNCTION(""""""""" &amp; REGEXEXTRACT(B34, ""/detail/([^/?]+)"") &amp; """""","""),"""kmpjlilnemjciohjckjadmgmicoldglf"",")</f>
        <v>"kmpjlilnemjciohjckjadmgmicoldglf",</v>
      </c>
    </row>
    <row r="35">
      <c r="A35" s="4" t="s">
        <v>19215</v>
      </c>
      <c r="B35" s="4" t="s">
        <v>66</v>
      </c>
      <c r="C35" s="16" t="str">
        <f>IFERROR(__xludf.DUMMYFUNCTION(""""""""" &amp; REGEXEXTRACT(B35, ""/detail/([^/?]+)"") &amp; """""","""),"""mjbepbhonbojpoaenhckjocchgfiaofo"",")</f>
        <v>"mjbepbhonbojpoaenhckjocchgfiaofo",</v>
      </c>
    </row>
    <row r="36">
      <c r="A36" s="4" t="s">
        <v>19216</v>
      </c>
      <c r="B36" s="4" t="s">
        <v>78</v>
      </c>
      <c r="C36" s="16" t="str">
        <f>IFERROR(__xludf.DUMMYFUNCTION(""""""""" &amp; REGEXEXTRACT(B36, ""/detail/([^/?]+)"") &amp; """""","""),"""mooikfkahbdckldjjndioackbalphokd"",")</f>
        <v>"mooikfkahbdckldjjndioackbalphokd",</v>
      </c>
    </row>
    <row r="37">
      <c r="A37" s="4" t="s">
        <v>19217</v>
      </c>
      <c r="B37" s="4" t="s">
        <v>80</v>
      </c>
      <c r="C37" s="16" t="str">
        <f>IFERROR(__xludf.DUMMYFUNCTION(""""""""" &amp; REGEXEXTRACT(B37, ""/detail/([^/?]+)"") &amp; """""","""),"""ifbdadgbpalmagalacllfaflfakmfkac"",")</f>
        <v>"ifbdadgbpalmagalacllfaflfakmfkac",</v>
      </c>
    </row>
    <row r="38">
      <c r="A38" s="4" t="s">
        <v>19218</v>
      </c>
      <c r="B38" s="4" t="s">
        <v>68</v>
      </c>
      <c r="C38" s="16" t="str">
        <f>IFERROR(__xludf.DUMMYFUNCTION(""""""""" &amp; REGEXEXTRACT(B38, ""/detail/([^/?]+)"") &amp; """""","""),"""knkapnclbofjjgicpkfoagdjohlfjhpd"",")</f>
        <v>"knkapnclbofjjgicpkfoagdjohlfjhpd",</v>
      </c>
    </row>
    <row r="39">
      <c r="A39" s="4" t="s">
        <v>19219</v>
      </c>
      <c r="B39" s="4" t="s">
        <v>70</v>
      </c>
      <c r="C39" s="16" t="str">
        <f>IFERROR(__xludf.DUMMYFUNCTION(""""""""" &amp; REGEXEXTRACT(B39, ""/detail/([^/?]+)"") &amp; """""","""),"""ppckapbnfhikdajgehibjapcohbaomhd"",")</f>
        <v>"ppckapbnfhikdajgehibjapcohbaomhd",</v>
      </c>
    </row>
    <row r="40">
      <c r="A40" s="4" t="s">
        <v>19220</v>
      </c>
      <c r="B40" s="4" t="s">
        <v>84</v>
      </c>
      <c r="C40" s="16" t="str">
        <f>IFERROR(__xludf.DUMMYFUNCTION(""""""""" &amp; REGEXEXTRACT(B40, ""/detail/([^/?]+)"") &amp; """""","""),"""chlffgpmiacpedhhbkiomidkjlcfhogd"",")</f>
        <v>"chlffgpmiacpedhhbkiomidkjlcfhogd",</v>
      </c>
    </row>
    <row r="41">
      <c r="A41" s="4" t="s">
        <v>19221</v>
      </c>
      <c r="B41" s="4" t="s">
        <v>86</v>
      </c>
      <c r="C41" s="16" t="str">
        <f>IFERROR(__xludf.DUMMYFUNCTION(""""""""" &amp; REGEXEXTRACT(B41, ""/detail/([^/?]+)"") &amp; """""","""),"""fklgmciohehgadlafhljjhgdojfjihhk"",")</f>
        <v>"fklgmciohehgadlafhljjhgdojfjihhk",</v>
      </c>
    </row>
    <row r="42">
      <c r="A42" s="4" t="s">
        <v>19222</v>
      </c>
      <c r="B42" s="4" t="s">
        <v>100</v>
      </c>
      <c r="C42" s="16" t="str">
        <f>IFERROR(__xludf.DUMMYFUNCTION(""""""""" &amp; REGEXEXTRACT(B42, ""/detail/([^/?]+)"") &amp; """""","""),"""fnbdnhhicmebfgdgglcdacdapkcihcoh"",")</f>
        <v>"fnbdnhhicmebfgdgglcdacdapkcihcoh",</v>
      </c>
    </row>
    <row r="43">
      <c r="A43" s="4" t="s">
        <v>19223</v>
      </c>
      <c r="B43" s="4" t="s">
        <v>102</v>
      </c>
      <c r="C43" s="16" t="str">
        <f>IFERROR(__xludf.DUMMYFUNCTION(""""""""" &amp; REGEXEXTRACT(B43, ""/detail/([^/?]+)"") &amp; """""","""),"""kekahkplibinaibelipdcikofmedafmb"",")</f>
        <v>"kekahkplibinaibelipdcikofmedafmb",</v>
      </c>
    </row>
    <row r="44">
      <c r="A44" s="4" t="s">
        <v>19224</v>
      </c>
      <c r="B44" s="4" t="s">
        <v>82</v>
      </c>
      <c r="C44" s="16" t="str">
        <f>IFERROR(__xludf.DUMMYFUNCTION(""""""""" &amp; REGEXEXTRACT(B44, ""/detail/([^/?]+)"") &amp; """""","""),"""pdmhilamamchgnnipghbjakjpbenbcdj"",")</f>
        <v>"pdmhilamamchgnnipghbjakjpbenbcdj",</v>
      </c>
    </row>
    <row r="45">
      <c r="A45" s="4" t="s">
        <v>19225</v>
      </c>
      <c r="B45" s="4" t="s">
        <v>88</v>
      </c>
      <c r="C45" s="16" t="str">
        <f>IFERROR(__xludf.DUMMYFUNCTION(""""""""" &amp; REGEXEXTRACT(B45, ""/detail/([^/?]+)"") &amp; """""","""),"""nfdfiepdkbnoanddpianalelglmfooik"",")</f>
        <v>"nfdfiepdkbnoanddpianalelglmfooik",</v>
      </c>
    </row>
    <row r="46">
      <c r="A46" s="4" t="s">
        <v>19226</v>
      </c>
      <c r="B46" s="4" t="s">
        <v>90</v>
      </c>
      <c r="C46" s="16" t="str">
        <f>IFERROR(__xludf.DUMMYFUNCTION(""""""""" &amp; REGEXEXTRACT(B46, ""/detail/([^/?]+)"") &amp; """""","""),"""kfhgpagdjjoieckminnmigmpeclkdmjm"",")</f>
        <v>"kfhgpagdjjoieckminnmigmpeclkdmjm",</v>
      </c>
    </row>
    <row r="47">
      <c r="A47" s="4" t="s">
        <v>19227</v>
      </c>
      <c r="B47" s="4" t="s">
        <v>104</v>
      </c>
      <c r="C47" s="16" t="str">
        <f>IFERROR(__xludf.DUMMYFUNCTION(""""""""" &amp; REGEXEXTRACT(B47, ""/detail/([^/?]+)"") &amp; """""","""),"""aodjmnfhjibkcdimpodiifdjnnncaafh"",")</f>
        <v>"aodjmnfhjibkcdimpodiifdjnnncaafh",</v>
      </c>
    </row>
    <row r="48">
      <c r="A48" s="4" t="s">
        <v>19228</v>
      </c>
      <c r="B48" s="4" t="s">
        <v>92</v>
      </c>
      <c r="C48" s="16" t="str">
        <f>IFERROR(__xludf.DUMMYFUNCTION(""""""""" &amp; REGEXEXTRACT(B48, ""/detail/([^/?]+)"") &amp; """""","""),"""bldgenmjegcnjebiongilahhcjldgmlm"",")</f>
        <v>"bldgenmjegcnjebiongilahhcjldgmlm",</v>
      </c>
    </row>
    <row r="49">
      <c r="A49" s="4" t="s">
        <v>19229</v>
      </c>
      <c r="B49" s="4" t="s">
        <v>94</v>
      </c>
      <c r="C49" s="16" t="str">
        <f>IFERROR(__xludf.DUMMYFUNCTION(""""""""" &amp; REGEXEXTRACT(B49, ""/detail/([^/?]+)"") &amp; """""","""),"""ceibjdigmfbbgcpkkdpmjokkokklodmc"",")</f>
        <v>"ceibjdigmfbbgcpkkdpmjokkokklodmc",</v>
      </c>
    </row>
    <row r="50">
      <c r="A50" s="4" t="s">
        <v>19230</v>
      </c>
      <c r="B50" s="4" t="s">
        <v>106</v>
      </c>
      <c r="C50" s="16" t="str">
        <f>IFERROR(__xludf.DUMMYFUNCTION(""""""""" &amp; REGEXEXTRACT(B50, ""/detail/([^/?]+)"") &amp; """""","""),"""hehmkjmjappgeijgebepcnnckihfjbol"",")</f>
        <v>"hehmkjmjappgeijgebepcnnckihfjbol",</v>
      </c>
    </row>
    <row r="51">
      <c r="A51" s="4" t="s">
        <v>19231</v>
      </c>
      <c r="B51" s="4" t="s">
        <v>128</v>
      </c>
      <c r="C51" s="16" t="str">
        <f>IFERROR(__xludf.DUMMYFUNCTION(""""""""" &amp; REGEXEXTRACT(B51, ""/detail/([^/?]+)"") &amp; """""","""),"""idfiabaafjemgcecklpgnebaebonghka"",")</f>
        <v>"idfiabaafjemgcecklpgnebaebonghka",</v>
      </c>
    </row>
    <row r="52">
      <c r="A52" s="4" t="s">
        <v>19232</v>
      </c>
      <c r="B52" s="4" t="s">
        <v>96</v>
      </c>
      <c r="C52" s="16" t="str">
        <f>IFERROR(__xludf.DUMMYFUNCTION(""""""""" &amp; REGEXEXTRACT(B52, ""/detail/([^/?]+)"") &amp; """""","""),"""jkchgejbjikoopancfjpbofabaoceohd"",")</f>
        <v>"jkchgejbjikoopancfjpbofabaoceohd",</v>
      </c>
    </row>
    <row r="53">
      <c r="A53" s="4" t="s">
        <v>19233</v>
      </c>
      <c r="B53" s="4" t="s">
        <v>176</v>
      </c>
      <c r="C53" s="16" t="str">
        <f>IFERROR(__xludf.DUMMYFUNCTION(""""""""" &amp; REGEXEXTRACT(B53, ""/detail/([^/?]+)"") &amp; """""","""),"""kjomkjjpbjeennhagfmlahfnlgleecmn"",")</f>
        <v>"kjomkjjpbjeennhagfmlahfnlgleecmn",</v>
      </c>
    </row>
    <row r="54">
      <c r="A54" s="4" t="s">
        <v>19234</v>
      </c>
      <c r="B54" s="4" t="s">
        <v>108</v>
      </c>
      <c r="C54" s="16" t="str">
        <f>IFERROR(__xludf.DUMMYFUNCTION(""""""""" &amp; REGEXEXTRACT(B54, ""/detail/([^/?]+)"") &amp; """""","""),"""lcipembjfkmeggpihdpdgnjildgniffl"",")</f>
        <v>"lcipembjfkmeggpihdpdgnjildgniffl",</v>
      </c>
    </row>
    <row r="55">
      <c r="A55" s="4" t="s">
        <v>19235</v>
      </c>
      <c r="B55" s="4" t="s">
        <v>110</v>
      </c>
      <c r="C55" s="16" t="str">
        <f>IFERROR(__xludf.DUMMYFUNCTION(""""""""" &amp; REGEXEXTRACT(B55, ""/detail/([^/?]+)"") &amp; """""","""),"""noondiphcddnnabmjcihcjfbhfklnnep"",")</f>
        <v>"noondiphcddnnabmjcihcjfbhfklnnep",</v>
      </c>
    </row>
    <row r="56">
      <c r="A56" s="4" t="s">
        <v>19236</v>
      </c>
      <c r="B56" s="4" t="s">
        <v>112</v>
      </c>
      <c r="C56" s="16" t="str">
        <f>IFERROR(__xludf.DUMMYFUNCTION(""""""""" &amp; REGEXEXTRACT(B56, ""/detail/([^/?]+)"") &amp; """""","""),"""pgfbdgicjmhenccemcijooffohcdanic"",")</f>
        <v>"pgfbdgicjmhenccemcijooffohcdanic",</v>
      </c>
    </row>
    <row r="57">
      <c r="A57" s="4" t="s">
        <v>19237</v>
      </c>
      <c r="B57" s="4" t="s">
        <v>98</v>
      </c>
      <c r="C57" s="16" t="str">
        <f>IFERROR(__xludf.DUMMYFUNCTION(""""""""" &amp; REGEXEXTRACT(B57, ""/detail/([^/?]+)"") &amp; """""","""),"""amjidnnemammipglldbeihmhokepmkoc"",")</f>
        <v>"amjidnnemammipglldbeihmhokepmkoc",</v>
      </c>
    </row>
    <row r="58">
      <c r="A58" s="4" t="s">
        <v>19238</v>
      </c>
      <c r="B58" s="4" t="s">
        <v>130</v>
      </c>
      <c r="C58" s="16" t="str">
        <f>IFERROR(__xludf.DUMMYFUNCTION(""""""""" &amp; REGEXEXTRACT(B58, ""/detail/([^/?]+)"") &amp; """""","""),"""cdonnmffkdaoajfknoeeecmchibpmkmg"",")</f>
        <v>"cdonnmffkdaoajfknoeeecmchibpmkmg",</v>
      </c>
    </row>
    <row r="59">
      <c r="A59" s="4" t="s">
        <v>19239</v>
      </c>
      <c r="B59" s="4" t="s">
        <v>114</v>
      </c>
      <c r="C59" s="16" t="str">
        <f>IFERROR(__xludf.DUMMYFUNCTION(""""""""" &amp; REGEXEXTRACT(B59, ""/detail/([^/?]+)"") &amp; """""","""),"""ceimgagkkofjoalgojpkdcmhmbljbbaa"",")</f>
        <v>"ceimgagkkofjoalgojpkdcmhmbljbbaa",</v>
      </c>
    </row>
    <row r="60">
      <c r="A60" s="4" t="s">
        <v>19240</v>
      </c>
      <c r="B60" s="4" t="s">
        <v>132</v>
      </c>
      <c r="C60" s="16" t="str">
        <f>IFERROR(__xludf.DUMMYFUNCTION(""""""""" &amp; REGEXEXTRACT(B60, ""/detail/([^/?]+)"") &amp; """""","""),"""cfidkbgamfhdgmedldkagjopnbobdmdn"",")</f>
        <v>"cfidkbgamfhdgmedldkagjopnbobdmdn",</v>
      </c>
    </row>
    <row r="61">
      <c r="A61" s="4" t="s">
        <v>19241</v>
      </c>
      <c r="B61" s="4" t="s">
        <v>19242</v>
      </c>
      <c r="C61" s="16" t="str">
        <f>IFERROR(__xludf.DUMMYFUNCTION(""""""""" &amp; REGEXEXTRACT(B61, ""/detail/([^/?]+)"") &amp; """""","""),"""cjobgkekcenldbaenikebmbhffhhffef"",")</f>
        <v>"cjobgkekcenldbaenikebmbhffhhffef",</v>
      </c>
    </row>
    <row r="62">
      <c r="A62" s="4" t="s">
        <v>19243</v>
      </c>
      <c r="B62" s="4" t="s">
        <v>116</v>
      </c>
      <c r="C62" s="16" t="str">
        <f>IFERROR(__xludf.DUMMYFUNCTION(""""""""" &amp; REGEXEXTRACT(B62, ""/detail/([^/?]+)"") &amp; """""","""),"""dcdfjddkdjkaohjceimnbgniajaholfl"",")</f>
        <v>"dcdfjddkdjkaohjceimnbgniajaholfl",</v>
      </c>
    </row>
    <row r="63">
      <c r="A63" s="4" t="s">
        <v>19244</v>
      </c>
      <c r="B63" s="4" t="s">
        <v>118</v>
      </c>
      <c r="C63" s="16" t="str">
        <f>IFERROR(__xludf.DUMMYFUNCTION(""""""""" &amp; REGEXEXTRACT(B63, ""/detail/([^/?]+)"") &amp; """""","""),"""dhheiegalgcabbcobinipgmhepkkeidk"",")</f>
        <v>"dhheiegalgcabbcobinipgmhepkkeidk",</v>
      </c>
    </row>
    <row r="64">
      <c r="A64" s="4" t="s">
        <v>19245</v>
      </c>
      <c r="B64" s="4" t="s">
        <v>134</v>
      </c>
      <c r="C64" s="16" t="str">
        <f>IFERROR(__xludf.DUMMYFUNCTION(""""""""" &amp; REGEXEXTRACT(B64, ""/detail/([^/?]+)"") &amp; """""","""),"""dpplabbmogkhghncfbfdeeokoefdjegm"",")</f>
        <v>"dpplabbmogkhghncfbfdeeokoefdjegm",</v>
      </c>
    </row>
    <row r="65">
      <c r="A65" s="4" t="s">
        <v>19246</v>
      </c>
      <c r="B65" s="4" t="s">
        <v>136</v>
      </c>
      <c r="C65" s="16" t="str">
        <f>IFERROR(__xludf.DUMMYFUNCTION(""""""""" &amp; REGEXEXTRACT(B65, ""/detail/([^/?]+)"") &amp; """""","""),"""ealjoeebhfijfimofmecjcjcigmadcai"",")</f>
        <v>"ealjoeebhfijfimofmecjcjcigmadcai",</v>
      </c>
    </row>
    <row r="66">
      <c r="A66" s="4" t="s">
        <v>19247</v>
      </c>
      <c r="B66" s="4" t="s">
        <v>138</v>
      </c>
      <c r="C66" s="16" t="str">
        <f>IFERROR(__xludf.DUMMYFUNCTION(""""""""" &amp; REGEXEXTRACT(B66, ""/detail/([^/?]+)"") &amp; """""","""),"""emngkmlligggbbiioginlkphcmffbncb"",")</f>
        <v>"emngkmlligggbbiioginlkphcmffbncb",</v>
      </c>
    </row>
    <row r="67">
      <c r="A67" s="4" t="s">
        <v>19248</v>
      </c>
      <c r="B67" s="4" t="s">
        <v>140</v>
      </c>
      <c r="C67" s="16" t="str">
        <f>IFERROR(__xludf.DUMMYFUNCTION(""""""""" &amp; REGEXEXTRACT(B67, ""/detail/([^/?]+)"") &amp; """""","""),"""gdkddcndonbadjjminbeeokgcknciebo"",")</f>
        <v>"gdkddcndonbadjjminbeeokgcknciebo",</v>
      </c>
    </row>
    <row r="68">
      <c r="A68" s="4" t="s">
        <v>19249</v>
      </c>
      <c r="B68" s="4" t="s">
        <v>142</v>
      </c>
      <c r="C68" s="16" t="str">
        <f>IFERROR(__xludf.DUMMYFUNCTION(""""""""" &amp; REGEXEXTRACT(B68, ""/detail/([^/?]+)"") &amp; """""","""),"""gecgipfabdickgidpmbicneamekgbaej"",")</f>
        <v>"gecgipfabdickgidpmbicneamekgbaej",</v>
      </c>
    </row>
    <row r="69">
      <c r="A69" s="4" t="s">
        <v>19250</v>
      </c>
      <c r="B69" s="4" t="s">
        <v>120</v>
      </c>
      <c r="C69" s="16" t="str">
        <f>IFERROR(__xludf.DUMMYFUNCTION(""""""""" &amp; REGEXEXTRACT(B69, ""/detail/([^/?]+)"") &amp; """""","""),"""gnddkmpjjjcimefninepfmmddpgaaado"",")</f>
        <v>"gnddkmpjjjcimefninepfmmddpgaaado",</v>
      </c>
    </row>
    <row r="70">
      <c r="A70" s="4" t="s">
        <v>19251</v>
      </c>
      <c r="B70" s="4" t="s">
        <v>144</v>
      </c>
      <c r="C70" s="16" t="str">
        <f>IFERROR(__xludf.DUMMYFUNCTION(""""""""" &amp; REGEXEXTRACT(B70, ""/detail/([^/?]+)"") &amp; """""","""),"""immpkjjlgappgfkkfieppnmlhakdmaab"",")</f>
        <v>"immpkjjlgappgfkkfieppnmlhakdmaab",</v>
      </c>
    </row>
    <row r="71">
      <c r="A71" s="4" t="s">
        <v>19252</v>
      </c>
      <c r="B71" s="4" t="s">
        <v>146</v>
      </c>
      <c r="C71" s="16" t="str">
        <f>IFERROR(__xludf.DUMMYFUNCTION(""""""""" &amp; REGEXEXTRACT(B71, ""/detail/([^/?]+)"") &amp; """""","""),"""jgllchbkhjeiaombmpkapalbmpolmelp"",")</f>
        <v>"jgllchbkhjeiaombmpkapalbmpolmelp",</v>
      </c>
    </row>
    <row r="72">
      <c r="A72" s="4" t="s">
        <v>19253</v>
      </c>
      <c r="B72" s="4" t="s">
        <v>148</v>
      </c>
      <c r="C72" s="16" t="str">
        <f>IFERROR(__xludf.DUMMYFUNCTION(""""""""" &amp; REGEXEXTRACT(B72, ""/detail/([^/?]+)"") &amp; """""","""),"""jnhblfnklpfpbbadlfbikhhifadinfho"",")</f>
        <v>"jnhblfnklpfpbbadlfbikhhifadinfho",</v>
      </c>
    </row>
    <row r="73">
      <c r="A73" s="4" t="s">
        <v>19254</v>
      </c>
      <c r="B73" s="4" t="s">
        <v>122</v>
      </c>
      <c r="C73" s="16" t="str">
        <f>IFERROR(__xludf.DUMMYFUNCTION(""""""""" &amp; REGEXEXTRACT(B73, ""/detail/([^/?]+)"") &amp; """""","""),"""lfidjngibpklhhijphdmbmedchiiolgk"",")</f>
        <v>"lfidjngibpklhhijphdmbmedchiiolgk",</v>
      </c>
    </row>
    <row r="74">
      <c r="A74" s="4" t="s">
        <v>19255</v>
      </c>
      <c r="B74" s="4" t="s">
        <v>124</v>
      </c>
      <c r="C74" s="16" t="str">
        <f>IFERROR(__xludf.DUMMYFUNCTION(""""""""" &amp; REGEXEXTRACT(B74, ""/detail/([^/?]+)"") &amp; """""","""),"""mfedioikeigljhjfpghdejnogniddhna"",")</f>
        <v>"mfedioikeigljhjfpghdejnogniddhna",</v>
      </c>
    </row>
    <row r="75">
      <c r="A75" s="4" t="s">
        <v>19256</v>
      </c>
      <c r="B75" s="4" t="s">
        <v>126</v>
      </c>
      <c r="C75" s="16" t="str">
        <f>IFERROR(__xludf.DUMMYFUNCTION(""""""""" &amp; REGEXEXTRACT(B75, ""/detail/([^/?]+)"") &amp; """""","""),"""nijejdnikeoaldbcboagjlibadkabiae"",")</f>
        <v>"nijejdnikeoaldbcboagjlibadkabiae",</v>
      </c>
    </row>
    <row r="76">
      <c r="A76" s="4" t="s">
        <v>19257</v>
      </c>
      <c r="B76" s="4" t="s">
        <v>178</v>
      </c>
      <c r="C76" s="16" t="str">
        <f>IFERROR(__xludf.DUMMYFUNCTION(""""""""" &amp; REGEXEXTRACT(B76, ""/detail/([^/?]+)"") &amp; """""","""),"""abjopieldicnknjgiplcjgepeijbealm"",")</f>
        <v>"abjopieldicnknjgiplcjgepeijbealm",</v>
      </c>
    </row>
    <row r="77">
      <c r="A77" s="4" t="s">
        <v>19258</v>
      </c>
      <c r="B77" s="4" t="s">
        <v>180</v>
      </c>
      <c r="C77" s="16" t="str">
        <f>IFERROR(__xludf.DUMMYFUNCTION(""""""""" &amp; REGEXEXTRACT(B77, ""/detail/([^/?]+)"") &amp; """""","""),"""bakpbgckdnepkmkeaiomhmfcnejndkbi"",")</f>
        <v>"bakpbgckdnepkmkeaiomhmfcnejndkbi",</v>
      </c>
    </row>
    <row r="78">
      <c r="A78" s="4" t="s">
        <v>19259</v>
      </c>
      <c r="B78" s="4" t="s">
        <v>19260</v>
      </c>
      <c r="C78" s="16" t="str">
        <f>IFERROR(__xludf.DUMMYFUNCTION(""""""""" &amp; REGEXEXTRACT(B78, ""/detail/([^/?]+)"") &amp; """""","""),"""bfegaehidkkcfaikpaijcdahnpikhobf"",")</f>
        <v>"bfegaehidkkcfaikpaijcdahnpikhobf",</v>
      </c>
    </row>
    <row r="79">
      <c r="A79" s="4" t="s">
        <v>19261</v>
      </c>
      <c r="B79" s="4" t="s">
        <v>182</v>
      </c>
      <c r="C79" s="16" t="str">
        <f>IFERROR(__xludf.DUMMYFUNCTION(""""""""" &amp; REGEXEXTRACT(B79, ""/detail/([^/?]+)"") &amp; """""","""),"""bgopeekkgpfombjklfdiakchdnhjafij"",")</f>
        <v>"bgopeekkgpfombjklfdiakchdnhjafij",</v>
      </c>
    </row>
    <row r="80">
      <c r="A80" s="4" t="s">
        <v>19262</v>
      </c>
      <c r="B80" s="4" t="s">
        <v>184</v>
      </c>
      <c r="C80" s="16" t="str">
        <f>IFERROR(__xludf.DUMMYFUNCTION(""""""""" &amp; REGEXEXTRACT(B80, ""/detail/([^/?]+)"") &amp; """""","""),"""cfohepagpmnodfdmjliccbbigdkfcgia"",")</f>
        <v>"cfohepagpmnodfdmjliccbbigdkfcgia",</v>
      </c>
    </row>
    <row r="81">
      <c r="A81" s="4" t="s">
        <v>19263</v>
      </c>
      <c r="B81" s="4" t="s">
        <v>186</v>
      </c>
      <c r="C81" s="16" t="str">
        <f>IFERROR(__xludf.DUMMYFUNCTION(""""""""" &amp; REGEXEXTRACT(B81, ""/detail/([^/?]+)"") &amp; """""","""),"""cgjnhhjpfcdhbhlcmmjppicjmgfkppok"",")</f>
        <v>"cgjnhhjpfcdhbhlcmmjppicjmgfkppok",</v>
      </c>
    </row>
    <row r="82">
      <c r="A82" s="4" t="s">
        <v>19264</v>
      </c>
      <c r="B82" s="4" t="s">
        <v>188</v>
      </c>
      <c r="C82" s="16" t="str">
        <f>IFERROR(__xludf.DUMMYFUNCTION(""""""""" &amp; REGEXEXTRACT(B82, ""/detail/([^/?]+)"") &amp; """""","""),"""dgpgholdldjjbcmpeckiephjigdpikan"",")</f>
        <v>"dgpgholdldjjbcmpeckiephjigdpikan",</v>
      </c>
    </row>
    <row r="83">
      <c r="A83" s="4" t="s">
        <v>19265</v>
      </c>
      <c r="B83" s="4" t="s">
        <v>190</v>
      </c>
      <c r="C83" s="16" t="str">
        <f>IFERROR(__xludf.DUMMYFUNCTION(""""""""" &amp; REGEXEXTRACT(B83, ""/detail/([^/?]+)"") &amp; """""","""),"""djcfdncoelnlbldjfhinnjlhdjlikmph"",")</f>
        <v>"djcfdncoelnlbldjfhinnjlhdjlikmph",</v>
      </c>
    </row>
    <row r="84">
      <c r="A84" s="4" t="s">
        <v>19266</v>
      </c>
      <c r="B84" s="4" t="s">
        <v>192</v>
      </c>
      <c r="C84" s="16" t="str">
        <f>IFERROR(__xludf.DUMMYFUNCTION(""""""""" &amp; REGEXEXTRACT(B84, ""/detail/([^/?]+)"") &amp; """""","""),"""djdmadneanknadilpjiknlnanaolmbfk"",")</f>
        <v>"djdmadneanknadilpjiknlnanaolmbfk",</v>
      </c>
    </row>
    <row r="85">
      <c r="A85" s="4" t="s">
        <v>19267</v>
      </c>
      <c r="B85" s="4" t="s">
        <v>19268</v>
      </c>
      <c r="C85" s="16" t="str">
        <f>IFERROR(__xludf.DUMMYFUNCTION(""""""""" &amp; REGEXEXTRACT(B85, ""/detail/([^/?]+)"") &amp; """""","""),"""fakegmdomhmegokfomgmkbopjibonfcp"",")</f>
        <v>"fakegmdomhmegokfomgmkbopjibonfcp",</v>
      </c>
    </row>
    <row r="86">
      <c r="A86" s="4" t="s">
        <v>19269</v>
      </c>
      <c r="B86" s="4" t="s">
        <v>194</v>
      </c>
      <c r="C86" s="16" t="str">
        <f>IFERROR(__xludf.DUMMYFUNCTION(""""""""" &amp; REGEXEXTRACT(B86, ""/detail/([^/?]+)"") &amp; """""","""),"""fdffijlhedcdiblbingmagmdnokokgbi"",")</f>
        <v>"fdffijlhedcdiblbingmagmdnokokgbi",</v>
      </c>
    </row>
    <row r="87">
      <c r="A87" s="4" t="s">
        <v>19270</v>
      </c>
      <c r="B87" s="4" t="s">
        <v>196</v>
      </c>
      <c r="C87" s="16" t="str">
        <f>IFERROR(__xludf.DUMMYFUNCTION(""""""""" &amp; REGEXEXTRACT(B87, ""/detail/([^/?]+)"") &amp; """""","""),"""ffmglcfbbhidemlkdgbpdcadbmdffgbc"",")</f>
        <v>"ffmglcfbbhidemlkdgbpdcadbmdffgbc",</v>
      </c>
    </row>
    <row r="88">
      <c r="A88" s="4" t="s">
        <v>19271</v>
      </c>
      <c r="B88" s="4" t="s">
        <v>150</v>
      </c>
      <c r="C88" s="16" t="str">
        <f>IFERROR(__xludf.DUMMYFUNCTION(""""""""" &amp; REGEXEXTRACT(B88, ""/detail/([^/?]+)"") &amp; """""","""),"""fljalecfjciodhpcledpamjachpmelml"",")</f>
        <v>"fljalecfjciodhpcledpamjachpmelml",</v>
      </c>
    </row>
    <row r="89">
      <c r="A89" s="4" t="s">
        <v>19272</v>
      </c>
      <c r="B89" s="4" t="s">
        <v>152</v>
      </c>
      <c r="C89" s="16" t="str">
        <f>IFERROR(__xludf.DUMMYFUNCTION(""""""""" &amp; REGEXEXTRACT(B89, ""/detail/([^/?]+)"") &amp; """""","""),"""gefpceefdmmojbgmfmnkeanmpclobjgj"",")</f>
        <v>"gefpceefdmmojbgmfmnkeanmpclobjgj",</v>
      </c>
    </row>
    <row r="90">
      <c r="A90" s="4" t="s">
        <v>19273</v>
      </c>
      <c r="B90" s="4" t="s">
        <v>198</v>
      </c>
      <c r="C90" s="16" t="str">
        <f>IFERROR(__xludf.DUMMYFUNCTION(""""""""" &amp; REGEXEXTRACT(B90, ""/detail/([^/?]+)"") &amp; """""","""),"""gfjopfpjmkcfgjpogepmdjmcnihfpokn"",")</f>
        <v>"gfjopfpjmkcfgjpogepmdjmcnihfpokn",</v>
      </c>
    </row>
    <row r="91">
      <c r="A91" s="4" t="s">
        <v>19274</v>
      </c>
      <c r="B91" s="4" t="s">
        <v>200</v>
      </c>
      <c r="C91" s="16" t="str">
        <f>IFERROR(__xludf.DUMMYFUNCTION(""""""""" &amp; REGEXEXTRACT(B91, ""/detail/([^/?]+)"") &amp; """""","""),"""hgimnogjllphhhkhlmebbmlgjoejdpjl"",")</f>
        <v>"hgimnogjllphhhkhlmebbmlgjoejdpjl",</v>
      </c>
    </row>
    <row r="92">
      <c r="A92" s="4" t="s">
        <v>19275</v>
      </c>
      <c r="B92" s="4" t="s">
        <v>202</v>
      </c>
      <c r="C92" s="16" t="str">
        <f>IFERROR(__xludf.DUMMYFUNCTION(""""""""" &amp; REGEXEXTRACT(B92, ""/detail/([^/?]+)"") &amp; """""","""),"""hnmdigodnlhofkojgehfeefbnmfnaodk"",")</f>
        <v>"hnmdigodnlhofkojgehfeefbnmfnaodk",</v>
      </c>
    </row>
    <row r="93">
      <c r="A93" s="4" t="s">
        <v>19276</v>
      </c>
      <c r="B93" s="4" t="s">
        <v>154</v>
      </c>
      <c r="C93" s="16" t="str">
        <f>IFERROR(__xludf.DUMMYFUNCTION(""""""""" &amp; REGEXEXTRACT(B93, ""/detail/([^/?]+)"") &amp; """""","""),"""jfbadlndcminbkfojhlimnkgaackjmdo"",")</f>
        <v>"jfbadlndcminbkfojhlimnkgaackjmdo",</v>
      </c>
    </row>
    <row r="94">
      <c r="A94" s="4" t="s">
        <v>19277</v>
      </c>
      <c r="B94" s="4" t="s">
        <v>204</v>
      </c>
      <c r="C94" s="16" t="str">
        <f>IFERROR(__xludf.DUMMYFUNCTION(""""""""" &amp; REGEXEXTRACT(B94, ""/detail/([^/?]+)"") &amp; """""","""),"""jfchnphgogjhineanplmfkofljiagjfb"",")</f>
        <v>"jfchnphgogjhineanplmfkofljiagjfb",</v>
      </c>
    </row>
    <row r="95">
      <c r="A95" s="4" t="s">
        <v>19278</v>
      </c>
      <c r="B95" s="4" t="s">
        <v>206</v>
      </c>
      <c r="C95" s="16" t="str">
        <f>IFERROR(__xludf.DUMMYFUNCTION(""""""""" &amp; REGEXEXTRACT(B95, ""/detail/([^/?]+)"") &amp; """""","""),"""jjckigopagkhaikodedjnmbccfpnmiea"",")</f>
        <v>"jjckigopagkhaikodedjnmbccfpnmiea",</v>
      </c>
    </row>
    <row r="96">
      <c r="A96" s="4" t="s">
        <v>19279</v>
      </c>
      <c r="B96" s="4" t="s">
        <v>156</v>
      </c>
      <c r="C96" s="16" t="str">
        <f>IFERROR(__xludf.DUMMYFUNCTION(""""""""" &amp; REGEXEXTRACT(B96, ""/detail/([^/?]+)"") &amp; """""","""),"""kbpnbonnhilfdihhodnflcplajklibbc"",")</f>
        <v>"kbpnbonnhilfdihhodnflcplajklibbc",</v>
      </c>
    </row>
    <row r="97">
      <c r="A97" s="4" t="s">
        <v>19280</v>
      </c>
      <c r="B97" s="4" t="s">
        <v>208</v>
      </c>
      <c r="C97" s="16" t="str">
        <f>IFERROR(__xludf.DUMMYFUNCTION(""""""""" &amp; REGEXEXTRACT(B97, ""/detail/([^/?]+)"") &amp; """""","""),"""lfpjkncokllnfokkgpkobnkbkmelfefj"",")</f>
        <v>"lfpjkncokllnfokkgpkobnkbkmelfefj",</v>
      </c>
    </row>
    <row r="98">
      <c r="A98" s="4" t="s">
        <v>19281</v>
      </c>
      <c r="B98" s="4" t="s">
        <v>210</v>
      </c>
      <c r="C98" s="16" t="str">
        <f>IFERROR(__xludf.DUMMYFUNCTION(""""""""" &amp; REGEXEXTRACT(B98, ""/detail/([^/?]+)"") &amp; """""","""),"""lojgmehidjdhhbmpjfamhpkpodfcodef"",")</f>
        <v>"lojgmehidjdhhbmpjfamhpkpodfcodef",</v>
      </c>
    </row>
    <row r="99">
      <c r="A99" s="4" t="s">
        <v>19282</v>
      </c>
      <c r="B99" s="4" t="s">
        <v>212</v>
      </c>
      <c r="C99" s="16" t="str">
        <f>IFERROR(__xludf.DUMMYFUNCTION(""""""""" &amp; REGEXEXTRACT(B99, ""/detail/([^/?]+)"") &amp; """""","""),"""meajfmicibjppdgbjfkpdikfjcflabpk"",")</f>
        <v>"meajfmicibjppdgbjfkpdikfjcflabpk",</v>
      </c>
    </row>
    <row r="100">
      <c r="A100" s="4" t="s">
        <v>19283</v>
      </c>
      <c r="B100" s="4" t="s">
        <v>214</v>
      </c>
      <c r="C100" s="16" t="str">
        <f>IFERROR(__xludf.DUMMYFUNCTION(""""""""" &amp; REGEXEXTRACT(B100, ""/detail/([^/?]+)"") &amp; """""","""),"""megbklhjamjbcafknkgmokldgolkdfig"",")</f>
        <v>"megbklhjamjbcafknkgmokldgolkdfig",</v>
      </c>
    </row>
    <row r="101">
      <c r="A101" s="4" t="s">
        <v>19284</v>
      </c>
      <c r="B101" s="4" t="s">
        <v>216</v>
      </c>
      <c r="C101" s="16" t="str">
        <f>IFERROR(__xludf.DUMMYFUNCTION(""""""""" &amp; REGEXEXTRACT(B101, ""/detail/([^/?]+)"") &amp; """""","""),"""mjdepdfccjgcndkmemponafgioodelna"",")</f>
        <v>"mjdepdfccjgcndkmemponafgioodelna",</v>
      </c>
    </row>
    <row r="102">
      <c r="A102" s="4" t="s">
        <v>19285</v>
      </c>
      <c r="B102" s="4" t="s">
        <v>218</v>
      </c>
      <c r="C102" s="16" t="str">
        <f>IFERROR(__xludf.DUMMYFUNCTION(""""""""" &amp; REGEXEXTRACT(B102, ""/detail/([^/?]+)"") &amp; """""","""),"""molncoemjfmpgdkbdlbjmhlcgniigdnf"",")</f>
        <v>"molncoemjfmpgdkbdlbjmhlcgniigdnf",</v>
      </c>
    </row>
    <row r="103">
      <c r="A103" s="4" t="s">
        <v>19286</v>
      </c>
      <c r="B103" s="4" t="s">
        <v>220</v>
      </c>
      <c r="C103" s="16" t="str">
        <f>IFERROR(__xludf.DUMMYFUNCTION(""""""""" &amp; REGEXEXTRACT(B103, ""/detail/([^/?]+)"") &amp; """""","""),"""nhkoenoennbjnibepkjdheodiaojdgpk"",")</f>
        <v>"nhkoenoennbjnibepkjdheodiaojdgpk",</v>
      </c>
    </row>
    <row r="104">
      <c r="A104" s="4" t="s">
        <v>19287</v>
      </c>
      <c r="B104" s="4" t="s">
        <v>158</v>
      </c>
      <c r="C104" s="16" t="str">
        <f>IFERROR(__xludf.DUMMYFUNCTION(""""""""" &amp; REGEXEXTRACT(B104, ""/detail/([^/?]+)"") &amp; """""","""),"""nlhjgcligpbnjphflfdbmabbmjidnmek"",")</f>
        <v>"nlhjgcligpbnjphflfdbmabbmjidnmek",</v>
      </c>
    </row>
    <row r="105">
      <c r="A105" s="4" t="s">
        <v>19288</v>
      </c>
      <c r="B105" s="4" t="s">
        <v>160</v>
      </c>
      <c r="C105" s="16" t="str">
        <f>IFERROR(__xludf.DUMMYFUNCTION(""""""""" &amp; REGEXEXTRACT(B105, ""/detail/([^/?]+)"") &amp; """""","""),"""nljkibfhlpcnanjgbnlnbjecgicbjkge"",")</f>
        <v>"nljkibfhlpcnanjgbnlnbjecgicbjkge",</v>
      </c>
    </row>
    <row r="106">
      <c r="A106" s="4" t="s">
        <v>19289</v>
      </c>
      <c r="B106" s="4" t="s">
        <v>162</v>
      </c>
      <c r="C106" s="16" t="str">
        <f>IFERROR(__xludf.DUMMYFUNCTION(""""""""" &amp; REGEXEXTRACT(B106, ""/detail/([^/?]+)"") &amp; """""","""),"""odlpjhnipdekfkdkadoecooboghijleh"",")</f>
        <v>"odlpjhnipdekfkdkadoecooboghijleh",</v>
      </c>
    </row>
    <row r="107">
      <c r="A107" s="4" t="s">
        <v>19290</v>
      </c>
      <c r="B107" s="4" t="s">
        <v>164</v>
      </c>
      <c r="C107" s="16" t="str">
        <f>IFERROR(__xludf.DUMMYFUNCTION(""""""""" &amp; REGEXEXTRACT(B107, ""/detail/([^/?]+)"") &amp; """""","""),"""ofhbbkphhbklhfoeikjpcbhemlocgigb"",")</f>
        <v>"ofhbbkphhbklhfoeikjpcbhemlocgigb",</v>
      </c>
    </row>
    <row r="108">
      <c r="A108" s="4" t="s">
        <v>19291</v>
      </c>
      <c r="B108" s="4" t="s">
        <v>166</v>
      </c>
      <c r="C108" s="16" t="str">
        <f>IFERROR(__xludf.DUMMYFUNCTION(""""""""" &amp; REGEXEXTRACT(B108, ""/detail/([^/?]+)"") &amp; """""","""),"""pccckmaobkjjboncdfnnofkonhgpceea"",")</f>
        <v>"pccckmaobkjjboncdfnnofkonhgpceea",</v>
      </c>
    </row>
    <row r="109">
      <c r="A109" s="4" t="s">
        <v>19292</v>
      </c>
      <c r="B109" s="4" t="s">
        <v>168</v>
      </c>
      <c r="C109" s="16" t="str">
        <f>IFERROR(__xludf.DUMMYFUNCTION(""""""""" &amp; REGEXEXTRACT(B109, ""/detail/([^/?]+)"") &amp; """""","""),"""pggchepbleikpkhffahfabfeodghbafd"",")</f>
        <v>"pggchepbleikpkhffahfabfeodghbafd",</v>
      </c>
    </row>
    <row r="110">
      <c r="A110" s="4" t="s">
        <v>19293</v>
      </c>
      <c r="B110" s="4" t="s">
        <v>170</v>
      </c>
      <c r="C110" s="16" t="str">
        <f>IFERROR(__xludf.DUMMYFUNCTION(""""""""" &amp; REGEXEXTRACT(B110, ""/detail/([^/?]+)"") &amp; """""","""),"""pgjchkcfmigkkhedgjedmffdepgmpfil"",")</f>
        <v>"pgjchkcfmigkkhedgjedmffdepgmpfil",</v>
      </c>
    </row>
    <row r="111">
      <c r="A111" s="4" t="s">
        <v>19294</v>
      </c>
      <c r="B111" s="4" t="s">
        <v>172</v>
      </c>
      <c r="C111" s="16" t="str">
        <f>IFERROR(__xludf.DUMMYFUNCTION(""""""""" &amp; REGEXEXTRACT(B111, ""/detail/([^/?]+)"") &amp; """""","""),"""pjhnilfooknlkdonmjnleaomamfehkli"",")</f>
        <v>"pjhnilfooknlkdonmjnleaomamfehkli",</v>
      </c>
    </row>
    <row r="112">
      <c r="A112" s="4" t="s">
        <v>19295</v>
      </c>
      <c r="B112" s="4" t="s">
        <v>174</v>
      </c>
      <c r="C112" s="16" t="str">
        <f>IFERROR(__xludf.DUMMYFUNCTION(""""""""" &amp; REGEXEXTRACT(B112, ""/detail/([^/?]+)"") &amp; """""","""),"""pnhechapfaindjhompbnflcldabbghjo"",")</f>
        <v>"pnhechapfaindjhompbnflcldabbghjo",</v>
      </c>
    </row>
    <row r="113">
      <c r="A113" s="4" t="s">
        <v>19296</v>
      </c>
      <c r="B113" s="4" t="s">
        <v>222</v>
      </c>
      <c r="C113" s="16" t="str">
        <f>IFERROR(__xludf.DUMMYFUNCTION(""""""""" &amp; REGEXEXTRACT(B113, ""/detail/([^/?]+)"") &amp; """""","""),"""aakchaleigkohafkfjfjbblobjifikek"",")</f>
        <v>"aakchaleigkohafkfjfjbblobjifikek",</v>
      </c>
    </row>
    <row r="114">
      <c r="A114" s="4" t="s">
        <v>19297</v>
      </c>
      <c r="B114" s="4" t="s">
        <v>224</v>
      </c>
      <c r="C114" s="16" t="str">
        <f>IFERROR(__xludf.DUMMYFUNCTION(""""""""" &amp; REGEXEXTRACT(B114, ""/detail/([^/?]+)"") &amp; """""","""),"""amaaokahonnfjjemodnpmeenfpnnbkco"",")</f>
        <v>"amaaokahonnfjjemodnpmeenfpnnbkco",</v>
      </c>
    </row>
    <row r="115">
      <c r="A115" s="4" t="s">
        <v>19298</v>
      </c>
      <c r="B115" s="4" t="s">
        <v>226</v>
      </c>
      <c r="C115" s="16" t="str">
        <f>IFERROR(__xludf.DUMMYFUNCTION(""""""""" &amp; REGEXEXTRACT(B115, ""/detail/([^/?]+)"") &amp; """""","""),"""apfkepiiddolifkgjmfdgpnipgnfejab"",")</f>
        <v>"apfkepiiddolifkgjmfdgpnipgnfejab",</v>
      </c>
    </row>
    <row r="116">
      <c r="A116" s="4" t="s">
        <v>19299</v>
      </c>
      <c r="B116" s="4" t="s">
        <v>228</v>
      </c>
      <c r="C116" s="16" t="str">
        <f>IFERROR(__xludf.DUMMYFUNCTION(""""""""" &amp; REGEXEXTRACT(B116, ""/detail/([^/?]+)"") &amp; """""","""),"""baocaagndhipibgklemoalmkljaimfdj"",")</f>
        <v>"baocaagndhipibgklemoalmkljaimfdj",</v>
      </c>
    </row>
    <row r="117">
      <c r="A117" s="4" t="s">
        <v>19300</v>
      </c>
      <c r="B117" s="4" t="s">
        <v>230</v>
      </c>
      <c r="C117" s="16" t="str">
        <f>IFERROR(__xludf.DUMMYFUNCTION(""""""""" &amp; REGEXEXTRACT(B117, ""/detail/([^/?]+)"") &amp; """""","""),"""bfbckhhmjfnmedpakkaaflpnmkamdppf"",")</f>
        <v>"bfbckhhmjfnmedpakkaaflpnmkamdppf",</v>
      </c>
    </row>
    <row r="118">
      <c r="A118" s="4" t="s">
        <v>19301</v>
      </c>
      <c r="B118" s="4" t="s">
        <v>232</v>
      </c>
      <c r="C118" s="16" t="str">
        <f>IFERROR(__xludf.DUMMYFUNCTION(""""""""" &amp; REGEXEXTRACT(B118, ""/detail/([^/?]+)"") &amp; """""","""),"""difcjdggkffcfgcfconafogflmmaadco"",")</f>
        <v>"difcjdggkffcfgcfconafogflmmaadco",</v>
      </c>
    </row>
    <row r="119">
      <c r="A119" s="4" t="s">
        <v>19302</v>
      </c>
      <c r="B119" s="4" t="s">
        <v>234</v>
      </c>
      <c r="C119" s="16" t="str">
        <f>IFERROR(__xludf.DUMMYFUNCTION(""""""""" &amp; REGEXEXTRACT(B119, ""/detail/([^/?]+)"") &amp; """""","""),"""djnhkfljnimcpelfndpcjcgngmefaobl"",")</f>
        <v>"djnhkfljnimcpelfndpcjcgngmefaobl",</v>
      </c>
    </row>
    <row r="120">
      <c r="A120" s="4" t="s">
        <v>19303</v>
      </c>
      <c r="B120" s="4" t="s">
        <v>236</v>
      </c>
      <c r="C120" s="16" t="str">
        <f>IFERROR(__xludf.DUMMYFUNCTION(""""""""" &amp; REGEXEXTRACT(B120, ""/detail/([^/?]+)"") &amp; """""","""),"""djonnbgfieijldcieafgjcnhmpcfpmgg"",")</f>
        <v>"djonnbgfieijldcieafgjcnhmpcfpmgg",</v>
      </c>
    </row>
    <row r="121">
      <c r="A121" s="4" t="s">
        <v>19304</v>
      </c>
      <c r="B121" s="4" t="s">
        <v>238</v>
      </c>
      <c r="C121" s="16" t="str">
        <f>IFERROR(__xludf.DUMMYFUNCTION(""""""""" &amp; REGEXEXTRACT(B121, ""/detail/([^/?]+)"") &amp; """""","""),"""dlknooajieciikpedpldejhhijacnbda"",")</f>
        <v>"dlknooajieciikpedpldejhhijacnbda",</v>
      </c>
    </row>
    <row r="122">
      <c r="A122" s="4" t="s">
        <v>19305</v>
      </c>
      <c r="B122" s="4" t="s">
        <v>240</v>
      </c>
      <c r="C122" s="16" t="str">
        <f>IFERROR(__xludf.DUMMYFUNCTION(""""""""" &amp; REGEXEXTRACT(B122, ""/detail/([^/?]+)"") &amp; """""","""),"""dlombpffcodogboaljnamhpphpdkjdam"",")</f>
        <v>"dlombpffcodogboaljnamhpphpdkjdam",</v>
      </c>
    </row>
    <row r="123">
      <c r="A123" s="4" t="s">
        <v>19306</v>
      </c>
      <c r="B123" s="4" t="s">
        <v>242</v>
      </c>
      <c r="C123" s="16" t="str">
        <f>IFERROR(__xludf.DUMMYFUNCTION(""""""""" &amp; REGEXEXTRACT(B123, ""/detail/([^/?]+)"") &amp; """""","""),"""eadndfjplgieldjbigjakmdgkmoaaaoc"",")</f>
        <v>"eadndfjplgieldjbigjakmdgkmoaaaoc",</v>
      </c>
    </row>
    <row r="124">
      <c r="A124" s="4" t="s">
        <v>19307</v>
      </c>
      <c r="B124" s="4" t="s">
        <v>244</v>
      </c>
      <c r="C124" s="16" t="str">
        <f>IFERROR(__xludf.DUMMYFUNCTION(""""""""" &amp; REGEXEXTRACT(B124, ""/detail/([^/?]+)"") &amp; """""","""),"""eekbbmglbfldjpgbmajenafphnfjonnc"",")</f>
        <v>"eekbbmglbfldjpgbmajenafphnfjonnc",</v>
      </c>
    </row>
    <row r="125">
      <c r="A125" s="4" t="s">
        <v>19308</v>
      </c>
      <c r="B125" s="4" t="s">
        <v>246</v>
      </c>
      <c r="C125" s="16" t="str">
        <f>IFERROR(__xludf.DUMMYFUNCTION(""""""""" &amp; REGEXEXTRACT(B125, ""/detail/([^/?]+)"") &amp; """""","""),"""emnphkkblegpebimobpbekeedfgemhof"",")</f>
        <v>"emnphkkblegpebimobpbekeedfgemhof",</v>
      </c>
    </row>
    <row r="126">
      <c r="A126" s="4" t="s">
        <v>19309</v>
      </c>
      <c r="B126" s="4" t="s">
        <v>248</v>
      </c>
      <c r="C126" s="16" t="str">
        <f>IFERROR(__xludf.DUMMYFUNCTION(""""""""" &amp; REGEXEXTRACT(B126, ""/detail/([^/?]+)"") &amp; """""","""),"""eningockdidmgiojffjmkdblpjocbhgh"",")</f>
        <v>"eningockdidmgiojffjmkdblpjocbhgh",</v>
      </c>
    </row>
    <row r="127">
      <c r="A127" s="4" t="s">
        <v>19310</v>
      </c>
      <c r="B127" s="4" t="s">
        <v>250</v>
      </c>
      <c r="C127" s="16" t="str">
        <f>IFERROR(__xludf.DUMMYFUNCTION(""""""""" &amp; REGEXEXTRACT(B127, ""/detail/([^/?]+)"") &amp; """""","""),"""ffbhefmlcoihbjcmibbfkocmnaiacinp"",")</f>
        <v>"ffbhefmlcoihbjcmibbfkocmnaiacinp",</v>
      </c>
    </row>
    <row r="128">
      <c r="A128" s="4" t="s">
        <v>19311</v>
      </c>
      <c r="B128" s="4" t="s">
        <v>252</v>
      </c>
      <c r="C128" s="16" t="str">
        <f>IFERROR(__xludf.DUMMYFUNCTION(""""""""" &amp; REGEXEXTRACT(B128, ""/detail/([^/?]+)"") &amp; """""","""),"""fjdmkanbdloodhegphphhklnjfngoffa"",")</f>
        <v>"fjdmkanbdloodhegphphhklnjfngoffa",</v>
      </c>
    </row>
    <row r="129">
      <c r="A129" s="4" t="s">
        <v>19312</v>
      </c>
      <c r="B129" s="4" t="s">
        <v>254</v>
      </c>
      <c r="C129" s="16" t="str">
        <f>IFERROR(__xludf.DUMMYFUNCTION(""""""""" &amp; REGEXEXTRACT(B129, ""/detail/([^/?]+)"") &amp; """""","""),"""fkiljfkkceaopbpfgfmjdnkiejaifkgd"",")</f>
        <v>"fkiljfkkceaopbpfgfmjdnkiejaifkgd",</v>
      </c>
    </row>
    <row r="130">
      <c r="A130" s="4" t="s">
        <v>19313</v>
      </c>
      <c r="B130" s="4" t="s">
        <v>256</v>
      </c>
      <c r="C130" s="16" t="str">
        <f>IFERROR(__xludf.DUMMYFUNCTION(""""""""" &amp; REGEXEXTRACT(B130, ""/detail/([^/?]+)"") &amp; """""","""),"""fnplhdldnhaodknidfddmkfdhlhjihpd"",")</f>
        <v>"fnplhdldnhaodknidfddmkfdhlhjihpd",</v>
      </c>
    </row>
    <row r="131">
      <c r="A131" s="4" t="s">
        <v>19314</v>
      </c>
      <c r="B131" s="4" t="s">
        <v>258</v>
      </c>
      <c r="C131" s="16" t="str">
        <f>IFERROR(__xludf.DUMMYFUNCTION(""""""""" &amp; REGEXEXTRACT(B131, ""/detail/([^/?]+)"") &amp; """""","""),"""gamlckmepdclkglolaedeigblmmpmfhf"",")</f>
        <v>"gamlckmepdclkglolaedeigblmmpmfhf",</v>
      </c>
    </row>
    <row r="132">
      <c r="A132" s="4" t="s">
        <v>19315</v>
      </c>
      <c r="B132" s="4" t="s">
        <v>260</v>
      </c>
      <c r="C132" s="16" t="str">
        <f>IFERROR(__xludf.DUMMYFUNCTION(""""""""" &amp; REGEXEXTRACT(B132, ""/detail/([^/?]+)"") &amp; """""","""),"""gcjpefhffmcgplgklffgbebganmhffje"",")</f>
        <v>"gcjpefhffmcgplgklffgbebganmhffje",</v>
      </c>
    </row>
    <row r="133">
      <c r="A133" s="4" t="s">
        <v>19316</v>
      </c>
      <c r="B133" s="4" t="s">
        <v>262</v>
      </c>
      <c r="C133" s="16" t="str">
        <f>IFERROR(__xludf.DUMMYFUNCTION(""""""""" &amp; REGEXEXTRACT(B133, ""/detail/([^/?]+)"") &amp; """""","""),"""ggfgijbpiheegefliciemofobhmofgce"",")</f>
        <v>"ggfgijbpiheegefliciemofobhmofgce",</v>
      </c>
    </row>
    <row r="134">
      <c r="A134" s="4" t="s">
        <v>19317</v>
      </c>
      <c r="B134" s="4" t="s">
        <v>264</v>
      </c>
      <c r="C134" s="16" t="str">
        <f>IFERROR(__xludf.DUMMYFUNCTION(""""""""" &amp; REGEXEXTRACT(B134, ""/detail/([^/?]+)"") &amp; """""","""),"""gjedkhmeelbomjafdlehdcomjhobcnbk"",")</f>
        <v>"gjedkhmeelbomjafdlehdcomjhobcnbk",</v>
      </c>
    </row>
    <row r="135">
      <c r="A135" s="4" t="s">
        <v>19318</v>
      </c>
      <c r="B135" s="4" t="s">
        <v>266</v>
      </c>
      <c r="C135" s="16" t="str">
        <f>IFERROR(__xludf.DUMMYFUNCTION(""""""""" &amp; REGEXEXTRACT(B135, ""/detail/([^/?]+)"") &amp; """""","""),"""glgomjpomoahpeekneidkinhcfjnnhmb"",")</f>
        <v>"glgomjpomoahpeekneidkinhcfjnnhmb",</v>
      </c>
    </row>
    <row r="136">
      <c r="A136" s="4" t="s">
        <v>19319</v>
      </c>
      <c r="B136" s="4" t="s">
        <v>268</v>
      </c>
      <c r="C136" s="16" t="str">
        <f>IFERROR(__xludf.DUMMYFUNCTION(""""""""" &amp; REGEXEXTRACT(B136, ""/detail/([^/?]+)"") &amp; """""","""),"""gokgophibdidjjpildcdbfpmcahilaaf"",")</f>
        <v>"gokgophibdidjjpildcdbfpmcahilaaf",</v>
      </c>
    </row>
    <row r="137">
      <c r="A137" s="4" t="s">
        <v>19320</v>
      </c>
      <c r="B137" s="4" t="s">
        <v>270</v>
      </c>
      <c r="C137" s="16" t="str">
        <f>IFERROR(__xludf.DUMMYFUNCTION(""""""""" &amp; REGEXEXTRACT(B137, ""/detail/([^/?]+)"") &amp; """""","""),"""hafdlehgocfcodbgjnpecfajgkeejnaa"",")</f>
        <v>"hafdlehgocfcodbgjnpecfajgkeejnaa",</v>
      </c>
    </row>
    <row r="138">
      <c r="A138" s="4" t="s">
        <v>19321</v>
      </c>
      <c r="B138" s="4" t="s">
        <v>272</v>
      </c>
      <c r="C138" s="16" t="str">
        <f>IFERROR(__xludf.DUMMYFUNCTION(""""""""" &amp; REGEXEXTRACT(B138, ""/detail/([^/?]+)"") &amp; """""","""),"""hahkjjkedonglpienpfiganogikkkoii"",")</f>
        <v>"hahkjjkedonglpienpfiganogikkkoii",</v>
      </c>
    </row>
    <row r="139">
      <c r="A139" s="4" t="s">
        <v>19322</v>
      </c>
      <c r="B139" s="4" t="s">
        <v>274</v>
      </c>
      <c r="C139" s="16" t="str">
        <f>IFERROR(__xludf.DUMMYFUNCTION(""""""""" &amp; REGEXEXTRACT(B139, ""/detail/([^/?]+)"") &amp; """""","""),"""hfpmbfgodkfcebpgheiedaddoikmljkk"",")</f>
        <v>"hfpmbfgodkfcebpgheiedaddoikmljkk",</v>
      </c>
    </row>
    <row r="140">
      <c r="A140" s="4" t="s">
        <v>19323</v>
      </c>
      <c r="B140" s="4" t="s">
        <v>276</v>
      </c>
      <c r="C140" s="16" t="str">
        <f>IFERROR(__xludf.DUMMYFUNCTION(""""""""" &amp; REGEXEXTRACT(B140, ""/detail/([^/?]+)"") &amp; """""","""),"""hojmjpdlmjopaeginhldhiokeidchjid"",")</f>
        <v>"hojmjpdlmjopaeginhldhiokeidchjid",</v>
      </c>
    </row>
    <row r="141">
      <c r="A141" s="4" t="s">
        <v>19324</v>
      </c>
      <c r="B141" s="4" t="s">
        <v>278</v>
      </c>
      <c r="C141" s="16" t="str">
        <f>IFERROR(__xludf.DUMMYFUNCTION(""""""""" &amp; REGEXEXTRACT(B141, ""/detail/([^/?]+)"") &amp; """""","""),"""iahnhfdhidomcpggpaimmmahffihkfnj"",")</f>
        <v>"iahnhfdhidomcpggpaimmmahffihkfnj",</v>
      </c>
    </row>
    <row r="142">
      <c r="A142" s="4" t="s">
        <v>19325</v>
      </c>
      <c r="B142" s="4" t="s">
        <v>280</v>
      </c>
      <c r="C142" s="16" t="str">
        <f>IFERROR(__xludf.DUMMYFUNCTION(""""""""" &amp; REGEXEXTRACT(B142, ""/detail/([^/?]+)"") &amp; """""","""),"""ienfdfooajmkbebiaplehejbamefbboi"",")</f>
        <v>"ienfdfooajmkbebiaplehejbamefbboi",</v>
      </c>
    </row>
    <row r="143">
      <c r="A143" s="4" t="s">
        <v>19326</v>
      </c>
      <c r="B143" s="4" t="s">
        <v>282</v>
      </c>
      <c r="C143" s="16" t="str">
        <f>IFERROR(__xludf.DUMMYFUNCTION(""""""""" &amp; REGEXEXTRACT(B143, ""/detail/([^/?]+)"") &amp; """""","""),"""ifipmflagepipjokmbdecpmjbibjnakm"",")</f>
        <v>"ifipmflagepipjokmbdecpmjbibjnakm",</v>
      </c>
    </row>
    <row r="144">
      <c r="A144" s="4" t="s">
        <v>19327</v>
      </c>
      <c r="B144" s="4" t="s">
        <v>284</v>
      </c>
      <c r="C144" s="16" t="str">
        <f>IFERROR(__xludf.DUMMYFUNCTION(""""""""" &amp; REGEXEXTRACT(B144, ""/detail/([^/?]+)"") &amp; """""","""),"""igiofjhpmpihnifddepnpngfjhkfenbp"",")</f>
        <v>"igiofjhpmpihnifddepnpngfjhkfenbp",</v>
      </c>
    </row>
    <row r="145">
      <c r="A145" s="4" t="s">
        <v>19328</v>
      </c>
      <c r="B145" s="4" t="s">
        <v>286</v>
      </c>
      <c r="C145" s="16" t="str">
        <f>IFERROR(__xludf.DUMMYFUNCTION(""""""""" &amp; REGEXEXTRACT(B145, ""/detail/([^/?]+)"") &amp; """""","""),"""ijickplbjolieoligpppakdmfdajmgij"",")</f>
        <v>"ijickplbjolieoligpppakdmfdajmgij",</v>
      </c>
    </row>
    <row r="146">
      <c r="A146" s="4" t="s">
        <v>19329</v>
      </c>
      <c r="B146" s="4" t="s">
        <v>288</v>
      </c>
      <c r="C146" s="16" t="str">
        <f>IFERROR(__xludf.DUMMYFUNCTION(""""""""" &amp; REGEXEXTRACT(B146, ""/detail/([^/?]+)"") &amp; """""","""),"""infppggnoaenmfagbfknfkancpbljcca"",")</f>
        <v>"infppggnoaenmfagbfknfkancpbljcca",</v>
      </c>
    </row>
    <row r="147">
      <c r="A147" s="4" t="s">
        <v>19330</v>
      </c>
      <c r="B147" s="4" t="s">
        <v>290</v>
      </c>
      <c r="C147" s="16" t="str">
        <f>IFERROR(__xludf.DUMMYFUNCTION(""""""""" &amp; REGEXEXTRACT(B147, ""/detail/([^/?]+)"") &amp; """""","""),"""jjpmjccpemllnmgiaojaocgnakpmfgjg"",")</f>
        <v>"jjpmjccpemllnmgiaojaocgnakpmfgjg",</v>
      </c>
    </row>
    <row r="148">
      <c r="A148" s="4" t="s">
        <v>19331</v>
      </c>
      <c r="B148" s="4" t="s">
        <v>292</v>
      </c>
      <c r="C148" s="16" t="str">
        <f>IFERROR(__xludf.DUMMYFUNCTION(""""""""" &amp; REGEXEXTRACT(B148, ""/detail/([^/?]+)"") &amp; """""","""),"""lfhmikememgdcahcdlaciloancbhjino"",")</f>
        <v>"lfhmikememgdcahcdlaciloancbhjino",</v>
      </c>
    </row>
    <row r="149">
      <c r="A149" s="4" t="s">
        <v>19332</v>
      </c>
      <c r="B149" s="4" t="s">
        <v>294</v>
      </c>
      <c r="C149" s="16" t="str">
        <f>IFERROR(__xludf.DUMMYFUNCTION(""""""""" &amp; REGEXEXTRACT(B149, ""/detail/([^/?]+)"") &amp; """""","""),"""licccgnfdlgmmmgaddmbcepikfadcmpe"",")</f>
        <v>"licccgnfdlgmmmgaddmbcepikfadcmpe",</v>
      </c>
    </row>
    <row r="150">
      <c r="A150" s="4" t="s">
        <v>19333</v>
      </c>
      <c r="B150" s="4" t="s">
        <v>296</v>
      </c>
      <c r="C150" s="16" t="str">
        <f>IFERROR(__xludf.DUMMYFUNCTION(""""""""" &amp; REGEXEXTRACT(B150, ""/detail/([^/?]+)"") &amp; """""","""),"""lmaghghbppffhmndhlneljdcikhdckcn"",")</f>
        <v>"lmaghghbppffhmndhlneljdcikhdckcn",</v>
      </c>
    </row>
    <row r="151">
      <c r="A151" s="4" t="s">
        <v>19334</v>
      </c>
      <c r="B151" s="4" t="s">
        <v>298</v>
      </c>
      <c r="C151" s="16" t="str">
        <f>IFERROR(__xludf.DUMMYFUNCTION(""""""""" &amp; REGEXEXTRACT(B151, ""/detail/([^/?]+)"") &amp; """""","""),"""mghabdfikjldejcdcmclcmpcmknjahli"",")</f>
        <v>"mghabdfikjldejcdcmclcmpcmknjahli",</v>
      </c>
    </row>
    <row r="152">
      <c r="A152" s="4" t="s">
        <v>19335</v>
      </c>
      <c r="B152" s="4" t="s">
        <v>300</v>
      </c>
      <c r="C152" s="16" t="str">
        <f>IFERROR(__xludf.DUMMYFUNCTION(""""""""" &amp; REGEXEXTRACT(B152, ""/detail/([^/?]+)"") &amp; """""","""),"""ngmncgebkdchkdokiecifpmodajbaopj"",")</f>
        <v>"ngmncgebkdchkdokiecifpmodajbaopj",</v>
      </c>
    </row>
    <row r="153">
      <c r="A153" s="4" t="s">
        <v>19336</v>
      </c>
      <c r="B153" s="4" t="s">
        <v>302</v>
      </c>
      <c r="C153" s="16" t="str">
        <f>IFERROR(__xludf.DUMMYFUNCTION(""""""""" &amp; REGEXEXTRACT(B153, ""/detail/([^/?]+)"") &amp; """""","""),"""nodkcjollmmjidmcnhloaoahmciabnai"",")</f>
        <v>"nodkcjollmmjidmcnhloaoahmciabnai",</v>
      </c>
    </row>
    <row r="154">
      <c r="A154" s="4" t="s">
        <v>19337</v>
      </c>
      <c r="B154" s="4" t="s">
        <v>304</v>
      </c>
      <c r="C154" s="16" t="str">
        <f>IFERROR(__xludf.DUMMYFUNCTION(""""""""" &amp; REGEXEXTRACT(B154, ""/detail/([^/?]+)"") &amp; """""","""),"""npknlajilknlnfgeihkpdaaeonbdcnia"",")</f>
        <v>"npknlajilknlnfgeihkpdaaeonbdcnia",</v>
      </c>
    </row>
    <row r="155">
      <c r="A155" s="4" t="s">
        <v>19338</v>
      </c>
      <c r="B155" s="4" t="s">
        <v>306</v>
      </c>
      <c r="C155" s="16" t="str">
        <f>IFERROR(__xludf.DUMMYFUNCTION(""""""""" &amp; REGEXEXTRACT(B155, ""/detail/([^/?]+)"") &amp; """""","""),"""ofmpffnppnlgkgmbgidhhjcglloeejpg"",")</f>
        <v>"ofmpffnppnlgkgmbgidhhjcglloeejpg",</v>
      </c>
    </row>
    <row r="156">
      <c r="A156" s="4" t="s">
        <v>19339</v>
      </c>
      <c r="B156" s="4" t="s">
        <v>308</v>
      </c>
      <c r="C156" s="16" t="str">
        <f>IFERROR(__xludf.DUMMYFUNCTION(""""""""" &amp; REGEXEXTRACT(B156, ""/detail/([^/?]+)"") &amp; """""","""),"""ofoeigeaodhbjogdigckajfhjbonaofg"",")</f>
        <v>"ofoeigeaodhbjogdigckajfhjbonaofg",</v>
      </c>
    </row>
    <row r="157">
      <c r="A157" s="4" t="s">
        <v>19340</v>
      </c>
      <c r="B157" s="4" t="s">
        <v>310</v>
      </c>
      <c r="C157" s="16" t="str">
        <f>IFERROR(__xludf.DUMMYFUNCTION(""""""""" &amp; REGEXEXTRACT(B157, ""/detail/([^/?]+)"") &amp; """""","""),"""pjpiknifcdmhabpbikmkhhfgppafidna"",")</f>
        <v>"pjpiknifcdmhabpbikmkhhfgppafidna",</v>
      </c>
    </row>
    <row r="158">
      <c r="A158" s="4" t="s">
        <v>19341</v>
      </c>
      <c r="B158" s="4" t="s">
        <v>312</v>
      </c>
      <c r="C158" s="16" t="str">
        <f>IFERROR(__xludf.DUMMYFUNCTION(""""""""" &amp; REGEXEXTRACT(B158, ""/detail/([^/?]+)"") &amp; """""","""),"""abdkkegmcbiomijcbdaodaflgehfffed"",")</f>
        <v>"abdkkegmcbiomijcbdaodaflgehfffed",</v>
      </c>
    </row>
    <row r="159">
      <c r="A159" s="4" t="s">
        <v>19342</v>
      </c>
      <c r="B159" s="4" t="s">
        <v>314</v>
      </c>
      <c r="C159" s="16" t="str">
        <f>IFERROR(__xludf.DUMMYFUNCTION(""""""""" &amp; REGEXEXTRACT(B159, ""/detail/([^/?]+)"") &amp; """""","""),"""accllpimnoffllpeblphooameaofhnah"",")</f>
        <v>"accllpimnoffllpeblphooameaofhnah",</v>
      </c>
    </row>
    <row r="160">
      <c r="A160" s="4" t="s">
        <v>19343</v>
      </c>
      <c r="B160" s="4" t="s">
        <v>316</v>
      </c>
      <c r="C160" s="16" t="str">
        <f>IFERROR(__xludf.DUMMYFUNCTION(""""""""" &amp; REGEXEXTRACT(B160, ""/detail/([^/?]+)"") &amp; """""","""),"""acgimceffoceigocablmjdpebeodphgc"",")</f>
        <v>"acgimceffoceigocablmjdpebeodphgc",</v>
      </c>
    </row>
    <row r="161">
      <c r="A161" s="4" t="s">
        <v>19344</v>
      </c>
      <c r="B161" s="4" t="s">
        <v>318</v>
      </c>
      <c r="C161" s="16" t="str">
        <f>IFERROR(__xludf.DUMMYFUNCTION(""""""""" &amp; REGEXEXTRACT(B161, ""/detail/([^/?]+)"") &amp; """""","""),"""adepkmleadimefolboaaedghfnnbfpnp"",")</f>
        <v>"adepkmleadimefolboaaedghfnnbfpnp",</v>
      </c>
    </row>
    <row r="162">
      <c r="A162" s="4" t="s">
        <v>19345</v>
      </c>
      <c r="B162" s="4" t="s">
        <v>320</v>
      </c>
      <c r="C162" s="16" t="str">
        <f>IFERROR(__xludf.DUMMYFUNCTION(""""""""" &amp; REGEXEXTRACT(B162, ""/detail/([^/?]+)"") &amp; """""","""),"""aghldgpdpmfhlmlojfpeeepcjdopcmgn"",")</f>
        <v>"aghldgpdpmfhlmlojfpeeepcjdopcmgn",</v>
      </c>
    </row>
    <row r="163">
      <c r="A163" s="4" t="s">
        <v>19346</v>
      </c>
      <c r="B163" s="4" t="s">
        <v>322</v>
      </c>
      <c r="C163" s="16" t="str">
        <f>IFERROR(__xludf.DUMMYFUNCTION(""""""""" &amp; REGEXEXTRACT(B163, ""/detail/([^/?]+)"") &amp; """""","""),"""agkcaldeglaadeknkclfbpdojhhclfej"",")</f>
        <v>"agkcaldeglaadeknkclfbpdojhhclfej",</v>
      </c>
    </row>
    <row r="164">
      <c r="A164" s="4" t="s">
        <v>19347</v>
      </c>
      <c r="B164" s="4" t="s">
        <v>324</v>
      </c>
      <c r="C164" s="16" t="str">
        <f>IFERROR(__xludf.DUMMYFUNCTION(""""""""" &amp; REGEXEXTRACT(B164, ""/detail/([^/?]+)"") &amp; """""","""),"""agpmgihmmmfkbhckmciedmhincdggomo"",")</f>
        <v>"agpmgihmmmfkbhckmciedmhincdggomo",</v>
      </c>
    </row>
    <row r="165">
      <c r="A165" s="4" t="s">
        <v>19348</v>
      </c>
      <c r="B165" s="4" t="s">
        <v>326</v>
      </c>
      <c r="C165" s="16" t="str">
        <f>IFERROR(__xludf.DUMMYFUNCTION(""""""""" &amp; REGEXEXTRACT(B165, ""/detail/([^/?]+)"") &amp; """""","""),"""aiahkbnnpafepcgnhhecilboebmmolnn"",")</f>
        <v>"aiahkbnnpafepcgnhhecilboebmmolnn",</v>
      </c>
    </row>
    <row r="166">
      <c r="A166" s="4" t="s">
        <v>19349</v>
      </c>
      <c r="B166" s="4" t="s">
        <v>328</v>
      </c>
      <c r="C166" s="16" t="str">
        <f>IFERROR(__xludf.DUMMYFUNCTION(""""""""" &amp; REGEXEXTRACT(B166, ""/detail/([^/?]+)"") &amp; """""","""),"""aikbehojjdffmangolfbohjdigfdnepa"",")</f>
        <v>"aikbehojjdffmangolfbohjdigfdnepa",</v>
      </c>
    </row>
    <row r="167">
      <c r="A167" s="4" t="s">
        <v>19350</v>
      </c>
      <c r="B167" s="4" t="s">
        <v>330</v>
      </c>
      <c r="C167" s="16" t="str">
        <f>IFERROR(__xludf.DUMMYFUNCTION(""""""""" &amp; REGEXEXTRACT(B167, ""/detail/([^/?]+)"") &amp; """""","""),"""aleggpabliehgbeagmfhnodcijcmbonb"",")</f>
        <v>"aleggpabliehgbeagmfhnodcijcmbonb",</v>
      </c>
    </row>
    <row r="168">
      <c r="A168" s="4" t="s">
        <v>19351</v>
      </c>
      <c r="B168" s="4" t="s">
        <v>332</v>
      </c>
      <c r="C168" s="16" t="str">
        <f>IFERROR(__xludf.DUMMYFUNCTION(""""""""" &amp; REGEXEXTRACT(B168, ""/detail/([^/?]+)"") &amp; """""","""),"""bcellnicpceplkigjnldelfglfmomhon"",")</f>
        <v>"bcellnicpceplkigjnldelfglfmomhon",</v>
      </c>
    </row>
    <row r="169">
      <c r="A169" s="4" t="s">
        <v>19352</v>
      </c>
      <c r="B169" s="4" t="s">
        <v>334</v>
      </c>
      <c r="C169" s="16" t="str">
        <f>IFERROR(__xludf.DUMMYFUNCTION(""""""""" &amp; REGEXEXTRACT(B169, ""/detail/([^/?]+)"") &amp; """""","""),"""bdakmnplckeopfghnlpocafcepegjeap"",")</f>
        <v>"bdakmnplckeopfghnlpocafcepegjeap",</v>
      </c>
    </row>
    <row r="170">
      <c r="A170" s="4" t="s">
        <v>19353</v>
      </c>
      <c r="B170" s="4" t="s">
        <v>336</v>
      </c>
      <c r="C170" s="16" t="str">
        <f>IFERROR(__xludf.DUMMYFUNCTION(""""""""" &amp; REGEXEXTRACT(B170, ""/detail/([^/?]+)"") &amp; """""","""),"""bdjaekjkckpdknkfncfnaibkabdcgmkg"",")</f>
        <v>"bdjaekjkckpdknkfncfnaibkabdcgmkg",</v>
      </c>
    </row>
    <row r="171">
      <c r="A171" s="4" t="s">
        <v>19354</v>
      </c>
      <c r="B171" s="4" t="s">
        <v>338</v>
      </c>
      <c r="C171" s="16" t="str">
        <f>IFERROR(__xludf.DUMMYFUNCTION(""""""""" &amp; REGEXEXTRACT(B171, ""/detail/([^/?]+)"") &amp; """""","""),"""bebdhgdigjiiamnkcenegafmfjoghafk"",")</f>
        <v>"bebdhgdigjiiamnkcenegafmfjoghafk",</v>
      </c>
    </row>
    <row r="172">
      <c r="A172" s="4" t="s">
        <v>19355</v>
      </c>
      <c r="B172" s="4" t="s">
        <v>340</v>
      </c>
      <c r="C172" s="16" t="str">
        <f>IFERROR(__xludf.DUMMYFUNCTION(""""""""" &amp; REGEXEXTRACT(B172, ""/detail/([^/?]+)"") &amp; """""","""),"""bflolcmnokpcochfhappdfipeficedjf"",")</f>
        <v>"bflolcmnokpcochfhappdfipeficedjf",</v>
      </c>
    </row>
    <row r="173">
      <c r="A173" s="4" t="s">
        <v>19356</v>
      </c>
      <c r="B173" s="4" t="s">
        <v>342</v>
      </c>
      <c r="C173" s="16" t="str">
        <f>IFERROR(__xludf.DUMMYFUNCTION(""""""""" &amp; REGEXEXTRACT(B173, ""/detail/([^/?]+)"") &amp; """""","""),"""bhplkbgoehhhddaoolmakpocnenplmhf"",")</f>
        <v>"bhplkbgoehhhddaoolmakpocnenplmhf",</v>
      </c>
    </row>
    <row r="174">
      <c r="A174" s="4" t="s">
        <v>19357</v>
      </c>
      <c r="B174" s="4" t="s">
        <v>344</v>
      </c>
      <c r="C174" s="16" t="str">
        <f>IFERROR(__xludf.DUMMYFUNCTION(""""""""" &amp; REGEXEXTRACT(B174, ""/detail/([^/?]+)"") &amp; """""","""),"""bkfagmnjmfjalbbaiphoiiafghlknpog"",")</f>
        <v>"bkfagmnjmfjalbbaiphoiiafghlknpog",</v>
      </c>
    </row>
    <row r="175">
      <c r="A175" s="4" t="s">
        <v>19358</v>
      </c>
      <c r="B175" s="4" t="s">
        <v>346</v>
      </c>
      <c r="C175" s="16" t="str">
        <f>IFERROR(__xludf.DUMMYFUNCTION(""""""""" &amp; REGEXEXTRACT(B175, ""/detail/([^/?]+)"") &amp; """""","""),"""bkiiljdcpccihhoigelmohcfkehdnjej"",")</f>
        <v>"bkiiljdcpccihhoigelmohcfkehdnjej",</v>
      </c>
    </row>
    <row r="176">
      <c r="A176" s="4" t="s">
        <v>19359</v>
      </c>
      <c r="B176" s="4" t="s">
        <v>348</v>
      </c>
      <c r="C176" s="16" t="str">
        <f>IFERROR(__xludf.DUMMYFUNCTION(""""""""" &amp; REGEXEXTRACT(B176, ""/detail/([^/?]+)"") &amp; """""","""),"""bocbaocobfecmglnmeaeppambideimao"",")</f>
        <v>"bocbaocobfecmglnmeaeppambideimao",</v>
      </c>
    </row>
    <row r="177">
      <c r="A177" s="4" t="s">
        <v>19360</v>
      </c>
      <c r="B177" s="4" t="s">
        <v>350</v>
      </c>
      <c r="C177" s="16" t="str">
        <f>IFERROR(__xludf.DUMMYFUNCTION(""""""""" &amp; REGEXEXTRACT(B177, ""/detail/([^/?]+)"") &amp; """""","""),"""cankofcoohmbhfpcemhmaaeennfbnmgp"",")</f>
        <v>"cankofcoohmbhfpcemhmaaeennfbnmgp",</v>
      </c>
    </row>
    <row r="178">
      <c r="A178" s="4" t="s">
        <v>19361</v>
      </c>
      <c r="B178" s="4" t="s">
        <v>352</v>
      </c>
      <c r="C178" s="16" t="str">
        <f>IFERROR(__xludf.DUMMYFUNCTION(""""""""" &amp; REGEXEXTRACT(B178, ""/detail/([^/?]+)"") &amp; """""","""),"""cbhdjmlgamciejnfglfejgbgmjdddckh"",")</f>
        <v>"cbhdjmlgamciejnfglfejgbgmjdddckh",</v>
      </c>
    </row>
    <row r="179">
      <c r="A179" s="4" t="s">
        <v>19362</v>
      </c>
      <c r="B179" s="4" t="s">
        <v>354</v>
      </c>
      <c r="C179" s="16" t="str">
        <f>IFERROR(__xludf.DUMMYFUNCTION(""""""""" &amp; REGEXEXTRACT(B179, ""/detail/([^/?]+)"") &amp; """""","""),"""cbnfajeeaebnldmgnodjlkfeomdacjlc"",")</f>
        <v>"cbnfajeeaebnldmgnodjlkfeomdacjlc",</v>
      </c>
    </row>
    <row r="180">
      <c r="A180" s="4" t="s">
        <v>19363</v>
      </c>
      <c r="B180" s="4" t="s">
        <v>356</v>
      </c>
      <c r="C180" s="16" t="str">
        <f>IFERROR(__xludf.DUMMYFUNCTION(""""""""" &amp; REGEXEXTRACT(B180, ""/detail/([^/?]+)"") &amp; """""","""),"""cedbddnnmhgnedpamoenmdkhnpnfbpjb"",")</f>
        <v>"cedbddnnmhgnedpamoenmdkhnpnfbpjb",</v>
      </c>
    </row>
    <row r="181">
      <c r="A181" s="4" t="s">
        <v>19364</v>
      </c>
      <c r="B181" s="4" t="s">
        <v>358</v>
      </c>
      <c r="C181" s="16" t="str">
        <f>IFERROR(__xludf.DUMMYFUNCTION(""""""""" &amp; REGEXEXTRACT(B181, ""/detail/([^/?]+)"") &amp; """""","""),"""cepmakjlanepojocakadfpohnhhalfol"",")</f>
        <v>"cepmakjlanepojocakadfpohnhhalfol",</v>
      </c>
    </row>
    <row r="182">
      <c r="A182" s="4" t="s">
        <v>19365</v>
      </c>
      <c r="B182" s="4" t="s">
        <v>360</v>
      </c>
      <c r="C182" s="16" t="str">
        <f>IFERROR(__xludf.DUMMYFUNCTION(""""""""" &amp; REGEXEXTRACT(B182, ""/detail/([^/?]+)"") &amp; """""","""),"""cledppeceojodgghbbkaciochldmpdfk"",")</f>
        <v>"cledppeceojodgghbbkaciochldmpdfk",</v>
      </c>
    </row>
    <row r="183">
      <c r="A183" s="4" t="s">
        <v>19366</v>
      </c>
      <c r="B183" s="4" t="s">
        <v>362</v>
      </c>
      <c r="C183" s="16" t="str">
        <f>IFERROR(__xludf.DUMMYFUNCTION(""""""""" &amp; REGEXEXTRACT(B183, ""/detail/([^/?]+)"") &amp; """""","""),"""clloobkgbdighillbfomkhjhgeempchd"",")</f>
        <v>"clloobkgbdighillbfomkhjhgeempchd",</v>
      </c>
    </row>
    <row r="184">
      <c r="A184" s="4" t="s">
        <v>19367</v>
      </c>
      <c r="B184" s="4" t="s">
        <v>364</v>
      </c>
      <c r="C184" s="16" t="str">
        <f>IFERROR(__xludf.DUMMYFUNCTION(""""""""" &amp; REGEXEXTRACT(B184, ""/detail/([^/?]+)"") &amp; """""","""),"""cmjihoeplpkmlmbbiiognkceoechmand"",")</f>
        <v>"cmjihoeplpkmlmbbiiognkceoechmand",</v>
      </c>
    </row>
    <row r="185">
      <c r="A185" s="4" t="s">
        <v>19368</v>
      </c>
      <c r="B185" s="4" t="s">
        <v>366</v>
      </c>
      <c r="C185" s="16" t="str">
        <f>IFERROR(__xludf.DUMMYFUNCTION(""""""""" &amp; REGEXEXTRACT(B185, ""/detail/([^/?]+)"") &amp; """""","""),"""coohjcphdfgbiolnekdpbcijmhambjff"",")</f>
        <v>"coohjcphdfgbiolnekdpbcijmhambjff",</v>
      </c>
    </row>
    <row r="186">
      <c r="A186" s="4" t="s">
        <v>19369</v>
      </c>
      <c r="B186" s="4" t="s">
        <v>368</v>
      </c>
      <c r="C186" s="16" t="str">
        <f>IFERROR(__xludf.DUMMYFUNCTION(""""""""" &amp; REGEXEXTRACT(B186, ""/detail/([^/?]+)"") &amp; """""","""),"""cpnngmckccgcopllekpgppnfhaefbaam"",")</f>
        <v>"cpnngmckccgcopllekpgppnfhaefbaam",</v>
      </c>
    </row>
    <row r="187">
      <c r="A187" s="4" t="s">
        <v>19370</v>
      </c>
      <c r="B187" s="4" t="s">
        <v>370</v>
      </c>
      <c r="C187" s="16" t="str">
        <f>IFERROR(__xludf.DUMMYFUNCTION(""""""""" &amp; REGEXEXTRACT(B187, ""/detail/([^/?]+)"") &amp; """""","""),"""daocgoilgdmkpilllpkjbaankampnbmj"",")</f>
        <v>"daocgoilgdmkpilllpkjbaankampnbmj",</v>
      </c>
    </row>
    <row r="188">
      <c r="A188" s="4" t="s">
        <v>19371</v>
      </c>
      <c r="B188" s="4" t="s">
        <v>372</v>
      </c>
      <c r="C188" s="16" t="str">
        <f>IFERROR(__xludf.DUMMYFUNCTION(""""""""" &amp; REGEXEXTRACT(B188, ""/detail/([^/?]+)"") &amp; """""","""),"""defhgdcldhhmoenjjpaiekkenhnbledj"",")</f>
        <v>"defhgdcldhhmoenjjpaiekkenhnbledj",</v>
      </c>
    </row>
    <row r="189">
      <c r="A189" s="4" t="s">
        <v>19372</v>
      </c>
      <c r="B189" s="4" t="s">
        <v>374</v>
      </c>
      <c r="C189" s="16" t="str">
        <f>IFERROR(__xludf.DUMMYFUNCTION(""""""""" &amp; REGEXEXTRACT(B189, ""/detail/([^/?]+)"") &amp; """""","""),"""dgjhfomjieaadpoljlnidmbgkdffpack"",")</f>
        <v>"dgjhfomjieaadpoljlnidmbgkdffpack",</v>
      </c>
    </row>
    <row r="190">
      <c r="A190" s="4" t="s">
        <v>19373</v>
      </c>
      <c r="B190" s="4" t="s">
        <v>376</v>
      </c>
      <c r="C190" s="16" t="str">
        <f>IFERROR(__xludf.DUMMYFUNCTION(""""""""" &amp; REGEXEXTRACT(B190, ""/detail/([^/?]+)"") &amp; """""","""),"""dhccaifficimfjcpbapjockkipmmlkab"",")</f>
        <v>"dhccaifficimfjcpbapjockkipmmlkab",</v>
      </c>
    </row>
    <row r="191">
      <c r="A191" s="4" t="s">
        <v>19374</v>
      </c>
      <c r="B191" s="4" t="s">
        <v>378</v>
      </c>
      <c r="C191" s="16" t="str">
        <f>IFERROR(__xludf.DUMMYFUNCTION(""""""""" &amp; REGEXEXTRACT(B191, ""/detail/([^/?]+)"") &amp; """""","""),"""dlagkjochbkkfmcgofjlipnjneahkfjn"",")</f>
        <v>"dlagkjochbkkfmcgofjlipnjneahkfjn",</v>
      </c>
    </row>
    <row r="192">
      <c r="A192" s="4" t="s">
        <v>19375</v>
      </c>
      <c r="B192" s="4" t="s">
        <v>380</v>
      </c>
      <c r="C192" s="16" t="str">
        <f>IFERROR(__xludf.DUMMYFUNCTION(""""""""" &amp; REGEXEXTRACT(B192, ""/detail/([^/?]+)"") &amp; """""","""),"""dlbbmhhaadfnbbdnjalilhdakfmiffeg"",")</f>
        <v>"dlbbmhhaadfnbbdnjalilhdakfmiffeg",</v>
      </c>
    </row>
    <row r="193">
      <c r="A193" s="4" t="s">
        <v>19376</v>
      </c>
      <c r="B193" s="4" t="s">
        <v>382</v>
      </c>
      <c r="C193" s="16" t="str">
        <f>IFERROR(__xludf.DUMMYFUNCTION(""""""""" &amp; REGEXEXTRACT(B193, ""/detail/([^/?]+)"") &amp; """""","""),"""efdhoaajjjgckpbkoglidkeendpkolai"",")</f>
        <v>"efdhoaajjjgckpbkoglidkeendpkolai",</v>
      </c>
    </row>
    <row r="194">
      <c r="A194" s="4" t="s">
        <v>19377</v>
      </c>
      <c r="B194" s="4" t="s">
        <v>384</v>
      </c>
      <c r="C194" s="16" t="str">
        <f>IFERROR(__xludf.DUMMYFUNCTION(""""""""" &amp; REGEXEXTRACT(B194, ""/detail/([^/?]+)"") &amp; """""","""),"""egobelhdffdoidcnhpgkngoghpiebial"",")</f>
        <v>"egobelhdffdoidcnhpgkngoghpiebial",</v>
      </c>
    </row>
    <row r="195">
      <c r="A195" s="4" t="s">
        <v>19378</v>
      </c>
      <c r="B195" s="4" t="s">
        <v>386</v>
      </c>
      <c r="C195" s="16" t="str">
        <f>IFERROR(__xludf.DUMMYFUNCTION(""""""""" &amp; REGEXEXTRACT(B195, ""/detail/([^/?]+)"") &amp; """""","""),"""ejcfdikabeebbgbopoagpabbdokepnff"",")</f>
        <v>"ejcfdikabeebbgbopoagpabbdokepnff",</v>
      </c>
    </row>
    <row r="196">
      <c r="A196" s="4" t="s">
        <v>19379</v>
      </c>
      <c r="B196" s="4" t="s">
        <v>388</v>
      </c>
      <c r="C196" s="16" t="str">
        <f>IFERROR(__xludf.DUMMYFUNCTION(""""""""" &amp; REGEXEXTRACT(B196, ""/detail/([^/?]+)"") &amp; """""","""),"""ejddcgojdblidajhngkogefpkknnebdh"",")</f>
        <v>"ejddcgojdblidajhngkogefpkknnebdh",</v>
      </c>
    </row>
    <row r="197">
      <c r="A197" s="4" t="s">
        <v>19380</v>
      </c>
      <c r="B197" s="4" t="s">
        <v>390</v>
      </c>
      <c r="C197" s="16" t="str">
        <f>IFERROR(__xludf.DUMMYFUNCTION(""""""""" &amp; REGEXEXTRACT(B197, ""/detail/([^/?]+)"") &amp; """""","""),"""ekmpmkmabbkjmceejhcdeckofhmbnoen"",")</f>
        <v>"ekmpmkmabbkjmceejhcdeckofhmbnoen",</v>
      </c>
    </row>
    <row r="198">
      <c r="A198" s="4" t="s">
        <v>19381</v>
      </c>
      <c r="B198" s="4" t="s">
        <v>392</v>
      </c>
      <c r="C198" s="16" t="str">
        <f>IFERROR(__xludf.DUMMYFUNCTION(""""""""" &amp; REGEXEXTRACT(B198, ""/detail/([^/?]+)"") &amp; """""","""),"""emfeppdfcjnldjgmofdkbggeacapegen"",")</f>
        <v>"emfeppdfcjnldjgmofdkbggeacapegen",</v>
      </c>
    </row>
    <row r="199">
      <c r="A199" s="4" t="s">
        <v>19382</v>
      </c>
      <c r="B199" s="4" t="s">
        <v>394</v>
      </c>
      <c r="C199" s="16" t="str">
        <f>IFERROR(__xludf.DUMMYFUNCTION(""""""""" &amp; REGEXEXTRACT(B199, ""/detail/([^/?]+)"") &amp; """""","""),"""emhohdghchmjepmigjojkehidlielknj"",")</f>
        <v>"emhohdghchmjepmigjojkehidlielknj",</v>
      </c>
    </row>
    <row r="200">
      <c r="A200" s="4" t="s">
        <v>19383</v>
      </c>
      <c r="B200" s="4" t="s">
        <v>396</v>
      </c>
      <c r="C200" s="16" t="str">
        <f>IFERROR(__xludf.DUMMYFUNCTION(""""""""" &amp; REGEXEXTRACT(B200, ""/detail/([^/?]+)"") &amp; """""","""),"""emikbbbebcdfohonlaifafnoanocnebl"",")</f>
        <v>"emikbbbebcdfohonlaifafnoanocnebl",</v>
      </c>
    </row>
    <row r="201">
      <c r="A201" s="4" t="s">
        <v>19384</v>
      </c>
      <c r="B201" s="4" t="s">
        <v>398</v>
      </c>
      <c r="C201" s="16" t="str">
        <f>IFERROR(__xludf.DUMMYFUNCTION(""""""""" &amp; REGEXEXTRACT(B201, ""/detail/([^/?]+)"") &amp; """""","""),"""eoieeedlomnegifmaghhjnghhmcldobl"",")</f>
        <v>"eoieeedlomnegifmaghhjnghhmcldobl",</v>
      </c>
    </row>
    <row r="202">
      <c r="A202" s="4" t="s">
        <v>19385</v>
      </c>
      <c r="B202" s="4" t="s">
        <v>400</v>
      </c>
      <c r="C202" s="16" t="str">
        <f>IFERROR(__xludf.DUMMYFUNCTION(""""""""" &amp; REGEXEXTRACT(B202, ""/detail/([^/?]+)"") &amp; """""","""),"""eopjamdnofihpioajgfdikhhbobonhbb"",")</f>
        <v>"eopjamdnofihpioajgfdikhhbobonhbb",</v>
      </c>
    </row>
    <row r="203">
      <c r="A203" s="4" t="s">
        <v>19386</v>
      </c>
      <c r="B203" s="4" t="s">
        <v>402</v>
      </c>
      <c r="C203" s="16" t="str">
        <f>IFERROR(__xludf.DUMMYFUNCTION(""""""""" &amp; REGEXEXTRACT(B203, ""/detail/([^/?]+)"") &amp; """""","""),"""fcdbimocephnflhcladjelkceaefdcjh"",")</f>
        <v>"fcdbimocephnflhcladjelkceaefdcjh",</v>
      </c>
    </row>
    <row r="204">
      <c r="A204" s="4" t="s">
        <v>19387</v>
      </c>
      <c r="B204" s="4" t="s">
        <v>404</v>
      </c>
      <c r="C204" s="16" t="str">
        <f>IFERROR(__xludf.DUMMYFUNCTION(""""""""" &amp; REGEXEXTRACT(B204, ""/detail/([^/?]+)"") &amp; """""","""),"""fcikoaljfkfdofbhmfeonmpkmmagnokd"",")</f>
        <v>"fcikoaljfkfdofbhmfeonmpkmmagnokd",</v>
      </c>
    </row>
    <row r="205">
      <c r="A205" s="4" t="s">
        <v>19388</v>
      </c>
      <c r="B205" s="4" t="s">
        <v>406</v>
      </c>
      <c r="C205" s="16" t="str">
        <f>IFERROR(__xludf.DUMMYFUNCTION(""""""""" &amp; REGEXEXTRACT(B205, ""/detail/([^/?]+)"") &amp; """""","""),"""ffljdddodmkedhkcjhpmdajhjdbkogke"",")</f>
        <v>"ffljdddodmkedhkcjhpmdajhjdbkogke",</v>
      </c>
    </row>
    <row r="206">
      <c r="A206" s="4" t="s">
        <v>19389</v>
      </c>
      <c r="B206" s="4" t="s">
        <v>408</v>
      </c>
      <c r="C206" s="16" t="str">
        <f>IFERROR(__xludf.DUMMYFUNCTION(""""""""" &amp; REGEXEXTRACT(B206, ""/detail/([^/?]+)"") &amp; """""","""),"""fhcgjolkccmbidfldomjliifgaodjagh"",")</f>
        <v>"fhcgjolkccmbidfldomjliifgaodjagh",</v>
      </c>
    </row>
    <row r="207">
      <c r="A207" s="4" t="s">
        <v>19390</v>
      </c>
      <c r="B207" s="4" t="s">
        <v>410</v>
      </c>
      <c r="C207" s="16" t="str">
        <f>IFERROR(__xludf.DUMMYFUNCTION(""""""""" &amp; REGEXEXTRACT(B207, ""/detail/([^/?]+)"") &amp; """""","""),"""fiabciakcmgepblmdkmemdbbkilneeeh"",")</f>
        <v>"fiabciakcmgepblmdkmemdbbkilneeeh",</v>
      </c>
    </row>
    <row r="208">
      <c r="A208" s="4" t="s">
        <v>19391</v>
      </c>
      <c r="B208" s="4" t="s">
        <v>412</v>
      </c>
      <c r="C208" s="16" t="str">
        <f>IFERROR(__xludf.DUMMYFUNCTION(""""""""" &amp; REGEXEXTRACT(B208, ""/detail/([^/?]+)"") &amp; """""","""),"""fmophgdjdipcbfjiopifpngdjmemonko"",")</f>
        <v>"fmophgdjdipcbfjiopifpngdjmemonko",</v>
      </c>
    </row>
    <row r="209">
      <c r="A209" s="4" t="s">
        <v>19392</v>
      </c>
      <c r="B209" s="4" t="s">
        <v>414</v>
      </c>
      <c r="C209" s="16" t="str">
        <f>IFERROR(__xludf.DUMMYFUNCTION(""""""""" &amp; REGEXEXTRACT(B209, ""/detail/([^/?]+)"") &amp; """""","""),"""fpdnjdlbdmifoocedhkighhlbchbiikl"",")</f>
        <v>"fpdnjdlbdmifoocedhkighhlbchbiikl",</v>
      </c>
    </row>
    <row r="210">
      <c r="A210" s="4" t="s">
        <v>19393</v>
      </c>
      <c r="B210" s="4" t="s">
        <v>416</v>
      </c>
      <c r="C210" s="16" t="str">
        <f>IFERROR(__xludf.DUMMYFUNCTION(""""""""" &amp; REGEXEXTRACT(B210, ""/detail/([^/?]+)"") &amp; """""","""),"""fpjegfbcdijjfkceenlfoehpcakfgldj"",")</f>
        <v>"fpjegfbcdijjfkceenlfoehpcakfgldj",</v>
      </c>
    </row>
    <row r="211">
      <c r="A211" s="4" t="s">
        <v>19394</v>
      </c>
      <c r="B211" s="4" t="s">
        <v>418</v>
      </c>
      <c r="C211" s="16" t="str">
        <f>IFERROR(__xludf.DUMMYFUNCTION(""""""""" &amp; REGEXEXTRACT(B211, ""/detail/([^/?]+)"") &amp; """""","""),"""gbammbheopgpmaagmckhpjbfgdfkpadb"",")</f>
        <v>"gbammbheopgpmaagmckhpjbfgdfkpadb",</v>
      </c>
    </row>
    <row r="212">
      <c r="A212" s="4" t="s">
        <v>19395</v>
      </c>
      <c r="B212" s="4" t="s">
        <v>420</v>
      </c>
      <c r="C212" s="16" t="str">
        <f>IFERROR(__xludf.DUMMYFUNCTION(""""""""" &amp; REGEXEXTRACT(B212, ""/detail/([^/?]+)"") &amp; """""","""),"""gbgjpdhhnbgmnafojckjmjogcpoinlim"",")</f>
        <v>"gbgjpdhhnbgmnafojckjmjogcpoinlim",</v>
      </c>
    </row>
    <row r="213">
      <c r="A213" s="4" t="s">
        <v>19396</v>
      </c>
      <c r="B213" s="4" t="s">
        <v>422</v>
      </c>
      <c r="C213" s="16" t="str">
        <f>IFERROR(__xludf.DUMMYFUNCTION(""""""""" &amp; REGEXEXTRACT(B213, ""/detail/([^/?]+)"") &amp; """""","""),"""gdiimmpmdoofmahingpgabiikimjgcia"",")</f>
        <v>"gdiimmpmdoofmahingpgabiikimjgcia",</v>
      </c>
    </row>
    <row r="214">
      <c r="A214" s="4" t="s">
        <v>19397</v>
      </c>
      <c r="B214" s="4" t="s">
        <v>424</v>
      </c>
      <c r="C214" s="16" t="str">
        <f>IFERROR(__xludf.DUMMYFUNCTION(""""""""" &amp; REGEXEXTRACT(B214, ""/detail/([^/?]+)"") &amp; """""","""),"""ghihpjhpgdepnohngpgfcmcijmkggpaf"",")</f>
        <v>"ghihpjhpgdepnohngpgfcmcijmkggpaf",</v>
      </c>
    </row>
    <row r="215">
      <c r="A215" s="4" t="s">
        <v>19398</v>
      </c>
      <c r="B215" s="4" t="s">
        <v>426</v>
      </c>
      <c r="C215" s="16" t="str">
        <f>IFERROR(__xludf.DUMMYFUNCTION(""""""""" &amp; REGEXEXTRACT(B215, ""/detail/([^/?]+)"") &amp; """""","""),"""gjfkgdpkecnmfcgfpfibpcnkeakahllc"",")</f>
        <v>"gjfkgdpkecnmfcgfpfibpcnkeakahllc",</v>
      </c>
    </row>
    <row r="216">
      <c r="A216" s="4" t="s">
        <v>19399</v>
      </c>
      <c r="B216" s="4" t="s">
        <v>428</v>
      </c>
      <c r="C216" s="16" t="str">
        <f>IFERROR(__xludf.DUMMYFUNCTION(""""""""" &amp; REGEXEXTRACT(B216, ""/detail/([^/?]+)"") &amp; """""","""),"""gkjmdfbjkkodgpmkahekmcammibhimdi"",")</f>
        <v>"gkjmdfbjkkodgpmkahekmcammibhimdi",</v>
      </c>
    </row>
    <row r="217">
      <c r="A217" s="4" t="s">
        <v>19400</v>
      </c>
      <c r="B217" s="4" t="s">
        <v>430</v>
      </c>
      <c r="C217" s="16" t="str">
        <f>IFERROR(__xludf.DUMMYFUNCTION(""""""""" &amp; REGEXEXTRACT(B217, ""/detail/([^/?]+)"") &amp; """""","""),"""hclgegipaehbigmbhdpfapmjadbaldib"",")</f>
        <v>"hclgegipaehbigmbhdpfapmjadbaldib",</v>
      </c>
    </row>
    <row r="218">
      <c r="A218" s="4" t="s">
        <v>19401</v>
      </c>
      <c r="B218" s="4" t="s">
        <v>432</v>
      </c>
      <c r="C218" s="16" t="str">
        <f>IFERROR(__xludf.DUMMYFUNCTION(""""""""" &amp; REGEXEXTRACT(B218, ""/detail/([^/?]+)"") &amp; """""","""),"""hepmlgghomccjinhcnkkikjpgkjibglj"",")</f>
        <v>"hepmlgghomccjinhcnkkikjpgkjibglj",</v>
      </c>
    </row>
    <row r="219">
      <c r="A219" s="4" t="s">
        <v>19402</v>
      </c>
      <c r="B219" s="4" t="s">
        <v>434</v>
      </c>
      <c r="C219" s="16" t="str">
        <f>IFERROR(__xludf.DUMMYFUNCTION(""""""""" &amp; REGEXEXTRACT(B219, ""/detail/([^/?]+)"") &amp; """""","""),"""hhcgnlnhaapiekdelngjichnccjfkbnc"",")</f>
        <v>"hhcgnlnhaapiekdelngjichnccjfkbnc",</v>
      </c>
    </row>
    <row r="220">
      <c r="A220" s="4" t="s">
        <v>19403</v>
      </c>
      <c r="B220" s="4" t="s">
        <v>436</v>
      </c>
      <c r="C220" s="16" t="str">
        <f>IFERROR(__xludf.DUMMYFUNCTION(""""""""" &amp; REGEXEXTRACT(B220, ""/detail/([^/?]+)"") &amp; """""","""),"""hhfkcobomkalfdlmkongnhnhahkmnaad"",")</f>
        <v>"hhfkcobomkalfdlmkongnhnhahkmnaad",</v>
      </c>
    </row>
    <row r="221">
      <c r="A221" s="4" t="s">
        <v>19404</v>
      </c>
      <c r="B221" s="4" t="s">
        <v>438</v>
      </c>
      <c r="C221" s="16" t="str">
        <f>IFERROR(__xludf.DUMMYFUNCTION(""""""""" &amp; REGEXEXTRACT(B221, ""/detail/([^/?]+)"") &amp; """""","""),"""hhojmcideegachlhfgfdhailpfhgknjm"",")</f>
        <v>"hhojmcideegachlhfgfdhailpfhgknjm",</v>
      </c>
    </row>
    <row r="222">
      <c r="A222" s="4" t="s">
        <v>19405</v>
      </c>
      <c r="B222" s="4" t="s">
        <v>440</v>
      </c>
      <c r="C222" s="16" t="str">
        <f>IFERROR(__xludf.DUMMYFUNCTION(""""""""" &amp; REGEXEXTRACT(B222, ""/detail/([^/?]+)"") &amp; """""","""),"""hiajdlfgbgnnjakkbnpdhmhfhklkbiol"",")</f>
        <v>"hiajdlfgbgnnjakkbnpdhmhfhklkbiol",</v>
      </c>
    </row>
    <row r="223">
      <c r="A223" s="4" t="s">
        <v>19406</v>
      </c>
      <c r="B223" s="4" t="s">
        <v>442</v>
      </c>
      <c r="C223" s="16" t="str">
        <f>IFERROR(__xludf.DUMMYFUNCTION(""""""""" &amp; REGEXEXTRACT(B223, ""/detail/([^/?]+)"") &amp; """""","""),"""hiejidhjgjpelfgldfhmnaoahnephhfg"",")</f>
        <v>"hiejidhjgjpelfgldfhmnaoahnephhfg",</v>
      </c>
    </row>
    <row r="224">
      <c r="A224" s="4" t="s">
        <v>19407</v>
      </c>
      <c r="B224" s="4" t="s">
        <v>444</v>
      </c>
      <c r="C224" s="16" t="str">
        <f>IFERROR(__xludf.DUMMYFUNCTION(""""""""" &amp; REGEXEXTRACT(B224, ""/detail/([^/?]+)"") &amp; """""","""),"""hnkcfpcejkafcihlgbojoidoihckciin"",")</f>
        <v>"hnkcfpcejkafcihlgbojoidoihckciin",</v>
      </c>
    </row>
    <row r="225">
      <c r="A225" s="4" t="s">
        <v>19408</v>
      </c>
      <c r="B225" s="4" t="s">
        <v>446</v>
      </c>
      <c r="C225" s="16" t="str">
        <f>IFERROR(__xludf.DUMMYFUNCTION(""""""""" &amp; REGEXEXTRACT(B225, ""/detail/([^/?]+)"") &amp; """""","""),"""hppkmolfkplaopacolakfekiejedjapl"",")</f>
        <v>"hppkmolfkplaopacolakfekiejedjapl",</v>
      </c>
    </row>
    <row r="226">
      <c r="A226" s="4" t="s">
        <v>19409</v>
      </c>
      <c r="B226" s="4" t="s">
        <v>448</v>
      </c>
      <c r="C226" s="16" t="str">
        <f>IFERROR(__xludf.DUMMYFUNCTION(""""""""" &amp; REGEXEXTRACT(B226, ""/detail/([^/?]+)"") &amp; """""","""),"""iacoifmgngnkjphlhpencjhenbngoheg"",")</f>
        <v>"iacoifmgngnkjphlhpencjhenbngoheg",</v>
      </c>
    </row>
    <row r="227">
      <c r="A227" s="4" t="s">
        <v>19410</v>
      </c>
      <c r="B227" s="4" t="s">
        <v>450</v>
      </c>
      <c r="C227" s="16" t="str">
        <f>IFERROR(__xludf.DUMMYFUNCTION(""""""""" &amp; REGEXEXTRACT(B227, ""/detail/([^/?]+)"") &amp; """""","""),"""iakpdiefpdniabbekcbofaanjcpjkloe"",")</f>
        <v>"iakpdiefpdniabbekcbofaanjcpjkloe",</v>
      </c>
    </row>
    <row r="228">
      <c r="A228" s="4" t="s">
        <v>19411</v>
      </c>
      <c r="B228" s="4" t="s">
        <v>452</v>
      </c>
      <c r="C228" s="16" t="str">
        <f>IFERROR(__xludf.DUMMYFUNCTION(""""""""" &amp; REGEXEXTRACT(B228, ""/detail/([^/?]+)"") &amp; """""","""),"""icegcmhgphfkgglbljbkdegiaaihifce"",")</f>
        <v>"icegcmhgphfkgglbljbkdegiaaihifce",</v>
      </c>
    </row>
    <row r="229">
      <c r="A229" s="4" t="s">
        <v>19412</v>
      </c>
      <c r="B229" s="4" t="s">
        <v>454</v>
      </c>
      <c r="C229" s="16" t="str">
        <f>IFERROR(__xludf.DUMMYFUNCTION(""""""""" &amp; REGEXEXTRACT(B229, ""/detail/([^/?]+)"") &amp; """""","""),"""ieaebnkibonmpbhdaanjkmedikadnoje"",")</f>
        <v>"ieaebnkibonmpbhdaanjkmedikadnoje",</v>
      </c>
    </row>
    <row r="230">
      <c r="A230" s="4" t="s">
        <v>19413</v>
      </c>
      <c r="B230" s="4" t="s">
        <v>456</v>
      </c>
      <c r="C230" s="16" t="str">
        <f>IFERROR(__xludf.DUMMYFUNCTION(""""""""" &amp; REGEXEXTRACT(B230, ""/detail/([^/?]+)"") &amp; """""","""),"""ifkgpacemihiplnocjocpgmoiefcojik"",")</f>
        <v>"ifkgpacemihiplnocjocpgmoiefcojik",</v>
      </c>
    </row>
    <row r="231">
      <c r="A231" s="4" t="s">
        <v>19414</v>
      </c>
      <c r="B231" s="4" t="s">
        <v>458</v>
      </c>
      <c r="C231" s="16" t="str">
        <f>IFERROR(__xludf.DUMMYFUNCTION(""""""""" &amp; REGEXEXTRACT(B231, ""/detail/([^/?]+)"") &amp; """""","""),"""ifmhoabcaeehkljcfclfiieohkohdgbb"",")</f>
        <v>"ifmhoabcaeehkljcfclfiieohkohdgbb",</v>
      </c>
    </row>
    <row r="232">
      <c r="A232" s="4" t="s">
        <v>19415</v>
      </c>
      <c r="B232" s="4" t="s">
        <v>460</v>
      </c>
      <c r="C232" s="16" t="str">
        <f>IFERROR(__xludf.DUMMYFUNCTION(""""""""" &amp; REGEXEXTRACT(B232, ""/detail/([^/?]+)"") &amp; """""","""),"""igbgpehnbmhgdgjbhkkpedommgmfbeao"",")</f>
        <v>"igbgpehnbmhgdgjbhkkpedommgmfbeao",</v>
      </c>
    </row>
    <row r="233">
      <c r="A233" s="4" t="s">
        <v>19416</v>
      </c>
      <c r="B233" s="4" t="s">
        <v>462</v>
      </c>
      <c r="C233" s="16" t="str">
        <f>IFERROR(__xludf.DUMMYFUNCTION(""""""""" &amp; REGEXEXTRACT(B233, ""/detail/([^/?]+)"") &amp; """""","""),"""ijllcpnolfcooahcekpamkbidhejabll"",")</f>
        <v>"ijllcpnolfcooahcekpamkbidhejabll",</v>
      </c>
    </row>
    <row r="234">
      <c r="A234" s="4" t="s">
        <v>19417</v>
      </c>
      <c r="B234" s="4" t="s">
        <v>464</v>
      </c>
      <c r="C234" s="16" t="str">
        <f>IFERROR(__xludf.DUMMYFUNCTION(""""""""" &amp; REGEXEXTRACT(B234, ""/detail/([^/?]+)"") &amp; """""","""),"""ikbablmmjldhamhcldjjigniffkkjgpo"",")</f>
        <v>"ikbablmmjldhamhcldjjigniffkkjgpo",</v>
      </c>
    </row>
    <row r="235">
      <c r="A235" s="4" t="s">
        <v>19418</v>
      </c>
      <c r="B235" s="4" t="s">
        <v>466</v>
      </c>
      <c r="C235" s="16" t="str">
        <f>IFERROR(__xludf.DUMMYFUNCTION(""""""""" &amp; REGEXEXTRACT(B235, ""/detail/([^/?]+)"") &amp; """""","""),"""ilgcnhelpchnceeipipijaljkblbcobl"",")</f>
        <v>"ilgcnhelpchnceeipipijaljkblbcobl",</v>
      </c>
    </row>
    <row r="236">
      <c r="A236" s="4" t="s">
        <v>19419</v>
      </c>
      <c r="B236" s="4" t="s">
        <v>468</v>
      </c>
      <c r="C236" s="16" t="str">
        <f>IFERROR(__xludf.DUMMYFUNCTION(""""""""" &amp; REGEXEXTRACT(B236, ""/detail/([^/?]+)"") &amp; """""","""),"""imokeandodnlammaoenbgcnbhigjbpjh"",")</f>
        <v>"imokeandodnlammaoenbgcnbhigjbpjh",</v>
      </c>
    </row>
    <row r="237">
      <c r="A237" s="4" t="s">
        <v>19420</v>
      </c>
      <c r="B237" s="4" t="s">
        <v>470</v>
      </c>
      <c r="C237" s="16" t="str">
        <f>IFERROR(__xludf.DUMMYFUNCTION(""""""""" &amp; REGEXEXTRACT(B237, ""/detail/([^/?]+)"") &amp; """""","""),"""inobiceghmpkaklcknpniboilbjmlald"",")</f>
        <v>"inobiceghmpkaklcknpniboilbjmlald",</v>
      </c>
    </row>
    <row r="238">
      <c r="A238" s="4" t="s">
        <v>19421</v>
      </c>
      <c r="B238" s="4" t="s">
        <v>472</v>
      </c>
      <c r="C238" s="16" t="str">
        <f>IFERROR(__xludf.DUMMYFUNCTION(""""""""" &amp; REGEXEXTRACT(B238, ""/detail/([^/?]+)"") &amp; """""","""),"""iofmialeiddolmdlkbheakaefefkjokp"",")</f>
        <v>"iofmialeiddolmdlkbheakaefefkjokp",</v>
      </c>
    </row>
    <row r="239">
      <c r="A239" s="4" t="s">
        <v>19422</v>
      </c>
      <c r="B239" s="4" t="s">
        <v>474</v>
      </c>
      <c r="C239" s="16" t="str">
        <f>IFERROR(__xludf.DUMMYFUNCTION(""""""""" &amp; REGEXEXTRACT(B239, ""/detail/([^/?]+)"") &amp; """""","""),"""jhmhfmkkefhodppadapgpnaiccboohef"",")</f>
        <v>"jhmhfmkkefhodppadapgpnaiccboohef",</v>
      </c>
    </row>
    <row r="240">
      <c r="A240" s="4" t="s">
        <v>19423</v>
      </c>
      <c r="B240" s="4" t="s">
        <v>476</v>
      </c>
      <c r="C240" s="16" t="str">
        <f>IFERROR(__xludf.DUMMYFUNCTION(""""""""" &amp; REGEXEXTRACT(B240, ""/detail/([^/?]+)"") &amp; """""","""),"""jjmdplljmniahpamcmabdnahmjdlikpm"",")</f>
        <v>"jjmdplljmniahpamcmabdnahmjdlikpm",</v>
      </c>
    </row>
    <row r="241">
      <c r="A241" s="4" t="s">
        <v>19424</v>
      </c>
      <c r="B241" s="4" t="s">
        <v>478</v>
      </c>
      <c r="C241" s="16" t="str">
        <f>IFERROR(__xludf.DUMMYFUNCTION(""""""""" &amp; REGEXEXTRACT(B241, ""/detail/([^/?]+)"") &amp; """""","""),"""jjmnbidkmmabkalampbilajnheeokpoj"",")</f>
        <v>"jjmnbidkmmabkalampbilajnheeokpoj",</v>
      </c>
    </row>
    <row r="242">
      <c r="A242" s="4" t="s">
        <v>19425</v>
      </c>
      <c r="B242" s="4" t="s">
        <v>480</v>
      </c>
      <c r="C242" s="16" t="str">
        <f>IFERROR(__xludf.DUMMYFUNCTION(""""""""" &amp; REGEXEXTRACT(B242, ""/detail/([^/?]+)"") &amp; """""","""),"""jnajhcakejgchhbjlchkfmdidgjefleg"",")</f>
        <v>"jnajhcakejgchhbjlchkfmdidgjefleg",</v>
      </c>
    </row>
    <row r="243">
      <c r="A243" s="4" t="s">
        <v>19426</v>
      </c>
      <c r="B243" s="4" t="s">
        <v>482</v>
      </c>
      <c r="C243" s="16" t="str">
        <f>IFERROR(__xludf.DUMMYFUNCTION(""""""""" &amp; REGEXEXTRACT(B243, ""/detail/([^/?]+)"") &amp; """""","""),"""jngkenaoceimiimeokpdbmejeonaaami"",")</f>
        <v>"jngkenaoceimiimeokpdbmejeonaaami",</v>
      </c>
    </row>
    <row r="244">
      <c r="A244" s="4" t="s">
        <v>19427</v>
      </c>
      <c r="B244" s="4" t="s">
        <v>484</v>
      </c>
      <c r="C244" s="16" t="str">
        <f>IFERROR(__xludf.DUMMYFUNCTION(""""""""" &amp; REGEXEXTRACT(B244, ""/detail/([^/?]+)"") &amp; """""","""),"""jnihajbhpnppcggbcgedagnkighmdlei"",")</f>
        <v>"jnihajbhpnppcggbcgedagnkighmdlei",</v>
      </c>
    </row>
    <row r="245">
      <c r="A245" s="4" t="s">
        <v>19428</v>
      </c>
      <c r="B245" s="4" t="s">
        <v>486</v>
      </c>
      <c r="C245" s="16" t="str">
        <f>IFERROR(__xludf.DUMMYFUNCTION(""""""""" &amp; REGEXEXTRACT(B245, ""/detail/([^/?]+)"") &amp; """""","""),"""jonmpbbljdciehhpdfmdiapidmnogkcp"",")</f>
        <v>"jonmpbbljdciehhpdfmdiapidmnogkcp",</v>
      </c>
    </row>
    <row r="246">
      <c r="A246" s="4" t="s">
        <v>19429</v>
      </c>
      <c r="B246" s="4" t="s">
        <v>488</v>
      </c>
      <c r="C246" s="16" t="str">
        <f>IFERROR(__xludf.DUMMYFUNCTION(""""""""" &amp; REGEXEXTRACT(B246, ""/detail/([^/?]+)"") &amp; """""","""),"""kaicbfmipfpfpjmlbpejaoaflfdnabnc"",")</f>
        <v>"kaicbfmipfpfpjmlbpejaoaflfdnabnc",</v>
      </c>
    </row>
    <row r="247">
      <c r="A247" s="4" t="s">
        <v>19430</v>
      </c>
      <c r="B247" s="4" t="s">
        <v>490</v>
      </c>
      <c r="C247" s="16" t="str">
        <f>IFERROR(__xludf.DUMMYFUNCTION(""""""""" &amp; REGEXEXTRACT(B247, ""/detail/([^/?]+)"") &amp; """""","""),"""kdaghagfopacdngbohiknlhcocjccjao"",")</f>
        <v>"kdaghagfopacdngbohiknlhcocjccjao",</v>
      </c>
    </row>
    <row r="248">
      <c r="A248" s="4" t="s">
        <v>19431</v>
      </c>
      <c r="B248" s="4" t="s">
        <v>492</v>
      </c>
      <c r="C248" s="16" t="str">
        <f>IFERROR(__xludf.DUMMYFUNCTION(""""""""" &amp; REGEXEXTRACT(B248, ""/detail/([^/?]+)"") &amp; """""","""),"""keibmolmaeiahiahfgenlaidmokmfcfm"",")</f>
        <v>"keibmolmaeiahiahfgenlaidmokmfcfm",</v>
      </c>
    </row>
    <row r="249">
      <c r="A249" s="4" t="s">
        <v>19432</v>
      </c>
      <c r="B249" s="4" t="s">
        <v>494</v>
      </c>
      <c r="C249" s="16" t="str">
        <f>IFERROR(__xludf.DUMMYFUNCTION(""""""""" &amp; REGEXEXTRACT(B249, ""/detail/([^/?]+)"") &amp; """""","""),"""kgejglhpjiefppelpmljglcjbhoiplfn"",")</f>
        <v>"kgejglhpjiefppelpmljglcjbhoiplfn",</v>
      </c>
    </row>
    <row r="250">
      <c r="A250" s="4" t="s">
        <v>19433</v>
      </c>
      <c r="B250" s="4" t="s">
        <v>496</v>
      </c>
      <c r="C250" s="16" t="str">
        <f>IFERROR(__xludf.DUMMYFUNCTION(""""""""" &amp; REGEXEXTRACT(B250, ""/detail/([^/?]+)"") &amp; """""","""),"""khjnjifipfkgglficmipimgjpbmlbemd"",")</f>
        <v>"khjnjifipfkgglficmipimgjpbmlbemd",</v>
      </c>
    </row>
    <row r="251">
      <c r="A251" s="4" t="s">
        <v>19434</v>
      </c>
      <c r="B251" s="4" t="s">
        <v>498</v>
      </c>
      <c r="C251" s="16" t="str">
        <f>IFERROR(__xludf.DUMMYFUNCTION(""""""""" &amp; REGEXEXTRACT(B251, ""/detail/([^/?]+)"") &amp; """""","""),"""klejemegaoblahjdpcajmpcnjjmkmkkf"",")</f>
        <v>"klejemegaoblahjdpcajmpcnjjmkmkkf",</v>
      </c>
    </row>
    <row r="252">
      <c r="A252" s="4" t="s">
        <v>19435</v>
      </c>
      <c r="B252" s="4" t="s">
        <v>500</v>
      </c>
      <c r="C252" s="16" t="str">
        <f>IFERROR(__xludf.DUMMYFUNCTION(""""""""" &amp; REGEXEXTRACT(B252, ""/detail/([^/?]+)"") &amp; """""","""),"""kmhclnjhlejdjlkgeebolkigafpaijkp"",")</f>
        <v>"kmhclnjhlejdjlkgeebolkigafpaijkp",</v>
      </c>
    </row>
    <row r="253">
      <c r="A253" s="4" t="s">
        <v>19436</v>
      </c>
      <c r="B253" s="4" t="s">
        <v>502</v>
      </c>
      <c r="C253" s="16" t="str">
        <f>IFERROR(__xludf.DUMMYFUNCTION(""""""""" &amp; REGEXEXTRACT(B253, ""/detail/([^/?]+)"") &amp; """""","""),"""kniehgiejgnnpgojkdhhjbgbllnfkfdk"",")</f>
        <v>"kniehgiejgnnpgojkdhhjbgbllnfkfdk",</v>
      </c>
    </row>
    <row r="254">
      <c r="A254" s="4" t="s">
        <v>19437</v>
      </c>
      <c r="B254" s="4" t="s">
        <v>504</v>
      </c>
      <c r="C254" s="16" t="str">
        <f>IFERROR(__xludf.DUMMYFUNCTION(""""""""" &amp; REGEXEXTRACT(B254, ""/detail/([^/?]+)"") &amp; """""","""),"""lamaakaemgdclpnfbofmhpkanfnojjch"",")</f>
        <v>"lamaakaemgdclpnfbofmhpkanfnojjch",</v>
      </c>
    </row>
    <row r="255">
      <c r="A255" s="4" t="s">
        <v>19438</v>
      </c>
      <c r="B255" s="4" t="s">
        <v>506</v>
      </c>
      <c r="C255" s="16" t="str">
        <f>IFERROR(__xludf.DUMMYFUNCTION(""""""""" &amp; REGEXEXTRACT(B255, ""/detail/([^/?]+)"") &amp; """""","""),"""lckanjgmijmafbedllaakclkaicjfmnk"",")</f>
        <v>"lckanjgmijmafbedllaakclkaicjfmnk",</v>
      </c>
    </row>
    <row r="256">
      <c r="A256" s="4" t="s">
        <v>19439</v>
      </c>
      <c r="B256" s="4" t="s">
        <v>508</v>
      </c>
      <c r="C256" s="16" t="str">
        <f>IFERROR(__xludf.DUMMYFUNCTION(""""""""" &amp; REGEXEXTRACT(B256, ""/detail/([^/?]+)"") &amp; """""","""),"""ldlfakmjimohnhnpgnjmjkdnaiegiebg"",")</f>
        <v>"ldlfakmjimohnhnpgnjmjkdnaiegiebg",</v>
      </c>
    </row>
    <row r="257">
      <c r="A257" s="4" t="s">
        <v>19440</v>
      </c>
      <c r="B257" s="4" t="s">
        <v>510</v>
      </c>
      <c r="C257" s="16" t="str">
        <f>IFERROR(__xludf.DUMMYFUNCTION(""""""""" &amp; REGEXEXTRACT(B257, ""/detail/([^/?]+)"") &amp; """""","""),"""lecdifefmmfjnjjinhaennhdlmcaeeeb"",")</f>
        <v>"lecdifefmmfjnjjinhaennhdlmcaeeeb",</v>
      </c>
    </row>
    <row r="258">
      <c r="A258" s="4" t="s">
        <v>19441</v>
      </c>
      <c r="B258" s="4" t="s">
        <v>512</v>
      </c>
      <c r="C258" s="16" t="str">
        <f>IFERROR(__xludf.DUMMYFUNCTION(""""""""" &amp; REGEXEXTRACT(B258, ""/detail/([^/?]+)"") &amp; """""","""),"""lhkmoheomjbkfloacpgllgjcamhihfaj"",")</f>
        <v>"lhkmoheomjbkfloacpgllgjcamhihfaj",</v>
      </c>
    </row>
    <row r="259">
      <c r="A259" s="4" t="s">
        <v>19442</v>
      </c>
      <c r="B259" s="4" t="s">
        <v>514</v>
      </c>
      <c r="C259" s="16" t="str">
        <f>IFERROR(__xludf.DUMMYFUNCTION(""""""""" &amp; REGEXEXTRACT(B259, ""/detail/([^/?]+)"") &amp; """""","""),"""ljighgeflmhnpljodhpcifcojkpancpm"",")</f>
        <v>"ljighgeflmhnpljodhpcifcojkpancpm",</v>
      </c>
    </row>
    <row r="260">
      <c r="A260" s="4" t="s">
        <v>19443</v>
      </c>
      <c r="B260" s="4" t="s">
        <v>516</v>
      </c>
      <c r="C260" s="16" t="str">
        <f>IFERROR(__xludf.DUMMYFUNCTION(""""""""" &amp; REGEXEXTRACT(B260, ""/detail/([^/?]+)"") &amp; """""","""),"""magknjdfniglanojbpadmpjlglepnlko"",")</f>
        <v>"magknjdfniglanojbpadmpjlglepnlko",</v>
      </c>
    </row>
    <row r="261">
      <c r="A261" s="4" t="s">
        <v>19444</v>
      </c>
      <c r="B261" s="4" t="s">
        <v>518</v>
      </c>
      <c r="C261" s="16" t="str">
        <f>IFERROR(__xludf.DUMMYFUNCTION(""""""""" &amp; REGEXEXTRACT(B261, ""/detail/([^/?]+)"") &amp; """""","""),"""mbcgbbpomkkndfbpiepjimakkbocjgkh"",")</f>
        <v>"mbcgbbpomkkndfbpiepjimakkbocjgkh",</v>
      </c>
    </row>
    <row r="262">
      <c r="A262" s="4" t="s">
        <v>19445</v>
      </c>
      <c r="B262" s="4" t="s">
        <v>520</v>
      </c>
      <c r="C262" s="16" t="str">
        <f>IFERROR(__xludf.DUMMYFUNCTION(""""""""" &amp; REGEXEXTRACT(B262, ""/detail/([^/?]+)"") &amp; """""","""),"""mbigbapnjcgaffohmbkdlecaccepngjd"",")</f>
        <v>"mbigbapnjcgaffohmbkdlecaccepngjd",</v>
      </c>
    </row>
    <row r="263">
      <c r="A263" s="4" t="s">
        <v>19446</v>
      </c>
      <c r="B263" s="4" t="s">
        <v>522</v>
      </c>
      <c r="C263" s="16" t="str">
        <f>IFERROR(__xludf.DUMMYFUNCTION(""""""""" &amp; REGEXEXTRACT(B263, ""/detail/([^/?]+)"") &amp; """""","""),"""mghhlojofjipigjobacbjdngmjafdeim"",")</f>
        <v>"mghhlojofjipigjobacbjdngmjafdeim",</v>
      </c>
    </row>
    <row r="264">
      <c r="A264" s="4" t="s">
        <v>19447</v>
      </c>
      <c r="B264" s="4" t="s">
        <v>524</v>
      </c>
      <c r="C264" s="16" t="str">
        <f>IFERROR(__xludf.DUMMYFUNCTION(""""""""" &amp; REGEXEXTRACT(B264, ""/detail/([^/?]+)"") &amp; """""","""),"""mljpablpddhocfbnokacjggdbmafjnon"",")</f>
        <v>"mljpablpddhocfbnokacjggdbmafjnon",</v>
      </c>
    </row>
    <row r="265">
      <c r="A265" s="4" t="s">
        <v>19448</v>
      </c>
      <c r="B265" s="4" t="s">
        <v>526</v>
      </c>
      <c r="C265" s="16" t="str">
        <f>IFERROR(__xludf.DUMMYFUNCTION(""""""""" &amp; REGEXEXTRACT(B265, ""/detail/([^/?]+)"") &amp; """""","""),"""mmjindpbjjflhaojplclpcjfoaepgnhm"",")</f>
        <v>"mmjindpbjjflhaojplclpcjfoaepgnhm",</v>
      </c>
    </row>
    <row r="266">
      <c r="A266" s="4" t="s">
        <v>19449</v>
      </c>
      <c r="B266" s="4" t="s">
        <v>528</v>
      </c>
      <c r="C266" s="16" t="str">
        <f>IFERROR(__xludf.DUMMYFUNCTION(""""""""" &amp; REGEXEXTRACT(B266, ""/detail/([^/?]+)"") &amp; """""","""),"""naijndjklgmffmpembnkfbcjbognokbf"",")</f>
        <v>"naijndjklgmffmpembnkfbcjbognokbf",</v>
      </c>
    </row>
    <row r="267">
      <c r="A267" s="4" t="s">
        <v>19450</v>
      </c>
      <c r="B267" s="4" t="s">
        <v>530</v>
      </c>
      <c r="C267" s="16" t="str">
        <f>IFERROR(__xludf.DUMMYFUNCTION(""""""""" &amp; REGEXEXTRACT(B267, ""/detail/([^/?]+)"") &amp; """""","""),"""nccjoeeljedbmkidebclpoabijggpbdp"",")</f>
        <v>"nccjoeeljedbmkidebclpoabijggpbdp",</v>
      </c>
    </row>
    <row r="268">
      <c r="A268" s="4" t="s">
        <v>19451</v>
      </c>
      <c r="B268" s="4" t="s">
        <v>532</v>
      </c>
      <c r="C268" s="16" t="str">
        <f>IFERROR(__xludf.DUMMYFUNCTION(""""""""" &amp; REGEXEXTRACT(B268, ""/detail/([^/?]+)"") &amp; """""","""),"""nidndciakmfgmeidifobfpiffbkcemnc"",")</f>
        <v>"nidndciakmfgmeidifobfpiffbkcemnc",</v>
      </c>
    </row>
    <row r="269">
      <c r="A269" s="4" t="s">
        <v>19452</v>
      </c>
      <c r="B269" s="4" t="s">
        <v>534</v>
      </c>
      <c r="C269" s="16" t="str">
        <f>IFERROR(__xludf.DUMMYFUNCTION(""""""""" &amp; REGEXEXTRACT(B269, ""/detail/([^/?]+)"") &amp; """""","""),"""nnahcpdajidknipglinmjmcmhckpbhnk"",")</f>
        <v>"nnahcpdajidknipglinmjmcmhckpbhnk",</v>
      </c>
    </row>
    <row r="270">
      <c r="A270" s="4" t="s">
        <v>19453</v>
      </c>
      <c r="B270" s="4" t="s">
        <v>536</v>
      </c>
      <c r="C270" s="16" t="str">
        <f>IFERROR(__xludf.DUMMYFUNCTION(""""""""" &amp; REGEXEXTRACT(B270, ""/detail/([^/?]+)"") &amp; """""","""),"""noogafoofpebimajpfpamcfhoaifemoa"",")</f>
        <v>"noogafoofpebimajpfpamcfhoaifemoa",</v>
      </c>
    </row>
    <row r="271">
      <c r="A271" s="4" t="s">
        <v>19454</v>
      </c>
      <c r="B271" s="4" t="s">
        <v>538</v>
      </c>
      <c r="C271" s="16" t="str">
        <f>IFERROR(__xludf.DUMMYFUNCTION(""""""""" &amp; REGEXEXTRACT(B271, ""/detail/([^/?]+)"") &amp; """""","""),"""npecfdijgoblfcgagoijgmgejmcpnhof"",")</f>
        <v>"npecfdijgoblfcgagoijgmgejmcpnhof",</v>
      </c>
    </row>
    <row r="272">
      <c r="A272" s="4" t="s">
        <v>19455</v>
      </c>
      <c r="B272" s="4" t="s">
        <v>540</v>
      </c>
      <c r="C272" s="16" t="str">
        <f>IFERROR(__xludf.DUMMYFUNCTION(""""""""" &amp; REGEXEXTRACT(B272, ""/detail/([^/?]+)"") &amp; """""","""),"""occjjkgifpmdgodlplnacmkejpdionan"",")</f>
        <v>"occjjkgifpmdgodlplnacmkejpdionan",</v>
      </c>
    </row>
    <row r="273">
      <c r="A273" s="4" t="s">
        <v>19456</v>
      </c>
      <c r="B273" s="4" t="s">
        <v>542</v>
      </c>
      <c r="C273" s="16" t="str">
        <f>IFERROR(__xludf.DUMMYFUNCTION(""""""""" &amp; REGEXEXTRACT(B273, ""/detail/([^/?]+)"") &amp; """""","""),"""ocgpenflpmgnfapjedencafcfakcekcd"",")</f>
        <v>"ocgpenflpmgnfapjedencafcfakcekcd",</v>
      </c>
    </row>
    <row r="274">
      <c r="A274" s="4" t="s">
        <v>19457</v>
      </c>
      <c r="B274" s="4" t="s">
        <v>544</v>
      </c>
      <c r="C274" s="16" t="str">
        <f>IFERROR(__xludf.DUMMYFUNCTION(""""""""" &amp; REGEXEXTRACT(B274, ""/detail/([^/?]+)"") &amp; """""","""),"""oebpmncolmhiapingjaagmapififiakb"",")</f>
        <v>"oebpmncolmhiapingjaagmapififiakb",</v>
      </c>
    </row>
    <row r="275">
      <c r="A275" s="4" t="s">
        <v>19458</v>
      </c>
      <c r="B275" s="4" t="s">
        <v>546</v>
      </c>
      <c r="C275" s="16" t="str">
        <f>IFERROR(__xludf.DUMMYFUNCTION(""""""""" &amp; REGEXEXTRACT(B275, ""/detail/([^/?]+)"") &amp; """""","""),"""oenllhgkiiljibhfagbfogdbchhdchml"",")</f>
        <v>"oenllhgkiiljibhfagbfogdbchhdchml",</v>
      </c>
    </row>
    <row r="276">
      <c r="A276" s="4" t="s">
        <v>19459</v>
      </c>
      <c r="B276" s="4" t="s">
        <v>548</v>
      </c>
      <c r="C276" s="16" t="str">
        <f>IFERROR(__xludf.DUMMYFUNCTION(""""""""" &amp; REGEXEXTRACT(B276, ""/detail/([^/?]+)"") &amp; """""","""),"""ofbbahodfeppoklmgjiokgfdgcndngjm"",")</f>
        <v>"ofbbahodfeppoklmgjiokgfdgcndngjm",</v>
      </c>
    </row>
    <row r="277">
      <c r="A277" s="4" t="s">
        <v>19460</v>
      </c>
      <c r="B277" s="4" t="s">
        <v>550</v>
      </c>
      <c r="C277" s="16" t="str">
        <f>IFERROR(__xludf.DUMMYFUNCTION(""""""""" &amp; REGEXEXTRACT(B277, ""/detail/([^/?]+)"") &amp; """""","""),"""ogeebjpdeabhncjpfhgdibjajcajepgg"",")</f>
        <v>"ogeebjpdeabhncjpfhgdibjajcajepgg",</v>
      </c>
    </row>
    <row r="278">
      <c r="A278" s="4" t="s">
        <v>19461</v>
      </c>
      <c r="B278" s="4" t="s">
        <v>552</v>
      </c>
      <c r="C278" s="16" t="str">
        <f>IFERROR(__xludf.DUMMYFUNCTION(""""""""" &amp; REGEXEXTRACT(B278, ""/detail/([^/?]+)"") &amp; """""","""),"""oiigbmnaadbkfbmpbfijlflahbdbdgdf"",")</f>
        <v>"oiigbmnaadbkfbmpbfijlflahbdbdgdf",</v>
      </c>
    </row>
    <row r="279">
      <c r="A279" s="4" t="s">
        <v>19462</v>
      </c>
      <c r="B279" s="4" t="s">
        <v>554</v>
      </c>
      <c r="C279" s="16" t="str">
        <f>IFERROR(__xludf.DUMMYFUNCTION(""""""""" &amp; REGEXEXTRACT(B279, ""/detail/([^/?]+)"") &amp; """""","""),"""olmgpgbhojeoalaimckcpgkadjkejacl"",")</f>
        <v>"olmgpgbhojeoalaimckcpgkadjkejacl",</v>
      </c>
    </row>
    <row r="280">
      <c r="A280" s="4" t="s">
        <v>19463</v>
      </c>
      <c r="B280" s="4" t="s">
        <v>556</v>
      </c>
      <c r="C280" s="16" t="str">
        <f>IFERROR(__xludf.DUMMYFUNCTION(""""""""" &amp; REGEXEXTRACT(B280, ""/detail/([^/?]+)"") &amp; """""","""),"""pbeamibpehihpjljabhnchghlbneiane"",")</f>
        <v>"pbeamibpehihpjljabhnchghlbneiane",</v>
      </c>
    </row>
    <row r="281">
      <c r="A281" s="4" t="s">
        <v>19464</v>
      </c>
      <c r="B281" s="4" t="s">
        <v>558</v>
      </c>
      <c r="C281" s="16" t="str">
        <f>IFERROR(__xludf.DUMMYFUNCTION(""""""""" &amp; REGEXEXTRACT(B281, ""/detail/([^/?]+)"") &amp; """""","""),"""pfcpjkoiknombhfcjnjihpafmkhmdcjb"",")</f>
        <v>"pfcpjkoiknombhfcjnjihpafmkhmdcjb",</v>
      </c>
    </row>
    <row r="282">
      <c r="A282" s="4" t="s">
        <v>19465</v>
      </c>
      <c r="B282" s="4" t="s">
        <v>560</v>
      </c>
      <c r="C282" s="16" t="str">
        <f>IFERROR(__xludf.DUMMYFUNCTION(""""""""" &amp; REGEXEXTRACT(B282, ""/detail/([^/?]+)"") &amp; """""","""),"""pfdhoblngboilpfeibdedpjgfnlcodoo"",")</f>
        <v>"pfdhoblngboilpfeibdedpjgfnlcodoo",</v>
      </c>
    </row>
    <row r="283">
      <c r="A283" s="4" t="s">
        <v>19466</v>
      </c>
      <c r="B283" s="4" t="s">
        <v>562</v>
      </c>
      <c r="C283" s="16" t="str">
        <f>IFERROR(__xludf.DUMMYFUNCTION(""""""""" &amp; REGEXEXTRACT(B283, ""/detail/([^/?]+)"") &amp; """""","""),"""pgniedifoejifjkndekolimjeclnokkb"",")</f>
        <v>"pgniedifoejifjkndekolimjeclnokkb",</v>
      </c>
    </row>
    <row r="284">
      <c r="A284" s="4" t="s">
        <v>19467</v>
      </c>
      <c r="B284" s="4" t="s">
        <v>564</v>
      </c>
      <c r="C284" s="16" t="str">
        <f>IFERROR(__xludf.DUMMYFUNCTION(""""""""" &amp; REGEXEXTRACT(B284, ""/detail/([^/?]+)"") &amp; """""","""),"""pkoacgokdfckfpndoffpifphamojphii"",")</f>
        <v>"pkoacgokdfckfpndoffpifphamojphii",</v>
      </c>
    </row>
    <row r="285">
      <c r="A285" s="4" t="s">
        <v>19468</v>
      </c>
      <c r="B285" s="4" t="s">
        <v>568</v>
      </c>
      <c r="C285" s="16" t="str">
        <f>IFERROR(__xludf.DUMMYFUNCTION(""""""""" &amp; REGEXEXTRACT(B285, ""/detail/([^/?]+)"") &amp; """""","""),"""edhnemgfcihjcpfhkoiiejgedkbefnhg"",")</f>
        <v>"edhnemgfcihjcpfhkoiiejgedkbefnhg",</v>
      </c>
    </row>
    <row r="286">
      <c r="A286" s="4" t="s">
        <v>19469</v>
      </c>
      <c r="B286" s="4" t="s">
        <v>570</v>
      </c>
      <c r="C286" s="16" t="str">
        <f>IFERROR(__xludf.DUMMYFUNCTION(""""""""" &amp; REGEXEXTRACT(B286, ""/detail/([^/?]+)"") &amp; """""","""),"""efjcmgblfpkhbjpkpopkgeomfkokpaim"",")</f>
        <v>"efjcmgblfpkhbjpkpopkgeomfkokpaim",</v>
      </c>
    </row>
    <row r="287">
      <c r="A287" s="4" t="s">
        <v>19470</v>
      </c>
      <c r="B287" s="4" t="s">
        <v>572</v>
      </c>
      <c r="C287" s="16" t="str">
        <f>IFERROR(__xludf.DUMMYFUNCTION(""""""""" &amp; REGEXEXTRACT(B287, ""/detail/([^/?]+)"") &amp; """""","""),"""enacoimjcgeinfnnnpajinjgmkahmfgb"",")</f>
        <v>"enacoimjcgeinfnnnpajinjgmkahmfgb",</v>
      </c>
    </row>
    <row r="288">
      <c r="A288" s="4" t="s">
        <v>19471</v>
      </c>
      <c r="B288" s="4" t="s">
        <v>574</v>
      </c>
      <c r="C288" s="16" t="str">
        <f>IFERROR(__xludf.DUMMYFUNCTION(""""""""" &amp; REGEXEXTRACT(B288, ""/detail/([^/?]+)"") &amp; """""","""),"""geenaogahfiljnpdafiobohipggenddh"",")</f>
        <v>"geenaogahfiljnpdafiobohipggenddh",</v>
      </c>
    </row>
    <row r="289">
      <c r="A289" s="4" t="s">
        <v>19472</v>
      </c>
      <c r="B289" s="4" t="s">
        <v>576</v>
      </c>
      <c r="C289" s="16" t="str">
        <f>IFERROR(__xludf.DUMMYFUNCTION(""""""""" &amp; REGEXEXTRACT(B289, ""/detail/([^/?]+)"") &amp; """""","""),"""gkdkpnimfmkkhlffjbijibpoimhihjea"",")</f>
        <v>"gkdkpnimfmkkhlffjbijibpoimhihjea",</v>
      </c>
    </row>
    <row r="290">
      <c r="A290" s="4" t="s">
        <v>19473</v>
      </c>
      <c r="B290" s="4" t="s">
        <v>578</v>
      </c>
      <c r="C290" s="16" t="str">
        <f>IFERROR(__xludf.DUMMYFUNCTION(""""""""" &amp; REGEXEXTRACT(B290, ""/detail/([^/?]+)"") &amp; """""","""),"""hbmcflodcpmdbpelmchgmekkbdbmlmfh"",")</f>
        <v>"hbmcflodcpmdbpelmchgmekkbdbmlmfh",</v>
      </c>
    </row>
    <row r="291">
      <c r="A291" s="4" t="s">
        <v>19474</v>
      </c>
      <c r="B291" s="4" t="s">
        <v>580</v>
      </c>
      <c r="C291" s="16" t="str">
        <f>IFERROR(__xludf.DUMMYFUNCTION(""""""""" &amp; REGEXEXTRACT(B291, ""/detail/([^/?]+)"") &amp; """""","""),"""iffdacemhfpnchinokehhnppllonacfj"",")</f>
        <v>"iffdacemhfpnchinokehhnppllonacfj",</v>
      </c>
    </row>
    <row r="292">
      <c r="A292" s="4" t="s">
        <v>19475</v>
      </c>
      <c r="B292" s="4" t="s">
        <v>582</v>
      </c>
      <c r="C292" s="16" t="str">
        <f>IFERROR(__xludf.DUMMYFUNCTION(""""""""" &amp; REGEXEXTRACT(B292, ""/detail/([^/?]+)"") &amp; """""","""),"""joinpgckiioeklibflapokicmndlcnef"",")</f>
        <v>"joinpgckiioeklibflapokicmndlcnef",</v>
      </c>
    </row>
    <row r="293">
      <c r="A293" s="4" t="s">
        <v>19476</v>
      </c>
      <c r="B293" s="4" t="s">
        <v>584</v>
      </c>
      <c r="C293" s="16" t="str">
        <f>IFERROR(__xludf.DUMMYFUNCTION(""""""""" &amp; REGEXEXTRACT(B293, ""/detail/([^/?]+)"") &amp; """""","""),"""kcehcblfpidimbihdfophhhdejckolgh"",")</f>
        <v>"kcehcblfpidimbihdfophhhdejckolgh",</v>
      </c>
    </row>
    <row r="294">
      <c r="A294" s="4" t="s">
        <v>19477</v>
      </c>
      <c r="B294" s="4" t="s">
        <v>586</v>
      </c>
      <c r="C294" s="16" t="str">
        <f>IFERROR(__xludf.DUMMYFUNCTION(""""""""" &amp; REGEXEXTRACT(B294, ""/detail/([^/?]+)"") &amp; """""","""),"""khpfeaanjngmcnplbdlpegiifgpfgdco"",")</f>
        <v>"khpfeaanjngmcnplbdlpegiifgpfgdco",</v>
      </c>
    </row>
    <row r="295">
      <c r="A295" s="4" t="s">
        <v>19478</v>
      </c>
      <c r="B295" s="4" t="s">
        <v>588</v>
      </c>
      <c r="C295" s="16" t="str">
        <f>IFERROR(__xludf.DUMMYFUNCTION(""""""""" &amp; REGEXEXTRACT(B295, ""/detail/([^/?]+)"") &amp; """""","""),"""lkngoeaeclaebmpkgapchgjdbaekacki"",")</f>
        <v>"lkngoeaeclaebmpkgapchgjdbaekacki",</v>
      </c>
    </row>
    <row r="296">
      <c r="A296" s="4" t="s">
        <v>19479</v>
      </c>
      <c r="B296" s="4" t="s">
        <v>590</v>
      </c>
      <c r="C296" s="16" t="str">
        <f>IFERROR(__xludf.DUMMYFUNCTION(""""""""" &amp; REGEXEXTRACT(B296, ""/detail/([^/?]+)"") &amp; """""","""),"""lojeokmpinkpmpbakfkfpgfhpapbgdnd"",")</f>
        <v>"lojeokmpinkpmpbakfkfpgfhpapbgdnd",</v>
      </c>
    </row>
    <row r="297">
      <c r="A297" s="4" t="s">
        <v>19480</v>
      </c>
      <c r="B297" s="4" t="s">
        <v>592</v>
      </c>
      <c r="C297" s="16" t="str">
        <f>IFERROR(__xludf.DUMMYFUNCTION(""""""""" &amp; REGEXEXTRACT(B297, ""/detail/([^/?]+)"") &amp; """""","""),"""nbacobmbjgnmmdangdadkbjiabhamnco"",")</f>
        <v>"nbacobmbjgnmmdangdadkbjiabhamnco",</v>
      </c>
    </row>
    <row r="298">
      <c r="A298" s="4" t="s">
        <v>19481</v>
      </c>
      <c r="B298" s="4" t="s">
        <v>594</v>
      </c>
      <c r="C298" s="16" t="str">
        <f>IFERROR(__xludf.DUMMYFUNCTION(""""""""" &amp; REGEXEXTRACT(B298, ""/detail/([^/?]+)"") &amp; """""","""),"""pakknklefcjdhejnffafpeelofiekebg"",")</f>
        <v>"pakknklefcjdhejnffafpeelofiekebg",</v>
      </c>
    </row>
    <row r="299">
      <c r="A299" s="4" t="s">
        <v>19482</v>
      </c>
      <c r="B299" s="4" t="s">
        <v>596</v>
      </c>
      <c r="C299" s="16" t="str">
        <f>IFERROR(__xludf.DUMMYFUNCTION(""""""""" &amp; REGEXEXTRACT(B299, ""/detail/([^/?]+)"") &amp; """""","""),"""pejdnafppnpfimpnipdkiidjancinenc"",")</f>
        <v>"pejdnafppnpfimpnipdkiidjancinenc",</v>
      </c>
    </row>
    <row r="300">
      <c r="A300" s="4" t="s">
        <v>19483</v>
      </c>
      <c r="B300" s="4" t="s">
        <v>598</v>
      </c>
      <c r="C300" s="16" t="str">
        <f>IFERROR(__xludf.DUMMYFUNCTION(""""""""" &amp; REGEXEXTRACT(B300, ""/detail/([^/?]+)"") &amp; """""","""),"""cbgkkbaghihhnaeabfcmmglhnfkfnpon"",")</f>
        <v>"cbgkkbaghihhnaeabfcmmglhnfkfnpon",</v>
      </c>
    </row>
    <row r="301">
      <c r="A301" s="4" t="s">
        <v>19484</v>
      </c>
      <c r="B301" s="4" t="s">
        <v>600</v>
      </c>
      <c r="C301" s="16" t="str">
        <f>IFERROR(__xludf.DUMMYFUNCTION(""""""""" &amp; REGEXEXTRACT(B301, ""/detail/([^/?]+)"") &amp; """""","""),"""ccljlmmlgpdlbpgafhnejagfjdlonnij"",")</f>
        <v>"ccljlmmlgpdlbpgafhnejagfjdlonnij",</v>
      </c>
    </row>
    <row r="302">
      <c r="A302" s="4" t="s">
        <v>19485</v>
      </c>
      <c r="B302" s="4" t="s">
        <v>602</v>
      </c>
      <c r="C302" s="16" t="str">
        <f>IFERROR(__xludf.DUMMYFUNCTION(""""""""" &amp; REGEXEXTRACT(B302, ""/detail/([^/?]+)"") &amp; """""","""),"""clpapnmmlmecieknddelobgikompchkk"",")</f>
        <v>"clpapnmmlmecieknddelobgikompchkk",</v>
      </c>
    </row>
    <row r="303">
      <c r="A303" s="4" t="s">
        <v>19486</v>
      </c>
      <c r="B303" s="4" t="s">
        <v>604</v>
      </c>
      <c r="C303" s="16" t="str">
        <f>IFERROR(__xludf.DUMMYFUNCTION(""""""""" &amp; REGEXEXTRACT(B303, ""/detail/([^/?]+)"") &amp; """""","""),"""eiadekoaikejlgdbkbdfeijglgfdalml"",")</f>
        <v>"eiadekoaikejlgdbkbdfeijglgfdalml",</v>
      </c>
    </row>
    <row r="304">
      <c r="A304" s="4" t="s">
        <v>19487</v>
      </c>
      <c r="B304" s="4" t="s">
        <v>606</v>
      </c>
      <c r="C304" s="16" t="str">
        <f>IFERROR(__xludf.DUMMYFUNCTION(""""""""" &amp; REGEXEXTRACT(B304, ""/detail/([^/?]+)"") &amp; """""","""),"""elnocalmhgohlhjlpabeanaplckehhpl"",")</f>
        <v>"elnocalmhgohlhjlpabeanaplckehhpl",</v>
      </c>
    </row>
    <row r="305">
      <c r="A305" s="4" t="s">
        <v>19488</v>
      </c>
      <c r="B305" s="4" t="s">
        <v>608</v>
      </c>
      <c r="C305" s="16" t="str">
        <f>IFERROR(__xludf.DUMMYFUNCTION(""""""""" &amp; REGEXEXTRACT(B305, ""/detail/([^/?]+)"") &amp; """""","""),"""eofhamhgcjpjmipbpegbjeododphaoep"",")</f>
        <v>"eofhamhgcjpjmipbpegbjeododphaoep",</v>
      </c>
    </row>
    <row r="306">
      <c r="A306" s="4" t="s">
        <v>19489</v>
      </c>
      <c r="B306" s="4" t="s">
        <v>610</v>
      </c>
      <c r="C306" s="16" t="str">
        <f>IFERROR(__xludf.DUMMYFUNCTION(""""""""" &amp; REGEXEXTRACT(B306, ""/detail/([^/?]+)"") &amp; """""","""),"""idbpfpeogbhifooiagnbbdbffplkfcke"",")</f>
        <v>"idbpfpeogbhifooiagnbbdbffplkfcke",</v>
      </c>
    </row>
    <row r="307">
      <c r="A307" s="4" t="s">
        <v>19490</v>
      </c>
      <c r="B307" s="4" t="s">
        <v>612</v>
      </c>
      <c r="C307" s="16" t="str">
        <f>IFERROR(__xludf.DUMMYFUNCTION(""""""""" &amp; REGEXEXTRACT(B307, ""/detail/([^/?]+)"") &amp; """""","""),"""ijhlikjoigjegofbedmfmlcfkmhabldh"",")</f>
        <v>"ijhlikjoigjegofbedmfmlcfkmhabldh",</v>
      </c>
    </row>
    <row r="308">
      <c r="A308" s="4" t="s">
        <v>19491</v>
      </c>
      <c r="B308" s="4" t="s">
        <v>614</v>
      </c>
      <c r="C308" s="16" t="str">
        <f>IFERROR(__xludf.DUMMYFUNCTION(""""""""" &amp; REGEXEXTRACT(B308, ""/detail/([^/?]+)"") &amp; """""","""),"""imilbobhamcfahccagbncamhpnbkaenm"",")</f>
        <v>"imilbobhamcfahccagbncamhpnbkaenm",</v>
      </c>
    </row>
    <row r="309">
      <c r="A309" s="4" t="s">
        <v>19492</v>
      </c>
      <c r="B309" s="4" t="s">
        <v>616</v>
      </c>
      <c r="C309" s="16" t="str">
        <f>IFERROR(__xludf.DUMMYFUNCTION(""""""""" &amp; REGEXEXTRACT(B309, ""/detail/([^/?]+)"") &amp; """""","""),"""iomllmalelddmfnfpnhoginkolncgnbb"",")</f>
        <v>"iomllmalelddmfnfpnhoginkolncgnbb",</v>
      </c>
    </row>
    <row r="310">
      <c r="A310" s="4" t="s">
        <v>19493</v>
      </c>
      <c r="B310" s="4" t="s">
        <v>618</v>
      </c>
      <c r="C310" s="16" t="str">
        <f>IFERROR(__xludf.DUMMYFUNCTION(""""""""" &amp; REGEXEXTRACT(B310, ""/detail/([^/?]+)"") &amp; """""","""),"""jmpmfcjnflbcoidlgapblgpgbilinlem"",")</f>
        <v>"jmpmfcjnflbcoidlgapblgpgbilinlem",</v>
      </c>
    </row>
    <row r="311">
      <c r="A311" s="4" t="s">
        <v>19494</v>
      </c>
      <c r="B311" s="4" t="s">
        <v>620</v>
      </c>
      <c r="C311" s="16" t="str">
        <f>IFERROR(__xludf.DUMMYFUNCTION(""""""""" &amp; REGEXEXTRACT(B311, ""/detail/([^/?]+)"") &amp; """""","""),"""jpegpdbkhceiipenjmaglmphmfjjpbmp"",")</f>
        <v>"jpegpdbkhceiipenjmaglmphmfjjpbmp",</v>
      </c>
    </row>
    <row r="312">
      <c r="A312" s="4" t="s">
        <v>19495</v>
      </c>
      <c r="B312" s="4" t="s">
        <v>622</v>
      </c>
      <c r="C312" s="16" t="str">
        <f>IFERROR(__xludf.DUMMYFUNCTION(""""""""" &amp; REGEXEXTRACT(B312, ""/detail/([^/?]+)"") &amp; """""","""),"""kfjfndohjinjlkfhgbmginlaomcagikg"",")</f>
        <v>"kfjfndohjinjlkfhgbmginlaomcagikg",</v>
      </c>
    </row>
    <row r="313">
      <c r="A313" s="4" t="s">
        <v>19496</v>
      </c>
      <c r="B313" s="4" t="s">
        <v>624</v>
      </c>
      <c r="C313" s="16" t="str">
        <f>IFERROR(__xludf.DUMMYFUNCTION(""""""""" &amp; REGEXEXTRACT(B313, ""/detail/([^/?]+)"") &amp; """""","""),"""lnhgdalhhjkfmmdjbkhilkinoomigdkc"",")</f>
        <v>"lnhgdalhhjkfmmdjbkhilkinoomigdkc",</v>
      </c>
    </row>
    <row r="314">
      <c r="A314" s="4" t="s">
        <v>19497</v>
      </c>
      <c r="B314" s="4" t="s">
        <v>626</v>
      </c>
      <c r="C314" s="16" t="str">
        <f>IFERROR(__xludf.DUMMYFUNCTION(""""""""" &amp; REGEXEXTRACT(B314, ""/detail/([^/?]+)"") &amp; """""","""),"""mfbagbfobinbfmiehbnbfpngjmcgjgfl"",")</f>
        <v>"mfbagbfobinbfmiehbnbfpngjmcgjgfl",</v>
      </c>
    </row>
    <row r="315">
      <c r="A315" s="4" t="s">
        <v>19498</v>
      </c>
      <c r="B315" s="4" t="s">
        <v>628</v>
      </c>
      <c r="C315" s="16" t="str">
        <f>IFERROR(__xludf.DUMMYFUNCTION(""""""""" &amp; REGEXEXTRACT(B315, ""/detail/([^/?]+)"") &amp; """""","""),"""mgmiemnjjchgkmgbeljfocdjjnpjnmcg"",")</f>
        <v>"mgmiemnjjchgkmgbeljfocdjjnpjnmcg",</v>
      </c>
    </row>
    <row r="316">
      <c r="A316" s="4" t="s">
        <v>19499</v>
      </c>
      <c r="B316" s="4" t="s">
        <v>630</v>
      </c>
      <c r="C316" s="16" t="str">
        <f>IFERROR(__xludf.DUMMYFUNCTION(""""""""" &amp; REGEXEXTRACT(B316, ""/detail/([^/?]+)"") &amp; """""","""),"""mmjbimgpcbaegjiieojddickpjbdkeej"",")</f>
        <v>"mmjbimgpcbaegjiieojddickpjbdkeej",</v>
      </c>
    </row>
    <row r="317">
      <c r="A317" s="4" t="s">
        <v>19500</v>
      </c>
      <c r="B317" s="4" t="s">
        <v>632</v>
      </c>
      <c r="C317" s="16" t="str">
        <f>IFERROR(__xludf.DUMMYFUNCTION(""""""""" &amp; REGEXEXTRACT(B317, ""/detail/([^/?]+)"") &amp; """""","""),"""ncjdkbfljbfclahddicjlandcamhkpii"",")</f>
        <v>"ncjdkbfljbfclahddicjlandcamhkpii",</v>
      </c>
    </row>
    <row r="318">
      <c r="A318" s="4" t="s">
        <v>19501</v>
      </c>
      <c r="B318" s="4" t="s">
        <v>634</v>
      </c>
      <c r="C318" s="16" t="str">
        <f>IFERROR(__xludf.DUMMYFUNCTION(""""""""" &amp; REGEXEXTRACT(B318, ""/detail/([^/?]+)"") &amp; """""","""),"""neonnmencpneifkhlmhmfhfiklgjmloi"",")</f>
        <v>"neonnmencpneifkhlmhmfhfiklgjmloi",</v>
      </c>
    </row>
    <row r="319">
      <c r="A319" s="4" t="s">
        <v>19502</v>
      </c>
      <c r="B319" s="4" t="s">
        <v>636</v>
      </c>
      <c r="C319" s="16" t="str">
        <f>IFERROR(__xludf.DUMMYFUNCTION(""""""""" &amp; REGEXEXTRACT(B319, ""/detail/([^/?]+)"") &amp; """""","""),"""ogfcmafjalglgifnmanfmnieipoejdcf"",")</f>
        <v>"ogfcmafjalglgifnmanfmnieipoejdcf",</v>
      </c>
    </row>
    <row r="320">
      <c r="A320" s="4" t="s">
        <v>19503</v>
      </c>
      <c r="B320" s="4" t="s">
        <v>638</v>
      </c>
      <c r="C320" s="16" t="str">
        <f>IFERROR(__xludf.DUMMYFUNCTION(""""""""" &amp; REGEXEXTRACT(B320, ""/detail/([^/?]+)"") &amp; """""","""),"""ohnjgmpcibpbafdlkimncjhflgedgpam"",")</f>
        <v>"ohnjgmpcibpbafdlkimncjhflgedgpam",</v>
      </c>
    </row>
    <row r="321">
      <c r="A321" s="4" t="s">
        <v>19504</v>
      </c>
      <c r="B321" s="4" t="s">
        <v>640</v>
      </c>
      <c r="C321" s="16" t="str">
        <f>IFERROR(__xludf.DUMMYFUNCTION(""""""""" &amp; REGEXEXTRACT(B321, ""/detail/([^/?]+)"") &amp; """""","""),"""pbkloffickinnlnmefmjmjbacohecpbd"",")</f>
        <v>"pbkloffickinnlnmefmjmjbacohecpbd",</v>
      </c>
    </row>
    <row r="322">
      <c r="A322" s="4" t="s">
        <v>19505</v>
      </c>
      <c r="B322" s="4" t="s">
        <v>644</v>
      </c>
      <c r="C322" s="16" t="str">
        <f>IFERROR(__xludf.DUMMYFUNCTION(""""""""" &amp; REGEXEXTRACT(B322, ""/detail/([^/?]+)"") &amp; """""","""),"""adicaaffkmhgnfheifkjhopmambgfihl"",")</f>
        <v>"adicaaffkmhgnfheifkjhopmambgfihl",</v>
      </c>
    </row>
    <row r="323">
      <c r="A323" s="4" t="s">
        <v>19506</v>
      </c>
      <c r="B323" s="4" t="s">
        <v>646</v>
      </c>
      <c r="C323" s="16" t="str">
        <f>IFERROR(__xludf.DUMMYFUNCTION(""""""""" &amp; REGEXEXTRACT(B323, ""/detail/([^/?]+)"") &amp; """""","""),"""ahkbmjhfoplmfkpncgoedjgkajkehcgo"",")</f>
        <v>"ahkbmjhfoplmfkpncgoedjgkajkehcgo",</v>
      </c>
    </row>
    <row r="324">
      <c r="A324" s="4" t="s">
        <v>19507</v>
      </c>
      <c r="B324" s="4" t="s">
        <v>648</v>
      </c>
      <c r="C324" s="16" t="str">
        <f>IFERROR(__xludf.DUMMYFUNCTION(""""""""" &amp; REGEXEXTRACT(B324, ""/detail/([^/?]+)"") &amp; """""","""),"""alfgclaljdbleenfjjnkefddlgbknllp"",")</f>
        <v>"alfgclaljdbleenfjjnkefddlgbknllp",</v>
      </c>
    </row>
    <row r="325">
      <c r="A325" s="4" t="s">
        <v>19508</v>
      </c>
      <c r="B325" s="4" t="s">
        <v>650</v>
      </c>
      <c r="C325" s="16" t="str">
        <f>IFERROR(__xludf.DUMMYFUNCTION(""""""""" &amp; REGEXEXTRACT(B325, ""/detail/([^/?]+)"") &amp; """""","""),"""aljmkoflmjkklddjideacgmofobfkhkd"",")</f>
        <v>"aljmkoflmjkklddjideacgmofobfkhkd",</v>
      </c>
    </row>
    <row r="326">
      <c r="A326" s="4" t="s">
        <v>19509</v>
      </c>
      <c r="B326" s="4" t="s">
        <v>652</v>
      </c>
      <c r="C326" s="16" t="str">
        <f>IFERROR(__xludf.DUMMYFUNCTION(""""""""" &amp; REGEXEXTRACT(B326, ""/detail/([^/?]+)"") &amp; """""","""),"""aplgdhgdhfeipojcjbhchmolaolealnd"",")</f>
        <v>"aplgdhgdhfeipojcjbhchmolaolealnd",</v>
      </c>
    </row>
    <row r="327">
      <c r="A327" s="4" t="s">
        <v>19510</v>
      </c>
      <c r="B327" s="4" t="s">
        <v>654</v>
      </c>
      <c r="C327" s="16" t="str">
        <f>IFERROR(__xludf.DUMMYFUNCTION(""""""""" &amp; REGEXEXTRACT(B327, ""/detail/([^/?]+)"") &amp; """""","""),"""bdlhpbalhdjobabgbacbgclpjjelainj"",")</f>
        <v>"bdlhpbalhdjobabgbacbgclpjjelainj",</v>
      </c>
    </row>
    <row r="328">
      <c r="A328" s="4" t="s">
        <v>19511</v>
      </c>
      <c r="B328" s="4" t="s">
        <v>656</v>
      </c>
      <c r="C328" s="16" t="str">
        <f>IFERROR(__xludf.DUMMYFUNCTION(""""""""" &amp; REGEXEXTRACT(B328, ""/detail/([^/?]+)"") &amp; """""","""),"""cbplklgcjnhehkoigoankacpmehafhfk"",")</f>
        <v>"cbplklgcjnhehkoigoankacpmehafhfk",</v>
      </c>
    </row>
    <row r="329">
      <c r="A329" s="4" t="s">
        <v>19512</v>
      </c>
      <c r="B329" s="4" t="s">
        <v>658</v>
      </c>
      <c r="C329" s="16" t="str">
        <f>IFERROR(__xludf.DUMMYFUNCTION(""""""""" &amp; REGEXEXTRACT(B329, ""/detail/([^/?]+)"") &amp; """""","""),"""cdceffomlakcmodkiilmcbpkcpmbgoem"",")</f>
        <v>"cdceffomlakcmodkiilmcbpkcpmbgoem",</v>
      </c>
    </row>
    <row r="330">
      <c r="A330" s="4" t="s">
        <v>19513</v>
      </c>
      <c r="B330" s="4" t="s">
        <v>660</v>
      </c>
      <c r="C330" s="16" t="str">
        <f>IFERROR(__xludf.DUMMYFUNCTION(""""""""" &amp; REGEXEXTRACT(B330, ""/detail/([^/?]+)"") &amp; """""","""),"""ceipnlhmjohemhfpbjdgeigkababhmjc"",")</f>
        <v>"ceipnlhmjohemhfpbjdgeigkababhmjc",</v>
      </c>
    </row>
    <row r="331">
      <c r="A331" s="4" t="s">
        <v>19514</v>
      </c>
      <c r="B331" s="4" t="s">
        <v>662</v>
      </c>
      <c r="C331" s="16" t="str">
        <f>IFERROR(__xludf.DUMMYFUNCTION(""""""""" &amp; REGEXEXTRACT(B331, ""/detail/([^/?]+)"") &amp; """""","""),"""cffgjgigjfgjkfdopbobbdadaelbhepo"",")</f>
        <v>"cffgjgigjfgjkfdopbobbdadaelbhepo",</v>
      </c>
    </row>
    <row r="332">
      <c r="A332" s="4" t="s">
        <v>19515</v>
      </c>
      <c r="B332" s="4" t="s">
        <v>664</v>
      </c>
      <c r="C332" s="16" t="str">
        <f>IFERROR(__xludf.DUMMYFUNCTION(""""""""" &amp; REGEXEXTRACT(B332, ""/detail/([^/?]+)"") &amp; """""","""),"""cgmnfnmlficgeijcalkgnnkigkefkbhd"",")</f>
        <v>"cgmnfnmlficgeijcalkgnnkigkefkbhd",</v>
      </c>
    </row>
    <row r="333">
      <c r="A333" s="4" t="s">
        <v>19516</v>
      </c>
      <c r="B333" s="4" t="s">
        <v>666</v>
      </c>
      <c r="C333" s="16" t="str">
        <f>IFERROR(__xludf.DUMMYFUNCTION(""""""""" &amp; REGEXEXTRACT(B333, ""/detail/([^/?]+)"") &amp; """""","""),"""cmeicimcdhgohgjmpmcdpakjjdohhocg"",")</f>
        <v>"cmeicimcdhgohgjmpmcdpakjjdohhocg",</v>
      </c>
    </row>
    <row r="334">
      <c r="A334" s="4" t="s">
        <v>19517</v>
      </c>
      <c r="B334" s="4" t="s">
        <v>668</v>
      </c>
      <c r="C334" s="16" t="str">
        <f>IFERROR(__xludf.DUMMYFUNCTION(""""""""" &amp; REGEXEXTRACT(B334, ""/detail/([^/?]+)"") &amp; """""","""),"""dagdlcijhfbmgkjokkjicnnfimlebcll"",")</f>
        <v>"dagdlcijhfbmgkjokkjicnnfimlebcll",</v>
      </c>
    </row>
    <row r="335">
      <c r="A335" s="4" t="s">
        <v>19518</v>
      </c>
      <c r="B335" s="4" t="s">
        <v>670</v>
      </c>
      <c r="C335" s="16" t="str">
        <f>IFERROR(__xludf.DUMMYFUNCTION(""""""""" &amp; REGEXEXTRACT(B335, ""/detail/([^/?]+)"") &amp; """""","""),"""dpbjglmkcdbkbclmdonbkcgeiebaibkf"",")</f>
        <v>"dpbjglmkcdbkbclmdonbkcgeiebaibkf",</v>
      </c>
    </row>
    <row r="336">
      <c r="A336" s="4" t="s">
        <v>19519</v>
      </c>
      <c r="B336" s="4" t="s">
        <v>672</v>
      </c>
      <c r="C336" s="16" t="str">
        <f>IFERROR(__xludf.DUMMYFUNCTION(""""""""" &amp; REGEXEXTRACT(B336, ""/detail/([^/?]+)"") &amp; """""","""),"""dpinfolakhcnlgkdbodgabnliglebhbg"",")</f>
        <v>"dpinfolakhcnlgkdbodgabnliglebhbg",</v>
      </c>
    </row>
    <row r="337">
      <c r="A337" s="4" t="s">
        <v>19520</v>
      </c>
      <c r="B337" s="4" t="s">
        <v>674</v>
      </c>
      <c r="C337" s="16" t="str">
        <f>IFERROR(__xludf.DUMMYFUNCTION(""""""""" &amp; REGEXEXTRACT(B337, ""/detail/([^/?]+)"") &amp; """""","""),"""edeepcccaejnnodlpmcoackkdgaijakg"",")</f>
        <v>"edeepcccaejnnodlpmcoackkdgaijakg",</v>
      </c>
    </row>
    <row r="338">
      <c r="A338" s="4" t="s">
        <v>19521</v>
      </c>
      <c r="B338" s="4" t="s">
        <v>676</v>
      </c>
      <c r="C338" s="16" t="str">
        <f>IFERROR(__xludf.DUMMYFUNCTION(""""""""" &amp; REGEXEXTRACT(B338, ""/detail/([^/?]+)"") &amp; """""","""),"""emehklffcaphknhhfhadkjhpfapcbpco"",")</f>
        <v>"emehklffcaphknhhfhadkjhpfapcbpco",</v>
      </c>
    </row>
    <row r="339">
      <c r="A339" s="4" t="s">
        <v>19522</v>
      </c>
      <c r="B339" s="4" t="s">
        <v>678</v>
      </c>
      <c r="C339" s="16" t="str">
        <f>IFERROR(__xludf.DUMMYFUNCTION(""""""""" &amp; REGEXEXTRACT(B339, ""/detail/([^/?]+)"") &amp; """""","""),"""enakmcmeealkdoeindgoeogldodhdeda"",")</f>
        <v>"enakmcmeealkdoeindgoeogldodhdeda",</v>
      </c>
    </row>
    <row r="340">
      <c r="A340" s="4" t="s">
        <v>19523</v>
      </c>
      <c r="B340" s="4" t="s">
        <v>680</v>
      </c>
      <c r="C340" s="16" t="str">
        <f>IFERROR(__xludf.DUMMYFUNCTION(""""""""" &amp; REGEXEXTRACT(B340, ""/detail/([^/?]+)"") &amp; """""","""),"""enkjnfoecgdifjldcgfaefkmmiijafcj"",")</f>
        <v>"enkjnfoecgdifjldcgfaefkmmiijafcj",</v>
      </c>
    </row>
    <row r="341">
      <c r="A341" s="4" t="s">
        <v>19524</v>
      </c>
      <c r="B341" s="4" t="s">
        <v>682</v>
      </c>
      <c r="C341" s="16" t="str">
        <f>IFERROR(__xludf.DUMMYFUNCTION(""""""""" &amp; REGEXEXTRACT(B341, ""/detail/([^/?]+)"") &amp; """""","""),"""fjphfpnhpdppbninfececlllgdedghpp"",")</f>
        <v>"fjphfpnhpdppbninfececlllgdedghpp",</v>
      </c>
    </row>
    <row r="342">
      <c r="A342" s="4" t="s">
        <v>19525</v>
      </c>
      <c r="B342" s="4" t="s">
        <v>684</v>
      </c>
      <c r="C342" s="16" t="str">
        <f>IFERROR(__xludf.DUMMYFUNCTION(""""""""" &amp; REGEXEXTRACT(B342, ""/detail/([^/?]+)"") &amp; """""","""),"""gbipjohhadjcagjjjhcooalfnkdlnfim"",")</f>
        <v>"gbipjohhadjcagjjjhcooalfnkdlnfim",</v>
      </c>
    </row>
    <row r="343">
      <c r="A343" s="4" t="s">
        <v>19526</v>
      </c>
      <c r="B343" s="4" t="s">
        <v>686</v>
      </c>
      <c r="C343" s="16" t="str">
        <f>IFERROR(__xludf.DUMMYFUNCTION(""""""""" &amp; REGEXEXTRACT(B343, ""/detail/([^/?]+)"") &amp; """""","""),"""gfggjaccafhcbfogfkogggoepomehbjl"",")</f>
        <v>"gfggjaccafhcbfogfkogggoepomehbjl",</v>
      </c>
    </row>
    <row r="344">
      <c r="A344" s="4" t="s">
        <v>19527</v>
      </c>
      <c r="B344" s="4" t="s">
        <v>688</v>
      </c>
      <c r="C344" s="16" t="str">
        <f>IFERROR(__xludf.DUMMYFUNCTION(""""""""" &amp; REGEXEXTRACT(B344, ""/detail/([^/?]+)"") &amp; """""","""),"""ghagedffjalchgcgdgfindabkpnmalel"",")</f>
        <v>"ghagedffjalchgcgdgfindabkpnmalel",</v>
      </c>
    </row>
    <row r="345">
      <c r="A345" s="4" t="s">
        <v>19528</v>
      </c>
      <c r="B345" s="4" t="s">
        <v>690</v>
      </c>
      <c r="C345" s="16" t="str">
        <f>IFERROR(__xludf.DUMMYFUNCTION(""""""""" &amp; REGEXEXTRACT(B345, ""/detail/([^/?]+)"") &amp; """""","""),"""gpnebajhkedajplkepiafghcfoljbgmk"",")</f>
        <v>"gpnebajhkedajplkepiafghcfoljbgmk",</v>
      </c>
    </row>
    <row r="346">
      <c r="A346" s="4" t="s">
        <v>19529</v>
      </c>
      <c r="B346" s="4" t="s">
        <v>692</v>
      </c>
      <c r="C346" s="16" t="str">
        <f>IFERROR(__xludf.DUMMYFUNCTION(""""""""" &amp; REGEXEXTRACT(B346, ""/detail/([^/?]+)"") &amp; """""","""),"""idikgljglpfilbhaboonnpnnincjhjkd"",")</f>
        <v>"idikgljglpfilbhaboonnpnnincjhjkd",</v>
      </c>
    </row>
    <row r="347">
      <c r="A347" s="4" t="s">
        <v>19530</v>
      </c>
      <c r="B347" s="4" t="s">
        <v>694</v>
      </c>
      <c r="C347" s="16" t="str">
        <f>IFERROR(__xludf.DUMMYFUNCTION(""""""""" &amp; REGEXEXTRACT(B347, ""/detail/([^/?]+)"") &amp; """""","""),"""inblpolgchbcgmocpnalobjmmaldkjap"",")</f>
        <v>"inblpolgchbcgmocpnalobjmmaldkjap",</v>
      </c>
    </row>
    <row r="348">
      <c r="A348" s="4" t="s">
        <v>19531</v>
      </c>
      <c r="B348" s="4" t="s">
        <v>696</v>
      </c>
      <c r="C348" s="16" t="str">
        <f>IFERROR(__xludf.DUMMYFUNCTION(""""""""" &amp; REGEXEXTRACT(B348, ""/detail/([^/?]+)"") &amp; """""","""),"""inligpkjkhbpifecbdjhmdpcfhnlelja"",")</f>
        <v>"inligpkjkhbpifecbdjhmdpcfhnlelja",</v>
      </c>
    </row>
    <row r="349">
      <c r="A349" s="4" t="s">
        <v>19532</v>
      </c>
      <c r="B349" s="4" t="s">
        <v>698</v>
      </c>
      <c r="C349" s="16" t="str">
        <f>IFERROR(__xludf.DUMMYFUNCTION(""""""""" &amp; REGEXEXTRACT(B349, ""/detail/([^/?]+)"") &amp; """""","""),"""innfmlnnhfcebjcnfopadflecemoddnp"",")</f>
        <v>"innfmlnnhfcebjcnfopadflecemoddnp",</v>
      </c>
    </row>
    <row r="350">
      <c r="A350" s="4" t="s">
        <v>19533</v>
      </c>
      <c r="B350" s="4" t="s">
        <v>700</v>
      </c>
      <c r="C350" s="16" t="str">
        <f>IFERROR(__xludf.DUMMYFUNCTION(""""""""" &amp; REGEXEXTRACT(B350, ""/detail/([^/?]+)"") &amp; """""","""),"""jajcoljhdglkjpfefjkgiohbhnkkmipm"",")</f>
        <v>"jajcoljhdglkjpfefjkgiohbhnkkmipm",</v>
      </c>
    </row>
    <row r="351">
      <c r="A351" s="4" t="s">
        <v>19534</v>
      </c>
      <c r="B351" s="4" t="s">
        <v>702</v>
      </c>
      <c r="C351" s="16" t="str">
        <f>IFERROR(__xludf.DUMMYFUNCTION(""""""""" &amp; REGEXEXTRACT(B351, ""/detail/([^/?]+)"") &amp; """""","""),"""jcnfkjjanbdfabigknbedgkfjkljhbdn"",")</f>
        <v>"jcnfkjjanbdfabigknbedgkfjkljhbdn",</v>
      </c>
    </row>
    <row r="352">
      <c r="A352" s="4" t="s">
        <v>19535</v>
      </c>
      <c r="B352" s="4" t="s">
        <v>704</v>
      </c>
      <c r="C352" s="16" t="str">
        <f>IFERROR(__xludf.DUMMYFUNCTION(""""""""" &amp; REGEXEXTRACT(B352, ""/detail/([^/?]+)"") &amp; """""","""),"""kmdfbacgombndnllogoijhnggalgmkon"",")</f>
        <v>"kmdfbacgombndnllogoijhnggalgmkon",</v>
      </c>
    </row>
    <row r="353">
      <c r="A353" s="4" t="s">
        <v>19536</v>
      </c>
      <c r="B353" s="4" t="s">
        <v>706</v>
      </c>
      <c r="C353" s="16" t="str">
        <f>IFERROR(__xludf.DUMMYFUNCTION(""""""""" &amp; REGEXEXTRACT(B353, ""/detail/([^/?]+)"") &amp; """""","""),"""knbnfbamcpabcpkimmfoefmjdcgdmelh"",")</f>
        <v>"knbnfbamcpabcpkimmfoefmjdcgdmelh",</v>
      </c>
    </row>
    <row r="354">
      <c r="A354" s="4" t="s">
        <v>19537</v>
      </c>
      <c r="B354" s="4" t="s">
        <v>708</v>
      </c>
      <c r="C354" s="16" t="str">
        <f>IFERROR(__xludf.DUMMYFUNCTION(""""""""" &amp; REGEXEXTRACT(B354, ""/detail/([^/?]+)"") &amp; """""","""),"""kpmpdolpcgcihifeihogalecdkpjhiko"",")</f>
        <v>"kpmpdolpcgcihifeihogalecdkpjhiko",</v>
      </c>
    </row>
    <row r="355">
      <c r="A355" s="4" t="s">
        <v>19538</v>
      </c>
      <c r="B355" s="4" t="s">
        <v>710</v>
      </c>
      <c r="C355" s="16" t="str">
        <f>IFERROR(__xludf.DUMMYFUNCTION(""""""""" &amp; REGEXEXTRACT(B355, ""/detail/([^/?]+)"") &amp; """""","""),"""lcgmndephhjcabhhjfcmncnhbmgbkpij"",")</f>
        <v>"lcgmndephhjcabhhjfcmncnhbmgbkpij",</v>
      </c>
    </row>
    <row r="356">
      <c r="A356" s="4" t="s">
        <v>19539</v>
      </c>
      <c r="B356" s="4" t="s">
        <v>712</v>
      </c>
      <c r="C356" s="16" t="str">
        <f>IFERROR(__xludf.DUMMYFUNCTION(""""""""" &amp; REGEXEXTRACT(B356, ""/detail/([^/?]+)"") &amp; """""","""),"""ldgiafaliifpknmgofiifianlnbgflgj"",")</f>
        <v>"ldgiafaliifpknmgofiifianlnbgflgj",</v>
      </c>
    </row>
    <row r="357">
      <c r="A357" s="4" t="s">
        <v>19540</v>
      </c>
      <c r="B357" s="4" t="s">
        <v>714</v>
      </c>
      <c r="C357" s="16" t="str">
        <f>IFERROR(__xludf.DUMMYFUNCTION(""""""""" &amp; REGEXEXTRACT(B357, ""/detail/([^/?]+)"") &amp; """""","""),"""ljbmkjikheoaglnnifnghjbknejbmhap"",")</f>
        <v>"ljbmkjikheoaglnnifnghjbknejbmhap",</v>
      </c>
    </row>
    <row r="358">
      <c r="A358" s="4" t="s">
        <v>19541</v>
      </c>
      <c r="B358" s="4" t="s">
        <v>716</v>
      </c>
      <c r="C358" s="16" t="str">
        <f>IFERROR(__xludf.DUMMYFUNCTION(""""""""" &amp; REGEXEXTRACT(B358, ""/detail/([^/?]+)"") &amp; """""","""),"""lkmofgnohbedopheiphabfhfjgkhfcgf"",")</f>
        <v>"lkmofgnohbedopheiphabfhfjgkhfcgf",</v>
      </c>
    </row>
    <row r="359">
      <c r="A359" s="4" t="s">
        <v>19542</v>
      </c>
      <c r="B359" s="4" t="s">
        <v>718</v>
      </c>
      <c r="C359" s="16" t="str">
        <f>IFERROR(__xludf.DUMMYFUNCTION(""""""""" &amp; REGEXEXTRACT(B359, ""/detail/([^/?]+)"") &amp; """""","""),"""lmmpgfjnchldhcieiiegcpdmaidkaanb"",")</f>
        <v>"lmmpgfjnchldhcieiiegcpdmaidkaanb",</v>
      </c>
    </row>
    <row r="360">
      <c r="A360" s="4" t="s">
        <v>19543</v>
      </c>
      <c r="B360" s="4" t="s">
        <v>720</v>
      </c>
      <c r="C360" s="16" t="str">
        <f>IFERROR(__xludf.DUMMYFUNCTION(""""""""" &amp; REGEXEXTRACT(B360, ""/detail/([^/?]+)"") &amp; """""","""),"""lnmengjdnfjbochkdkcjbbpildacancp"",")</f>
        <v>"lnmengjdnfjbochkdkcjbbpildacancp",</v>
      </c>
    </row>
    <row r="361">
      <c r="A361" s="4" t="s">
        <v>19544</v>
      </c>
      <c r="B361" s="4" t="s">
        <v>722</v>
      </c>
      <c r="C361" s="16" t="str">
        <f>IFERROR(__xludf.DUMMYFUNCTION(""""""""" &amp; REGEXEXTRACT(B361, ""/detail/([^/?]+)"") &amp; """""","""),"""mejfjggmbnocnfibbibmoogocnjbcjnk"",")</f>
        <v>"mejfjggmbnocnfibbibmoogocnjbcjnk",</v>
      </c>
    </row>
    <row r="362">
      <c r="A362" s="4" t="s">
        <v>19545</v>
      </c>
      <c r="B362" s="4" t="s">
        <v>724</v>
      </c>
      <c r="C362" s="16" t="str">
        <f>IFERROR(__xludf.DUMMYFUNCTION(""""""""" &amp; REGEXEXTRACT(B362, ""/detail/([^/?]+)"") &amp; """""","""),"""mfhjonocnlnodflomblbjnjdpllkeljo"",")</f>
        <v>"mfhjonocnlnodflomblbjnjdpllkeljo",</v>
      </c>
    </row>
    <row r="363">
      <c r="A363" s="4" t="s">
        <v>19546</v>
      </c>
      <c r="B363" s="4" t="s">
        <v>726</v>
      </c>
      <c r="C363" s="16" t="str">
        <f>IFERROR(__xludf.DUMMYFUNCTION(""""""""" &amp; REGEXEXTRACT(B363, ""/detail/([^/?]+)"") &amp; """""","""),"""mjmabgdoainclinjecbkdancpamdiaih"",")</f>
        <v>"mjmabgdoainclinjecbkdancpamdiaih",</v>
      </c>
    </row>
    <row r="364">
      <c r="A364" s="4" t="s">
        <v>19547</v>
      </c>
      <c r="B364" s="4" t="s">
        <v>728</v>
      </c>
      <c r="C364" s="16" t="str">
        <f>IFERROR(__xludf.DUMMYFUNCTION(""""""""" &amp; REGEXEXTRACT(B364, ""/detail/([^/?]+)"") &amp; """""","""),"""mpabchoaimgbdbbjjieoaeiibojelbhm"",")</f>
        <v>"mpabchoaimgbdbbjjieoaeiibojelbhm",</v>
      </c>
    </row>
    <row r="365">
      <c r="A365" s="4" t="s">
        <v>19548</v>
      </c>
      <c r="B365" s="4" t="s">
        <v>730</v>
      </c>
      <c r="C365" s="16" t="str">
        <f>IFERROR(__xludf.DUMMYFUNCTION(""""""""" &amp; REGEXEXTRACT(B365, ""/detail/([^/?]+)"") &amp; """""","""),"""npblmhpjbopmmaadpmheopjelggjnogh"",")</f>
        <v>"npblmhpjbopmmaadpmheopjelggjnogh",</v>
      </c>
    </row>
    <row r="366">
      <c r="A366" s="4" t="s">
        <v>19549</v>
      </c>
      <c r="B366" s="4" t="s">
        <v>732</v>
      </c>
      <c r="C366" s="16" t="str">
        <f>IFERROR(__xludf.DUMMYFUNCTION(""""""""" &amp; REGEXEXTRACT(B366, ""/detail/([^/?]+)"") &amp; """""","""),"""ofgjggbjanlhbgaemjbkiegeebmccifi"",")</f>
        <v>"ofgjggbjanlhbgaemjbkiegeebmccifi",</v>
      </c>
    </row>
    <row r="367">
      <c r="A367" s="4" t="s">
        <v>19550</v>
      </c>
      <c r="B367" s="4" t="s">
        <v>734</v>
      </c>
      <c r="C367" s="16" t="str">
        <f>IFERROR(__xludf.DUMMYFUNCTION(""""""""" &amp; REGEXEXTRACT(B367, ""/detail/([^/?]+)"") &amp; """""","""),"""ofknlbikfofijlcjkfcihomkedmchfbn"",")</f>
        <v>"ofknlbikfofijlcjkfcihomkedmchfbn",</v>
      </c>
    </row>
    <row r="368">
      <c r="A368" s="4" t="s">
        <v>19551</v>
      </c>
      <c r="B368" s="4" t="s">
        <v>736</v>
      </c>
      <c r="C368" s="16" t="str">
        <f>IFERROR(__xludf.DUMMYFUNCTION(""""""""" &amp; REGEXEXTRACT(B368, ""/detail/([^/?]+)"") &amp; """""","""),"""olcfgpmjldkkjdclidhcbonieibfhhdh"",")</f>
        <v>"olcfgpmjldkkjdclidhcbonieibfhhdh",</v>
      </c>
    </row>
    <row r="369">
      <c r="A369" s="4" t="s">
        <v>19552</v>
      </c>
      <c r="B369" s="4" t="s">
        <v>738</v>
      </c>
      <c r="C369" s="16" t="str">
        <f>IFERROR(__xludf.DUMMYFUNCTION(""""""""" &amp; REGEXEXTRACT(B369, ""/detail/([^/?]+)"") &amp; """""","""),"""oneboplbahpaldoloieajnbibaeocdlj"",")</f>
        <v>"oneboplbahpaldoloieajnbibaeocdlj",</v>
      </c>
    </row>
    <row r="370">
      <c r="A370" s="4" t="s">
        <v>19553</v>
      </c>
      <c r="B370" s="4" t="s">
        <v>740</v>
      </c>
      <c r="C370" s="16" t="str">
        <f>IFERROR(__xludf.DUMMYFUNCTION(""""""""" &amp; REGEXEXTRACT(B370, ""/detail/([^/?]+)"") &amp; """""","""),"""pappcjmimkmjekiaiedkhfogpclanicb"",")</f>
        <v>"pappcjmimkmjekiaiedkhfogpclanicb",</v>
      </c>
    </row>
    <row r="371">
      <c r="A371" s="4" t="s">
        <v>19554</v>
      </c>
      <c r="B371" s="4" t="s">
        <v>742</v>
      </c>
      <c r="C371" s="16" t="str">
        <f>IFERROR(__xludf.DUMMYFUNCTION(""""""""" &amp; REGEXEXTRACT(B371, ""/detail/([^/?]+)"") &amp; """""","""),"""pcmpcfapbekmbjjkdalcgopdkipoggdi"",")</f>
        <v>"pcmpcfapbekmbjjkdalcgopdkipoggdi",</v>
      </c>
    </row>
    <row r="372">
      <c r="A372" s="4" t="s">
        <v>19555</v>
      </c>
      <c r="B372" s="4" t="s">
        <v>744</v>
      </c>
      <c r="C372" s="16" t="str">
        <f>IFERROR(__xludf.DUMMYFUNCTION(""""""""" &amp; REGEXEXTRACT(B372, ""/detail/([^/?]+)"") &amp; """""","""),"""ppaojnbmmaigjmlpjaldnkgnklhicppk"",")</f>
        <v>"ppaojnbmmaigjmlpjaldnkgnklhicppk",</v>
      </c>
    </row>
    <row r="373">
      <c r="A373" s="4" t="s">
        <v>19556</v>
      </c>
      <c r="B373" s="4" t="s">
        <v>746</v>
      </c>
      <c r="C373" s="16" t="str">
        <f>IFERROR(__xludf.DUMMYFUNCTION(""""""""" &amp; REGEXEXTRACT(B373, ""/detail/([^/?]+)"") &amp; """""","""),"""adjifobelhoemalljgnjdlockheiacmc"",")</f>
        <v>"adjifobelhoemalljgnjdlockheiacmc",</v>
      </c>
    </row>
    <row r="374">
      <c r="A374" s="4" t="s">
        <v>19557</v>
      </c>
      <c r="B374" s="4" t="s">
        <v>748</v>
      </c>
      <c r="C374" s="16" t="str">
        <f>IFERROR(__xludf.DUMMYFUNCTION(""""""""" &amp; REGEXEXTRACT(B374, ""/detail/([^/?]+)"") &amp; """""","""),"""bcbibglkpaimhgmoomembjhclhipoack"",")</f>
        <v>"bcbibglkpaimhgmoomembjhclhipoack",</v>
      </c>
    </row>
    <row r="375">
      <c r="A375" s="4" t="s">
        <v>19558</v>
      </c>
      <c r="B375" s="4" t="s">
        <v>750</v>
      </c>
      <c r="C375" s="16" t="str">
        <f>IFERROR(__xludf.DUMMYFUNCTION(""""""""" &amp; REGEXEXTRACT(B375, ""/detail/([^/?]+)"") &amp; """""","""),"""bhbekkddpbpbibiknkcjamlkhoghieie"",")</f>
        <v>"bhbekkddpbpbibiknkcjamlkhoghieie",</v>
      </c>
    </row>
    <row r="376">
      <c r="A376" s="4" t="s">
        <v>19559</v>
      </c>
      <c r="B376" s="4" t="s">
        <v>752</v>
      </c>
      <c r="C376" s="16" t="str">
        <f>IFERROR(__xludf.DUMMYFUNCTION(""""""""" &amp; REGEXEXTRACT(B376, ""/detail/([^/?]+)"") &amp; """""","""),"""bikeebdigkompjnpcljicocidefgbhgl"",")</f>
        <v>"bikeebdigkompjnpcljicocidefgbhgl",</v>
      </c>
    </row>
    <row r="377">
      <c r="A377" s="4" t="s">
        <v>19560</v>
      </c>
      <c r="B377" s="4" t="s">
        <v>754</v>
      </c>
      <c r="C377" s="16" t="str">
        <f>IFERROR(__xludf.DUMMYFUNCTION(""""""""" &amp; REGEXEXTRACT(B377, ""/detail/([^/?]+)"") &amp; """""","""),"""bkijmpolkanhdehnlnabfooghjdokakc"",")</f>
        <v>"bkijmpolkanhdehnlnabfooghjdokakc",</v>
      </c>
    </row>
    <row r="378">
      <c r="A378" s="4" t="s">
        <v>19561</v>
      </c>
      <c r="B378" s="4" t="s">
        <v>756</v>
      </c>
      <c r="C378" s="16" t="str">
        <f>IFERROR(__xludf.DUMMYFUNCTION(""""""""" &amp; REGEXEXTRACT(B378, ""/detail/([^/?]+)"") &amp; """""","""),"""cammakhaipbljopbkbbffhachjekcfki"",")</f>
        <v>"cammakhaipbljopbkbbffhachjekcfki",</v>
      </c>
    </row>
    <row r="379">
      <c r="A379" s="4" t="s">
        <v>19562</v>
      </c>
      <c r="B379" s="4" t="s">
        <v>758</v>
      </c>
      <c r="C379" s="16" t="str">
        <f>IFERROR(__xludf.DUMMYFUNCTION(""""""""" &amp; REGEXEXTRACT(B379, ""/detail/([^/?]+)"") &amp; """""","""),"""cbagleaaaocejmdeichhdkmjebpljckh"",")</f>
        <v>"cbagleaaaocejmdeichhdkmjebpljckh",</v>
      </c>
    </row>
    <row r="380">
      <c r="A380" s="4" t="s">
        <v>19563</v>
      </c>
      <c r="B380" s="4" t="s">
        <v>760</v>
      </c>
      <c r="C380" s="16" t="str">
        <f>IFERROR(__xludf.DUMMYFUNCTION(""""""""" &amp; REGEXEXTRACT(B380, ""/detail/([^/?]+)"") &amp; """""","""),"""cfaiemjbjcbagnibmlflmmfccfdmnbek"",")</f>
        <v>"cfaiemjbjcbagnibmlflmmfccfdmnbek",</v>
      </c>
    </row>
    <row r="381">
      <c r="A381" s="4" t="s">
        <v>19564</v>
      </c>
      <c r="B381" s="4" t="s">
        <v>762</v>
      </c>
      <c r="C381" s="16" t="str">
        <f>IFERROR(__xludf.DUMMYFUNCTION(""""""""" &amp; REGEXEXTRACT(B381, ""/detail/([^/?]+)"") &amp; """""","""),"""cjbclahodcgffgpcdokophcaeahpjddj"",")</f>
        <v>"cjbclahodcgffgpcdokophcaeahpjddj",</v>
      </c>
    </row>
    <row r="382">
      <c r="A382" s="4" t="s">
        <v>19565</v>
      </c>
      <c r="B382" s="4" t="s">
        <v>764</v>
      </c>
      <c r="C382" s="16" t="str">
        <f>IFERROR(__xludf.DUMMYFUNCTION(""""""""" &amp; REGEXEXTRACT(B382, ""/detail/([^/?]+)"") &amp; """""","""),"""cngjoacjdpnadhhjpdppcdjboiclnclc"",")</f>
        <v>"cngjoacjdpnadhhjpdppcdjboiclnclc",</v>
      </c>
    </row>
    <row r="383">
      <c r="A383" s="4" t="s">
        <v>19566</v>
      </c>
      <c r="B383" s="4" t="s">
        <v>766</v>
      </c>
      <c r="C383" s="16" t="str">
        <f>IFERROR(__xludf.DUMMYFUNCTION(""""""""" &amp; REGEXEXTRACT(B383, ""/detail/([^/?]+)"") &amp; """""","""),"""ddakejacccpjkpbjblhaiajdadpkejeb"",")</f>
        <v>"ddakejacccpjkpbjblhaiajdadpkejeb",</v>
      </c>
    </row>
    <row r="384">
      <c r="A384" s="4" t="s">
        <v>19567</v>
      </c>
      <c r="B384" s="4" t="s">
        <v>768</v>
      </c>
      <c r="C384" s="16" t="str">
        <f>IFERROR(__xludf.DUMMYFUNCTION(""""""""" &amp; REGEXEXTRACT(B384, ""/detail/([^/?]+)"") &amp; """""","""),"""djbdelcnligmaaddjeenddjodmiaoffo"",")</f>
        <v>"djbdelcnligmaaddjeenddjodmiaoffo",</v>
      </c>
    </row>
    <row r="385">
      <c r="A385" s="4" t="s">
        <v>19568</v>
      </c>
      <c r="B385" s="4" t="s">
        <v>770</v>
      </c>
      <c r="C385" s="16" t="str">
        <f>IFERROR(__xludf.DUMMYFUNCTION(""""""""" &amp; REGEXEXTRACT(B385, ""/detail/([^/?]+)"") &amp; """""","""),"""dkidoflkcabkfmcpnndogifoldoegnmk"",")</f>
        <v>"dkidoflkcabkfmcpnndogifoldoegnmk",</v>
      </c>
    </row>
    <row r="386">
      <c r="A386" s="4" t="s">
        <v>19569</v>
      </c>
      <c r="B386" s="4" t="s">
        <v>772</v>
      </c>
      <c r="C386" s="16" t="str">
        <f>IFERROR(__xludf.DUMMYFUNCTION(""""""""" &amp; REGEXEXTRACT(B386, ""/detail/([^/?]+)"") &amp; """""","""),"""dpfapjogmljlpglmpmkkmopacibdajgm"",")</f>
        <v>"dpfapjogmljlpglmpmkkmopacibdajgm",</v>
      </c>
    </row>
    <row r="387">
      <c r="A387" s="4" t="s">
        <v>19570</v>
      </c>
      <c r="B387" s="4" t="s">
        <v>774</v>
      </c>
      <c r="C387" s="16" t="str">
        <f>IFERROR(__xludf.DUMMYFUNCTION(""""""""" &amp; REGEXEXTRACT(B387, ""/detail/([^/?]+)"") &amp; """""","""),"""ehafadccdcdedbhcbddihehiodgcddpl"",")</f>
        <v>"ehafadccdcdedbhcbddihehiodgcddpl",</v>
      </c>
    </row>
    <row r="388">
      <c r="A388" s="4" t="s">
        <v>19571</v>
      </c>
      <c r="B388" s="4" t="s">
        <v>776</v>
      </c>
      <c r="C388" s="16" t="str">
        <f>IFERROR(__xludf.DUMMYFUNCTION(""""""""" &amp; REGEXEXTRACT(B388, ""/detail/([^/?]+)"") &amp; """""","""),"""ehildbclipkplmjfidlkkplaieiglaml"",")</f>
        <v>"ehildbclipkplmjfidlkkplaieiglaml",</v>
      </c>
    </row>
    <row r="389">
      <c r="A389" s="4" t="s">
        <v>19572</v>
      </c>
      <c r="B389" s="4" t="s">
        <v>778</v>
      </c>
      <c r="C389" s="16" t="str">
        <f>IFERROR(__xludf.DUMMYFUNCTION(""""""""" &amp; REGEXEXTRACT(B389, ""/detail/([^/?]+)"") &amp; """""","""),"""fadgflmigmogfionelcpalhohefbnehm"",")</f>
        <v>"fadgflmigmogfionelcpalhohefbnehm",</v>
      </c>
    </row>
    <row r="390">
      <c r="A390" s="4" t="s">
        <v>19573</v>
      </c>
      <c r="B390" s="4" t="s">
        <v>780</v>
      </c>
      <c r="C390" s="16" t="str">
        <f>IFERROR(__xludf.DUMMYFUNCTION(""""""""" &amp; REGEXEXTRACT(B390, ""/detail/([^/?]+)"") &amp; """""","""),"""fgnamjpfdanadgjchlokpiclkdgnnkdj"",")</f>
        <v>"fgnamjpfdanadgjchlokpiclkdgnnkdj",</v>
      </c>
    </row>
    <row r="391">
      <c r="A391" s="4" t="s">
        <v>19574</v>
      </c>
      <c r="B391" s="4" t="s">
        <v>782</v>
      </c>
      <c r="C391" s="16" t="str">
        <f>IFERROR(__xludf.DUMMYFUNCTION(""""""""" &amp; REGEXEXTRACT(B391, ""/detail/([^/?]+)"") &amp; """""","""),"""fjccjnfkdkdmjohojoggodkigkjkkjhl"",")</f>
        <v>"fjccjnfkdkdmjohojoggodkigkjkkjhl",</v>
      </c>
    </row>
    <row r="392">
      <c r="A392" s="4" t="s">
        <v>19575</v>
      </c>
      <c r="B392" s="4" t="s">
        <v>784</v>
      </c>
      <c r="C392" s="16" t="str">
        <f>IFERROR(__xludf.DUMMYFUNCTION(""""""""" &amp; REGEXEXTRACT(B392, ""/detail/([^/?]+)"") &amp; """""","""),"""fjifglfkcaipnmhngbigdebkoikioend"",")</f>
        <v>"fjifglfkcaipnmhngbigdebkoikioend",</v>
      </c>
    </row>
    <row r="393">
      <c r="A393" s="4" t="s">
        <v>19576</v>
      </c>
      <c r="B393" s="4" t="s">
        <v>786</v>
      </c>
      <c r="C393" s="16" t="str">
        <f>IFERROR(__xludf.DUMMYFUNCTION(""""""""" &amp; REGEXEXTRACT(B393, ""/detail/([^/?]+)"") &amp; """""","""),"""flnheeellpciglgpaodhkhmapeljopja"",")</f>
        <v>"flnheeellpciglgpaodhkhmapeljopja",</v>
      </c>
    </row>
    <row r="394">
      <c r="A394" s="4" t="s">
        <v>19577</v>
      </c>
      <c r="B394" s="4" t="s">
        <v>788</v>
      </c>
      <c r="C394" s="16" t="str">
        <f>IFERROR(__xludf.DUMMYFUNCTION(""""""""" &amp; REGEXEXTRACT(B394, ""/detail/([^/?]+)"") &amp; """""","""),"""gbgfbmopppnjeabmjdinikeidmgblchn"",")</f>
        <v>"gbgfbmopppnjeabmjdinikeidmgblchn",</v>
      </c>
    </row>
    <row r="395">
      <c r="A395" s="4" t="s">
        <v>19578</v>
      </c>
      <c r="B395" s="4" t="s">
        <v>790</v>
      </c>
      <c r="C395" s="16" t="str">
        <f>IFERROR(__xludf.DUMMYFUNCTION(""""""""" &amp; REGEXEXTRACT(B395, ""/detail/([^/?]+)"") &amp; """""","""),"""gikbpaigdncgooaokibbmbmginfbgjaa"",")</f>
        <v>"gikbpaigdncgooaokibbmbmginfbgjaa",</v>
      </c>
    </row>
    <row r="396">
      <c r="A396" s="4" t="s">
        <v>19579</v>
      </c>
      <c r="B396" s="4" t="s">
        <v>792</v>
      </c>
      <c r="C396" s="16" t="str">
        <f>IFERROR(__xludf.DUMMYFUNCTION(""""""""" &amp; REGEXEXTRACT(B396, ""/detail/([^/?]+)"") &amp; """""","""),"""haeblkpifdemlfnkogkipmghfcbonief"",")</f>
        <v>"haeblkpifdemlfnkogkipmghfcbonief",</v>
      </c>
    </row>
    <row r="397">
      <c r="A397" s="4" t="s">
        <v>19580</v>
      </c>
      <c r="B397" s="4" t="s">
        <v>794</v>
      </c>
      <c r="C397" s="16" t="str">
        <f>IFERROR(__xludf.DUMMYFUNCTION(""""""""" &amp; REGEXEXTRACT(B397, ""/detail/([^/?]+)"") &amp; """""","""),"""hdadmgabliibighlbejhlglfjgplfmhb"",")</f>
        <v>"hdadmgabliibighlbejhlglfjgplfmhb",</v>
      </c>
    </row>
    <row r="398">
      <c r="A398" s="4" t="s">
        <v>19581</v>
      </c>
      <c r="B398" s="4" t="s">
        <v>796</v>
      </c>
      <c r="C398" s="16" t="str">
        <f>IFERROR(__xludf.DUMMYFUNCTION(""""""""" &amp; REGEXEXTRACT(B398, ""/detail/([^/?]+)"") &amp; """""","""),"""hdlndkkjgnpjjhcmfpehjinjbmfmglpp"",")</f>
        <v>"hdlndkkjgnpjjhcmfpehjinjbmfmglpp",</v>
      </c>
    </row>
    <row r="399">
      <c r="A399" s="4" t="s">
        <v>19582</v>
      </c>
      <c r="B399" s="4" t="s">
        <v>798</v>
      </c>
      <c r="C399" s="16" t="str">
        <f>IFERROR(__xludf.DUMMYFUNCTION(""""""""" &amp; REGEXEXTRACT(B399, ""/detail/([^/?]+)"") &amp; """""","""),"""hehdcdgdfhanbcbdkakahgpfinojokob"",")</f>
        <v>"hehdcdgdfhanbcbdkakahgpfinojokob",</v>
      </c>
    </row>
    <row r="400">
      <c r="A400" s="4" t="s">
        <v>19583</v>
      </c>
      <c r="B400" s="4" t="s">
        <v>800</v>
      </c>
      <c r="C400" s="16" t="str">
        <f>IFERROR(__xludf.DUMMYFUNCTION(""""""""" &amp; REGEXEXTRACT(B400, ""/detail/([^/?]+)"") &amp; """""","""),"""hemojaaeigabkbcookmlgmdigohjobjm"",")</f>
        <v>"hemojaaeigabkbcookmlgmdigohjobjm",</v>
      </c>
    </row>
    <row r="401">
      <c r="A401" s="4" t="s">
        <v>19584</v>
      </c>
      <c r="B401" s="4" t="s">
        <v>802</v>
      </c>
      <c r="C401" s="16" t="str">
        <f>IFERROR(__xludf.DUMMYFUNCTION(""""""""" &amp; REGEXEXTRACT(B401, ""/detail/([^/?]+)"") &amp; """""","""),"""hgngncnljacgakaiifjcgdnknaglfipo"",")</f>
        <v>"hgngncnljacgakaiifjcgdnknaglfipo",</v>
      </c>
    </row>
    <row r="402">
      <c r="A402" s="4" t="s">
        <v>19585</v>
      </c>
      <c r="B402" s="4" t="s">
        <v>804</v>
      </c>
      <c r="C402" s="16" t="str">
        <f>IFERROR(__xludf.DUMMYFUNCTION(""""""""" &amp; REGEXEXTRACT(B402, ""/detail/([^/?]+)"") &amp; """""","""),"""hjjofhgnhekhkccpcnnloagmdpafifeo"",")</f>
        <v>"hjjofhgnhekhkccpcnnloagmdpafifeo",</v>
      </c>
    </row>
    <row r="403">
      <c r="A403" s="4" t="s">
        <v>19586</v>
      </c>
      <c r="B403" s="4" t="s">
        <v>806</v>
      </c>
      <c r="C403" s="16" t="str">
        <f>IFERROR(__xludf.DUMMYFUNCTION(""""""""" &amp; REGEXEXTRACT(B403, ""/detail/([^/?]+)"") &amp; """""","""),"""hjlgbdmfljafjdkpgdiefkplpkcjlphh"",")</f>
        <v>"hjlgbdmfljafjdkpgdiefkplpkcjlphh",</v>
      </c>
    </row>
    <row r="404">
      <c r="A404" s="4" t="s">
        <v>19587</v>
      </c>
      <c r="B404" s="4" t="s">
        <v>808</v>
      </c>
      <c r="C404" s="16" t="str">
        <f>IFERROR(__xludf.DUMMYFUNCTION(""""""""" &amp; REGEXEXTRACT(B404, ""/detail/([^/?]+)"") &amp; """""","""),"""hpmobkglehhleflhaefmfajhbdnjmgim"",")</f>
        <v>"hpmobkglehhleflhaefmfajhbdnjmgim",</v>
      </c>
    </row>
    <row r="405">
      <c r="A405" s="4" t="s">
        <v>19588</v>
      </c>
      <c r="B405" s="4" t="s">
        <v>810</v>
      </c>
      <c r="C405" s="16" t="str">
        <f>IFERROR(__xludf.DUMMYFUNCTION(""""""""" &amp; REGEXEXTRACT(B405, ""/detail/([^/?]+)"") &amp; """""","""),"""idehaflielbgpaokehlhidbjlehlfcep"",")</f>
        <v>"idehaflielbgpaokehlhidbjlehlfcep",</v>
      </c>
    </row>
    <row r="406">
      <c r="A406" s="4" t="s">
        <v>19589</v>
      </c>
      <c r="B406" s="4" t="s">
        <v>812</v>
      </c>
      <c r="C406" s="16" t="str">
        <f>IFERROR(__xludf.DUMMYFUNCTION(""""""""" &amp; REGEXEXTRACT(B406, ""/detail/([^/?]+)"") &amp; """""","""),"""ihnknokegkbpmofmafnkoadfjkhlogph"",")</f>
        <v>"ihnknokegkbpmofmafnkoadfjkhlogph",</v>
      </c>
    </row>
    <row r="407">
      <c r="A407" s="4" t="s">
        <v>19590</v>
      </c>
      <c r="B407" s="4" t="s">
        <v>814</v>
      </c>
      <c r="C407" s="16" t="str">
        <f>IFERROR(__xludf.DUMMYFUNCTION(""""""""" &amp; REGEXEXTRACT(B407, ""/detail/([^/?]+)"") &amp; """""","""),"""ipkfnchcgalnafehpglfbommidgmalan"",")</f>
        <v>"ipkfnchcgalnafehpglfbommidgmalan",</v>
      </c>
    </row>
    <row r="408">
      <c r="A408" s="4" t="s">
        <v>19591</v>
      </c>
      <c r="B408" s="4" t="s">
        <v>816</v>
      </c>
      <c r="C408" s="16" t="str">
        <f>IFERROR(__xludf.DUMMYFUNCTION(""""""""" &amp; REGEXEXTRACT(B408, ""/detail/([^/?]+)"") &amp; """""","""),"""jojlddfolpiejckahpinefdikdogenjg"",")</f>
        <v>"jojlddfolpiejckahpinefdikdogenjg",</v>
      </c>
    </row>
    <row r="409">
      <c r="A409" s="4" t="s">
        <v>19592</v>
      </c>
      <c r="B409" s="4" t="s">
        <v>818</v>
      </c>
      <c r="C409" s="16" t="str">
        <f>IFERROR(__xludf.DUMMYFUNCTION(""""""""" &amp; REGEXEXTRACT(B409, ""/detail/([^/?]+)"") &amp; """""","""),"""kadpkdielickimifpinkknemjdipghaf"",")</f>
        <v>"kadpkdielickimifpinkknemjdipghaf",</v>
      </c>
    </row>
    <row r="410">
      <c r="A410" s="4" t="s">
        <v>19593</v>
      </c>
      <c r="B410" s="4" t="s">
        <v>820</v>
      </c>
      <c r="C410" s="16" t="str">
        <f>IFERROR(__xludf.DUMMYFUNCTION(""""""""" &amp; REGEXEXTRACT(B410, ""/detail/([^/?]+)"") &amp; """""","""),"""kaedchgajfpgipflgbgeeiiajekblklm"",")</f>
        <v>"kaedchgajfpgipflgbgeeiiajekblklm",</v>
      </c>
    </row>
    <row r="411">
      <c r="A411" s="4" t="s">
        <v>19594</v>
      </c>
      <c r="B411" s="4" t="s">
        <v>822</v>
      </c>
      <c r="C411" s="16" t="str">
        <f>IFERROR(__xludf.DUMMYFUNCTION(""""""""" &amp; REGEXEXTRACT(B411, ""/detail/([^/?]+)"") &amp; """""","""),"""kbgigmcnifmaklccibmlepmahpfdhjch"",")</f>
        <v>"kbgigmcnifmaklccibmlepmahpfdhjch",</v>
      </c>
    </row>
    <row r="412">
      <c r="A412" s="4" t="s">
        <v>19595</v>
      </c>
      <c r="B412" s="4" t="s">
        <v>824</v>
      </c>
      <c r="C412" s="16" t="str">
        <f>IFERROR(__xludf.DUMMYFUNCTION(""""""""" &amp; REGEXEXTRACT(B412, ""/detail/([^/?]+)"") &amp; """""","""),"""kclbicheojedbinfjdjjolmciodoihkl"",")</f>
        <v>"kclbicheojedbinfjdjjolmciodoihkl",</v>
      </c>
    </row>
    <row r="413">
      <c r="A413" s="4" t="s">
        <v>19596</v>
      </c>
      <c r="B413" s="4" t="s">
        <v>826</v>
      </c>
      <c r="C413" s="16" t="str">
        <f>IFERROR(__xludf.DUMMYFUNCTION(""""""""" &amp; REGEXEXTRACT(B413, ""/detail/([^/?]+)"") &amp; """""","""),"""kidibbfcblfbbafhnlanccjjdehoahep"",")</f>
        <v>"kidibbfcblfbbafhnlanccjjdehoahep",</v>
      </c>
    </row>
    <row r="414">
      <c r="A414" s="4" t="s">
        <v>19597</v>
      </c>
      <c r="B414" s="4" t="s">
        <v>828</v>
      </c>
      <c r="C414" s="16" t="str">
        <f>IFERROR(__xludf.DUMMYFUNCTION(""""""""" &amp; REGEXEXTRACT(B414, ""/detail/([^/?]+)"") &amp; """""","""),"""kjhdffcfinhkdfbbhjlfoadcdfgihmlp"",")</f>
        <v>"kjhdffcfinhkdfbbhjlfoadcdfgihmlp",</v>
      </c>
    </row>
    <row r="415">
      <c r="A415" s="4" t="s">
        <v>19598</v>
      </c>
      <c r="B415" s="4" t="s">
        <v>830</v>
      </c>
      <c r="C415" s="16" t="str">
        <f>IFERROR(__xludf.DUMMYFUNCTION(""""""""" &amp; REGEXEXTRACT(B415, ""/detail/([^/?]+)"") &amp; """""","""),"""kpbgepniagkhbpbnbelghdjcmgladefd"",")</f>
        <v>"kpbgepniagkhbpbnbelghdjcmgladefd",</v>
      </c>
    </row>
    <row r="416">
      <c r="A416" s="4" t="s">
        <v>19599</v>
      </c>
      <c r="B416" s="4" t="s">
        <v>832</v>
      </c>
      <c r="C416" s="16" t="str">
        <f>IFERROR(__xludf.DUMMYFUNCTION(""""""""" &amp; REGEXEXTRACT(B416, ""/detail/([^/?]+)"") &amp; """""","""),"""lajchlhgfdaopdpingpkefbggcegkgla"",")</f>
        <v>"lajchlhgfdaopdpingpkefbggcegkgla",</v>
      </c>
    </row>
    <row r="417">
      <c r="A417" s="4" t="s">
        <v>19600</v>
      </c>
      <c r="B417" s="4" t="s">
        <v>834</v>
      </c>
      <c r="C417" s="16" t="str">
        <f>IFERROR(__xludf.DUMMYFUNCTION(""""""""" &amp; REGEXEXTRACT(B417, ""/detail/([^/?]+)"") &amp; """""","""),"""lhcnbocbalolokdppbnnamdhpclimhoa"",")</f>
        <v>"lhcnbocbalolokdppbnnamdhpclimhoa",</v>
      </c>
    </row>
    <row r="418">
      <c r="A418" s="4" t="s">
        <v>19601</v>
      </c>
      <c r="B418" s="4" t="s">
        <v>836</v>
      </c>
      <c r="C418" s="16" t="str">
        <f>IFERROR(__xludf.DUMMYFUNCTION(""""""""" &amp; REGEXEXTRACT(B418, ""/detail/([^/?]+)"") &amp; """""","""),"""lmbegcmkonokdjbhbamhpmkihpachdbk"",")</f>
        <v>"lmbegcmkonokdjbhbamhpmkihpachdbk",</v>
      </c>
    </row>
    <row r="419">
      <c r="A419" s="4" t="s">
        <v>19602</v>
      </c>
      <c r="B419" s="4" t="s">
        <v>838</v>
      </c>
      <c r="C419" s="16" t="str">
        <f>IFERROR(__xludf.DUMMYFUNCTION(""""""""" &amp; REGEXEXTRACT(B419, ""/detail/([^/?]+)"") &amp; """""","""),"""lppkddfmnlpjbojooindbmcokchjgbib"",")</f>
        <v>"lppkddfmnlpjbojooindbmcokchjgbib",</v>
      </c>
    </row>
    <row r="420">
      <c r="A420" s="4" t="s">
        <v>19603</v>
      </c>
      <c r="B420" s="4" t="s">
        <v>840</v>
      </c>
      <c r="C420" s="16" t="str">
        <f>IFERROR(__xludf.DUMMYFUNCTION(""""""""" &amp; REGEXEXTRACT(B420, ""/detail/([^/?]+)"") &amp; """""","""),"""mafjndpogghbanhhkaclhkbknfdgjngm"",")</f>
        <v>"mafjndpogghbanhhkaclhkbknfdgjngm",</v>
      </c>
    </row>
    <row r="421">
      <c r="A421" s="4" t="s">
        <v>19604</v>
      </c>
      <c r="B421" s="4" t="s">
        <v>842</v>
      </c>
      <c r="C421" s="16" t="str">
        <f>IFERROR(__xludf.DUMMYFUNCTION(""""""""" &amp; REGEXEXTRACT(B421, ""/detail/([^/?]+)"") &amp; """""","""),"""mbomllgopkebhhnljlgikdicedmnpknl"",")</f>
        <v>"mbomllgopkebhhnljlgikdicedmnpknl",</v>
      </c>
    </row>
    <row r="422">
      <c r="A422" s="4" t="s">
        <v>19605</v>
      </c>
      <c r="B422" s="4" t="s">
        <v>844</v>
      </c>
      <c r="C422" s="16" t="str">
        <f>IFERROR(__xludf.DUMMYFUNCTION(""""""""" &amp; REGEXEXTRACT(B422, ""/detail/([^/?]+)"") &amp; """""","""),"""mfdbamkphjbmacjbmaipkdicefagjjlp"",")</f>
        <v>"mfdbamkphjbmacjbmaipkdicefagjjlp",</v>
      </c>
    </row>
    <row r="423">
      <c r="A423" s="4" t="s">
        <v>19606</v>
      </c>
      <c r="B423" s="4" t="s">
        <v>846</v>
      </c>
      <c r="C423" s="16" t="str">
        <f>IFERROR(__xludf.DUMMYFUNCTION(""""""""" &amp; REGEXEXTRACT(B423, ""/detail/([^/?]+)"") &amp; """""","""),"""mghenlmbmjcpehccoangkdpagbcbkdpc"",")</f>
        <v>"mghenlmbmjcpehccoangkdpagbcbkdpc",</v>
      </c>
    </row>
    <row r="424">
      <c r="A424" s="4" t="s">
        <v>19607</v>
      </c>
      <c r="B424" s="4" t="s">
        <v>848</v>
      </c>
      <c r="C424" s="16" t="str">
        <f>IFERROR(__xludf.DUMMYFUNCTION(""""""""" &amp; REGEXEXTRACT(B424, ""/detail/([^/?]+)"") &amp; """""","""),"""mjicdmidmifkppilbbcanmnljpffmfmh"",")</f>
        <v>"mjicdmidmifkppilbbcanmnljpffmfmh",</v>
      </c>
    </row>
    <row r="425">
      <c r="A425" s="4" t="s">
        <v>19608</v>
      </c>
      <c r="B425" s="4" t="s">
        <v>850</v>
      </c>
      <c r="C425" s="16" t="str">
        <f>IFERROR(__xludf.DUMMYFUNCTION(""""""""" &amp; REGEXEXTRACT(B425, ""/detail/([^/?]+)"") &amp; """""","""),"""mjmgfgodldapcfepblcemihhdenlnimk"",")</f>
        <v>"mjmgfgodldapcfepblcemihhdenlnimk",</v>
      </c>
    </row>
    <row r="426">
      <c r="A426" s="4" t="s">
        <v>19609</v>
      </c>
      <c r="B426" s="4" t="s">
        <v>852</v>
      </c>
      <c r="C426" s="16" t="str">
        <f>IFERROR(__xludf.DUMMYFUNCTION(""""""""" &amp; REGEXEXTRACT(B426, ""/detail/([^/?]+)"") &amp; """""","""),"""ncppfjladdkdaemaghochfikpmghbcpc"",")</f>
        <v>"ncppfjladdkdaemaghochfikpmghbcpc",</v>
      </c>
    </row>
    <row r="427">
      <c r="A427" s="4" t="s">
        <v>19610</v>
      </c>
      <c r="B427" s="4" t="s">
        <v>854</v>
      </c>
      <c r="C427" s="16" t="str">
        <f>IFERROR(__xludf.DUMMYFUNCTION(""""""""" &amp; REGEXEXTRACT(B427, ""/detail/([^/?]+)"") &amp; """""","""),"""nlnpeeaafijaebcdgkdeojkpnkfkjdnh"",")</f>
        <v>"nlnpeeaafijaebcdgkdeojkpnkfkjdnh",</v>
      </c>
    </row>
    <row r="428">
      <c r="A428" s="4" t="s">
        <v>19611</v>
      </c>
      <c r="B428" s="4" t="s">
        <v>856</v>
      </c>
      <c r="C428" s="16" t="str">
        <f>IFERROR(__xludf.DUMMYFUNCTION(""""""""" &amp; REGEXEXTRACT(B428, ""/detail/([^/?]+)"") &amp; """""","""),"""oallcdoceahndjmaalbicbcgpfnajgae"",")</f>
        <v>"oallcdoceahndjmaalbicbcgpfnajgae",</v>
      </c>
    </row>
    <row r="429">
      <c r="A429" s="4" t="s">
        <v>19612</v>
      </c>
      <c r="B429" s="4" t="s">
        <v>858</v>
      </c>
      <c r="C429" s="16" t="str">
        <f>IFERROR(__xludf.DUMMYFUNCTION(""""""""" &amp; REGEXEXTRACT(B429, ""/detail/([^/?]+)"") &amp; """""","""),"""occpjibghkbopohbefbejkklnfdkdmok"",")</f>
        <v>"occpjibghkbopohbefbejkklnfdkdmok",</v>
      </c>
    </row>
    <row r="430">
      <c r="A430" s="4" t="s">
        <v>19613</v>
      </c>
      <c r="B430" s="4" t="s">
        <v>860</v>
      </c>
      <c r="C430" s="16" t="str">
        <f>IFERROR(__xludf.DUMMYFUNCTION(""""""""" &amp; REGEXEXTRACT(B430, ""/detail/([^/?]+)"") &amp; """""","""),"""pbnndmlekkboofhnbonilimejonapojg"",")</f>
        <v>"pbnndmlekkboofhnbonilimejonapojg",</v>
      </c>
    </row>
    <row r="431">
      <c r="A431" s="4" t="s">
        <v>19614</v>
      </c>
      <c r="B431" s="4" t="s">
        <v>862</v>
      </c>
      <c r="C431" s="16" t="str">
        <f>IFERROR(__xludf.DUMMYFUNCTION(""""""""" &amp; REGEXEXTRACT(B431, ""/detail/([^/?]+)"") &amp; """""","""),"""pffnpnkjfbkdecgjajdjailghedhgnfg"",")</f>
        <v>"pffnpnkjfbkdecgjajdjailghedhgnfg",</v>
      </c>
    </row>
    <row r="432">
      <c r="A432" s="4" t="s">
        <v>19615</v>
      </c>
      <c r="B432" s="4" t="s">
        <v>864</v>
      </c>
      <c r="C432" s="16" t="str">
        <f>IFERROR(__xludf.DUMMYFUNCTION(""""""""" &amp; REGEXEXTRACT(B432, ""/detail/([^/?]+)"") &amp; """""","""),"""pgmjaihnmedpcdkjcgigocogcbffgkbn"",")</f>
        <v>"pgmjaihnmedpcdkjcgigocogcbffgkbn",</v>
      </c>
    </row>
    <row r="433">
      <c r="A433" s="4" t="s">
        <v>19616</v>
      </c>
      <c r="B433" s="4" t="s">
        <v>866</v>
      </c>
      <c r="C433" s="16" t="str">
        <f>IFERROR(__xludf.DUMMYFUNCTION(""""""""" &amp; REGEXEXTRACT(B433, ""/detail/([^/?]+)"") &amp; """""","""),"""ppdadbejkmjnefldpcdjhnkpbjkikoip"",")</f>
        <v>"ppdadbejkmjnefldpcdjhnkpbjkikoip",</v>
      </c>
    </row>
    <row r="434">
      <c r="A434" s="4" t="s">
        <v>19617</v>
      </c>
      <c r="B434" s="4" t="s">
        <v>868</v>
      </c>
      <c r="C434" s="16" t="str">
        <f>IFERROR(__xludf.DUMMYFUNCTION(""""""""" &amp; REGEXEXTRACT(B434, ""/detail/([^/?]+)"") &amp; """""","""),"""aadahadfdmiibmdhfmpbeeebejmjnkef"",")</f>
        <v>"aadahadfdmiibmdhfmpbeeebejmjnkef",</v>
      </c>
    </row>
    <row r="435">
      <c r="A435" s="4" t="s">
        <v>19618</v>
      </c>
      <c r="B435" s="4" t="s">
        <v>870</v>
      </c>
      <c r="C435" s="16" t="str">
        <f>IFERROR(__xludf.DUMMYFUNCTION(""""""""" &amp; REGEXEXTRACT(B435, ""/detail/([^/?]+)"") &amp; """""","""),"""anbfhidldjknonaihbalghlebaijealk"",")</f>
        <v>"anbfhidldjknonaihbalghlebaijealk",</v>
      </c>
    </row>
    <row r="436">
      <c r="A436" s="4" t="s">
        <v>19619</v>
      </c>
      <c r="B436" s="4" t="s">
        <v>872</v>
      </c>
      <c r="C436" s="16" t="str">
        <f>IFERROR(__xludf.DUMMYFUNCTION(""""""""" &amp; REGEXEXTRACT(B436, ""/detail/([^/?]+)"") &amp; """""","""),"""bbebbhmelpcfmijoanocdliephmoahln"",")</f>
        <v>"bbebbhmelpcfmijoanocdliephmoahln",</v>
      </c>
    </row>
    <row r="437">
      <c r="A437" s="4" t="s">
        <v>19620</v>
      </c>
      <c r="B437" s="4" t="s">
        <v>874</v>
      </c>
      <c r="C437" s="16" t="str">
        <f>IFERROR(__xludf.DUMMYFUNCTION(""""""""" &amp; REGEXEXTRACT(B437, ""/detail/([^/?]+)"") &amp; """""","""),"""bcennaiejdjpomgmmohhpgnjlmpcjmbg"",")</f>
        <v>"bcennaiejdjpomgmmohhpgnjlmpcjmbg",</v>
      </c>
    </row>
    <row r="438">
      <c r="A438" s="4" t="s">
        <v>19621</v>
      </c>
      <c r="B438" s="4" t="s">
        <v>876</v>
      </c>
      <c r="C438" s="16" t="str">
        <f>IFERROR(__xludf.DUMMYFUNCTION(""""""""" &amp; REGEXEXTRACT(B438, ""/detail/([^/?]+)"") &amp; """""","""),"""bdkjmbcncndimgnfckabiinbjdfnkahj"",")</f>
        <v>"bdkjmbcncndimgnfckabiinbjdfnkahj",</v>
      </c>
    </row>
    <row r="439">
      <c r="A439" s="4" t="s">
        <v>19622</v>
      </c>
      <c r="B439" s="4" t="s">
        <v>878</v>
      </c>
      <c r="C439" s="16" t="str">
        <f>IFERROR(__xludf.DUMMYFUNCTION(""""""""" &amp; REGEXEXTRACT(B439, ""/detail/([^/?]+)"") &amp; """""","""),"""bijpdibkloghppkbmhcklkogpjaenfkg"",")</f>
        <v>"bijpdibkloghppkbmhcklkogpjaenfkg",</v>
      </c>
    </row>
    <row r="440">
      <c r="A440" s="4" t="s">
        <v>19623</v>
      </c>
      <c r="B440" s="4" t="s">
        <v>880</v>
      </c>
      <c r="C440" s="16" t="str">
        <f>IFERROR(__xludf.DUMMYFUNCTION(""""""""" &amp; REGEXEXTRACT(B440, ""/detail/([^/?]+)"") &amp; """""","""),"""bikpkcdadljalhghbbipfkkhocppkhob"",")</f>
        <v>"bikpkcdadljalhghbbipfkkhocppkhob",</v>
      </c>
    </row>
    <row r="441">
      <c r="A441" s="4" t="s">
        <v>19624</v>
      </c>
      <c r="B441" s="4" t="s">
        <v>882</v>
      </c>
      <c r="C441" s="16" t="str">
        <f>IFERROR(__xludf.DUMMYFUNCTION(""""""""" &amp; REGEXEXTRACT(B441, ""/detail/([^/?]+)"") &amp; """""","""),"""caahnegbjfcllcodihpdjahggfbeleie"",")</f>
        <v>"caahnegbjfcllcodihpdjahggfbeleie",</v>
      </c>
    </row>
    <row r="442">
      <c r="A442" s="4" t="s">
        <v>19625</v>
      </c>
      <c r="B442" s="4" t="s">
        <v>884</v>
      </c>
      <c r="C442" s="16" t="str">
        <f>IFERROR(__xludf.DUMMYFUNCTION(""""""""" &amp; REGEXEXTRACT(B442, ""/detail/([^/?]+)"") &amp; """""","""),"""cacfnookefkldifaigjdedpophfjkjeh"",")</f>
        <v>"cacfnookefkldifaigjdedpophfjkjeh",</v>
      </c>
    </row>
    <row r="443">
      <c r="A443" s="4" t="s">
        <v>19626</v>
      </c>
      <c r="B443" s="4" t="s">
        <v>886</v>
      </c>
      <c r="C443" s="16" t="str">
        <f>IFERROR(__xludf.DUMMYFUNCTION(""""""""" &amp; REGEXEXTRACT(B443, ""/detail/([^/?]+)"") &amp; """""","""),"""cegddajdfabllncgnkadccjdkffbnolk"",")</f>
        <v>"cegddajdfabllncgnkadccjdkffbnolk",</v>
      </c>
    </row>
    <row r="444">
      <c r="A444" s="4" t="s">
        <v>19627</v>
      </c>
      <c r="B444" s="4" t="s">
        <v>888</v>
      </c>
      <c r="C444" s="16" t="str">
        <f>IFERROR(__xludf.DUMMYFUNCTION(""""""""" &amp; REGEXEXTRACT(B444, ""/detail/([^/?]+)"") &amp; """""","""),"""cfaglmggimoleoclaghmmboppofffdda"",")</f>
        <v>"cfaglmggimoleoclaghmmboppofffdda",</v>
      </c>
    </row>
    <row r="445">
      <c r="A445" s="4" t="s">
        <v>19628</v>
      </c>
      <c r="B445" s="4" t="s">
        <v>890</v>
      </c>
      <c r="C445" s="16" t="str">
        <f>IFERROR(__xludf.DUMMYFUNCTION(""""""""" &amp; REGEXEXTRACT(B445, ""/detail/([^/?]+)"") &amp; """""","""),"""clmabinlolakdafkoajkfjjengcdmnpm"",")</f>
        <v>"clmabinlolakdafkoajkfjjengcdmnpm",</v>
      </c>
    </row>
    <row r="446">
      <c r="A446" s="4" t="s">
        <v>19629</v>
      </c>
      <c r="B446" s="4" t="s">
        <v>892</v>
      </c>
      <c r="C446" s="16" t="str">
        <f>IFERROR(__xludf.DUMMYFUNCTION(""""""""" &amp; REGEXEXTRACT(B446, ""/detail/([^/?]+)"") &amp; """""","""),"""cmogeohlpljgihhbafbnincahfmafbfn"",")</f>
        <v>"cmogeohlpljgihhbafbnincahfmafbfn",</v>
      </c>
    </row>
    <row r="447">
      <c r="A447" s="4" t="s">
        <v>19630</v>
      </c>
      <c r="B447" s="4" t="s">
        <v>894</v>
      </c>
      <c r="C447" s="16" t="str">
        <f>IFERROR(__xludf.DUMMYFUNCTION(""""""""" &amp; REGEXEXTRACT(B447, ""/detail/([^/?]+)"") &amp; """""","""),"""ddbjnfjiigjmcpcpkmhogomapikjbjdk"",")</f>
        <v>"ddbjnfjiigjmcpcpkmhogomapikjbjdk",</v>
      </c>
    </row>
    <row r="448">
      <c r="A448" s="4" t="s">
        <v>19631</v>
      </c>
      <c r="B448" s="4" t="s">
        <v>896</v>
      </c>
      <c r="C448" s="16" t="str">
        <f>IFERROR(__xludf.DUMMYFUNCTION(""""""""" &amp; REGEXEXTRACT(B448, ""/detail/([^/?]+)"") &amp; """""","""),"""dkgoclojlihiolngeagmhkjiglmoeeic"",")</f>
        <v>"dkgoclojlihiolngeagmhkjiglmoeeic",</v>
      </c>
    </row>
    <row r="449">
      <c r="A449" s="4" t="s">
        <v>19632</v>
      </c>
      <c r="B449" s="4" t="s">
        <v>897</v>
      </c>
      <c r="C449" s="16" t="str">
        <f>IFERROR(__xludf.DUMMYFUNCTION(""""""""" &amp; REGEXEXTRACT(B449, ""/detail/([^/?]+)"") &amp; """""","""),"""dkkfampndkdnjffkleokegfnibnnjfah"",")</f>
        <v>"dkkfampndkdnjffkleokegfnibnnjfah",</v>
      </c>
    </row>
    <row r="450">
      <c r="A450" s="4" t="s">
        <v>19633</v>
      </c>
      <c r="B450" s="4" t="s">
        <v>899</v>
      </c>
      <c r="C450" s="16" t="str">
        <f>IFERROR(__xludf.DUMMYFUNCTION(""""""""" &amp; REGEXEXTRACT(B450, ""/detail/([^/?]+)"") &amp; """""","""),"""dminbokeajnkkikeiepfhlgijfjjmdkf"",")</f>
        <v>"dminbokeajnkkikeiepfhlgijfjjmdkf",</v>
      </c>
    </row>
    <row r="451">
      <c r="A451" s="4" t="s">
        <v>19634</v>
      </c>
      <c r="B451" s="4" t="s">
        <v>901</v>
      </c>
      <c r="C451" s="16" t="str">
        <f>IFERROR(__xludf.DUMMYFUNCTION(""""""""" &amp; REGEXEXTRACT(B451, ""/detail/([^/?]+)"") &amp; """""","""),"""dnacggjlcbpfcfchkkogedlkenpnlfbi"",")</f>
        <v>"dnacggjlcbpfcfchkkogedlkenpnlfbi",</v>
      </c>
    </row>
    <row r="452">
      <c r="A452" s="4" t="s">
        <v>19635</v>
      </c>
      <c r="B452" s="4" t="s">
        <v>903</v>
      </c>
      <c r="C452" s="16" t="str">
        <f>IFERROR(__xludf.DUMMYFUNCTION(""""""""" &amp; REGEXEXTRACT(B452, ""/detail/([^/?]+)"") &amp; """""","""),"""ehemiojjcpldeipjhjkepfdaohajpbdo"",")</f>
        <v>"ehemiojjcpldeipjhjkepfdaohajpbdo",</v>
      </c>
    </row>
    <row r="453">
      <c r="A453" s="4" t="s">
        <v>19636</v>
      </c>
      <c r="B453" s="4" t="s">
        <v>905</v>
      </c>
      <c r="C453" s="16" t="str">
        <f>IFERROR(__xludf.DUMMYFUNCTION(""""""""" &amp; REGEXEXTRACT(B453, ""/detail/([^/?]+)"") &amp; """""","""),"""enakdcohihakipecmneppjlneaaaiffe"",")</f>
        <v>"enakdcohihakipecmneppjlneaaaiffe",</v>
      </c>
    </row>
    <row r="454">
      <c r="A454" s="4" t="s">
        <v>19637</v>
      </c>
      <c r="B454" s="4" t="s">
        <v>907</v>
      </c>
      <c r="C454" s="16" t="str">
        <f>IFERROR(__xludf.DUMMYFUNCTION(""""""""" &amp; REGEXEXTRACT(B454, ""/detail/([^/?]+)"") &amp; """""","""),"""enhkeonpomkliaedmafeniofidolfmdd"",")</f>
        <v>"enhkeonpomkliaedmafeniofidolfmdd",</v>
      </c>
    </row>
    <row r="455">
      <c r="A455" s="4" t="s">
        <v>19638</v>
      </c>
      <c r="B455" s="4" t="s">
        <v>909</v>
      </c>
      <c r="C455" s="16" t="str">
        <f>IFERROR(__xludf.DUMMYFUNCTION(""""""""" &amp; REGEXEXTRACT(B455, ""/detail/([^/?]+)"") &amp; """""","""),"""giekhiebdpmljgchjojblnekkcgpdobp"",")</f>
        <v>"giekhiebdpmljgchjojblnekkcgpdobp",</v>
      </c>
    </row>
    <row r="456">
      <c r="A456" s="4" t="s">
        <v>19639</v>
      </c>
      <c r="B456" s="4" t="s">
        <v>911</v>
      </c>
      <c r="C456" s="16" t="str">
        <f>IFERROR(__xludf.DUMMYFUNCTION(""""""""" &amp; REGEXEXTRACT(B456, ""/detail/([^/?]+)"") &amp; """""","""),"""gjnmclkoadjdljnfmbnnhaahilafoeji"",")</f>
        <v>"gjnmclkoadjdljnfmbnnhaahilafoeji",</v>
      </c>
    </row>
    <row r="457">
      <c r="A457" s="4" t="s">
        <v>19640</v>
      </c>
      <c r="B457" s="4" t="s">
        <v>913</v>
      </c>
      <c r="C457" s="16" t="str">
        <f>IFERROR(__xludf.DUMMYFUNCTION(""""""""" &amp; REGEXEXTRACT(B457, ""/detail/([^/?]+)"") &amp; """""","""),"""haafibkemckmbknhfkiiniobjpgkebko"",")</f>
        <v>"haafibkemckmbknhfkiiniobjpgkebko",</v>
      </c>
    </row>
    <row r="458">
      <c r="A458" s="4" t="s">
        <v>19641</v>
      </c>
      <c r="B458" s="4" t="s">
        <v>915</v>
      </c>
      <c r="C458" s="16" t="str">
        <f>IFERROR(__xludf.DUMMYFUNCTION(""""""""" &amp; REGEXEXTRACT(B458, ""/detail/([^/?]+)"") &amp; """""","""),"""hliiefogghiapfajokakaehafbdpokgh"",")</f>
        <v>"hliiefogghiapfajokakaehafbdpokgh",</v>
      </c>
    </row>
    <row r="459">
      <c r="A459" s="4" t="s">
        <v>19642</v>
      </c>
      <c r="B459" s="4" t="s">
        <v>917</v>
      </c>
      <c r="C459" s="16" t="str">
        <f>IFERROR(__xludf.DUMMYFUNCTION(""""""""" &amp; REGEXEXTRACT(B459, ""/detail/([^/?]+)"") &amp; """""","""),"""hncgkmhphmncjohllpoleelnibpmccpj"",")</f>
        <v>"hncgkmhphmncjohllpoleelnibpmccpj",</v>
      </c>
    </row>
    <row r="460">
      <c r="A460" s="4" t="s">
        <v>19643</v>
      </c>
      <c r="B460" s="4" t="s">
        <v>919</v>
      </c>
      <c r="C460" s="16" t="str">
        <f>IFERROR(__xludf.DUMMYFUNCTION(""""""""" &amp; REGEXEXTRACT(B460, ""/detail/([^/?]+)"") &amp; """""","""),"""hobgfokkfmmdehpedkjgkhjcnejfoodf"",")</f>
        <v>"hobgfokkfmmdehpedkjgkhjcnejfoodf",</v>
      </c>
    </row>
    <row r="461">
      <c r="A461" s="4" t="s">
        <v>19644</v>
      </c>
      <c r="B461" s="4" t="s">
        <v>921</v>
      </c>
      <c r="C461" s="16" t="str">
        <f>IFERROR(__xludf.DUMMYFUNCTION(""""""""" &amp; REGEXEXTRACT(B461, ""/detail/([^/?]+)"") &amp; """""","""),"""hogplamgfpbbbkdbjebamjacelgpmnpl"",")</f>
        <v>"hogplamgfpbbbkdbjebamjacelgpmnpl",</v>
      </c>
    </row>
    <row r="462">
      <c r="A462" s="4" t="s">
        <v>19645</v>
      </c>
      <c r="B462" s="4" t="s">
        <v>923</v>
      </c>
      <c r="C462" s="16" t="str">
        <f>IFERROR(__xludf.DUMMYFUNCTION(""""""""" &amp; REGEXEXTRACT(B462, ""/detail/([^/?]+)"") &amp; """""","""),"""iaeibhcmabccclfnafahihdndonfgebo"",")</f>
        <v>"iaeibhcmabccclfnafahihdndonfgebo",</v>
      </c>
    </row>
    <row r="463">
      <c r="A463" s="4" t="s">
        <v>19646</v>
      </c>
      <c r="B463" s="4" t="s">
        <v>925</v>
      </c>
      <c r="C463" s="16" t="str">
        <f>IFERROR(__xludf.DUMMYFUNCTION(""""""""" &amp; REGEXEXTRACT(B463, ""/detail/([^/?]+)"") &amp; """""","""),"""ibiejjpajlfljcgjndbonclhcbdcamai"",")</f>
        <v>"ibiejjpajlfljcgjndbonclhcbdcamai",</v>
      </c>
    </row>
    <row r="464">
      <c r="A464" s="4" t="s">
        <v>19647</v>
      </c>
      <c r="B464" s="4" t="s">
        <v>927</v>
      </c>
      <c r="C464" s="16" t="str">
        <f>IFERROR(__xludf.DUMMYFUNCTION(""""""""" &amp; REGEXEXTRACT(B464, ""/detail/([^/?]+)"") &amp; """""","""),"""ieoejemkppmjcdfbnfphhpbfmallhfnc"",")</f>
        <v>"ieoejemkppmjcdfbnfphhpbfmallhfnc",</v>
      </c>
    </row>
    <row r="465">
      <c r="A465" s="4" t="s">
        <v>19648</v>
      </c>
      <c r="B465" s="4" t="s">
        <v>929</v>
      </c>
      <c r="C465" s="16" t="str">
        <f>IFERROR(__xludf.DUMMYFUNCTION(""""""""" &amp; REGEXEXTRACT(B465, ""/detail/([^/?]+)"") &amp; """""","""),"""jaoafjdoijdconemdmodhbfpianehlon"",")</f>
        <v>"jaoafjdoijdconemdmodhbfpianehlon",</v>
      </c>
    </row>
    <row r="466">
      <c r="A466" s="4" t="s">
        <v>19649</v>
      </c>
      <c r="B466" s="4" t="s">
        <v>931</v>
      </c>
      <c r="C466" s="16" t="str">
        <f>IFERROR(__xludf.DUMMYFUNCTION(""""""""" &amp; REGEXEXTRACT(B466, ""/detail/([^/?]+)"") &amp; """""","""),"""jepfhfjlkgobooomdgpcjikalfpcldmm"",")</f>
        <v>"jepfhfjlkgobooomdgpcjikalfpcldmm",</v>
      </c>
    </row>
    <row r="467">
      <c r="A467" s="4" t="s">
        <v>19650</v>
      </c>
      <c r="B467" s="4" t="s">
        <v>933</v>
      </c>
      <c r="C467" s="16" t="str">
        <f>IFERROR(__xludf.DUMMYFUNCTION(""""""""" &amp; REGEXEXTRACT(B467, ""/detail/([^/?]+)"") &amp; """""","""),"""jffllllkcjoncomfjcdeplijmfnlpnbb"",")</f>
        <v>"jffllllkcjoncomfjcdeplijmfnlpnbb",</v>
      </c>
    </row>
    <row r="468">
      <c r="A468" s="4" t="s">
        <v>19651</v>
      </c>
      <c r="B468" s="4" t="s">
        <v>935</v>
      </c>
      <c r="C468" s="16" t="str">
        <f>IFERROR(__xludf.DUMMYFUNCTION(""""""""" &amp; REGEXEXTRACT(B468, ""/detail/([^/?]+)"") &amp; """""","""),"""jnmdbgnckbbmblkbammnfagdmikchhnp"",")</f>
        <v>"jnmdbgnckbbmblkbammnfagdmikchhnp",</v>
      </c>
    </row>
    <row r="469">
      <c r="A469" s="4" t="s">
        <v>19652</v>
      </c>
      <c r="B469" s="4" t="s">
        <v>937</v>
      </c>
      <c r="C469" s="16" t="str">
        <f>IFERROR(__xludf.DUMMYFUNCTION(""""""""" &amp; REGEXEXTRACT(B469, ""/detail/([^/?]+)"") &amp; """""","""),"""jpblofcpgfjikaapfedldfeilmpgkedf"",")</f>
        <v>"jpblofcpgfjikaapfedldfeilmpgkedf",</v>
      </c>
    </row>
    <row r="470">
      <c r="A470" s="4" t="s">
        <v>19653</v>
      </c>
      <c r="B470" s="4" t="s">
        <v>939</v>
      </c>
      <c r="C470" s="16" t="str">
        <f>IFERROR(__xludf.DUMMYFUNCTION(""""""""" &amp; REGEXEXTRACT(B470, ""/detail/([^/?]+)"") &amp; """""","""),"""kaimfhiiegblglllpkcpoegelgefonef"",")</f>
        <v>"kaimfhiiegblglllpkcpoegelgefonef",</v>
      </c>
    </row>
    <row r="471">
      <c r="A471" s="4" t="s">
        <v>19654</v>
      </c>
      <c r="B471" s="4" t="s">
        <v>941</v>
      </c>
      <c r="C471" s="16" t="str">
        <f>IFERROR(__xludf.DUMMYFUNCTION(""""""""" &amp; REGEXEXTRACT(B471, ""/detail/([^/?]+)"") &amp; """""","""),"""keigmbfdafflbnbceacbignhkigddiph"",")</f>
        <v>"keigmbfdafflbnbceacbignhkigddiph",</v>
      </c>
    </row>
    <row r="472">
      <c r="A472" s="4" t="s">
        <v>19655</v>
      </c>
      <c r="B472" s="4" t="s">
        <v>943</v>
      </c>
      <c r="C472" s="16" t="str">
        <f>IFERROR(__xludf.DUMMYFUNCTION(""""""""" &amp; REGEXEXTRACT(B472, ""/detail/([^/?]+)"") &amp; """""","""),"""kneikgicddfadmnpnjhbfiaoomchignh"",")</f>
        <v>"kneikgicddfadmnpnjhbfiaoomchignh",</v>
      </c>
    </row>
    <row r="473">
      <c r="A473" s="4" t="s">
        <v>19656</v>
      </c>
      <c r="B473" s="4" t="s">
        <v>945</v>
      </c>
      <c r="C473" s="16" t="str">
        <f>IFERROR(__xludf.DUMMYFUNCTION(""""""""" &amp; REGEXEXTRACT(B473, ""/detail/([^/?]+)"") &amp; """""","""),"""kngfjpghaokedippaapkfihdlmmlafcc"",")</f>
        <v>"kngfjpghaokedippaapkfihdlmmlafcc",</v>
      </c>
    </row>
    <row r="474">
      <c r="A474" s="4" t="s">
        <v>19657</v>
      </c>
      <c r="B474" s="4" t="s">
        <v>947</v>
      </c>
      <c r="C474" s="16" t="str">
        <f>IFERROR(__xludf.DUMMYFUNCTION(""""""""" &amp; REGEXEXTRACT(B474, ""/detail/([^/?]+)"") &amp; """""","""),"""lblebdecfhdegbeoejplcpmhibbkbkin"",")</f>
        <v>"lblebdecfhdegbeoejplcpmhibbkbkin",</v>
      </c>
    </row>
    <row r="475">
      <c r="A475" s="4" t="s">
        <v>19658</v>
      </c>
      <c r="B475" s="4" t="s">
        <v>949</v>
      </c>
      <c r="C475" s="16" t="str">
        <f>IFERROR(__xludf.DUMMYFUNCTION(""""""""" &amp; REGEXEXTRACT(B475, ""/detail/([^/?]+)"") &amp; """""","""),"""lhgadannddhdpkfhfjjgcpdjhpmjhkfm"",")</f>
        <v>"lhgadannddhdpkfhfjjgcpdjhpmjhkfm",</v>
      </c>
    </row>
    <row r="476">
      <c r="A476" s="4" t="s">
        <v>19659</v>
      </c>
      <c r="B476" s="4" t="s">
        <v>951</v>
      </c>
      <c r="C476" s="16" t="str">
        <f>IFERROR(__xludf.DUMMYFUNCTION(""""""""" &amp; REGEXEXTRACT(B476, ""/detail/([^/?]+)"") &amp; """""","""),"""lmplfbilpbnjhafalmhlkpggbefibode"",")</f>
        <v>"lmplfbilpbnjhafalmhlkpggbefibode",</v>
      </c>
    </row>
    <row r="477">
      <c r="A477" s="4" t="s">
        <v>19660</v>
      </c>
      <c r="B477" s="4" t="s">
        <v>953</v>
      </c>
      <c r="C477" s="16" t="str">
        <f>IFERROR(__xludf.DUMMYFUNCTION(""""""""" &amp; REGEXEXTRACT(B477, ""/detail/([^/?]+)"") &amp; """""","""),"""lpcaoilgpobajbkiamaojipjddpkkida"",")</f>
        <v>"lpcaoilgpobajbkiamaojipjddpkkida",</v>
      </c>
    </row>
    <row r="478">
      <c r="A478" s="4" t="s">
        <v>19661</v>
      </c>
      <c r="B478" s="4" t="s">
        <v>955</v>
      </c>
      <c r="C478" s="16" t="str">
        <f>IFERROR(__xludf.DUMMYFUNCTION(""""""""" &amp; REGEXEXTRACT(B478, ""/detail/([^/?]+)"") &amp; """""","""),"""lpmockibcakojclnfmhchibmdpmollgn"",")</f>
        <v>"lpmockibcakojclnfmhchibmdpmollgn",</v>
      </c>
    </row>
    <row r="479">
      <c r="A479" s="4" t="s">
        <v>19662</v>
      </c>
      <c r="B479" s="4" t="s">
        <v>957</v>
      </c>
      <c r="C479" s="16" t="str">
        <f>IFERROR(__xludf.DUMMYFUNCTION(""""""""" &amp; REGEXEXTRACT(B479, ""/detail/([^/?]+)"") &amp; """""","""),"""lpnepegcocaajhgbpcfajmdnninbjppf"",")</f>
        <v>"lpnepegcocaajhgbpcfajmdnninbjppf",</v>
      </c>
    </row>
    <row r="480">
      <c r="A480" s="4" t="s">
        <v>19663</v>
      </c>
      <c r="B480" s="4" t="s">
        <v>959</v>
      </c>
      <c r="C480" s="16" t="str">
        <f>IFERROR(__xludf.DUMMYFUNCTION(""""""""" &amp; REGEXEXTRACT(B480, ""/detail/([^/?]+)"") &amp; """""","""),"""mcekgmccnieoopjfhjoekehkjkojjnfd"",")</f>
        <v>"mcekgmccnieoopjfhjoekehkjkojjnfd",</v>
      </c>
    </row>
    <row r="481">
      <c r="A481" s="4" t="s">
        <v>19664</v>
      </c>
      <c r="B481" s="4" t="s">
        <v>961</v>
      </c>
      <c r="C481" s="16" t="str">
        <f>IFERROR(__xludf.DUMMYFUNCTION(""""""""" &amp; REGEXEXTRACT(B481, ""/detail/([^/?]+)"") &amp; """""","""),"""mjdchcigpimjbnldeiiaakooipceanbo"",")</f>
        <v>"mjdchcigpimjbnldeiiaakooipceanbo",</v>
      </c>
    </row>
    <row r="482">
      <c r="A482" s="4" t="s">
        <v>19665</v>
      </c>
      <c r="B482" s="4" t="s">
        <v>963</v>
      </c>
      <c r="C482" s="16" t="str">
        <f>IFERROR(__xludf.DUMMYFUNCTION(""""""""" &amp; REGEXEXTRACT(B482, ""/detail/([^/?]+)"") &amp; """""","""),"""nbdmccoknlfggadpfkmcpnamfnbkmkcp"",")</f>
        <v>"nbdmccoknlfggadpfkmcpnamfnbkmkcp",</v>
      </c>
    </row>
    <row r="483">
      <c r="A483" s="4" t="s">
        <v>19666</v>
      </c>
      <c r="B483" s="4" t="s">
        <v>965</v>
      </c>
      <c r="C483" s="16" t="str">
        <f>IFERROR(__xludf.DUMMYFUNCTION(""""""""" &amp; REGEXEXTRACT(B483, ""/detail/([^/?]+)"") &amp; """""","""),"""nhdelomnagopgaealggpgojkhcafhnin"",")</f>
        <v>"nhdelomnagopgaealggpgojkhcafhnin",</v>
      </c>
    </row>
    <row r="484">
      <c r="A484" s="4" t="s">
        <v>19667</v>
      </c>
      <c r="B484" s="4" t="s">
        <v>967</v>
      </c>
      <c r="C484" s="16" t="str">
        <f>IFERROR(__xludf.DUMMYFUNCTION(""""""""" &amp; REGEXEXTRACT(B484, ""/detail/([^/?]+)"") &amp; """""","""),"""niaoghengfohplclhbjnjheodgkejpih"",")</f>
        <v>"niaoghengfohplclhbjnjheodgkejpih",</v>
      </c>
    </row>
    <row r="485">
      <c r="A485" s="4" t="s">
        <v>19668</v>
      </c>
      <c r="B485" s="4" t="s">
        <v>969</v>
      </c>
      <c r="C485" s="16" t="str">
        <f>IFERROR(__xludf.DUMMYFUNCTION(""""""""" &amp; REGEXEXTRACT(B485, ""/detail/([^/?]+)"") &amp; """""","""),"""nifnmbbelnhfhgeiampkfghakhmgggcf"",")</f>
        <v>"nifnmbbelnhfhgeiampkfghakhmgggcf",</v>
      </c>
    </row>
    <row r="486">
      <c r="A486" s="4" t="s">
        <v>19669</v>
      </c>
      <c r="B486" s="4" t="s">
        <v>971</v>
      </c>
      <c r="C486" s="16" t="str">
        <f>IFERROR(__xludf.DUMMYFUNCTION(""""""""" &amp; REGEXEXTRACT(B486, ""/detail/([^/?]+)"") &amp; """""","""),"""nlngjmhlfdekmgoaaiendhkcbhdcedjh"",")</f>
        <v>"nlngjmhlfdekmgoaaiendhkcbhdcedjh",</v>
      </c>
    </row>
    <row r="487">
      <c r="A487" s="4" t="s">
        <v>19670</v>
      </c>
      <c r="B487" s="4" t="s">
        <v>973</v>
      </c>
      <c r="C487" s="16" t="str">
        <f>IFERROR(__xludf.DUMMYFUNCTION(""""""""" &amp; REGEXEXTRACT(B487, ""/detail/([^/?]+)"") &amp; """""","""),"""nmliklikilkjommabacojbijjimlgjck"",")</f>
        <v>"nmliklikilkjommabacojbijjimlgjck",</v>
      </c>
    </row>
    <row r="488">
      <c r="A488" s="4" t="s">
        <v>19671</v>
      </c>
      <c r="B488" s="4" t="s">
        <v>975</v>
      </c>
      <c r="C488" s="16" t="str">
        <f>IFERROR(__xludf.DUMMYFUNCTION(""""""""" &amp; REGEXEXTRACT(B488, ""/detail/([^/?]+)"") &amp; """""","""),"""ohecpopkeajmibbdepdebfaepkjkimgl"",")</f>
        <v>"ohecpopkeajmibbdepdebfaepkjkimgl",</v>
      </c>
    </row>
    <row r="489">
      <c r="A489" s="4" t="s">
        <v>19672</v>
      </c>
      <c r="B489" s="4" t="s">
        <v>977</v>
      </c>
      <c r="C489" s="16" t="str">
        <f>IFERROR(__xludf.DUMMYFUNCTION(""""""""" &amp; REGEXEXTRACT(B489, ""/detail/([^/?]+)"") &amp; """""","""),"""onpjdedikjphpmpfjcafkmdmngchfaid"",")</f>
        <v>"onpjdedikjphpmpfjcafkmdmngchfaid",</v>
      </c>
    </row>
    <row r="490">
      <c r="A490" s="4" t="s">
        <v>19673</v>
      </c>
      <c r="B490" s="4" t="s">
        <v>979</v>
      </c>
      <c r="C490" s="16" t="str">
        <f>IFERROR(__xludf.DUMMYFUNCTION(""""""""" &amp; REGEXEXTRACT(B490, ""/detail/([^/?]+)"") &amp; """""","""),"""pcpmcffcomlcjgpcheokdfcjipanjdpc"",")</f>
        <v>"pcpmcffcomlcjgpcheokdfcjipanjdpc",</v>
      </c>
    </row>
    <row r="491">
      <c r="A491" s="4" t="s">
        <v>19674</v>
      </c>
      <c r="B491" s="4" t="s">
        <v>981</v>
      </c>
      <c r="C491" s="16" t="str">
        <f>IFERROR(__xludf.DUMMYFUNCTION(""""""""" &amp; REGEXEXTRACT(B491, ""/detail/([^/?]+)"") &amp; """""","""),"""pdnmlnhalemfcehgdnfkpehgoniobnph"",")</f>
        <v>"pdnmlnhalemfcehgdnfkpehgoniobnph",</v>
      </c>
    </row>
    <row r="492">
      <c r="A492" s="4" t="s">
        <v>19675</v>
      </c>
      <c r="B492" s="4" t="s">
        <v>983</v>
      </c>
      <c r="C492" s="16" t="str">
        <f>IFERROR(__xludf.DUMMYFUNCTION(""""""""" &amp; REGEXEXTRACT(B492, ""/detail/([^/?]+)"") &amp; """""","""),"""pebgngldogenhmnokpncolbajkelhjba"",")</f>
        <v>"pebgngldogenhmnokpncolbajkelhjba",</v>
      </c>
    </row>
    <row r="493">
      <c r="A493" s="4" t="s">
        <v>19676</v>
      </c>
      <c r="B493" s="4" t="s">
        <v>985</v>
      </c>
      <c r="C493" s="16" t="str">
        <f>IFERROR(__xludf.DUMMYFUNCTION(""""""""" &amp; REGEXEXTRACT(B493, ""/detail/([^/?]+)"") &amp; """""","""),"""pjcgkmiglhiambjngnljkdpoggonlnfe"",")</f>
        <v>"pjcgkmiglhiambjngnljkdpoggonlnfe",</v>
      </c>
    </row>
    <row r="494">
      <c r="A494" s="4" t="s">
        <v>19677</v>
      </c>
      <c r="B494" s="4" t="s">
        <v>987</v>
      </c>
      <c r="C494" s="16" t="str">
        <f>IFERROR(__xludf.DUMMYFUNCTION(""""""""" &amp; REGEXEXTRACT(B494, ""/detail/([^/?]+)"") &amp; """""","""),"""aaebjepcfidgkojljbgoilgkgklehldj"",")</f>
        <v>"aaebjepcfidgkojljbgoilgkgklehldj",</v>
      </c>
    </row>
    <row r="495">
      <c r="A495" s="4" t="s">
        <v>19678</v>
      </c>
      <c r="B495" s="4" t="s">
        <v>989</v>
      </c>
      <c r="C495" s="16" t="str">
        <f>IFERROR(__xludf.DUMMYFUNCTION(""""""""" &amp; REGEXEXTRACT(B495, ""/detail/([^/?]+)"") &amp; """""","""),"""abbedfhgcpfnmhonjhdlmndigalhandb"",")</f>
        <v>"abbedfhgcpfnmhonjhdlmndigalhandb",</v>
      </c>
    </row>
    <row r="496">
      <c r="A496" s="4" t="s">
        <v>19679</v>
      </c>
      <c r="B496" s="4" t="s">
        <v>991</v>
      </c>
      <c r="C496" s="16" t="str">
        <f>IFERROR(__xludf.DUMMYFUNCTION(""""""""" &amp; REGEXEXTRACT(B496, ""/detail/([^/?]+)"") &amp; """""","""),"""aciombdipochlnkbpcbgdpjffcfdbggi"",")</f>
        <v>"aciombdipochlnkbpcbgdpjffcfdbggi",</v>
      </c>
    </row>
    <row r="497">
      <c r="A497" s="4" t="s">
        <v>19680</v>
      </c>
      <c r="B497" s="4" t="s">
        <v>993</v>
      </c>
      <c r="C497" s="16" t="str">
        <f>IFERROR(__xludf.DUMMYFUNCTION(""""""""" &amp; REGEXEXTRACT(B497, ""/detail/([^/?]+)"") &amp; """""","""),"""aebccligckccmbgebeogmcgdcggiinkk"",")</f>
        <v>"aebccligckccmbgebeogmcgdcggiinkk",</v>
      </c>
    </row>
    <row r="498">
      <c r="A498" s="4" t="s">
        <v>19681</v>
      </c>
      <c r="B498" s="4" t="s">
        <v>995</v>
      </c>
      <c r="C498" s="16" t="str">
        <f>IFERROR(__xludf.DUMMYFUNCTION(""""""""" &amp; REGEXEXTRACT(B498, ""/detail/([^/?]+)"") &amp; """""","""),"""aicohdnbjhigmdoeilbigahinnmcnnnk"",")</f>
        <v>"aicohdnbjhigmdoeilbigahinnmcnnnk",</v>
      </c>
    </row>
    <row r="499">
      <c r="A499" s="4" t="s">
        <v>19682</v>
      </c>
      <c r="B499" s="4" t="s">
        <v>997</v>
      </c>
      <c r="C499" s="16" t="str">
        <f>IFERROR(__xludf.DUMMYFUNCTION(""""""""" &amp; REGEXEXTRACT(B499, ""/detail/([^/?]+)"") &amp; """""","""),"""ajndhiajffnfkngbocimjhkkcngeheme"",")</f>
        <v>"ajndhiajffnfkngbocimjhkkcngeheme",</v>
      </c>
    </row>
    <row r="500">
      <c r="A500" s="4" t="s">
        <v>19683</v>
      </c>
      <c r="B500" s="4" t="s">
        <v>999</v>
      </c>
      <c r="C500" s="16" t="str">
        <f>IFERROR(__xludf.DUMMYFUNCTION(""""""""" &amp; REGEXEXTRACT(B500, ""/detail/([^/?]+)"") &amp; """""","""),"""apajbjmfhhnbgpjjnhlhnhciammcnbag"",")</f>
        <v>"apajbjmfhhnbgpjjnhlhnhciammcnbag",</v>
      </c>
    </row>
    <row r="501">
      <c r="A501" s="4" t="s">
        <v>19684</v>
      </c>
      <c r="B501" s="4" t="s">
        <v>1001</v>
      </c>
      <c r="C501" s="16" t="str">
        <f>IFERROR(__xludf.DUMMYFUNCTION(""""""""" &amp; REGEXEXTRACT(B501, ""/detail/([^/?]+)"") &amp; """""","""),"""beejegoimbgpafoobegjmhjnehlmnbcn"",")</f>
        <v>"beejegoimbgpafoobegjmhjnehlmnbcn",</v>
      </c>
    </row>
    <row r="502">
      <c r="A502" s="4" t="s">
        <v>19685</v>
      </c>
      <c r="B502" s="4" t="s">
        <v>1003</v>
      </c>
      <c r="C502" s="16" t="str">
        <f>IFERROR(__xludf.DUMMYFUNCTION(""""""""" &amp; REGEXEXTRACT(B502, ""/detail/([^/?]+)"") &amp; """""","""),"""bhbmbcgcieopphpjcakcadfphkejpnpn"",")</f>
        <v>"bhbmbcgcieopphpjcakcadfphkejpnpn",</v>
      </c>
    </row>
    <row r="503">
      <c r="A503" s="4" t="s">
        <v>19686</v>
      </c>
      <c r="B503" s="4" t="s">
        <v>1005</v>
      </c>
      <c r="C503" s="16" t="str">
        <f>IFERROR(__xludf.DUMMYFUNCTION(""""""""" &amp; REGEXEXTRACT(B503, ""/detail/([^/?]+)"") &amp; """""","""),"""bhibldekjicdbnjeeecmgoogcihoalhe"",")</f>
        <v>"bhibldekjicdbnjeeecmgoogcihoalhe",</v>
      </c>
    </row>
    <row r="504">
      <c r="A504" s="4" t="s">
        <v>19687</v>
      </c>
      <c r="B504" s="4" t="s">
        <v>1007</v>
      </c>
      <c r="C504" s="16" t="str">
        <f>IFERROR(__xludf.DUMMYFUNCTION(""""""""" &amp; REGEXEXTRACT(B504, ""/detail/([^/?]+)"") &amp; """""","""),"""biemppheiopfggogojnfpkngdkchelik"",")</f>
        <v>"biemppheiopfggogojnfpkngdkchelik",</v>
      </c>
    </row>
    <row r="505">
      <c r="A505" s="4" t="s">
        <v>19688</v>
      </c>
      <c r="B505" s="4" t="s">
        <v>1009</v>
      </c>
      <c r="C505" s="16" t="str">
        <f>IFERROR(__xludf.DUMMYFUNCTION(""""""""" &amp; REGEXEXTRACT(B505, ""/detail/([^/?]+)"") &amp; """""","""),"""bihhflimonbpcfagfadcnbbdngpopnjb"",")</f>
        <v>"bihhflimonbpcfagfadcnbbdngpopnjb",</v>
      </c>
    </row>
    <row r="506">
      <c r="A506" s="4" t="s">
        <v>19689</v>
      </c>
      <c r="B506" s="4" t="s">
        <v>1011</v>
      </c>
      <c r="C506" s="16" t="str">
        <f>IFERROR(__xludf.DUMMYFUNCTION(""""""""" &amp; REGEXEXTRACT(B506, ""/detail/([^/?]+)"") &amp; """""","""),"""bocdepodnagbohblgjmooobalmcojkpg"",")</f>
        <v>"bocdepodnagbohblgjmooobalmcojkpg",</v>
      </c>
    </row>
    <row r="507">
      <c r="A507" s="4" t="s">
        <v>19690</v>
      </c>
      <c r="B507" s="4" t="s">
        <v>1013</v>
      </c>
      <c r="C507" s="16" t="str">
        <f>IFERROR(__xludf.DUMMYFUNCTION(""""""""" &amp; REGEXEXTRACT(B507, ""/detail/([^/?]+)"") &amp; """""","""),"""boifjkmdjemnjadceofnlcnnfmjfjcoj"",")</f>
        <v>"boifjkmdjemnjadceofnlcnnfmjfjcoj",</v>
      </c>
    </row>
    <row r="508">
      <c r="A508" s="4" t="s">
        <v>19691</v>
      </c>
      <c r="B508" s="4" t="s">
        <v>1015</v>
      </c>
      <c r="C508" s="16" t="str">
        <f>IFERROR(__xludf.DUMMYFUNCTION(""""""""" &amp; REGEXEXTRACT(B508, ""/detail/([^/?]+)"") &amp; """""","""),"""bpelaihoicobbkgmhcbikncnpacdbknn"",")</f>
        <v>"bpelaihoicobbkgmhcbikncnpacdbknn",</v>
      </c>
    </row>
    <row r="509">
      <c r="A509" s="4" t="s">
        <v>19692</v>
      </c>
      <c r="B509" s="4" t="s">
        <v>1017</v>
      </c>
      <c r="C509" s="16" t="str">
        <f>IFERROR(__xludf.DUMMYFUNCTION(""""""""" &amp; REGEXEXTRACT(B509, ""/detail/([^/?]+)"") &amp; """""","""),"""caahalkghnhbabknipmconmbicpkcopl"",")</f>
        <v>"caahalkghnhbabknipmconmbicpkcopl",</v>
      </c>
    </row>
    <row r="510">
      <c r="A510" s="4" t="s">
        <v>19693</v>
      </c>
      <c r="B510" s="4" t="s">
        <v>1019</v>
      </c>
      <c r="C510" s="16" t="str">
        <f>IFERROR(__xludf.DUMMYFUNCTION(""""""""" &amp; REGEXEXTRACT(B510, ""/detail/([^/?]+)"") &amp; """""","""),"""cbimabofgmfdkicghcadidpemeenbffn"",")</f>
        <v>"cbimabofgmfdkicghcadidpemeenbffn",</v>
      </c>
    </row>
    <row r="511">
      <c r="A511" s="4" t="s">
        <v>19694</v>
      </c>
      <c r="B511" s="4" t="s">
        <v>1021</v>
      </c>
      <c r="C511" s="16" t="str">
        <f>IFERROR(__xludf.DUMMYFUNCTION(""""""""" &amp; REGEXEXTRACT(B511, ""/detail/([^/?]+)"") &amp; """""","""),"""cfojbadjlaaiddllnogeohfgamgedcfd"",")</f>
        <v>"cfojbadjlaaiddllnogeohfgamgedcfd",</v>
      </c>
    </row>
    <row r="512">
      <c r="A512" s="4" t="s">
        <v>19695</v>
      </c>
      <c r="B512" s="4" t="s">
        <v>1023</v>
      </c>
      <c r="C512" s="16" t="str">
        <f>IFERROR(__xludf.DUMMYFUNCTION(""""""""" &amp; REGEXEXTRACT(B512, ""/detail/([^/?]+)"") &amp; """""","""),"""cgajiilhmpfemmdihjnodpibaffakjhj"",")</f>
        <v>"cgajiilhmpfemmdihjnodpibaffakjhj",</v>
      </c>
    </row>
    <row r="513">
      <c r="A513" s="4" t="s">
        <v>19696</v>
      </c>
      <c r="B513" s="4" t="s">
        <v>1025</v>
      </c>
      <c r="C513" s="16" t="str">
        <f>IFERROR(__xludf.DUMMYFUNCTION(""""""""" &amp; REGEXEXTRACT(B513, ""/detail/([^/?]+)"") &amp; """""","""),"""chgpmaaockmdehmidghebcjafhihlgha"",")</f>
        <v>"chgpmaaockmdehmidghebcjafhihlgha",</v>
      </c>
    </row>
    <row r="514">
      <c r="A514" s="4" t="s">
        <v>19697</v>
      </c>
      <c r="B514" s="4" t="s">
        <v>1027</v>
      </c>
      <c r="C514" s="16" t="str">
        <f>IFERROR(__xludf.DUMMYFUNCTION(""""""""" &amp; REGEXEXTRACT(B514, ""/detail/([^/?]+)"") &amp; """""","""),"""ckdcpbflcbeillmamogkpmdhnbeggfja"",")</f>
        <v>"ckdcpbflcbeillmamogkpmdhnbeggfja",</v>
      </c>
    </row>
    <row r="515">
      <c r="A515" s="4" t="s">
        <v>19698</v>
      </c>
      <c r="B515" s="4" t="s">
        <v>1029</v>
      </c>
      <c r="C515" s="16" t="str">
        <f>IFERROR(__xludf.DUMMYFUNCTION(""""""""" &amp; REGEXEXTRACT(B515, ""/detail/([^/?]+)"") &amp; """""","""),"""cmfeooimdhjkcoiohoodihbccehncajo"",")</f>
        <v>"cmfeooimdhjkcoiohoodihbccehncajo",</v>
      </c>
    </row>
    <row r="516">
      <c r="A516" s="4" t="s">
        <v>19699</v>
      </c>
      <c r="B516" s="4" t="s">
        <v>1031</v>
      </c>
      <c r="C516" s="16" t="str">
        <f>IFERROR(__xludf.DUMMYFUNCTION(""""""""" &amp; REGEXEXTRACT(B516, ""/detail/([^/?]+)"") &amp; """""","""),"""cnlabakikmdekpfaflaihcepfkjopgll"",")</f>
        <v>"cnlabakikmdekpfaflaihcepfkjopgll",</v>
      </c>
    </row>
    <row r="517">
      <c r="A517" s="4" t="s">
        <v>19700</v>
      </c>
      <c r="B517" s="4" t="s">
        <v>1033</v>
      </c>
      <c r="C517" s="16" t="str">
        <f>IFERROR(__xludf.DUMMYFUNCTION(""""""""" &amp; REGEXEXTRACT(B517, ""/detail/([^/?]+)"") &amp; """""","""),"""copfinchbmcbjdffipaphabmjnnhijhe"",")</f>
        <v>"copfinchbmcbjdffipaphabmjnnhijhe",</v>
      </c>
    </row>
    <row r="518">
      <c r="A518" s="4" t="s">
        <v>19701</v>
      </c>
      <c r="B518" s="4" t="s">
        <v>1035</v>
      </c>
      <c r="C518" s="16" t="str">
        <f>IFERROR(__xludf.DUMMYFUNCTION(""""""""" &amp; REGEXEXTRACT(B518, ""/detail/([^/?]+)"") &amp; """""","""),"""dafgdjggglmmknipkhngniifhplpcldb"",")</f>
        <v>"dafgdjggglmmknipkhngniifhplpcldb",</v>
      </c>
    </row>
    <row r="519">
      <c r="A519" s="4" t="s">
        <v>19702</v>
      </c>
      <c r="B519" s="4" t="s">
        <v>1037</v>
      </c>
      <c r="C519" s="16" t="str">
        <f>IFERROR(__xludf.DUMMYFUNCTION(""""""""" &amp; REGEXEXTRACT(B519, ""/detail/([^/?]+)"") &amp; """""","""),"""dcfecmnffjopafbbbaepgopfcphnoham"",")</f>
        <v>"dcfecmnffjopafbbbaepgopfcphnoham",</v>
      </c>
    </row>
    <row r="520">
      <c r="A520" s="4" t="s">
        <v>19703</v>
      </c>
      <c r="B520" s="4" t="s">
        <v>1039</v>
      </c>
      <c r="C520" s="16" t="str">
        <f>IFERROR(__xludf.DUMMYFUNCTION(""""""""" &amp; REGEXEXTRACT(B520, ""/detail/([^/?]+)"") &amp; """""","""),"""dconijmceladdfbjhmjpkfacjemmfeei"",")</f>
        <v>"dconijmceladdfbjhmjpkfacjemmfeei",</v>
      </c>
    </row>
    <row r="521">
      <c r="A521" s="4" t="s">
        <v>19704</v>
      </c>
      <c r="B521" s="4" t="s">
        <v>1041</v>
      </c>
      <c r="C521" s="16" t="str">
        <f>IFERROR(__xludf.DUMMYFUNCTION(""""""""" &amp; REGEXEXTRACT(B521, ""/detail/([^/?]+)"") &amp; """""","""),"""djakfbefalbkkdgnhkkdiihelkjdpbfh"",")</f>
        <v>"djakfbefalbkkdgnhkkdiihelkjdpbfh",</v>
      </c>
    </row>
    <row r="522">
      <c r="A522" s="4" t="s">
        <v>19705</v>
      </c>
      <c r="B522" s="4" t="s">
        <v>1043</v>
      </c>
      <c r="C522" s="16" t="str">
        <f>IFERROR(__xludf.DUMMYFUNCTION(""""""""" &amp; REGEXEXTRACT(B522, ""/detail/([^/?]+)"") &amp; """""","""),"""djalaeippddcgflofefafkgijpefkjef"",")</f>
        <v>"djalaeippddcgflofefafkgijpefkjef",</v>
      </c>
    </row>
    <row r="523">
      <c r="A523" s="10" t="s">
        <v>19706</v>
      </c>
      <c r="B523" s="4" t="s">
        <v>1045</v>
      </c>
      <c r="C523" s="16" t="str">
        <f>IFERROR(__xludf.DUMMYFUNCTION(""""""""" &amp; REGEXEXTRACT(B523, ""/detail/([^/?]+)"") &amp; """""","""),"""donljlliiecjcagcenoeohjmabfegkph"",")</f>
        <v>"donljlliiecjcagcenoeohjmabfegkph",</v>
      </c>
    </row>
    <row r="524">
      <c r="A524" s="4" t="s">
        <v>19707</v>
      </c>
      <c r="B524" s="4" t="s">
        <v>1047</v>
      </c>
      <c r="C524" s="16" t="str">
        <f>IFERROR(__xludf.DUMMYFUNCTION(""""""""" &amp; REGEXEXTRACT(B524, ""/detail/([^/?]+)"") &amp; """""","""),"""dpecplbkinpdbedgejddhepkgcppgchk"",")</f>
        <v>"dpecplbkinpdbedgejddhepkgcppgchk",</v>
      </c>
    </row>
    <row r="525">
      <c r="A525" s="4" t="s">
        <v>19708</v>
      </c>
      <c r="B525" s="4" t="s">
        <v>1049</v>
      </c>
      <c r="C525" s="16" t="str">
        <f>IFERROR(__xludf.DUMMYFUNCTION(""""""""" &amp; REGEXEXTRACT(B525, ""/detail/([^/?]+)"") &amp; """""","""),"""dpngiggdglpdnjdoaefidgiigpemgage"",")</f>
        <v>"dpngiggdglpdnjdoaefidgiigpemgage",</v>
      </c>
    </row>
    <row r="526">
      <c r="A526" s="4" t="s">
        <v>19709</v>
      </c>
      <c r="B526" s="4" t="s">
        <v>1051</v>
      </c>
      <c r="C526" s="16" t="str">
        <f>IFERROR(__xludf.DUMMYFUNCTION(""""""""" &amp; REGEXEXTRACT(B526, ""/detail/([^/?]+)"") &amp; """""","""),"""edbijgkcdlhbnpgkoodblaecmkfmngbg"",")</f>
        <v>"edbijgkcdlhbnpgkoodblaecmkfmngbg",</v>
      </c>
    </row>
    <row r="527">
      <c r="A527" s="4" t="s">
        <v>19710</v>
      </c>
      <c r="B527" s="4" t="s">
        <v>1053</v>
      </c>
      <c r="C527" s="16" t="str">
        <f>IFERROR(__xludf.DUMMYFUNCTION(""""""""" &amp; REGEXEXTRACT(B527, ""/detail/([^/?]+)"") &amp; """""","""),"""efedjomeallaomheefphgnbleieplnfk"",")</f>
        <v>"efedjomeallaomheefphgnbleieplnfk",</v>
      </c>
    </row>
    <row r="528">
      <c r="A528" s="4" t="s">
        <v>19711</v>
      </c>
      <c r="B528" s="4" t="s">
        <v>1055</v>
      </c>
      <c r="C528" s="16" t="str">
        <f>IFERROR(__xludf.DUMMYFUNCTION(""""""""" &amp; REGEXEXTRACT(B528, ""/detail/([^/?]+)"") &amp; """""","""),"""efhedldbjahpgjcneebmbolkalbhckfi"",")</f>
        <v>"efhedldbjahpgjcneebmbolkalbhckfi",</v>
      </c>
    </row>
    <row r="529">
      <c r="A529" s="4" t="s">
        <v>19712</v>
      </c>
      <c r="B529" s="4" t="s">
        <v>1057</v>
      </c>
      <c r="C529" s="16" t="str">
        <f>IFERROR(__xludf.DUMMYFUNCTION(""""""""" &amp; REGEXEXTRACT(B529, ""/detail/([^/?]+)"") &amp; """""","""),"""egfgboclmgbokjeenpnghneoaogefnjn"",")</f>
        <v>"egfgboclmgbokjeenpnghneoaogefnjn",</v>
      </c>
    </row>
    <row r="530">
      <c r="A530" s="4" t="s">
        <v>19713</v>
      </c>
      <c r="B530" s="4" t="s">
        <v>1059</v>
      </c>
      <c r="C530" s="16" t="str">
        <f>IFERROR(__xludf.DUMMYFUNCTION(""""""""" &amp; REGEXEXTRACT(B530, ""/detail/([^/?]+)"") &amp; """""","""),"""eidcpcpmmfiolomceegcagooodnaplmp"",")</f>
        <v>"eidcpcpmmfiolomceegcagooodnaplmp",</v>
      </c>
    </row>
    <row r="531">
      <c r="A531" s="4" t="s">
        <v>19714</v>
      </c>
      <c r="B531" s="4" t="s">
        <v>1061</v>
      </c>
      <c r="C531" s="16" t="str">
        <f>IFERROR(__xludf.DUMMYFUNCTION(""""""""" &amp; REGEXEXTRACT(B531, ""/detail/([^/?]+)"") &amp; """""","""),"""ekabamngknbdckokfeedhbjlbfhiejkj"",")</f>
        <v>"ekabamngknbdckokfeedhbjlbfhiejkj",</v>
      </c>
    </row>
    <row r="532">
      <c r="A532" s="4" t="s">
        <v>19715</v>
      </c>
      <c r="B532" s="4" t="s">
        <v>1063</v>
      </c>
      <c r="C532" s="16" t="str">
        <f>IFERROR(__xludf.DUMMYFUNCTION(""""""""" &amp; REGEXEXTRACT(B532, ""/detail/([^/?]+)"") &amp; """""","""),"""ekbmhggedfdlajiikminikhcjffbleac"",")</f>
        <v>"ekbmhggedfdlajiikminikhcjffbleac",</v>
      </c>
    </row>
    <row r="533">
      <c r="A533" s="4" t="s">
        <v>19716</v>
      </c>
      <c r="B533" s="4" t="s">
        <v>1065</v>
      </c>
      <c r="C533" s="16" t="str">
        <f>IFERROR(__xludf.DUMMYFUNCTION(""""""""" &amp; REGEXEXTRACT(B533, ""/detail/([^/?]+)"") &amp; """""","""),"""emkkfkcbnpdnhgeolpbggbdogfngiadf"",")</f>
        <v>"emkkfkcbnpdnhgeolpbggbdogfngiadf",</v>
      </c>
    </row>
    <row r="534">
      <c r="A534" s="4" t="s">
        <v>19717</v>
      </c>
      <c r="B534" s="4" t="s">
        <v>1067</v>
      </c>
      <c r="C534" s="16" t="str">
        <f>IFERROR(__xludf.DUMMYFUNCTION(""""""""" &amp; REGEXEXTRACT(B534, ""/detail/([^/?]+)"") &amp; """""","""),"""fbbaddabgkepmddhhpcdejamiijhaeme"",")</f>
        <v>"fbbaddabgkepmddhhpcdejamiijhaeme",</v>
      </c>
    </row>
    <row r="535">
      <c r="A535" s="4" t="s">
        <v>19718</v>
      </c>
      <c r="B535" s="4" t="s">
        <v>1069</v>
      </c>
      <c r="C535" s="16" t="str">
        <f>IFERROR(__xludf.DUMMYFUNCTION(""""""""" &amp; REGEXEXTRACT(B535, ""/detail/([^/?]+)"") &amp; """""","""),"""fcmhccenbjblgnbblnlhmebpknoednjd"",")</f>
        <v>"fcmhccenbjblgnbblnlhmebpknoednjd",</v>
      </c>
    </row>
    <row r="536">
      <c r="A536" s="4" t="s">
        <v>19719</v>
      </c>
      <c r="B536" s="4" t="s">
        <v>1071</v>
      </c>
      <c r="C536" s="16" t="str">
        <f>IFERROR(__xludf.DUMMYFUNCTION(""""""""" &amp; REGEXEXTRACT(B536, ""/detail/([^/?]+)"") &amp; """""","""),"""flffekjijpabhjgpoapooggncnmcjopa"",")</f>
        <v>"flffekjijpabhjgpoapooggncnmcjopa",</v>
      </c>
    </row>
    <row r="537">
      <c r="A537" s="4" t="s">
        <v>19720</v>
      </c>
      <c r="B537" s="4" t="s">
        <v>1073</v>
      </c>
      <c r="C537" s="16" t="str">
        <f>IFERROR(__xludf.DUMMYFUNCTION(""""""""" &amp; REGEXEXTRACT(B537, ""/detail/([^/?]+)"") &amp; """""","""),"""fogkjckfkdcnmnnfmbieljpkmmihhpao"",")</f>
        <v>"fogkjckfkdcnmnnfmbieljpkmmihhpao",</v>
      </c>
    </row>
    <row r="538">
      <c r="A538" s="4" t="s">
        <v>19721</v>
      </c>
      <c r="B538" s="4" t="s">
        <v>1075</v>
      </c>
      <c r="C538" s="16" t="str">
        <f>IFERROR(__xludf.DUMMYFUNCTION(""""""""" &amp; REGEXEXTRACT(B538, ""/detail/([^/?]+)"") &amp; """""","""),"""gakohpplicjdhhfllilcjpfildodfnnn"",")</f>
        <v>"gakohpplicjdhhfllilcjpfildodfnnn",</v>
      </c>
    </row>
    <row r="539">
      <c r="A539" s="4" t="s">
        <v>19722</v>
      </c>
      <c r="B539" s="4" t="s">
        <v>1077</v>
      </c>
      <c r="C539" s="16" t="str">
        <f>IFERROR(__xludf.DUMMYFUNCTION(""""""""" &amp; REGEXEXTRACT(B539, ""/detail/([^/?]+)"") &amp; """""","""),"""gcmfngnfcfkfpllkoheelacaikcahhjk"",")</f>
        <v>"gcmfngnfcfkfpllkoheelacaikcahhjk",</v>
      </c>
    </row>
    <row r="540">
      <c r="A540" s="4" t="s">
        <v>19723</v>
      </c>
      <c r="B540" s="4" t="s">
        <v>1079</v>
      </c>
      <c r="C540" s="16" t="str">
        <f>IFERROR(__xludf.DUMMYFUNCTION(""""""""" &amp; REGEXEXTRACT(B540, ""/detail/([^/?]+)"") &amp; """""","""),"""gechpodbjheoedahmjkgooljlfflmbpf"",")</f>
        <v>"gechpodbjheoedahmjkgooljlfflmbpf",</v>
      </c>
    </row>
    <row r="541">
      <c r="A541" s="4" t="s">
        <v>19724</v>
      </c>
      <c r="B541" s="4" t="s">
        <v>1081</v>
      </c>
      <c r="C541" s="16" t="str">
        <f>IFERROR(__xludf.DUMMYFUNCTION(""""""""" &amp; REGEXEXTRACT(B541, ""/detail/([^/?]+)"") &amp; """""","""),"""gfgkebiommjpiaomalcbfefimhhanlfd"",")</f>
        <v>"gfgkebiommjpiaomalcbfefimhhanlfd",</v>
      </c>
    </row>
    <row r="542">
      <c r="A542" s="4" t="s">
        <v>19725</v>
      </c>
      <c r="B542" s="4" t="s">
        <v>1083</v>
      </c>
      <c r="C542" s="16" t="str">
        <f>IFERROR(__xludf.DUMMYFUNCTION(""""""""" &amp; REGEXEXTRACT(B542, ""/detail/([^/?]+)"") &amp; """""","""),"""ggcihihkaidbkkolahhliaaepdjhngli"",")</f>
        <v>"ggcihihkaidbkkolahhliaaepdjhngli",</v>
      </c>
    </row>
    <row r="543">
      <c r="A543" s="4" t="s">
        <v>19726</v>
      </c>
      <c r="B543" s="4" t="s">
        <v>1085</v>
      </c>
      <c r="C543" s="16" t="str">
        <f>IFERROR(__xludf.DUMMYFUNCTION(""""""""" &amp; REGEXEXTRACT(B543, ""/detail/([^/?]+)"") &amp; """""","""),"""ghipmampnddcpdlppkkamoankmkmcbmh"",")</f>
        <v>"ghipmampnddcpdlppkkamoankmkmcbmh",</v>
      </c>
    </row>
    <row r="544">
      <c r="A544" s="4" t="s">
        <v>19727</v>
      </c>
      <c r="B544" s="4" t="s">
        <v>1087</v>
      </c>
      <c r="C544" s="16" t="str">
        <f>IFERROR(__xludf.DUMMYFUNCTION(""""""""" &amp; REGEXEXTRACT(B544, ""/detail/([^/?]+)"") &amp; """""","""),"""giehjnnlopapngdjbjjgddpaagoimmgl"",")</f>
        <v>"giehjnnlopapngdjbjjgddpaagoimmgl",</v>
      </c>
    </row>
    <row r="545">
      <c r="A545" s="4" t="s">
        <v>19728</v>
      </c>
      <c r="B545" s="4" t="s">
        <v>1089</v>
      </c>
      <c r="C545" s="16" t="str">
        <f>IFERROR(__xludf.DUMMYFUNCTION(""""""""" &amp; REGEXEXTRACT(B545, ""/detail/([^/?]+)"") &amp; """""","""),"""hclhpnhohpmlbadmeieecaandnglfodm"",")</f>
        <v>"hclhpnhohpmlbadmeieecaandnglfodm",</v>
      </c>
    </row>
    <row r="546">
      <c r="A546" s="4" t="s">
        <v>19729</v>
      </c>
      <c r="B546" s="4" t="s">
        <v>1091</v>
      </c>
      <c r="C546" s="16" t="str">
        <f>IFERROR(__xludf.DUMMYFUNCTION(""""""""" &amp; REGEXEXTRACT(B546, ""/detail/([^/?]+)"") &amp; """""","""),"""hebpbmepdiaagnenlpjclmncidmljlgl"",")</f>
        <v>"hebpbmepdiaagnenlpjclmncidmljlgl",</v>
      </c>
    </row>
    <row r="547">
      <c r="A547" s="4" t="s">
        <v>19730</v>
      </c>
      <c r="B547" s="4" t="s">
        <v>1093</v>
      </c>
      <c r="C547" s="16" t="str">
        <f>IFERROR(__xludf.DUMMYFUNCTION(""""""""" &amp; REGEXEXTRACT(B547, ""/detail/([^/?]+)"") &amp; """""","""),"""hejbmebodbijjdhflfknehhcgaklhano"",")</f>
        <v>"hejbmebodbijjdhflfknehhcgaklhano",</v>
      </c>
    </row>
    <row r="548">
      <c r="A548" s="4" t="s">
        <v>19731</v>
      </c>
      <c r="B548" s="4" t="s">
        <v>1095</v>
      </c>
      <c r="C548" s="16" t="str">
        <f>IFERROR(__xludf.DUMMYFUNCTION(""""""""" &amp; REGEXEXTRACT(B548, ""/detail/([^/?]+)"") &amp; """""","""),"""hfadalcgppcbffdnichplalnmhjbabbm"",")</f>
        <v>"hfadalcgppcbffdnichplalnmhjbabbm",</v>
      </c>
    </row>
    <row r="549">
      <c r="A549" s="4" t="s">
        <v>19732</v>
      </c>
      <c r="B549" s="4" t="s">
        <v>1097</v>
      </c>
      <c r="C549" s="16" t="str">
        <f>IFERROR(__xludf.DUMMYFUNCTION(""""""""" &amp; REGEXEXTRACT(B549, ""/detail/([^/?]+)"") &amp; """""","""),"""hhienkkjhkcdeaolmcniloflgpjhdefi"",")</f>
        <v>"hhienkkjhkcdeaolmcniloflgpjhdefi",</v>
      </c>
    </row>
    <row r="550">
      <c r="A550" s="4" t="s">
        <v>19733</v>
      </c>
      <c r="B550" s="4" t="s">
        <v>1099</v>
      </c>
      <c r="C550" s="16" t="str">
        <f>IFERROR(__xludf.DUMMYFUNCTION(""""""""" &amp; REGEXEXTRACT(B550, ""/detail/([^/?]+)"") &amp; """""","""),"""hhjeaokafplhjoogdemakihhdhffacia"",")</f>
        <v>"hhjeaokafplhjoogdemakihhdhffacia",</v>
      </c>
    </row>
    <row r="551">
      <c r="A551" s="4" t="s">
        <v>19734</v>
      </c>
      <c r="B551" s="4" t="s">
        <v>1101</v>
      </c>
      <c r="C551" s="16" t="str">
        <f>IFERROR(__xludf.DUMMYFUNCTION(""""""""" &amp; REGEXEXTRACT(B551, ""/detail/([^/?]+)"") &amp; """""","""),"""hifhgpdkfodlpnlmlnmhchnkepplebkb"",")</f>
        <v>"hifhgpdkfodlpnlmlnmhchnkepplebkb",</v>
      </c>
    </row>
    <row r="552">
      <c r="A552" s="4" t="s">
        <v>19735</v>
      </c>
      <c r="B552" s="4" t="s">
        <v>1102</v>
      </c>
      <c r="C552" s="16" t="str">
        <f>IFERROR(__xludf.DUMMYFUNCTION(""""""""" &amp; REGEXEXTRACT(B552, ""/detail/([^/?]+)"") &amp; """""","""),"""hifjegnejppkpnikhppoafdghppgcjpj"",")</f>
        <v>"hifjegnejppkpnikhppoafdghppgcjpj",</v>
      </c>
    </row>
    <row r="553">
      <c r="A553" s="4" t="s">
        <v>19736</v>
      </c>
      <c r="B553" s="4" t="s">
        <v>1104</v>
      </c>
      <c r="C553" s="16" t="str">
        <f>IFERROR(__xludf.DUMMYFUNCTION(""""""""" &amp; REGEXEXTRACT(B553, ""/detail/([^/?]+)"") &amp; """""","""),"""hjocpjdeacglfchomobaagbmipeggnjg"",")</f>
        <v>"hjocpjdeacglfchomobaagbmipeggnjg",</v>
      </c>
    </row>
    <row r="554">
      <c r="A554" s="4" t="s">
        <v>19737</v>
      </c>
      <c r="B554" s="4" t="s">
        <v>1106</v>
      </c>
      <c r="C554" s="16" t="str">
        <f>IFERROR(__xludf.DUMMYFUNCTION(""""""""" &amp; REGEXEXTRACT(B554, ""/detail/([^/?]+)"") &amp; """""","""),"""hkgmldnainaglpjngpajnnjfhpdjkohh"",")</f>
        <v>"hkgmldnainaglpjngpajnnjfhpdjkohh",</v>
      </c>
    </row>
    <row r="555">
      <c r="A555" s="4" t="s">
        <v>19738</v>
      </c>
      <c r="B555" s="4" t="s">
        <v>1108</v>
      </c>
      <c r="C555" s="16" t="str">
        <f>IFERROR(__xludf.DUMMYFUNCTION(""""""""" &amp; REGEXEXTRACT(B555, ""/detail/([^/?]+)"") &amp; """""","""),"""iahamcpedabephpcgkeikbclmaljebjp"",")</f>
        <v>"iahamcpedabephpcgkeikbclmaljebjp",</v>
      </c>
    </row>
    <row r="556">
      <c r="A556" s="4" t="s">
        <v>19739</v>
      </c>
      <c r="B556" s="4" t="s">
        <v>1110</v>
      </c>
      <c r="C556" s="16" t="str">
        <f>IFERROR(__xludf.DUMMYFUNCTION(""""""""" &amp; REGEXEXTRACT(B556, ""/detail/([^/?]+)"") &amp; """""","""),"""iaijiochiiocodhamehbpmdlobhgghgi"",")</f>
        <v>"iaijiochiiocodhamehbpmdlobhgghgi",</v>
      </c>
    </row>
    <row r="557">
      <c r="A557" s="4" t="s">
        <v>19740</v>
      </c>
      <c r="B557" s="4" t="s">
        <v>1112</v>
      </c>
      <c r="C557" s="16" t="str">
        <f>IFERROR(__xludf.DUMMYFUNCTION(""""""""" &amp; REGEXEXTRACT(B557, ""/detail/([^/?]+)"") &amp; """""","""),"""idalinkinmdgcofhpbfklbdkfadfapki"",")</f>
        <v>"idalinkinmdgcofhpbfklbdkfadfapki",</v>
      </c>
    </row>
    <row r="558">
      <c r="A558" s="4" t="s">
        <v>19741</v>
      </c>
      <c r="B558" s="4" t="s">
        <v>1114</v>
      </c>
      <c r="C558" s="16" t="str">
        <f>IFERROR(__xludf.DUMMYFUNCTION(""""""""" &amp; REGEXEXTRACT(B558, ""/detail/([^/?]+)"") &amp; """""","""),"""idjmioilgmedmbfabcfnpeaclcndeekb"",")</f>
        <v>"idjmioilgmedmbfabcfnpeaclcndeekb",</v>
      </c>
    </row>
    <row r="559">
      <c r="A559" s="4" t="s">
        <v>19742</v>
      </c>
      <c r="B559" s="4" t="s">
        <v>1116</v>
      </c>
      <c r="C559" s="16" t="str">
        <f>IFERROR(__xludf.DUMMYFUNCTION(""""""""" &amp; REGEXEXTRACT(B559, ""/detail/([^/?]+)"") &amp; """""","""),"""iempladfkphdpimdljfckjlmgklmdchc"",")</f>
        <v>"iempladfkphdpimdljfckjlmgklmdchc",</v>
      </c>
    </row>
    <row r="560">
      <c r="A560" s="4" t="s">
        <v>19743</v>
      </c>
      <c r="B560" s="4" t="s">
        <v>1118</v>
      </c>
      <c r="C560" s="16" t="str">
        <f>IFERROR(__xludf.DUMMYFUNCTION(""""""""" &amp; REGEXEXTRACT(B560, ""/detail/([^/?]+)"") &amp; """""","""),"""igieognglkjfefoldlaachcoimjecojk"",")</f>
        <v>"igieognglkjfefoldlaachcoimjecojk",</v>
      </c>
    </row>
    <row r="561">
      <c r="A561" s="4" t="s">
        <v>19744</v>
      </c>
      <c r="B561" s="4" t="s">
        <v>1120</v>
      </c>
      <c r="C561" s="16" t="str">
        <f>IFERROR(__xludf.DUMMYFUNCTION(""""""""" &amp; REGEXEXTRACT(B561, ""/detail/([^/?]+)"") &amp; """""","""),"""iglgjeoppncgpbbaildpifdnncgbpofl"",")</f>
        <v>"iglgjeoppncgpbbaildpifdnncgbpofl",</v>
      </c>
    </row>
    <row r="562">
      <c r="A562" s="4" t="s">
        <v>19745</v>
      </c>
      <c r="B562" s="4" t="s">
        <v>1122</v>
      </c>
      <c r="C562" s="16" t="str">
        <f>IFERROR(__xludf.DUMMYFUNCTION(""""""""" &amp; REGEXEXTRACT(B562, ""/detail/([^/?]+)"") &amp; """""","""),"""ilikenhndcpmliapkmmhoimckaokmihm"",")</f>
        <v>"ilikenhndcpmliapkmmhoimckaokmihm",</v>
      </c>
    </row>
    <row r="563">
      <c r="A563" s="4" t="s">
        <v>19746</v>
      </c>
      <c r="B563" s="4" t="s">
        <v>1124</v>
      </c>
      <c r="C563" s="16" t="str">
        <f>IFERROR(__xludf.DUMMYFUNCTION(""""""""" &amp; REGEXEXTRACT(B563, ""/detail/([^/?]+)"") &amp; """""","""),"""jfmlfmpdclmcknhmonpdhppojbnoinpb"",")</f>
        <v>"jfmlfmpdclmcknhmonpdhppojbnoinpb",</v>
      </c>
    </row>
    <row r="564">
      <c r="A564" s="4" t="s">
        <v>19747</v>
      </c>
      <c r="B564" s="4" t="s">
        <v>1126</v>
      </c>
      <c r="C564" s="16" t="str">
        <f>IFERROR(__xludf.DUMMYFUNCTION(""""""""" &amp; REGEXEXTRACT(B564, ""/detail/([^/?]+)"") &amp; """""","""),"""jndllhgbinhiiddokbeoeepbppdnhhio"",")</f>
        <v>"jndllhgbinhiiddokbeoeepbppdnhhio",</v>
      </c>
    </row>
    <row r="565">
      <c r="A565" s="4" t="s">
        <v>19748</v>
      </c>
      <c r="B565" s="4" t="s">
        <v>1128</v>
      </c>
      <c r="C565" s="16" t="str">
        <f>IFERROR(__xludf.DUMMYFUNCTION(""""""""" &amp; REGEXEXTRACT(B565, ""/detail/([^/?]+)"") &amp; """""","""),"""jnhgefjoahogmkkekdnafldkdgppfehd"",")</f>
        <v>"jnhgefjoahogmkkekdnafldkdgppfehd",</v>
      </c>
    </row>
    <row r="566">
      <c r="A566" s="4" t="s">
        <v>19749</v>
      </c>
      <c r="B566" s="4" t="s">
        <v>1130</v>
      </c>
      <c r="C566" s="16" t="str">
        <f>IFERROR(__xludf.DUMMYFUNCTION(""""""""" &amp; REGEXEXTRACT(B566, ""/detail/([^/?]+)"") &amp; """""","""),"""joioophepbodkfjcjpoeofkgdblahbfe"",")</f>
        <v>"joioophepbodkfjcjpoeofkgdblahbfe",</v>
      </c>
    </row>
    <row r="567">
      <c r="A567" s="4" t="s">
        <v>19750</v>
      </c>
      <c r="B567" s="4" t="s">
        <v>1132</v>
      </c>
      <c r="C567" s="16" t="str">
        <f>IFERROR(__xludf.DUMMYFUNCTION(""""""""" &amp; REGEXEXTRACT(B567, ""/detail/([^/?]+)"") &amp; """""","""),"""kammdlphdfejlopponbapgpbgakimokm"",")</f>
        <v>"kammdlphdfejlopponbapgpbgakimokm",</v>
      </c>
    </row>
    <row r="568">
      <c r="A568" s="4" t="s">
        <v>19751</v>
      </c>
      <c r="B568" s="4" t="s">
        <v>1134</v>
      </c>
      <c r="C568" s="16" t="str">
        <f>IFERROR(__xludf.DUMMYFUNCTION(""""""""" &amp; REGEXEXTRACT(B568, ""/detail/([^/?]+)"") &amp; """""","""),"""kfjkehmceppcpjoaoegdmffmkdhiegmc"",")</f>
        <v>"kfjkehmceppcpjoaoegdmffmkdhiegmc",</v>
      </c>
    </row>
    <row r="569">
      <c r="A569" s="4" t="s">
        <v>19752</v>
      </c>
      <c r="B569" s="4" t="s">
        <v>1136</v>
      </c>
      <c r="C569" s="16" t="str">
        <f>IFERROR(__xludf.DUMMYFUNCTION(""""""""" &amp; REGEXEXTRACT(B569, ""/detail/([^/?]+)"") &amp; """""","""),"""kfkbmijfkphkfehjgjkchldojnefgice"",")</f>
        <v>"kfkbmijfkphkfehjgjkchldojnefgice",</v>
      </c>
    </row>
    <row r="570">
      <c r="A570" s="4" t="s">
        <v>19753</v>
      </c>
      <c r="B570" s="4" t="s">
        <v>1138</v>
      </c>
      <c r="C570" s="16" t="str">
        <f>IFERROR(__xludf.DUMMYFUNCTION(""""""""" &amp; REGEXEXTRACT(B570, ""/detail/([^/?]+)"") &amp; """""","""),"""kicpmhgmcajloefloefojbfdmenhmhjf"",")</f>
        <v>"kicpmhgmcajloefloefojbfdmenhmhjf",</v>
      </c>
    </row>
    <row r="571">
      <c r="A571" s="4" t="s">
        <v>19754</v>
      </c>
      <c r="B571" s="4" t="s">
        <v>1140</v>
      </c>
      <c r="C571" s="16" t="str">
        <f>IFERROR(__xludf.DUMMYFUNCTION(""""""""" &amp; REGEXEXTRACT(B571, ""/detail/([^/?]+)"") &amp; """""","""),"""kkehppgllpkfohejllckommnpfeomhnc"",")</f>
        <v>"kkehppgllpkfohejllckommnpfeomhnc",</v>
      </c>
    </row>
    <row r="572">
      <c r="A572" s="4" t="s">
        <v>19755</v>
      </c>
      <c r="B572" s="4" t="s">
        <v>1142</v>
      </c>
      <c r="C572" s="16" t="str">
        <f>IFERROR(__xludf.DUMMYFUNCTION(""""""""" &amp; REGEXEXTRACT(B572, ""/detail/([^/?]+)"") &amp; """""","""),"""klggbkjfmbonefdcfkiidhcmfjdfnepa"",")</f>
        <v>"klggbkjfmbonefdcfkiidhcmfjdfnepa",</v>
      </c>
    </row>
    <row r="573">
      <c r="A573" s="4" t="s">
        <v>19756</v>
      </c>
      <c r="B573" s="4" t="s">
        <v>1144</v>
      </c>
      <c r="C573" s="16" t="str">
        <f>IFERROR(__xludf.DUMMYFUNCTION(""""""""" &amp; REGEXEXTRACT(B573, ""/detail/([^/?]+)"") &amp; """""","""),"""kmhfkeaanbokocpddnjlocbefjcpohhl"",")</f>
        <v>"kmhfkeaanbokocpddnjlocbefjcpohhl",</v>
      </c>
    </row>
    <row r="574">
      <c r="A574" s="4" t="s">
        <v>19757</v>
      </c>
      <c r="B574" s="4" t="s">
        <v>1146</v>
      </c>
      <c r="C574" s="16" t="str">
        <f>IFERROR(__xludf.DUMMYFUNCTION(""""""""" &amp; REGEXEXTRACT(B574, ""/detail/([^/?]+)"") &amp; """""","""),"""lalfpjdbhpmnhfofkckdpkljeilmogfl"",")</f>
        <v>"lalfpjdbhpmnhfofkckdpkljeilmogfl",</v>
      </c>
    </row>
    <row r="575">
      <c r="A575" s="4" t="s">
        <v>19758</v>
      </c>
      <c r="B575" s="4" t="s">
        <v>1148</v>
      </c>
      <c r="C575" s="16" t="str">
        <f>IFERROR(__xludf.DUMMYFUNCTION(""""""""" &amp; REGEXEXTRACT(B575, ""/detail/([^/?]+)"") &amp; """""","""),"""lcfdefmogcogicollfebhgjiiakbjdje"",")</f>
        <v>"lcfdefmogcogicollfebhgjiiakbjdje",</v>
      </c>
    </row>
    <row r="576">
      <c r="A576" s="4" t="s">
        <v>19759</v>
      </c>
      <c r="B576" s="4" t="s">
        <v>1150</v>
      </c>
      <c r="C576" s="16" t="str">
        <f>IFERROR(__xludf.DUMMYFUNCTION(""""""""" &amp; REGEXEXTRACT(B576, ""/detail/([^/?]+)"") &amp; """""","""),"""lcghoajegeldpfkfaejegfobkapnemjl"",")</f>
        <v>"lcghoajegeldpfkfaejegfobkapnemjl",</v>
      </c>
    </row>
    <row r="577">
      <c r="A577" s="4" t="s">
        <v>19760</v>
      </c>
      <c r="B577" s="4" t="s">
        <v>1152</v>
      </c>
      <c r="C577" s="16" t="str">
        <f>IFERROR(__xludf.DUMMYFUNCTION(""""""""" &amp; REGEXEXTRACT(B577, ""/detail/([^/?]+)"") &amp; """""","""),"""lefigjbiimiemfhjmibbgemkpenelmag"",")</f>
        <v>"lefigjbiimiemfhjmibbgemkpenelmag",</v>
      </c>
    </row>
    <row r="578">
      <c r="A578" s="4" t="s">
        <v>19761</v>
      </c>
      <c r="B578" s="4" t="s">
        <v>1154</v>
      </c>
      <c r="C578" s="16" t="str">
        <f>IFERROR(__xludf.DUMMYFUNCTION(""""""""" &amp; REGEXEXTRACT(B578, ""/detail/([^/?]+)"") &amp; """""","""),"""leocjgngiajhfiikjolfhcpiokgbinep"",")</f>
        <v>"leocjgngiajhfiikjolfhcpiokgbinep",</v>
      </c>
    </row>
    <row r="579">
      <c r="A579" s="4" t="s">
        <v>19762</v>
      </c>
      <c r="B579" s="4" t="s">
        <v>1156</v>
      </c>
      <c r="C579" s="16" t="str">
        <f>IFERROR(__xludf.DUMMYFUNCTION(""""""""" &amp; REGEXEXTRACT(B579, ""/detail/([^/?]+)"") &amp; """""","""),"""lfijgegefgcgbfcgjgnhnkclenhfijhk"",")</f>
        <v>"lfijgegefgcgbfcgjgnhnkclenhfijhk",</v>
      </c>
    </row>
    <row r="580">
      <c r="A580" s="4" t="s">
        <v>19763</v>
      </c>
      <c r="B580" s="4" t="s">
        <v>1158</v>
      </c>
      <c r="C580" s="16" t="str">
        <f>IFERROR(__xludf.DUMMYFUNCTION(""""""""" &amp; REGEXEXTRACT(B580, ""/detail/([^/?]+)"") &amp; """""","""),"""lhfdhjladfcmghahdbcmlceajdlbkale"",")</f>
        <v>"lhfdhjladfcmghahdbcmlceajdlbkale",</v>
      </c>
    </row>
    <row r="581">
      <c r="A581" s="4" t="s">
        <v>19764</v>
      </c>
      <c r="B581" s="4" t="s">
        <v>1160</v>
      </c>
      <c r="C581" s="16" t="str">
        <f>IFERROR(__xludf.DUMMYFUNCTION(""""""""" &amp; REGEXEXTRACT(B581, ""/detail/([^/?]+)"") &amp; """""","""),"""ljamgkbcojbnmcaonjokopmcblmmpfch"",")</f>
        <v>"ljamgkbcojbnmcaonjokopmcblmmpfch",</v>
      </c>
    </row>
    <row r="582">
      <c r="A582" s="4" t="s">
        <v>19765</v>
      </c>
      <c r="B582" s="4" t="s">
        <v>1162</v>
      </c>
      <c r="C582" s="16" t="str">
        <f>IFERROR(__xludf.DUMMYFUNCTION(""""""""" &amp; REGEXEXTRACT(B582, ""/detail/([^/?]+)"") &amp; """""","""),"""ljelghodcnccegncomkbfpkacbkagecf"",")</f>
        <v>"ljelghodcnccegncomkbfpkacbkagecf",</v>
      </c>
    </row>
    <row r="583">
      <c r="A583" s="4" t="s">
        <v>19766</v>
      </c>
      <c r="B583" s="4" t="s">
        <v>1164</v>
      </c>
      <c r="C583" s="16" t="str">
        <f>IFERROR(__xludf.DUMMYFUNCTION(""""""""" &amp; REGEXEXTRACT(B583, ""/detail/([^/?]+)"") &amp; """""","""),"""lppagnomjcaohgkfljlebenbmbdmbkdj"",")</f>
        <v>"lppagnomjcaohgkfljlebenbmbdmbkdj",</v>
      </c>
    </row>
    <row r="584">
      <c r="A584" s="4" t="s">
        <v>19767</v>
      </c>
      <c r="B584" s="4" t="s">
        <v>1166</v>
      </c>
      <c r="C584" s="16" t="str">
        <f>IFERROR(__xludf.DUMMYFUNCTION(""""""""" &amp; REGEXEXTRACT(B584, ""/detail/([^/?]+)"") &amp; """""","""),"""mapfkcmnklanficcnnjkgeneakedmjkp"",")</f>
        <v>"mapfkcmnklanficcnnjkgeneakedmjkp",</v>
      </c>
    </row>
    <row r="585">
      <c r="A585" s="4" t="s">
        <v>19768</v>
      </c>
      <c r="B585" s="4" t="s">
        <v>1168</v>
      </c>
      <c r="C585" s="16" t="str">
        <f>IFERROR(__xludf.DUMMYFUNCTION(""""""""" &amp; REGEXEXTRACT(B585, ""/detail/([^/?]+)"") &amp; """""","""),"""mefgmmbdailogpfhfblcnnjfmnpnmdfa"",")</f>
        <v>"mefgmmbdailogpfhfblcnnjfmnpnmdfa",</v>
      </c>
    </row>
    <row r="586">
      <c r="A586" s="4" t="s">
        <v>19769</v>
      </c>
      <c r="B586" s="4" t="s">
        <v>1170</v>
      </c>
      <c r="C586" s="16" t="str">
        <f>IFERROR(__xludf.DUMMYFUNCTION(""""""""" &amp; REGEXEXTRACT(B586, ""/detail/([^/?]+)"") &amp; """""","""),"""mhoeffeimbfbmpccjcodjeeglinbpicp"",")</f>
        <v>"mhoeffeimbfbmpccjcodjeeglinbpicp",</v>
      </c>
    </row>
    <row r="587">
      <c r="A587" s="4" t="s">
        <v>19770</v>
      </c>
      <c r="B587" s="4" t="s">
        <v>1172</v>
      </c>
      <c r="C587" s="16" t="str">
        <f>IFERROR(__xludf.DUMMYFUNCTION(""""""""" &amp; REGEXEXTRACT(B587, ""/detail/([^/?]+)"") &amp; """""","""),"""mkhilblbmkdnapffblmecglknalglfji"",")</f>
        <v>"mkhilblbmkdnapffblmecglknalglfji",</v>
      </c>
    </row>
    <row r="588">
      <c r="A588" s="4" t="s">
        <v>19771</v>
      </c>
      <c r="B588" s="4" t="s">
        <v>1174</v>
      </c>
      <c r="C588" s="16" t="str">
        <f>IFERROR(__xludf.DUMMYFUNCTION(""""""""" &amp; REGEXEXTRACT(B588, ""/detail/([^/?]+)"") &amp; """""","""),"""mndpomcndmohjljbimojnnfnennikjmk"",")</f>
        <v>"mndpomcndmohjljbimojnnfnennikjmk",</v>
      </c>
    </row>
    <row r="589">
      <c r="A589" s="4" t="s">
        <v>19772</v>
      </c>
      <c r="B589" s="4" t="s">
        <v>1176</v>
      </c>
      <c r="C589" s="16" t="str">
        <f>IFERROR(__xludf.DUMMYFUNCTION(""""""""" &amp; REGEXEXTRACT(B589, ""/detail/([^/?]+)"") &amp; """""","""),"""mocjldcbnkegopdodplogkdpbfmoeclk"",")</f>
        <v>"mocjldcbnkegopdodplogkdpbfmoeclk",</v>
      </c>
    </row>
    <row r="590">
      <c r="A590" s="4" t="s">
        <v>19773</v>
      </c>
      <c r="B590" s="4" t="s">
        <v>1178</v>
      </c>
      <c r="C590" s="16" t="str">
        <f>IFERROR(__xludf.DUMMYFUNCTION(""""""""" &amp; REGEXEXTRACT(B590, ""/detail/([^/?]+)"") &amp; """""","""),"""mpmkclglcbkjchakihfpblainfncennj"",")</f>
        <v>"mpmkclglcbkjchakihfpblainfncennj",</v>
      </c>
    </row>
    <row r="591">
      <c r="A591" s="4" t="s">
        <v>19774</v>
      </c>
      <c r="B591" s="4" t="s">
        <v>1180</v>
      </c>
      <c r="C591" s="16" t="str">
        <f>IFERROR(__xludf.DUMMYFUNCTION(""""""""" &amp; REGEXEXTRACT(B591, ""/detail/([^/?]+)"") &amp; """""","""),"""nbbpjdmdkcmpimmhloehkojhbhjlboog"",")</f>
        <v>"nbbpjdmdkcmpimmhloehkojhbhjlboog",</v>
      </c>
    </row>
    <row r="592">
      <c r="A592" s="4" t="s">
        <v>19775</v>
      </c>
      <c r="B592" s="4" t="s">
        <v>1182</v>
      </c>
      <c r="C592" s="16" t="str">
        <f>IFERROR(__xludf.DUMMYFUNCTION(""""""""" &amp; REGEXEXTRACT(B592, ""/detail/([^/?]+)"") &amp; """""","""),"""ndcooeababalnlpkfedmmbbbgkljhpjf"",")</f>
        <v>"ndcooeababalnlpkfedmmbbbgkljhpjf",</v>
      </c>
    </row>
    <row r="593">
      <c r="A593" s="4" t="s">
        <v>19776</v>
      </c>
      <c r="B593" s="4" t="s">
        <v>1184</v>
      </c>
      <c r="C593" s="16" t="str">
        <f>IFERROR(__xludf.DUMMYFUNCTION(""""""""" &amp; REGEXEXTRACT(B593, ""/detail/([^/?]+)"") &amp; """""","""),"""oghcfpacbadjkebhegcollgfhhjkalep"",")</f>
        <v>"oghcfpacbadjkebhegcollgfhhjkalep",</v>
      </c>
    </row>
    <row r="594">
      <c r="A594" s="4" t="s">
        <v>19777</v>
      </c>
      <c r="B594" s="4" t="s">
        <v>1186</v>
      </c>
      <c r="C594" s="16" t="str">
        <f>IFERROR(__xludf.DUMMYFUNCTION(""""""""" &amp; REGEXEXTRACT(B594, ""/detail/([^/?]+)"") &amp; """""","""),"""oghkljobbhapacbahlneolfclkniiami"",")</f>
        <v>"oghkljobbhapacbahlneolfclkniiami",</v>
      </c>
    </row>
    <row r="595">
      <c r="A595" s="4" t="s">
        <v>19778</v>
      </c>
      <c r="B595" s="4" t="s">
        <v>1188</v>
      </c>
      <c r="C595" s="16" t="str">
        <f>IFERROR(__xludf.DUMMYFUNCTION(""""""""" &amp; REGEXEXTRACT(B595, ""/detail/([^/?]+)"") &amp; """""","""),"""olfiakiemgabphalhjfjbcmganhfkbcg"",")</f>
        <v>"olfiakiemgabphalhjfjbcmganhfkbcg",</v>
      </c>
    </row>
    <row r="596">
      <c r="A596" s="4" t="s">
        <v>19779</v>
      </c>
      <c r="B596" s="4" t="s">
        <v>1190</v>
      </c>
      <c r="C596" s="16" t="str">
        <f>IFERROR(__xludf.DUMMYFUNCTION(""""""""" &amp; REGEXEXTRACT(B596, ""/detail/([^/?]+)"") &amp; """""","""),"""opcjanmpjbdbdpnjfjbboacibokblbhl"",")</f>
        <v>"opcjanmpjbdbdpnjfjbboacibokblbhl",</v>
      </c>
    </row>
    <row r="597">
      <c r="A597" s="4" t="s">
        <v>19780</v>
      </c>
      <c r="B597" s="4" t="s">
        <v>1192</v>
      </c>
      <c r="C597" s="16" t="str">
        <f>IFERROR(__xludf.DUMMYFUNCTION(""""""""" &amp; REGEXEXTRACT(B597, ""/detail/([^/?]+)"") &amp; """""","""),"""pcboajngloecgmaailkmphmpbacmbcfb"",")</f>
        <v>"pcboajngloecgmaailkmphmpbacmbcfb",</v>
      </c>
    </row>
    <row r="598">
      <c r="A598" s="4" t="s">
        <v>19781</v>
      </c>
      <c r="B598" s="4" t="s">
        <v>1194</v>
      </c>
      <c r="C598" s="16" t="str">
        <f>IFERROR(__xludf.DUMMYFUNCTION(""""""""" &amp; REGEXEXTRACT(B598, ""/detail/([^/?]+)"") &amp; """""","""),"""pdanbocphccpmidkhloklnlfplehiikb"",")</f>
        <v>"pdanbocphccpmidkhloklnlfplehiikb",</v>
      </c>
    </row>
    <row r="599">
      <c r="A599" s="4" t="s">
        <v>19782</v>
      </c>
      <c r="B599" s="4" t="s">
        <v>1196</v>
      </c>
      <c r="C599" s="16" t="str">
        <f>IFERROR(__xludf.DUMMYFUNCTION(""""""""" &amp; REGEXEXTRACT(B599, ""/detail/([^/?]+)"") &amp; """""","""),"""pdiefgmeejbkamgippdjdchpgkdnelbl"",")</f>
        <v>"pdiefgmeejbkamgippdjdchpgkdnelbl",</v>
      </c>
    </row>
    <row r="600">
      <c r="A600" s="4" t="s">
        <v>19783</v>
      </c>
      <c r="B600" s="4" t="s">
        <v>1198</v>
      </c>
      <c r="C600" s="16" t="str">
        <f>IFERROR(__xludf.DUMMYFUNCTION(""""""""" &amp; REGEXEXTRACT(B600, ""/detail/([^/?]+)"") &amp; """""","""),"""pfmeokkodfbbeckenogobokoaiahclmp"",")</f>
        <v>"pfmeokkodfbbeckenogobokoaiahclmp",</v>
      </c>
    </row>
    <row r="601">
      <c r="A601" s="4" t="s">
        <v>19784</v>
      </c>
      <c r="B601" s="4" t="s">
        <v>1200</v>
      </c>
      <c r="C601" s="16" t="str">
        <f>IFERROR(__xludf.DUMMYFUNCTION(""""""""" &amp; REGEXEXTRACT(B601, ""/detail/([^/?]+)"") &amp; """""","""),"""phimhnckkaofkllcoledjilakgbeohli"",")</f>
        <v>"phimhnckkaofkllcoledjilakgbeohli",</v>
      </c>
    </row>
    <row r="602">
      <c r="A602" s="4" t="s">
        <v>19785</v>
      </c>
      <c r="B602" s="4" t="s">
        <v>1202</v>
      </c>
      <c r="C602" s="16" t="str">
        <f>IFERROR(__xludf.DUMMYFUNCTION(""""""""" &amp; REGEXEXTRACT(B602, ""/detail/([^/?]+)"") &amp; """""","""),"""pifalnbglchfojkfmechjalgbjoodlpg"",")</f>
        <v>"pifalnbglchfojkfmechjalgbjoodlpg",</v>
      </c>
    </row>
    <row r="603">
      <c r="A603" s="4" t="s">
        <v>19786</v>
      </c>
      <c r="B603" s="4" t="s">
        <v>1204</v>
      </c>
      <c r="C603" s="16" t="str">
        <f>IFERROR(__xludf.DUMMYFUNCTION(""""""""" &amp; REGEXEXTRACT(B603, ""/detail/([^/?]+)"") &amp; """""","""),"""pkdaplneajgbalnnmaoflooakgijjkhc"",")</f>
        <v>"pkdaplneajgbalnnmaoflooakgijjkhc",</v>
      </c>
    </row>
    <row r="604">
      <c r="A604" s="4" t="s">
        <v>19787</v>
      </c>
      <c r="B604" s="4" t="s">
        <v>1206</v>
      </c>
      <c r="C604" s="16" t="str">
        <f>IFERROR(__xludf.DUMMYFUNCTION(""""""""" &amp; REGEXEXTRACT(B604, ""/detail/([^/?]+)"") &amp; """""","""),"""plkplgmhfkkhokgkdkblfcnfeccpippe"",")</f>
        <v>"plkplgmhfkkhokgkdkblfcnfeccpippe",</v>
      </c>
    </row>
    <row r="605">
      <c r="A605" s="4" t="s">
        <v>19788</v>
      </c>
      <c r="B605" s="4" t="s">
        <v>1208</v>
      </c>
      <c r="C605" s="16" t="str">
        <f>IFERROR(__xludf.DUMMYFUNCTION(""""""""" &amp; REGEXEXTRACT(B605, ""/detail/([^/?]+)"") &amp; """""","""),"""pocmplpaccanhmnllbbkpgfliimjljgo"",")</f>
        <v>"pocmplpaccanhmnllbbkpgfliimjljgo",</v>
      </c>
    </row>
    <row r="606">
      <c r="A606" s="4" t="s">
        <v>19789</v>
      </c>
      <c r="B606" s="4" t="s">
        <v>1210</v>
      </c>
      <c r="C606" s="16" t="str">
        <f>IFERROR(__xludf.DUMMYFUNCTION(""""""""" &amp; REGEXEXTRACT(B606, ""/detail/([^/?]+)"") &amp; """""","""),"""pojaolkbbklmcifckclknpolncdmbaph"",")</f>
        <v>"pojaolkbbklmcifckclknpolncdmbaph",</v>
      </c>
    </row>
    <row r="607">
      <c r="A607" s="4" t="s">
        <v>19790</v>
      </c>
      <c r="B607" s="4" t="s">
        <v>1212</v>
      </c>
      <c r="C607" s="16" t="str">
        <f>IFERROR(__xludf.DUMMYFUNCTION(""""""""" &amp; REGEXEXTRACT(B607, ""/detail/([^/?]+)"") &amp; """""","""),"""acdablfhjbhkjbcifldncdkmlophfgda"",")</f>
        <v>"acdablfhjbhkjbcifldncdkmlophfgda",</v>
      </c>
    </row>
    <row r="608">
      <c r="A608" s="4" t="s">
        <v>19791</v>
      </c>
      <c r="B608" s="4" t="s">
        <v>1214</v>
      </c>
      <c r="C608" s="16" t="str">
        <f>IFERROR(__xludf.DUMMYFUNCTION(""""""""" &amp; REGEXEXTRACT(B608, ""/detail/([^/?]+)"") &amp; """""","""),"""adaepfiocmagdimjecpifghcgfjlfmkh"",")</f>
        <v>"adaepfiocmagdimjecpifghcgfjlfmkh",</v>
      </c>
    </row>
    <row r="609">
      <c r="A609" s="4" t="s">
        <v>19792</v>
      </c>
      <c r="B609" s="4" t="s">
        <v>1216</v>
      </c>
      <c r="C609" s="16" t="str">
        <f>IFERROR(__xludf.DUMMYFUNCTION(""""""""" &amp; REGEXEXTRACT(B609, ""/detail/([^/?]+)"") &amp; """""","""),"""aimihpobjpagjiakhcpijibnaafdniol"",")</f>
        <v>"aimihpobjpagjiakhcpijibnaafdniol",</v>
      </c>
    </row>
    <row r="610">
      <c r="A610" s="4" t="s">
        <v>19793</v>
      </c>
      <c r="B610" s="4" t="s">
        <v>1218</v>
      </c>
      <c r="C610" s="16" t="str">
        <f>IFERROR(__xludf.DUMMYFUNCTION(""""""""" &amp; REGEXEXTRACT(B610, ""/detail/([^/?]+)"") &amp; """""","""),"""ajjfnbkfaofifbiflcicanlgaiafcamj"",")</f>
        <v>"ajjfnbkfaofifbiflcicanlgaiafcamj",</v>
      </c>
    </row>
    <row r="611">
      <c r="A611" s="4" t="s">
        <v>19794</v>
      </c>
      <c r="B611" s="4" t="s">
        <v>1220</v>
      </c>
      <c r="C611" s="16" t="str">
        <f>IFERROR(__xludf.DUMMYFUNCTION(""""""""" &amp; REGEXEXTRACT(B611, ""/detail/([^/?]+)"") &amp; """""","""),"""akipcefbjlmpbcejgdaopmmidpnjlhnb"",")</f>
        <v>"akipcefbjlmpbcejgdaopmmidpnjlhnb",</v>
      </c>
    </row>
    <row r="612">
      <c r="A612" s="4" t="s">
        <v>19795</v>
      </c>
      <c r="B612" s="4" t="s">
        <v>1222</v>
      </c>
      <c r="C612" s="16" t="str">
        <f>IFERROR(__xludf.DUMMYFUNCTION(""""""""" &amp; REGEXEXTRACT(B612, ""/detail/([^/?]+)"") &amp; """""","""),"""aldklnbenbdgfgfbflalmlddkkndgnlc"",")</f>
        <v>"aldklnbenbdgfgfbflalmlddkkndgnlc",</v>
      </c>
    </row>
    <row r="613">
      <c r="A613" s="10" t="s">
        <v>19796</v>
      </c>
      <c r="B613" s="4" t="s">
        <v>1223</v>
      </c>
      <c r="C613" s="16" t="str">
        <f>IFERROR(__xludf.DUMMYFUNCTION(""""""""" &amp; REGEXEXTRACT(B613, ""/detail/([^/?]+)"") &amp; """""","""),"""aognaapdfnnldnjglanfbbklaakbpejm"",")</f>
        <v>"aognaapdfnnldnjglanfbbklaakbpejm",</v>
      </c>
    </row>
    <row r="614">
      <c r="A614" s="4" t="s">
        <v>19797</v>
      </c>
      <c r="B614" s="4" t="s">
        <v>1225</v>
      </c>
      <c r="C614" s="16" t="str">
        <f>IFERROR(__xludf.DUMMYFUNCTION(""""""""" &amp; REGEXEXTRACT(B614, ""/detail/([^/?]+)"") &amp; """""","""),"""bbicmjjbohdfglopkidebfccilipgeif"",")</f>
        <v>"bbicmjjbohdfglopkidebfccilipgeif",</v>
      </c>
    </row>
    <row r="615">
      <c r="A615" s="4" t="s">
        <v>19798</v>
      </c>
      <c r="B615" s="4" t="s">
        <v>1227</v>
      </c>
      <c r="C615" s="16" t="str">
        <f>IFERROR(__xludf.DUMMYFUNCTION(""""""""" &amp; REGEXEXTRACT(B615, ""/detail/([^/?]+)"") &amp; """""","""),"""bcebepcbopnpbdhimpgfbbdkbimaoafn"",")</f>
        <v>"bcebepcbopnpbdhimpgfbbdkbimaoafn",</v>
      </c>
    </row>
    <row r="616">
      <c r="A616" s="4" t="s">
        <v>19799</v>
      </c>
      <c r="B616" s="4" t="s">
        <v>1229</v>
      </c>
      <c r="C616" s="16" t="str">
        <f>IFERROR(__xludf.DUMMYFUNCTION(""""""""" &amp; REGEXEXTRACT(B616, ""/detail/([^/?]+)"") &amp; """""","""),"""bngfikljchleddkelnfgohdfcobkggin"",")</f>
        <v>"bngfikljchleddkelnfgohdfcobkggin",</v>
      </c>
    </row>
    <row r="617">
      <c r="A617" s="4" t="s">
        <v>19800</v>
      </c>
      <c r="B617" s="4" t="s">
        <v>1231</v>
      </c>
      <c r="C617" s="16" t="str">
        <f>IFERROR(__xludf.DUMMYFUNCTION(""""""""" &amp; REGEXEXTRACT(B617, ""/detail/([^/?]+)"") &amp; """""","""),"""bnijmipndnicefcdbhgcjoognndbgkep"",")</f>
        <v>"bnijmipndnicefcdbhgcjoognndbgkep",</v>
      </c>
    </row>
    <row r="618">
      <c r="A618" s="4" t="s">
        <v>19801</v>
      </c>
      <c r="B618" s="4" t="s">
        <v>1233</v>
      </c>
      <c r="C618" s="16" t="str">
        <f>IFERROR(__xludf.DUMMYFUNCTION(""""""""" &amp; REGEXEXTRACT(B618, ""/detail/([^/?]+)"") &amp; """""","""),"""bpcagekijmfcocgjlnnhpdogbplajjfn"",")</f>
        <v>"bpcagekijmfcocgjlnnhpdogbplajjfn",</v>
      </c>
    </row>
    <row r="619">
      <c r="A619" s="4" t="s">
        <v>19802</v>
      </c>
      <c r="B619" s="4" t="s">
        <v>1235</v>
      </c>
      <c r="C619" s="16" t="str">
        <f>IFERROR(__xludf.DUMMYFUNCTION(""""""""" &amp; REGEXEXTRACT(B619, ""/detail/([^/?]+)"") &amp; """""","""),"""cafckninonjkogajnihihlnnimmkndgf"",")</f>
        <v>"cafckninonjkogajnihihlnnimmkndgf",</v>
      </c>
    </row>
    <row r="620">
      <c r="A620" s="4" t="s">
        <v>19803</v>
      </c>
      <c r="B620" s="4" t="s">
        <v>1237</v>
      </c>
      <c r="C620" s="16" t="str">
        <f>IFERROR(__xludf.DUMMYFUNCTION(""""""""" &amp; REGEXEXTRACT(B620, ""/detail/([^/?]+)"") &amp; """""","""),"""cdgadiikjdgddgfhacgjbacflhoimogn"",")</f>
        <v>"cdgadiikjdgddgfhacgjbacflhoimogn",</v>
      </c>
    </row>
    <row r="621">
      <c r="A621" s="4" t="s">
        <v>19804</v>
      </c>
      <c r="B621" s="4" t="s">
        <v>1239</v>
      </c>
      <c r="C621" s="16" t="str">
        <f>IFERROR(__xludf.DUMMYFUNCTION(""""""""" &amp; REGEXEXTRACT(B621, ""/detail/([^/?]+)"") &amp; """""","""),"""cenipjndcfljmplhjhcnfajnkmbjmppi"",")</f>
        <v>"cenipjndcfljmplhjhcnfajnkmbjmppi",</v>
      </c>
    </row>
    <row r="622">
      <c r="A622" s="10" t="s">
        <v>19805</v>
      </c>
      <c r="B622" s="4" t="s">
        <v>1241</v>
      </c>
      <c r="C622" s="16" t="str">
        <f>IFERROR(__xludf.DUMMYFUNCTION(""""""""" &amp; REGEXEXTRACT(B622, ""/detail/([^/?]+)"") &amp; """""","""),"""cfbpcgmafclgfmpoelldpmiolgblgbel"",")</f>
        <v>"cfbpcgmafclgfmpoelldpmiolgblgbel",</v>
      </c>
    </row>
    <row r="623">
      <c r="A623" s="4" t="s">
        <v>19806</v>
      </c>
      <c r="B623" s="4" t="s">
        <v>1243</v>
      </c>
      <c r="C623" s="16" t="str">
        <f>IFERROR(__xludf.DUMMYFUNCTION(""""""""" &amp; REGEXEXTRACT(B623, ""/detail/([^/?]+)"") &amp; """""","""),"""cfmcghennfbpmhemnnfjhkdmnbidpanb"",")</f>
        <v>"cfmcghennfbpmhemnnfjhkdmnbidpanb",</v>
      </c>
    </row>
    <row r="624">
      <c r="A624" s="4" t="s">
        <v>19807</v>
      </c>
      <c r="B624" s="4" t="s">
        <v>1245</v>
      </c>
      <c r="C624" s="16" t="str">
        <f>IFERROR(__xludf.DUMMYFUNCTION(""""""""" &amp; REGEXEXTRACT(B624, ""/detail/([^/?]+)"") &amp; """""","""),"""cmpcofplgblhofbilhpjbgabfmignpdh"",")</f>
        <v>"cmpcofplgblhofbilhpjbgabfmignpdh",</v>
      </c>
    </row>
    <row r="625">
      <c r="A625" s="4" t="s">
        <v>19808</v>
      </c>
      <c r="B625" s="4" t="s">
        <v>1247</v>
      </c>
      <c r="C625" s="16" t="str">
        <f>IFERROR(__xludf.DUMMYFUNCTION(""""""""" &amp; REGEXEXTRACT(B625, ""/detail/([^/?]+)"") &amp; """""","""),"""cnijaadaiajakknmlhoffefpoadaedam"",")</f>
        <v>"cnijaadaiajakknmlhoffefpoadaedam",</v>
      </c>
    </row>
    <row r="626">
      <c r="A626" s="4" t="s">
        <v>19809</v>
      </c>
      <c r="B626" s="4" t="s">
        <v>1249</v>
      </c>
      <c r="C626" s="16" t="str">
        <f>IFERROR(__xludf.DUMMYFUNCTION(""""""""" &amp; REGEXEXTRACT(B626, ""/detail/([^/?]+)"") &amp; """""","""),"""dacmeeeegjoaddfondbeaaafohldgfof"",")</f>
        <v>"dacmeeeegjoaddfondbeaaafohldgfof",</v>
      </c>
    </row>
    <row r="627">
      <c r="A627" s="4" t="s">
        <v>19810</v>
      </c>
      <c r="B627" s="4" t="s">
        <v>1251</v>
      </c>
      <c r="C627" s="16" t="str">
        <f>IFERROR(__xludf.DUMMYFUNCTION(""""""""" &amp; REGEXEXTRACT(B627, ""/detail/([^/?]+)"") &amp; """""","""),"""dbmjjcmdhfjbgkgigdndfnfddminlpgb"",")</f>
        <v>"dbmjjcmdhfjbgkgigdndfnfddminlpgb",</v>
      </c>
    </row>
    <row r="628">
      <c r="A628" s="4" t="s">
        <v>19811</v>
      </c>
      <c r="B628" s="4" t="s">
        <v>1253</v>
      </c>
      <c r="C628" s="16" t="str">
        <f>IFERROR(__xludf.DUMMYFUNCTION(""""""""" &amp; REGEXEXTRACT(B628, ""/detail/([^/?]+)"") &amp; """""","""),"""ddippghibegbgpjcaaijbacfhjjeafjh"",")</f>
        <v>"ddippghibegbgpjcaaijbacfhjjeafjh",</v>
      </c>
    </row>
    <row r="629">
      <c r="A629" s="4" t="s">
        <v>19812</v>
      </c>
      <c r="B629" s="4" t="s">
        <v>1255</v>
      </c>
      <c r="C629" s="16" t="str">
        <f>IFERROR(__xludf.DUMMYFUNCTION(""""""""" &amp; REGEXEXTRACT(B629, ""/detail/([^/?]+)"") &amp; """""","""),"""dfngkocjobhcdlknaffekkiafkboehkn"",")</f>
        <v>"dfngkocjobhcdlknaffekkiafkboehkn",</v>
      </c>
    </row>
    <row r="630">
      <c r="A630" s="4" t="s">
        <v>19813</v>
      </c>
      <c r="B630" s="4" t="s">
        <v>1257</v>
      </c>
      <c r="C630" s="16" t="str">
        <f>IFERROR(__xludf.DUMMYFUNCTION(""""""""" &amp; REGEXEXTRACT(B630, ""/detail/([^/?]+)"") &amp; """""","""),"""dhjjibbeddglobeoapgppnlnmijajfbb"",")</f>
        <v>"dhjjibbeddglobeoapgppnlnmijajfbb",</v>
      </c>
    </row>
    <row r="631">
      <c r="A631" s="4" t="s">
        <v>19814</v>
      </c>
      <c r="B631" s="4" t="s">
        <v>1259</v>
      </c>
      <c r="C631" s="16" t="str">
        <f>IFERROR(__xludf.DUMMYFUNCTION(""""""""" &amp; REGEXEXTRACT(B631, ""/detail/([^/?]+)"") &amp; """""","""),"""djcobamaplcmhmaocomnkfdbcoiggepo"",")</f>
        <v>"djcobamaplcmhmaocomnkfdbcoiggepo",</v>
      </c>
    </row>
    <row r="632">
      <c r="A632" s="4" t="s">
        <v>19815</v>
      </c>
      <c r="B632" s="4" t="s">
        <v>1261</v>
      </c>
      <c r="C632" s="16" t="str">
        <f>IFERROR(__xludf.DUMMYFUNCTION(""""""""" &amp; REGEXEXTRACT(B632, ""/detail/([^/?]+)"") &amp; """""","""),"""djgfmlohefpomchfabngccpbaflcahjf"",")</f>
        <v>"djgfmlohefpomchfabngccpbaflcahjf",</v>
      </c>
    </row>
    <row r="633">
      <c r="A633" s="4" t="s">
        <v>19816</v>
      </c>
      <c r="B633" s="4" t="s">
        <v>1263</v>
      </c>
      <c r="C633" s="16" t="str">
        <f>IFERROR(__xludf.DUMMYFUNCTION(""""""""" &amp; REGEXEXTRACT(B633, ""/detail/([^/?]+)"") &amp; """""","""),"""dkpiobpcinjhhemgobhjghkakdabddmg"",")</f>
        <v>"dkpiobpcinjhhemgobhjghkakdabddmg",</v>
      </c>
    </row>
    <row r="634">
      <c r="A634" s="4" t="s">
        <v>19817</v>
      </c>
      <c r="B634" s="4" t="s">
        <v>1265</v>
      </c>
      <c r="C634" s="16" t="str">
        <f>IFERROR(__xludf.DUMMYFUNCTION(""""""""" &amp; REGEXEXTRACT(B634, ""/detail/([^/?]+)"") &amp; """""","""),"""ebbdbdmhegaoooipfnjikefdpeoaidml"",")</f>
        <v>"ebbdbdmhegaoooipfnjikefdpeoaidml",</v>
      </c>
    </row>
    <row r="635">
      <c r="A635" s="4" t="s">
        <v>19818</v>
      </c>
      <c r="B635" s="4" t="s">
        <v>1267</v>
      </c>
      <c r="C635" s="16" t="str">
        <f>IFERROR(__xludf.DUMMYFUNCTION(""""""""" &amp; REGEXEXTRACT(B635, ""/detail/([^/?]+)"") &amp; """""","""),"""ecldhagehndokdmaiaigoaecbmbnmfkc"",")</f>
        <v>"ecldhagehndokdmaiaigoaecbmbnmfkc",</v>
      </c>
    </row>
    <row r="636">
      <c r="A636" s="4" t="s">
        <v>19819</v>
      </c>
      <c r="B636" s="4" t="s">
        <v>1269</v>
      </c>
      <c r="C636" s="16" t="str">
        <f>IFERROR(__xludf.DUMMYFUNCTION(""""""""" &amp; REGEXEXTRACT(B636, ""/detail/([^/?]+)"") &amp; """""","""),"""eeebgnfjhfdbjeiimmofopakfbmoiemo"",")</f>
        <v>"eeebgnfjhfdbjeiimmofopakfbmoiemo",</v>
      </c>
    </row>
    <row r="637">
      <c r="A637" s="4" t="s">
        <v>19820</v>
      </c>
      <c r="B637" s="4" t="s">
        <v>1271</v>
      </c>
      <c r="C637" s="16" t="str">
        <f>IFERROR(__xludf.DUMMYFUNCTION(""""""""" &amp; REGEXEXTRACT(B637, ""/detail/([^/?]+)"") &amp; """""","""),"""eejfoncpjfgmeleakejdcanedmefagga"",")</f>
        <v>"eejfoncpjfgmeleakejdcanedmefagga",</v>
      </c>
    </row>
    <row r="638">
      <c r="A638" s="4" t="s">
        <v>19821</v>
      </c>
      <c r="B638" s="4" t="s">
        <v>1273</v>
      </c>
      <c r="C638" s="16" t="str">
        <f>IFERROR(__xludf.DUMMYFUNCTION(""""""""" &amp; REGEXEXTRACT(B638, ""/detail/([^/?]+)"") &amp; """""","""),"""elbamfklmdfhbighpndmfdidofdonigb"",")</f>
        <v>"elbamfklmdfhbighpndmfdidofdonigb",</v>
      </c>
    </row>
    <row r="639">
      <c r="A639" s="4" t="s">
        <v>19822</v>
      </c>
      <c r="B639" s="4" t="s">
        <v>1275</v>
      </c>
      <c r="C639" s="16" t="str">
        <f>IFERROR(__xludf.DUMMYFUNCTION(""""""""" &amp; REGEXEXTRACT(B639, ""/detail/([^/?]+)"") &amp; """""","""),"""eoloebjcighkdkhdcbgooioeigbedihj"",")</f>
        <v>"eoloebjcighkdkhdcbgooioeigbedihj",</v>
      </c>
    </row>
    <row r="640">
      <c r="A640" s="4" t="s">
        <v>19823</v>
      </c>
      <c r="B640" s="4" t="s">
        <v>1277</v>
      </c>
      <c r="C640" s="16" t="str">
        <f>IFERROR(__xludf.DUMMYFUNCTION(""""""""" &amp; REGEXEXTRACT(B640, ""/detail/([^/?]+)"") &amp; """""","""),"""eonffnnfmbfnmjpaiigdclmfelolemah"",")</f>
        <v>"eonffnnfmbfnmjpaiigdclmfelolemah",</v>
      </c>
    </row>
    <row r="641">
      <c r="A641" s="4" t="s">
        <v>19824</v>
      </c>
      <c r="B641" s="4" t="s">
        <v>1279</v>
      </c>
      <c r="C641" s="16" t="str">
        <f>IFERROR(__xludf.DUMMYFUNCTION(""""""""" &amp; REGEXEXTRACT(B641, ""/detail/([^/?]+)"") &amp; """""","""),"""epejoicbhllgiimigokgjdoijnpaphdp"",")</f>
        <v>"epejoicbhllgiimigokgjdoijnpaphdp",</v>
      </c>
    </row>
    <row r="642">
      <c r="A642" s="4" t="s">
        <v>19825</v>
      </c>
      <c r="B642" s="4" t="s">
        <v>1281</v>
      </c>
      <c r="C642" s="16" t="str">
        <f>IFERROR(__xludf.DUMMYFUNCTION(""""""""" &amp; REGEXEXTRACT(B642, ""/detail/([^/?]+)"") &amp; """""","""),"""fbknefhkjhbolemlchjhacbgckdjggod"",")</f>
        <v>"fbknefhkjhbolemlchjhacbgckdjggod",</v>
      </c>
    </row>
    <row r="643">
      <c r="A643" s="4" t="s">
        <v>19826</v>
      </c>
      <c r="B643" s="4" t="s">
        <v>1283</v>
      </c>
      <c r="C643" s="16" t="str">
        <f>IFERROR(__xludf.DUMMYFUNCTION(""""""""" &amp; REGEXEXTRACT(B643, ""/detail/([^/?]+)"") &amp; """""","""),"""fblbeibikalffoohjpiojmpmmndpkeii"",")</f>
        <v>"fblbeibikalffoohjpiojmpmmndpkeii",</v>
      </c>
    </row>
    <row r="644">
      <c r="A644" s="4" t="s">
        <v>19827</v>
      </c>
      <c r="B644" s="4" t="s">
        <v>1285</v>
      </c>
      <c r="C644" s="16" t="str">
        <f>IFERROR(__xludf.DUMMYFUNCTION(""""""""" &amp; REGEXEXTRACT(B644, ""/detail/([^/?]+)"") &amp; """""","""),"""fefdcjabloofphhfcinhfbinmehfcojm"",")</f>
        <v>"fefdcjabloofphhfcinhfbinmehfcojm",</v>
      </c>
    </row>
    <row r="645">
      <c r="A645" s="4" t="s">
        <v>19828</v>
      </c>
      <c r="B645" s="4" t="s">
        <v>1287</v>
      </c>
      <c r="C645" s="16" t="str">
        <f>IFERROR(__xludf.DUMMYFUNCTION(""""""""" &amp; REGEXEXTRACT(B645, ""/detail/([^/?]+)"") &amp; """""","""),"""fhcmhglnohogibbbpbodmjeggpdlboop"",")</f>
        <v>"fhcmhglnohogibbbpbodmjeggpdlboop",</v>
      </c>
    </row>
    <row r="646">
      <c r="A646" s="10" t="s">
        <v>19829</v>
      </c>
      <c r="B646" s="4" t="s">
        <v>1289</v>
      </c>
      <c r="C646" s="16" t="str">
        <f>IFERROR(__xludf.DUMMYFUNCTION(""""""""" &amp; REGEXEXTRACT(B646, ""/detail/([^/?]+)"") &amp; """""","""),"""fkfkjailjcijmghkonghlclbjkopjbgh"",")</f>
        <v>"fkfkjailjcijmghkonghlclbjkopjbgh",</v>
      </c>
    </row>
    <row r="647">
      <c r="A647" s="4" t="s">
        <v>19830</v>
      </c>
      <c r="B647" s="4" t="s">
        <v>1291</v>
      </c>
      <c r="C647" s="16" t="str">
        <f>IFERROR(__xludf.DUMMYFUNCTION(""""""""" &amp; REGEXEXTRACT(B647, ""/detail/([^/?]+)"") &amp; """""","""),"""flejfacjooompmliegamfbpjjdlhokhj"",")</f>
        <v>"flejfacjooompmliegamfbpjjdlhokhj",</v>
      </c>
    </row>
    <row r="648">
      <c r="A648" s="4" t="s">
        <v>19831</v>
      </c>
      <c r="B648" s="4" t="s">
        <v>1293</v>
      </c>
      <c r="C648" s="16" t="str">
        <f>IFERROR(__xludf.DUMMYFUNCTION(""""""""" &amp; REGEXEXTRACT(B648, ""/detail/([^/?]+)"") &amp; """""","""),"""flpiciilemghbmfalicajoolhkkenfel"",")</f>
        <v>"flpiciilemghbmfalicajoolhkkenfel",</v>
      </c>
    </row>
    <row r="649">
      <c r="A649" s="4" t="s">
        <v>19832</v>
      </c>
      <c r="B649" s="4" t="s">
        <v>1295</v>
      </c>
      <c r="C649" s="16" t="str">
        <f>IFERROR(__xludf.DUMMYFUNCTION(""""""""" &amp; REGEXEXTRACT(B649, ""/detail/([^/?]+)"") &amp; """""","""),"""fndnankcflemoafdeboboehphmiijkgp"",")</f>
        <v>"fndnankcflemoafdeboboehphmiijkgp",</v>
      </c>
    </row>
    <row r="650">
      <c r="A650" s="4" t="s">
        <v>19833</v>
      </c>
      <c r="B650" s="4" t="s">
        <v>1297</v>
      </c>
      <c r="C650" s="16" t="str">
        <f>IFERROR(__xludf.DUMMYFUNCTION(""""""""" &amp; REGEXEXTRACT(B650, ""/detail/([^/?]+)"") &amp; """""","""),"""fnmgbgbidhadiadgcnfmamimcepijdkm"",")</f>
        <v>"fnmgbgbidhadiadgcnfmamimcepijdkm",</v>
      </c>
    </row>
    <row r="651">
      <c r="A651" s="4" t="s">
        <v>19834</v>
      </c>
      <c r="B651" s="4" t="s">
        <v>1299</v>
      </c>
      <c r="C651" s="16" t="str">
        <f>IFERROR(__xludf.DUMMYFUNCTION(""""""""" &amp; REGEXEXTRACT(B651, ""/detail/([^/?]+)"") &amp; """""","""),"""gbagmkohmhcjgbepncmehejaljoclpil"",")</f>
        <v>"gbagmkohmhcjgbepncmehejaljoclpil",</v>
      </c>
    </row>
    <row r="652">
      <c r="A652" s="4" t="s">
        <v>19835</v>
      </c>
      <c r="B652" s="4" t="s">
        <v>1301</v>
      </c>
      <c r="C652" s="16" t="str">
        <f>IFERROR(__xludf.DUMMYFUNCTION(""""""""" &amp; REGEXEXTRACT(B652, ""/detail/([^/?]+)"") &amp; """""","""),"""gbkjddnnlgmahpnjjkiolhoophlpibfn"",")</f>
        <v>"gbkjddnnlgmahpnjjkiolhoophlpibfn",</v>
      </c>
    </row>
    <row r="653">
      <c r="A653" s="4" t="s">
        <v>19836</v>
      </c>
      <c r="B653" s="4" t="s">
        <v>1303</v>
      </c>
      <c r="C653" s="16" t="str">
        <f>IFERROR(__xludf.DUMMYFUNCTION(""""""""" &amp; REGEXEXTRACT(B653, ""/detail/([^/?]+)"") &amp; """""","""),"""ggmdpepbjljkkkdaklfihhngmmgmpggp"",")</f>
        <v>"ggmdpepbjljkkkdaklfihhngmmgmpggp",</v>
      </c>
    </row>
    <row r="654">
      <c r="A654" s="4" t="s">
        <v>19837</v>
      </c>
      <c r="B654" s="4" t="s">
        <v>1305</v>
      </c>
      <c r="C654" s="16" t="str">
        <f>IFERROR(__xludf.DUMMYFUNCTION(""""""""" &amp; REGEXEXTRACT(B654, ""/detail/([^/?]+)"") &amp; """""","""),"""ghahcnmfjfckcedfajbhekgknjdplfcl"",")</f>
        <v>"ghahcnmfjfckcedfajbhekgknjdplfcl",</v>
      </c>
    </row>
    <row r="655">
      <c r="A655" s="4" t="s">
        <v>19838</v>
      </c>
      <c r="B655" s="4" t="s">
        <v>1307</v>
      </c>
      <c r="C655" s="16" t="str">
        <f>IFERROR(__xludf.DUMMYFUNCTION(""""""""" &amp; REGEXEXTRACT(B655, ""/detail/([^/?]+)"") &amp; """""","""),"""ghcbncfgnbhdcjmhpoakkjojgekcejdf"",")</f>
        <v>"ghcbncfgnbhdcjmhpoakkjojgekcejdf",</v>
      </c>
    </row>
    <row r="656">
      <c r="A656" s="4" t="s">
        <v>19839</v>
      </c>
      <c r="B656" s="4" t="s">
        <v>1309</v>
      </c>
      <c r="C656" s="16" t="str">
        <f>IFERROR(__xludf.DUMMYFUNCTION(""""""""" &amp; REGEXEXTRACT(B656, ""/detail/([^/?]+)"") &amp; """""","""),"""ghkclpkmplddbagagffmmcmdbgjecbbj"",")</f>
        <v>"ghkclpkmplddbagagffmmcmdbgjecbbj",</v>
      </c>
    </row>
    <row r="657">
      <c r="A657" s="4" t="s">
        <v>19840</v>
      </c>
      <c r="B657" s="4" t="s">
        <v>1311</v>
      </c>
      <c r="C657" s="16" t="str">
        <f>IFERROR(__xludf.DUMMYFUNCTION(""""""""" &amp; REGEXEXTRACT(B657, ""/detail/([^/?]+)"") &amp; """""","""),"""goppbgmjnldonmjemebdmcjfefbgoloh"",")</f>
        <v>"goppbgmjnldonmjemebdmcjfefbgoloh",</v>
      </c>
    </row>
    <row r="658">
      <c r="A658" s="4" t="s">
        <v>19841</v>
      </c>
      <c r="B658" s="4" t="s">
        <v>1313</v>
      </c>
      <c r="C658" s="16" t="str">
        <f>IFERROR(__xludf.DUMMYFUNCTION(""""""""" &amp; REGEXEXTRACT(B658, ""/detail/([^/?]+)"") &amp; """""","""),"""hbijmiokbffalbolieapplfhmmnioeao"",")</f>
        <v>"hbijmiokbffalbolieapplfhmmnioeao",</v>
      </c>
    </row>
    <row r="659">
      <c r="A659" s="4" t="s">
        <v>19842</v>
      </c>
      <c r="B659" s="4" t="s">
        <v>1315</v>
      </c>
      <c r="C659" s="16" t="str">
        <f>IFERROR(__xludf.DUMMYFUNCTION(""""""""" &amp; REGEXEXTRACT(B659, ""/detail/([^/?]+)"") &amp; """""","""),"""hblfkbdoflbakoblaknbjjhjbgfoofog"",")</f>
        <v>"hblfkbdoflbakoblaknbjjhjbgfoofog",</v>
      </c>
    </row>
    <row r="660">
      <c r="A660" s="4" t="s">
        <v>19843</v>
      </c>
      <c r="B660" s="4" t="s">
        <v>1317</v>
      </c>
      <c r="C660" s="16" t="str">
        <f>IFERROR(__xludf.DUMMYFUNCTION(""""""""" &amp; REGEXEXTRACT(B660, ""/detail/([^/?]+)"") &amp; """""","""),"""hcdjknjpbnhdoabbngpmfekaecnpajba"",")</f>
        <v>"hcdjknjpbnhdoabbngpmfekaecnpajba",</v>
      </c>
    </row>
    <row r="661">
      <c r="A661" s="4" t="s">
        <v>19844</v>
      </c>
      <c r="B661" s="4" t="s">
        <v>1319</v>
      </c>
      <c r="C661" s="16" t="str">
        <f>IFERROR(__xludf.DUMMYFUNCTION(""""""""" &amp; REGEXEXTRACT(B661, ""/detail/([^/?]+)"") &amp; """""","""),"""hckjchjpkmbihoocajjpjajkggbccgee"",")</f>
        <v>"hckjchjpkmbihoocajjpjajkggbccgee",</v>
      </c>
    </row>
    <row r="662">
      <c r="A662" s="4" t="s">
        <v>19845</v>
      </c>
      <c r="B662" s="4" t="s">
        <v>1321</v>
      </c>
      <c r="C662" s="16" t="str">
        <f>IFERROR(__xludf.DUMMYFUNCTION(""""""""" &amp; REGEXEXTRACT(B662, ""/detail/([^/?]+)"") &amp; """""","""),"""hcpidejphgpcgfnpiehkcckkkemgneif"",")</f>
        <v>"hcpidejphgpcgfnpiehkcckkkemgneif",</v>
      </c>
    </row>
    <row r="663">
      <c r="A663" s="4" t="s">
        <v>19846</v>
      </c>
      <c r="B663" s="4" t="s">
        <v>1323</v>
      </c>
      <c r="C663" s="16" t="str">
        <f>IFERROR(__xludf.DUMMYFUNCTION(""""""""" &amp; REGEXEXTRACT(B663, ""/detail/([^/?]+)"") &amp; """""","""),"""hdbenfgeoomkaiddadkoammkpeofpfkj"",")</f>
        <v>"hdbenfgeoomkaiddadkoammkpeofpfkj",</v>
      </c>
    </row>
    <row r="664">
      <c r="A664" s="4" t="s">
        <v>19847</v>
      </c>
      <c r="B664" s="4" t="s">
        <v>1325</v>
      </c>
      <c r="C664" s="16" t="str">
        <f>IFERROR(__xludf.DUMMYFUNCTION(""""""""" &amp; REGEXEXTRACT(B664, ""/detail/([^/?]+)"") &amp; """""","""),"""hechlhgpdpfdikhmacjfnpphbbpcjpek"",")</f>
        <v>"hechlhgpdpfdikhmacjfnpphbbpcjpek",</v>
      </c>
    </row>
    <row r="665">
      <c r="A665" s="4" t="s">
        <v>19848</v>
      </c>
      <c r="B665" s="4" t="s">
        <v>1327</v>
      </c>
      <c r="C665" s="16" t="str">
        <f>IFERROR(__xludf.DUMMYFUNCTION(""""""""" &amp; REGEXEXTRACT(B665, ""/detail/([^/?]+)"") &amp; """""","""),"""heidajcpkemganilmhockdniaknoojih"",")</f>
        <v>"heidajcpkemganilmhockdniaknoojih",</v>
      </c>
    </row>
    <row r="666">
      <c r="A666" s="4" t="s">
        <v>19849</v>
      </c>
      <c r="B666" s="4" t="s">
        <v>1329</v>
      </c>
      <c r="C666" s="16" t="str">
        <f>IFERROR(__xludf.DUMMYFUNCTION(""""""""" &amp; REGEXEXTRACT(B666, ""/detail/([^/?]+)"") &amp; """""","""),"""hmnaobgeiojplphcldmeiklgllchflpp"",")</f>
        <v>"hmnaobgeiojplphcldmeiklgllchflpp",</v>
      </c>
    </row>
    <row r="667">
      <c r="A667" s="4" t="s">
        <v>19850</v>
      </c>
      <c r="B667" s="4" t="s">
        <v>1331</v>
      </c>
      <c r="C667" s="16" t="str">
        <f>IFERROR(__xludf.DUMMYFUNCTION(""""""""" &amp; REGEXEXTRACT(B667, ""/detail/([^/?]+)"") &amp; """""","""),"""hnabfegkopljkfaaibjjfkmjefhdenee"",")</f>
        <v>"hnabfegkopljkfaaibjjfkmjefhdenee",</v>
      </c>
    </row>
    <row r="668">
      <c r="A668" s="4" t="s">
        <v>19851</v>
      </c>
      <c r="B668" s="4" t="s">
        <v>1333</v>
      </c>
      <c r="C668" s="16" t="str">
        <f>IFERROR(__xludf.DUMMYFUNCTION(""""""""" &amp; REGEXEXTRACT(B668, ""/detail/([^/?]+)"") &amp; """""","""),"""hokofmgcicpnjchllaccgedmmmbbnbmf"",")</f>
        <v>"hokofmgcicpnjchllaccgedmmmbbnbmf",</v>
      </c>
    </row>
    <row r="669">
      <c r="A669" s="4" t="s">
        <v>19852</v>
      </c>
      <c r="B669" s="4" t="s">
        <v>1335</v>
      </c>
      <c r="C669" s="16" t="str">
        <f>IFERROR(__xludf.DUMMYFUNCTION(""""""""" &amp; REGEXEXTRACT(B669, ""/detail/([^/?]+)"") &amp; """""","""),"""hpahaceigpcebiefmijneimenbgbcjcn"",")</f>
        <v>"hpahaceigpcebiefmijneimenbgbcjcn",</v>
      </c>
    </row>
    <row r="670">
      <c r="A670" s="4" t="s">
        <v>19853</v>
      </c>
      <c r="B670" s="4" t="s">
        <v>1337</v>
      </c>
      <c r="C670" s="16" t="str">
        <f>IFERROR(__xludf.DUMMYFUNCTION(""""""""" &amp; REGEXEXTRACT(B670, ""/detail/([^/?]+)"") &amp; """""","""),"""hpioniioecjjbhbnnbhcifmgmoiibalo"",")</f>
        <v>"hpioniioecjjbhbnnbhcifmgmoiibalo",</v>
      </c>
    </row>
    <row r="671">
      <c r="A671" s="4" t="s">
        <v>19854</v>
      </c>
      <c r="B671" s="4" t="s">
        <v>1339</v>
      </c>
      <c r="C671" s="16" t="str">
        <f>IFERROR(__xludf.DUMMYFUNCTION(""""""""" &amp; REGEXEXTRACT(B671, ""/detail/([^/?]+)"") &amp; """""","""),"""ibpjepoimpcdofeoalokgpjafnjonkpc"",")</f>
        <v>"ibpjepoimpcdofeoalokgpjafnjonkpc",</v>
      </c>
    </row>
    <row r="672">
      <c r="A672" s="4" t="s">
        <v>19855</v>
      </c>
      <c r="B672" s="4" t="s">
        <v>1341</v>
      </c>
      <c r="C672" s="16" t="str">
        <f>IFERROR(__xludf.DUMMYFUNCTION(""""""""" &amp; REGEXEXTRACT(B672, ""/detail/([^/?]+)"") &amp; """""","""),"""icbddibgmpdonpogkcnambimgncliipl"",")</f>
        <v>"icbddibgmpdonpogkcnambimgncliipl",</v>
      </c>
    </row>
    <row r="673">
      <c r="A673" s="4" t="s">
        <v>19856</v>
      </c>
      <c r="B673" s="4" t="s">
        <v>1343</v>
      </c>
      <c r="C673" s="16" t="str">
        <f>IFERROR(__xludf.DUMMYFUNCTION(""""""""" &amp; REGEXEXTRACT(B673, ""/detail/([^/?]+)"") &amp; """""","""),"""idpiheecdknamfcfipinpnmmofehpdbm"",")</f>
        <v>"idpiheecdknamfcfipinpnmmofehpdbm",</v>
      </c>
    </row>
    <row r="674">
      <c r="A674" s="4" t="s">
        <v>19857</v>
      </c>
      <c r="B674" s="4" t="s">
        <v>1345</v>
      </c>
      <c r="C674" s="16" t="str">
        <f>IFERROR(__xludf.DUMMYFUNCTION(""""""""" &amp; REGEXEXTRACT(B674, ""/detail/([^/?]+)"") &amp; """""","""),"""igldobfphppodifdnpealajhijnpaohf"",")</f>
        <v>"igldobfphppodifdnpealajhijnpaohf",</v>
      </c>
    </row>
    <row r="675">
      <c r="A675" s="4" t="s">
        <v>19858</v>
      </c>
      <c r="B675" s="4" t="s">
        <v>1347</v>
      </c>
      <c r="C675" s="16" t="str">
        <f>IFERROR(__xludf.DUMMYFUNCTION(""""""""" &amp; REGEXEXTRACT(B675, ""/detail/([^/?]+)"") &amp; """""","""),"""innfmeekncjandlanpgdmmogkcimekgo"",")</f>
        <v>"innfmeekncjandlanpgdmmogkcimekgo",</v>
      </c>
    </row>
    <row r="676">
      <c r="A676" s="4" t="s">
        <v>19859</v>
      </c>
      <c r="B676" s="4" t="s">
        <v>1349</v>
      </c>
      <c r="C676" s="16" t="str">
        <f>IFERROR(__xludf.DUMMYFUNCTION(""""""""" &amp; REGEXEXTRACT(B676, ""/detail/([^/?]+)"") &amp; """""","""),"""ipfjnikpccdpgjelgomppkdgiokfkjeg"",")</f>
        <v>"ipfjnikpccdpgjelgomppkdgiokfkjeg",</v>
      </c>
    </row>
    <row r="677">
      <c r="A677" s="4" t="s">
        <v>19860</v>
      </c>
      <c r="B677" s="4" t="s">
        <v>1351</v>
      </c>
      <c r="C677" s="16" t="str">
        <f>IFERROR(__xludf.DUMMYFUNCTION(""""""""" &amp; REGEXEXTRACT(B677, ""/detail/([^/?]+)"") &amp; """""","""),"""jbanhionoclikdjnjlcmefiofgjimgca"",")</f>
        <v>"jbanhionoclikdjnjlcmefiofgjimgca",</v>
      </c>
    </row>
    <row r="678">
      <c r="A678" s="4" t="s">
        <v>19861</v>
      </c>
      <c r="B678" s="4" t="s">
        <v>1353</v>
      </c>
      <c r="C678" s="16" t="str">
        <f>IFERROR(__xludf.DUMMYFUNCTION(""""""""" &amp; REGEXEXTRACT(B678, ""/detail/([^/?]+)"") &amp; """""","""),"""jbbmdehmiclndmeedcocofcjlpgjnmea"",")</f>
        <v>"jbbmdehmiclndmeedcocofcjlpgjnmea",</v>
      </c>
    </row>
    <row r="679">
      <c r="A679" s="4" t="s">
        <v>19862</v>
      </c>
      <c r="B679" s="4" t="s">
        <v>1355</v>
      </c>
      <c r="C679" s="16" t="str">
        <f>IFERROR(__xludf.DUMMYFUNCTION(""""""""" &amp; REGEXEXTRACT(B679, ""/detail/([^/?]+)"") &amp; """""","""),"""jdifegpjomjhfmicjemdadmbihdbcljg"",")</f>
        <v>"jdifegpjomjhfmicjemdadmbihdbcljg",</v>
      </c>
    </row>
    <row r="680">
      <c r="A680" s="4" t="s">
        <v>19863</v>
      </c>
      <c r="B680" s="4" t="s">
        <v>1357</v>
      </c>
      <c r="C680" s="16" t="str">
        <f>IFERROR(__xludf.DUMMYFUNCTION(""""""""" &amp; REGEXEXTRACT(B680, ""/detail/([^/?]+)"") &amp; """""","""),"""jepjhbfaflooeafdniebnnjfdpcdkejd"",")</f>
        <v>"jepjhbfaflooeafdniebnnjfdpcdkejd",</v>
      </c>
    </row>
    <row r="681">
      <c r="A681" s="4" t="s">
        <v>19864</v>
      </c>
      <c r="B681" s="4" t="s">
        <v>1359</v>
      </c>
      <c r="C681" s="16" t="str">
        <f>IFERROR(__xludf.DUMMYFUNCTION(""""""""" &amp; REGEXEXTRACT(B681, ""/detail/([^/?]+)"") &amp; """""","""),"""jfkjbfhcfaoldhgbnkekkoheganchiea"",")</f>
        <v>"jfkjbfhcfaoldhgbnkekkoheganchiea",</v>
      </c>
    </row>
    <row r="682">
      <c r="A682" s="4" t="s">
        <v>19865</v>
      </c>
      <c r="B682" s="4" t="s">
        <v>1361</v>
      </c>
      <c r="C682" s="16" t="str">
        <f>IFERROR(__xludf.DUMMYFUNCTION(""""""""" &amp; REGEXEXTRACT(B682, ""/detail/([^/?]+)"") &amp; """""","""),"""jgmngefpkkgnhkgffnldnpinipphceob"",")</f>
        <v>"jgmngefpkkgnhkgffnldnpinipphceob",</v>
      </c>
    </row>
    <row r="683">
      <c r="A683" s="4" t="s">
        <v>19866</v>
      </c>
      <c r="B683" s="4" t="s">
        <v>1363</v>
      </c>
      <c r="C683" s="16" t="str">
        <f>IFERROR(__xludf.DUMMYFUNCTION(""""""""" &amp; REGEXEXTRACT(B683, ""/detail/([^/?]+)"") &amp; """""","""),"""jifeafcpcjjgnlcnkffmeegehmnmkefl"",")</f>
        <v>"jifeafcpcjjgnlcnkffmeegehmnmkefl",</v>
      </c>
    </row>
    <row r="684">
      <c r="A684" s="4" t="s">
        <v>19867</v>
      </c>
      <c r="B684" s="4" t="s">
        <v>1365</v>
      </c>
      <c r="C684" s="16" t="str">
        <f>IFERROR(__xludf.DUMMYFUNCTION(""""""""" &amp; REGEXEXTRACT(B684, ""/detail/([^/?]+)"") &amp; """""","""),"""jiokjpcfnipnicblkgdklknjjeohnfln"",")</f>
        <v>"jiokjpcfnipnicblkgdklknjjeohnfln",</v>
      </c>
    </row>
    <row r="685">
      <c r="A685" s="4" t="s">
        <v>19868</v>
      </c>
      <c r="B685" s="4" t="s">
        <v>1367</v>
      </c>
      <c r="C685" s="16" t="str">
        <f>IFERROR(__xludf.DUMMYFUNCTION(""""""""" &amp; REGEXEXTRACT(B685, ""/detail/([^/?]+)"") &amp; """""","""),"""jldbdlmljpigglecmeclifcdhgbjbakk"",")</f>
        <v>"jldbdlmljpigglecmeclifcdhgbjbakk",</v>
      </c>
    </row>
    <row r="686">
      <c r="A686" s="4" t="s">
        <v>19869</v>
      </c>
      <c r="B686" s="4" t="s">
        <v>1369</v>
      </c>
      <c r="C686" s="16" t="str">
        <f>IFERROR(__xludf.DUMMYFUNCTION(""""""""" &amp; REGEXEXTRACT(B686, ""/detail/([^/?]+)"") &amp; """""","""),"""jlelpggiclkhdadagnbdjblokcnnhanl"",")</f>
        <v>"jlelpggiclkhdadagnbdjblokcnnhanl",</v>
      </c>
    </row>
    <row r="687">
      <c r="A687" s="4" t="s">
        <v>19870</v>
      </c>
      <c r="B687" s="4" t="s">
        <v>1371</v>
      </c>
      <c r="C687" s="16" t="str">
        <f>IFERROR(__xludf.DUMMYFUNCTION(""""""""" &amp; REGEXEXTRACT(B687, ""/detail/([^/?]+)"") &amp; """""","""),"""jonckgamcbbnkkoagphccopgcjocaggf"",")</f>
        <v>"jonckgamcbbnkkoagphccopgcjocaggf",</v>
      </c>
    </row>
    <row r="688">
      <c r="A688" s="4" t="s">
        <v>19871</v>
      </c>
      <c r="B688" s="4" t="s">
        <v>1373</v>
      </c>
      <c r="C688" s="16" t="str">
        <f>IFERROR(__xludf.DUMMYFUNCTION(""""""""" &amp; REGEXEXTRACT(B688, ""/detail/([^/?]+)"") &amp; """""","""),"""jphoeefokmhkfljjhlpbndhikhjpencm"",")</f>
        <v>"jphoeefokmhkfljjhlpbndhikhjpencm",</v>
      </c>
    </row>
    <row r="689">
      <c r="A689" s="4" t="s">
        <v>19872</v>
      </c>
      <c r="B689" s="4" t="s">
        <v>1375</v>
      </c>
      <c r="C689" s="16" t="str">
        <f>IFERROR(__xludf.DUMMYFUNCTION(""""""""" &amp; REGEXEXTRACT(B689, ""/detail/([^/?]+)"") &amp; """""","""),"""kaajoficamnjijhkeomgfljpicifbkaf"",")</f>
        <v>"kaajoficamnjijhkeomgfljpicifbkaf",</v>
      </c>
    </row>
    <row r="690">
      <c r="A690" s="4" t="s">
        <v>19873</v>
      </c>
      <c r="B690" s="4" t="s">
        <v>1377</v>
      </c>
      <c r="C690" s="16" t="str">
        <f>IFERROR(__xludf.DUMMYFUNCTION(""""""""" &amp; REGEXEXTRACT(B690, ""/detail/([^/?]+)"") &amp; """""","""),"""kajfghlhfkcocafkcjlajldicbikpgnp"",")</f>
        <v>"kajfghlhfkcocafkcjlajldicbikpgnp",</v>
      </c>
    </row>
    <row r="691">
      <c r="A691" s="4" t="s">
        <v>19874</v>
      </c>
      <c r="B691" s="4" t="s">
        <v>1379</v>
      </c>
      <c r="C691" s="16" t="str">
        <f>IFERROR(__xludf.DUMMYFUNCTION(""""""""" &amp; REGEXEXTRACT(B691, ""/detail/([^/?]+)"") &amp; """""","""),"""kapmnckpnjhbdggcdkggkkfkkmjehhmb"",")</f>
        <v>"kapmnckpnjhbdggcdkggkkfkkmjehhmb",</v>
      </c>
    </row>
    <row r="692">
      <c r="A692" s="4" t="s">
        <v>19875</v>
      </c>
      <c r="B692" s="4" t="s">
        <v>1381</v>
      </c>
      <c r="C692" s="16" t="str">
        <f>IFERROR(__xludf.DUMMYFUNCTION(""""""""" &amp; REGEXEXTRACT(B692, ""/detail/([^/?]+)"") &amp; """""","""),"""kbmhekonnnamchnjelhooeagiabhggfo"",")</f>
        <v>"kbmhekonnnamchnjelhooeagiabhggfo",</v>
      </c>
    </row>
    <row r="693">
      <c r="A693" s="4" t="s">
        <v>19876</v>
      </c>
      <c r="B693" s="4" t="s">
        <v>1383</v>
      </c>
      <c r="C693" s="16" t="str">
        <f>IFERROR(__xludf.DUMMYFUNCTION(""""""""" &amp; REGEXEXTRACT(B693, ""/detail/([^/?]+)"") &amp; """""","""),"""kbmipnjdeifmobkhgogdnomkihhgojep"",")</f>
        <v>"kbmipnjdeifmobkhgogdnomkihhgojep",</v>
      </c>
    </row>
    <row r="694">
      <c r="A694" s="4" t="s">
        <v>19877</v>
      </c>
      <c r="B694" s="4" t="s">
        <v>1385</v>
      </c>
      <c r="C694" s="16" t="str">
        <f>IFERROR(__xludf.DUMMYFUNCTION(""""""""" &amp; REGEXEXTRACT(B694, ""/detail/([^/?]+)"") &amp; """""","""),"""kbohbdnooimgjlohmicjmoagppjdcbam"",")</f>
        <v>"kbohbdnooimgjlohmicjmoagppjdcbam",</v>
      </c>
    </row>
    <row r="695">
      <c r="A695" s="4" t="s">
        <v>19878</v>
      </c>
      <c r="B695" s="4" t="s">
        <v>1387</v>
      </c>
      <c r="C695" s="16" t="str">
        <f>IFERROR(__xludf.DUMMYFUNCTION(""""""""" &amp; REGEXEXTRACT(B695, ""/detail/([^/?]+)"") &amp; """""","""),"""kccajphaffpdfjhgcbccfmcpbgogbknh"",")</f>
        <v>"kccajphaffpdfjhgcbccfmcpbgogbknh",</v>
      </c>
    </row>
    <row r="696">
      <c r="A696" s="4" t="s">
        <v>19879</v>
      </c>
      <c r="B696" s="4" t="s">
        <v>1389</v>
      </c>
      <c r="C696" s="16" t="str">
        <f>IFERROR(__xludf.DUMMYFUNCTION(""""""""" &amp; REGEXEXTRACT(B696, ""/detail/([^/?]+)"") &amp; """""","""),"""khllaogjfcmonmmklkjpjapolbaapcdc"",")</f>
        <v>"khllaogjfcmonmmklkjpjapolbaapcdc",</v>
      </c>
    </row>
    <row r="697">
      <c r="A697" s="4" t="s">
        <v>19880</v>
      </c>
      <c r="B697" s="4" t="s">
        <v>1391</v>
      </c>
      <c r="C697" s="16" t="str">
        <f>IFERROR(__xludf.DUMMYFUNCTION(""""""""" &amp; REGEXEXTRACT(B697, ""/detail/([^/?]+)"") &amp; """""","""),"""kibbnopaghnmdlmocibfmnljlihmlgip"",")</f>
        <v>"kibbnopaghnmdlmocibfmnljlihmlgip",</v>
      </c>
    </row>
    <row r="698">
      <c r="A698" s="4" t="s">
        <v>19881</v>
      </c>
      <c r="B698" s="4" t="s">
        <v>1393</v>
      </c>
      <c r="C698" s="16" t="str">
        <f>IFERROR(__xludf.DUMMYFUNCTION(""""""""" &amp; REGEXEXTRACT(B698, ""/detail/([^/?]+)"") &amp; """""","""),"""kinpgphmiekapnpbmobneleaiemkefag"",")</f>
        <v>"kinpgphmiekapnpbmobneleaiemkefag",</v>
      </c>
    </row>
    <row r="699">
      <c r="A699" s="4" t="s">
        <v>19882</v>
      </c>
      <c r="B699" s="4" t="s">
        <v>1395</v>
      </c>
      <c r="C699" s="16" t="str">
        <f>IFERROR(__xludf.DUMMYFUNCTION(""""""""" &amp; REGEXEXTRACT(B699, ""/detail/([^/?]+)"") &amp; """""","""),"""kjgfnioibniobfkjcjjfikmhecajpcio"",")</f>
        <v>"kjgfnioibniobfkjcjjfikmhecajpcio",</v>
      </c>
    </row>
    <row r="700">
      <c r="A700" s="4" t="s">
        <v>19883</v>
      </c>
      <c r="B700" s="4" t="s">
        <v>1397</v>
      </c>
      <c r="C700" s="16" t="str">
        <f>IFERROR(__xludf.DUMMYFUNCTION(""""""""" &amp; REGEXEXTRACT(B700, ""/detail/([^/?]+)"") &amp; """""","""),"""kkicgcijebblepmephnfganiiochecfl"",")</f>
        <v>"kkicgcijebblepmephnfganiiochecfl",</v>
      </c>
    </row>
    <row r="701">
      <c r="A701" s="4" t="s">
        <v>19884</v>
      </c>
      <c r="B701" s="4" t="s">
        <v>1399</v>
      </c>
      <c r="C701" s="16" t="str">
        <f>IFERROR(__xludf.DUMMYFUNCTION(""""""""" &amp; REGEXEXTRACT(B701, ""/detail/([^/?]+)"") &amp; """""","""),"""kmbcoebcjaiiejopnadjlknjhifadnlg"",")</f>
        <v>"kmbcoebcjaiiejopnadjlknjhifadnlg",</v>
      </c>
    </row>
    <row r="702">
      <c r="A702" s="4" t="s">
        <v>19885</v>
      </c>
      <c r="B702" s="4" t="s">
        <v>1401</v>
      </c>
      <c r="C702" s="16" t="str">
        <f>IFERROR(__xludf.DUMMYFUNCTION(""""""""" &amp; REGEXEXTRACT(B702, ""/detail/([^/?]+)"") &amp; """""","""),"""kmjdnkpkpnjblbgbnkeedepgnomafojk"",")</f>
        <v>"kmjdnkpkpnjblbgbnkeedepgnomafojk",</v>
      </c>
    </row>
    <row r="703">
      <c r="A703" s="4" t="s">
        <v>19886</v>
      </c>
      <c r="B703" s="4" t="s">
        <v>1403</v>
      </c>
      <c r="C703" s="16" t="str">
        <f>IFERROR(__xludf.DUMMYFUNCTION(""""""""" &amp; REGEXEXTRACT(B703, ""/detail/([^/?]+)"") &amp; """""","""),"""knailkjkjcfegledhjhcfacdngnicimb"",")</f>
        <v>"knailkjkjcfegledhjhcfacdngnicimb",</v>
      </c>
    </row>
    <row r="704">
      <c r="A704" s="4" t="s">
        <v>19887</v>
      </c>
      <c r="B704" s="4" t="s">
        <v>1405</v>
      </c>
      <c r="C704" s="16" t="str">
        <f>IFERROR(__xludf.DUMMYFUNCTION(""""""""" &amp; REGEXEXTRACT(B704, ""/detail/([^/?]+)"") &amp; """""","""),"""knkmhklfleegnlkapphbjbjnbilijlhf"",")</f>
        <v>"knkmhklfleegnlkapphbjbjnbilijlhf",</v>
      </c>
    </row>
    <row r="705">
      <c r="A705" s="4" t="s">
        <v>19888</v>
      </c>
      <c r="B705" s="4" t="s">
        <v>1407</v>
      </c>
      <c r="C705" s="16" t="str">
        <f>IFERROR(__xludf.DUMMYFUNCTION(""""""""" &amp; REGEXEXTRACT(B705, ""/detail/([^/?]+)"") &amp; """""","""),"""knnahnemielbnanghaphjgheamgcjjcb"",")</f>
        <v>"knnahnemielbnanghaphjgheamgcjjcb",</v>
      </c>
    </row>
    <row r="706">
      <c r="A706" s="4" t="s">
        <v>19889</v>
      </c>
      <c r="B706" s="4" t="s">
        <v>1409</v>
      </c>
      <c r="C706" s="16" t="str">
        <f>IFERROR(__xludf.DUMMYFUNCTION(""""""""" &amp; REGEXEXTRACT(B706, ""/detail/([^/?]+)"") &amp; """""","""),"""kojjcgophkdegmmjdiccpmcnoglklamk"",")</f>
        <v>"kojjcgophkdegmmjdiccpmcnoglklamk",</v>
      </c>
    </row>
    <row r="707">
      <c r="A707" s="4" t="s">
        <v>19890</v>
      </c>
      <c r="B707" s="4" t="s">
        <v>1411</v>
      </c>
      <c r="C707" s="16" t="str">
        <f>IFERROR(__xludf.DUMMYFUNCTION(""""""""" &amp; REGEXEXTRACT(B707, ""/detail/([^/?]+)"") &amp; """""","""),"""lapbbfoohlcmlbdaakldmmallcbcbpjb"",")</f>
        <v>"lapbbfoohlcmlbdaakldmmallcbcbpjb",</v>
      </c>
    </row>
    <row r="708">
      <c r="A708" s="4" t="s">
        <v>19891</v>
      </c>
      <c r="B708" s="4" t="s">
        <v>1413</v>
      </c>
      <c r="C708" s="16" t="str">
        <f>IFERROR(__xludf.DUMMYFUNCTION(""""""""" &amp; REGEXEXTRACT(B708, ""/detail/([^/?]+)"") &amp; """""","""),"""lbklnemjebnacdgfdbclbcpfocmgilgn"",")</f>
        <v>"lbklnemjebnacdgfdbclbcpfocmgilgn",</v>
      </c>
    </row>
    <row r="709">
      <c r="A709" s="4" t="s">
        <v>19892</v>
      </c>
      <c r="B709" s="4" t="s">
        <v>1415</v>
      </c>
      <c r="C709" s="16" t="str">
        <f>IFERROR(__xludf.DUMMYFUNCTION(""""""""" &amp; REGEXEXTRACT(B709, ""/detail/([^/?]+)"") &amp; """""","""),"""lcbjdhceifofjlpecfpeimnnphbcjgnc"",")</f>
        <v>"lcbjdhceifofjlpecfpeimnnphbcjgnc",</v>
      </c>
    </row>
    <row r="710">
      <c r="A710" s="4" t="s">
        <v>19893</v>
      </c>
      <c r="B710" s="4" t="s">
        <v>1417</v>
      </c>
      <c r="C710" s="16" t="str">
        <f>IFERROR(__xludf.DUMMYFUNCTION(""""""""" &amp; REGEXEXTRACT(B710, ""/detail/([^/?]+)"") &amp; """""","""),"""legbfeljfbjgfifnkmpoajgpgejojooj"",")</f>
        <v>"legbfeljfbjgfifnkmpoajgpgejojooj",</v>
      </c>
    </row>
    <row r="711">
      <c r="A711" s="4" t="s">
        <v>19894</v>
      </c>
      <c r="B711" s="4" t="s">
        <v>1419</v>
      </c>
      <c r="C711" s="16" t="str">
        <f>IFERROR(__xludf.DUMMYFUNCTION(""""""""" &amp; REGEXEXTRACT(B711, ""/detail/([^/?]+)"") &amp; """""","""),"""lehjhlfciaapkfnbmabkdfdaokbkjokb"",")</f>
        <v>"lehjhlfciaapkfnbmabkdfdaokbkjokb",</v>
      </c>
    </row>
    <row r="712">
      <c r="A712" s="10" t="s">
        <v>19895</v>
      </c>
      <c r="B712" s="4" t="s">
        <v>1421</v>
      </c>
      <c r="C712" s="16" t="str">
        <f>IFERROR(__xludf.DUMMYFUNCTION(""""""""" &amp; REGEXEXTRACT(B712, ""/detail/([^/?]+)"") &amp; """""","""),"""lfffhmndpldceogndeognocbpmlgdemi"",")</f>
        <v>"lfffhmndpldceogndeognocbpmlgdemi",</v>
      </c>
    </row>
    <row r="713">
      <c r="A713" s="4" t="s">
        <v>19896</v>
      </c>
      <c r="B713" s="4" t="s">
        <v>1423</v>
      </c>
      <c r="C713" s="16" t="str">
        <f>IFERROR(__xludf.DUMMYFUNCTION(""""""""" &amp; REGEXEXTRACT(B713, ""/detail/([^/?]+)"") &amp; """""","""),"""lgpdljdpanfecnpindkbnikegohoobci"",")</f>
        <v>"lgpdljdpanfecnpindkbnikegohoobci",</v>
      </c>
    </row>
    <row r="714">
      <c r="A714" s="4" t="s">
        <v>19897</v>
      </c>
      <c r="B714" s="4" t="s">
        <v>1425</v>
      </c>
      <c r="C714" s="16" t="str">
        <f>IFERROR(__xludf.DUMMYFUNCTION(""""""""" &amp; REGEXEXTRACT(B714, ""/detail/([^/?]+)"") &amp; """""","""),"""lkhfeoafdgbaecajkdbioenncjopbpmk"",")</f>
        <v>"lkhfeoafdgbaecajkdbioenncjopbpmk",</v>
      </c>
    </row>
    <row r="715">
      <c r="A715" s="4" t="s">
        <v>19898</v>
      </c>
      <c r="B715" s="4" t="s">
        <v>1427</v>
      </c>
      <c r="C715" s="16" t="str">
        <f>IFERROR(__xludf.DUMMYFUNCTION(""""""""" &amp; REGEXEXTRACT(B715, ""/detail/([^/?]+)"") &amp; """""","""),"""lkpekgkhmldknbcgjicjkomphkhhdkjj"",")</f>
        <v>"lkpekgkhmldknbcgjicjkomphkhhdkjj",</v>
      </c>
    </row>
    <row r="716">
      <c r="A716" s="4" t="s">
        <v>19899</v>
      </c>
      <c r="B716" s="4" t="s">
        <v>1429</v>
      </c>
      <c r="C716" s="16" t="str">
        <f>IFERROR(__xludf.DUMMYFUNCTION(""""""""" &amp; REGEXEXTRACT(B716, ""/detail/([^/?]+)"") &amp; """""","""),"""lmilalhkkdhfieeienjbiicclobibjao"",")</f>
        <v>"lmilalhkkdhfieeienjbiicclobibjao",</v>
      </c>
    </row>
    <row r="717">
      <c r="A717" s="4" t="s">
        <v>19900</v>
      </c>
      <c r="B717" s="4" t="s">
        <v>1431</v>
      </c>
      <c r="C717" s="16" t="str">
        <f>IFERROR(__xludf.DUMMYFUNCTION(""""""""" &amp; REGEXEXTRACT(B717, ""/detail/([^/?]+)"") &amp; """""","""),"""lngkbicefbnocjicnbemapilgglemjgg"",")</f>
        <v>"lngkbicefbnocjicnbemapilgglemjgg",</v>
      </c>
    </row>
    <row r="718">
      <c r="A718" s="4" t="s">
        <v>19901</v>
      </c>
      <c r="B718" s="4" t="s">
        <v>1433</v>
      </c>
      <c r="C718" s="16" t="str">
        <f>IFERROR(__xludf.DUMMYFUNCTION(""""""""" &amp; REGEXEXTRACT(B718, ""/detail/([^/?]+)"") &amp; """""","""),"""lnplogpjijindegfgdcimondiomejhdl"",")</f>
        <v>"lnplogpjijindegfgdcimondiomejhdl",</v>
      </c>
    </row>
    <row r="719">
      <c r="A719" s="4" t="s">
        <v>19902</v>
      </c>
      <c r="B719" s="4" t="s">
        <v>1435</v>
      </c>
      <c r="C719" s="16" t="str">
        <f>IFERROR(__xludf.DUMMYFUNCTION(""""""""" &amp; REGEXEXTRACT(B719, ""/detail/([^/?]+)"") &amp; """""","""),"""lpkpcliecpgjbkffooidajhakoidhidh"",")</f>
        <v>"lpkpcliecpgjbkffooidajhakoidhidh",</v>
      </c>
    </row>
    <row r="720">
      <c r="A720" s="4" t="s">
        <v>19903</v>
      </c>
      <c r="B720" s="4" t="s">
        <v>1437</v>
      </c>
      <c r="C720" s="16" t="str">
        <f>IFERROR(__xludf.DUMMYFUNCTION(""""""""" &amp; REGEXEXTRACT(B720, ""/detail/([^/?]+)"") &amp; """""","""),"""mdemppnhjflbejfbnlddahjbpdbeejnn"",")</f>
        <v>"mdemppnhjflbejfbnlddahjbpdbeejnn",</v>
      </c>
    </row>
    <row r="721">
      <c r="A721" s="4" t="s">
        <v>19904</v>
      </c>
      <c r="B721" s="4" t="s">
        <v>1439</v>
      </c>
      <c r="C721" s="16" t="str">
        <f>IFERROR(__xludf.DUMMYFUNCTION(""""""""" &amp; REGEXEXTRACT(B721, ""/detail/([^/?]+)"") &amp; """""","""),"""medejhbgmfcehgfpinhgnhlnljnpghge"",")</f>
        <v>"medejhbgmfcehgfpinhgnhlnljnpghge",</v>
      </c>
    </row>
    <row r="722">
      <c r="A722" s="4" t="s">
        <v>19905</v>
      </c>
      <c r="B722" s="4" t="s">
        <v>1441</v>
      </c>
      <c r="C722" s="16" t="str">
        <f>IFERROR(__xludf.DUMMYFUNCTION(""""""""" &amp; REGEXEXTRACT(B722, ""/detail/([^/?]+)"") &amp; """""","""),"""mgohdnfabfpfbfnjakkpibennhlcolok"",")</f>
        <v>"mgohdnfabfpfbfnjakkpibennhlcolok",</v>
      </c>
    </row>
    <row r="723">
      <c r="A723" s="4" t="s">
        <v>19906</v>
      </c>
      <c r="B723" s="4" t="s">
        <v>1443</v>
      </c>
      <c r="C723" s="16" t="str">
        <f>IFERROR(__xludf.DUMMYFUNCTION(""""""""" &amp; REGEXEXTRACT(B723, ""/detail/([^/?]+)"") &amp; """""","""),"""mhimpmpmffogbmmkmajibklelopddmjf"",")</f>
        <v>"mhimpmpmffogbmmkmajibklelopddmjf",</v>
      </c>
    </row>
    <row r="724">
      <c r="A724" s="4" t="s">
        <v>19907</v>
      </c>
      <c r="B724" s="4" t="s">
        <v>1445</v>
      </c>
      <c r="C724" s="16" t="str">
        <f>IFERROR(__xludf.DUMMYFUNCTION(""""""""" &amp; REGEXEXTRACT(B724, ""/detail/([^/?]+)"") &amp; """""","""),"""mjddjgeghkdijejnciaefnkjmkafnnje"",")</f>
        <v>"mjddjgeghkdijejnciaefnkjmkafnnje",</v>
      </c>
    </row>
    <row r="725">
      <c r="A725" s="4" t="s">
        <v>19908</v>
      </c>
      <c r="B725" s="4" t="s">
        <v>1447</v>
      </c>
      <c r="C725" s="16" t="str">
        <f>IFERROR(__xludf.DUMMYFUNCTION(""""""""" &amp; REGEXEXTRACT(B725, ""/detail/([^/?]+)"") &amp; """""","""),"""mpbblhoepkmpgalgppdoahgeoknmjgpc"",")</f>
        <v>"mpbblhoepkmpgalgppdoahgeoknmjgpc",</v>
      </c>
    </row>
    <row r="726">
      <c r="A726" s="4" t="s">
        <v>19909</v>
      </c>
      <c r="B726" s="4" t="s">
        <v>1449</v>
      </c>
      <c r="C726" s="16" t="str">
        <f>IFERROR(__xludf.DUMMYFUNCTION(""""""""" &amp; REGEXEXTRACT(B726, ""/detail/([^/?]+)"") &amp; """""","""),"""nagcaahojecfeopbghgihcabgiepploa"",")</f>
        <v>"nagcaahojecfeopbghgihcabgiepploa",</v>
      </c>
    </row>
    <row r="727">
      <c r="A727" s="4" t="s">
        <v>19910</v>
      </c>
      <c r="B727" s="4" t="s">
        <v>1451</v>
      </c>
      <c r="C727" s="16" t="str">
        <f>IFERROR(__xludf.DUMMYFUNCTION(""""""""" &amp; REGEXEXTRACT(B727, ""/detail/([^/?]+)"") &amp; """""","""),"""nblmegnbohbagljeheaniomchelnhhka"",")</f>
        <v>"nblmegnbohbagljeheaniomchelnhhka",</v>
      </c>
    </row>
    <row r="728">
      <c r="A728" s="4" t="s">
        <v>19911</v>
      </c>
      <c r="B728" s="4" t="s">
        <v>1453</v>
      </c>
      <c r="C728" s="16" t="str">
        <f>IFERROR(__xludf.DUMMYFUNCTION(""""""""" &amp; REGEXEXTRACT(B728, ""/detail/([^/?]+)"") &amp; """""","""),"""nedmifdnblopopbcmdcgflboaclchebg"",")</f>
        <v>"nedmifdnblopopbcmdcgflboaclchebg",</v>
      </c>
    </row>
    <row r="729">
      <c r="A729" s="4" t="s">
        <v>19912</v>
      </c>
      <c r="B729" s="4" t="s">
        <v>1455</v>
      </c>
      <c r="C729" s="16" t="str">
        <f>IFERROR(__xludf.DUMMYFUNCTION(""""""""" &amp; REGEXEXTRACT(B729, ""/detail/([^/?]+)"") &amp; """""","""),"""nfbfkdjcnfiiaifgbkibeenfackinihp"",")</f>
        <v>"nfbfkdjcnfiiaifgbkibeenfackinihp",</v>
      </c>
    </row>
    <row r="730">
      <c r="A730" s="4" t="s">
        <v>19913</v>
      </c>
      <c r="B730" s="4" t="s">
        <v>1457</v>
      </c>
      <c r="C730" s="16" t="str">
        <f>IFERROR(__xludf.DUMMYFUNCTION(""""""""" &amp; REGEXEXTRACT(B730, ""/detail/([^/?]+)"") &amp; """""","""),"""ngkpdaefpmokglfnmienfiaioffjodam"",")</f>
        <v>"ngkpdaefpmokglfnmienfiaioffjodam",</v>
      </c>
    </row>
    <row r="731">
      <c r="A731" s="4" t="s">
        <v>19914</v>
      </c>
      <c r="B731" s="4" t="s">
        <v>1459</v>
      </c>
      <c r="C731" s="16" t="str">
        <f>IFERROR(__xludf.DUMMYFUNCTION(""""""""" &amp; REGEXEXTRACT(B731, ""/detail/([^/?]+)"") &amp; """""","""),"""nhbmpbdladcchdhkemlojfjdknjadhmh"",")</f>
        <v>"nhbmpbdladcchdhkemlojfjdknjadhmh",</v>
      </c>
    </row>
    <row r="732">
      <c r="A732" s="4" t="s">
        <v>19915</v>
      </c>
      <c r="B732" s="4" t="s">
        <v>1461</v>
      </c>
      <c r="C732" s="16" t="str">
        <f>IFERROR(__xludf.DUMMYFUNCTION(""""""""" &amp; REGEXEXTRACT(B732, ""/detail/([^/?]+)"") &amp; """""","""),"""nikccehomlnjkmgmhnieecolhgdafajb"",")</f>
        <v>"nikccehomlnjkmgmhnieecolhgdafajb",</v>
      </c>
    </row>
    <row r="733">
      <c r="A733" s="4" t="s">
        <v>19916</v>
      </c>
      <c r="B733" s="4" t="s">
        <v>1463</v>
      </c>
      <c r="C733" s="16" t="str">
        <f>IFERROR(__xludf.DUMMYFUNCTION(""""""""" &amp; REGEXEXTRACT(B733, ""/detail/([^/?]+)"") &amp; """""","""),"""njkmjblmcfiobddjgebnoeldkjcplfjb"",")</f>
        <v>"njkmjblmcfiobddjgebnoeldkjcplfjb",</v>
      </c>
    </row>
    <row r="734">
      <c r="A734" s="4" t="s">
        <v>19917</v>
      </c>
      <c r="B734" s="4" t="s">
        <v>1465</v>
      </c>
      <c r="C734" s="16" t="str">
        <f>IFERROR(__xludf.DUMMYFUNCTION(""""""""" &amp; REGEXEXTRACT(B734, ""/detail/([^/?]+)"") &amp; """""","""),"""nlbpiflhmdcklcbihngeffpmoklbiooj"",")</f>
        <v>"nlbpiflhmdcklcbihngeffpmoklbiooj",</v>
      </c>
    </row>
    <row r="735">
      <c r="A735" s="4" t="s">
        <v>19918</v>
      </c>
      <c r="B735" s="4" t="s">
        <v>1467</v>
      </c>
      <c r="C735" s="16" t="str">
        <f>IFERROR(__xludf.DUMMYFUNCTION(""""""""" &amp; REGEXEXTRACT(B735, ""/detail/([^/?]+)"") &amp; """""","""),"""nmpppefjehmjbiplimkfjeamnohldmko"",")</f>
        <v>"nmpppefjehmjbiplimkfjeamnohldmko",</v>
      </c>
    </row>
    <row r="736">
      <c r="A736" s="4" t="s">
        <v>19919</v>
      </c>
      <c r="B736" s="4" t="s">
        <v>1469</v>
      </c>
      <c r="C736" s="16" t="str">
        <f>IFERROR(__xludf.DUMMYFUNCTION(""""""""" &amp; REGEXEXTRACT(B736, ""/detail/([^/?]+)"") &amp; """""","""),"""oabphaconndgibllomdcjbfdghcmenci"",")</f>
        <v>"oabphaconndgibllomdcjbfdghcmenci",</v>
      </c>
    </row>
    <row r="737">
      <c r="A737" s="4" t="s">
        <v>19920</v>
      </c>
      <c r="B737" s="4" t="s">
        <v>1471</v>
      </c>
      <c r="C737" s="16" t="str">
        <f>IFERROR(__xludf.DUMMYFUNCTION(""""""""" &amp; REGEXEXTRACT(B737, ""/detail/([^/?]+)"") &amp; """""","""),"""oacindbdmlbdeidohafnfocfckkhjlbg"",")</f>
        <v>"oacindbdmlbdeidohafnfocfckkhjlbg",</v>
      </c>
    </row>
    <row r="738">
      <c r="A738" s="4" t="s">
        <v>19921</v>
      </c>
      <c r="B738" s="4" t="s">
        <v>1473</v>
      </c>
      <c r="C738" s="16" t="str">
        <f>IFERROR(__xludf.DUMMYFUNCTION(""""""""" &amp; REGEXEXTRACT(B738, ""/detail/([^/?]+)"") &amp; """""","""),"""ocgghcnnjekfpbmafindjmijdpopafoe"",")</f>
        <v>"ocgghcnnjekfpbmafindjmijdpopafoe",</v>
      </c>
    </row>
    <row r="739">
      <c r="A739" s="4" t="s">
        <v>19922</v>
      </c>
      <c r="B739" s="4" t="s">
        <v>1475</v>
      </c>
      <c r="C739" s="16" t="str">
        <f>IFERROR(__xludf.DUMMYFUNCTION(""""""""" &amp; REGEXEXTRACT(B739, ""/detail/([^/?]+)"") &amp; """""","""),"""odbdbcaekkgabdfaabepfjgiooilmaoe"",")</f>
        <v>"odbdbcaekkgabdfaabepfjgiooilmaoe",</v>
      </c>
    </row>
    <row r="740">
      <c r="A740" s="4" t="s">
        <v>19923</v>
      </c>
      <c r="B740" s="4" t="s">
        <v>1477</v>
      </c>
      <c r="C740" s="16" t="str">
        <f>IFERROR(__xludf.DUMMYFUNCTION(""""""""" &amp; REGEXEXTRACT(B740, ""/detail/([^/?]+)"") &amp; """""","""),"""odhmfmnoejhihkmfebnolljiibpnednn"",")</f>
        <v>"odhmfmnoejhihkmfebnolljiibpnednn",</v>
      </c>
    </row>
    <row r="741">
      <c r="A741" s="4" t="s">
        <v>19924</v>
      </c>
      <c r="B741" s="4" t="s">
        <v>1479</v>
      </c>
      <c r="C741" s="16" t="str">
        <f>IFERROR(__xludf.DUMMYFUNCTION(""""""""" &amp; REGEXEXTRACT(B741, ""/detail/([^/?]+)"") &amp; """""","""),"""oelggcmknbjmhkpgjfhakedcfnkgbdpg"",")</f>
        <v>"oelggcmknbjmhkpgjfhakedcfnkgbdpg",</v>
      </c>
    </row>
    <row r="742">
      <c r="A742" s="4" t="s">
        <v>19925</v>
      </c>
      <c r="B742" s="4" t="s">
        <v>1481</v>
      </c>
      <c r="C742" s="16" t="str">
        <f>IFERROR(__xludf.DUMMYFUNCTION(""""""""" &amp; REGEXEXTRACT(B742, ""/detail/([^/?]+)"") &amp; """""","""),"""ofdgfpchbidcgncgfpdlpclnpaemakoj"",")</f>
        <v>"ofdgfpchbidcgncgfpdlpclnpaemakoj",</v>
      </c>
    </row>
    <row r="743">
      <c r="A743" s="4" t="s">
        <v>19926</v>
      </c>
      <c r="B743" s="4" t="s">
        <v>1483</v>
      </c>
      <c r="C743" s="16" t="str">
        <f>IFERROR(__xludf.DUMMYFUNCTION(""""""""" &amp; REGEXEXTRACT(B743, ""/detail/([^/?]+)"") &amp; """""","""),"""oficfgdfeoknbjfhommlpiekdapmnebh"",")</f>
        <v>"oficfgdfeoknbjfhommlpiekdapmnebh",</v>
      </c>
    </row>
    <row r="744">
      <c r="A744" s="4" t="s">
        <v>19927</v>
      </c>
      <c r="B744" s="4" t="s">
        <v>1485</v>
      </c>
      <c r="C744" s="16" t="str">
        <f>IFERROR(__xludf.DUMMYFUNCTION(""""""""" &amp; REGEXEXTRACT(B744, ""/detail/([^/?]+)"") &amp; """""","""),"""oiimcpipjgnkggjnionbfmlleolhnlco"",")</f>
        <v>"oiimcpipjgnkggjnionbfmlleolhnlco",</v>
      </c>
    </row>
    <row r="745">
      <c r="A745" s="4" t="s">
        <v>19928</v>
      </c>
      <c r="B745" s="4" t="s">
        <v>1487</v>
      </c>
      <c r="C745" s="16" t="str">
        <f>IFERROR(__xludf.DUMMYFUNCTION(""""""""" &amp; REGEXEXTRACT(B745, ""/detail/([^/?]+)"") &amp; """""","""),"""olciafpppkdhlcjfmaibelnopafmhmdd"",")</f>
        <v>"olciafpppkdhlcjfmaibelnopafmhmdd",</v>
      </c>
    </row>
    <row r="746">
      <c r="A746" s="4" t="s">
        <v>19929</v>
      </c>
      <c r="B746" s="4" t="s">
        <v>1489</v>
      </c>
      <c r="C746" s="16" t="str">
        <f>IFERROR(__xludf.DUMMYFUNCTION(""""""""" &amp; REGEXEXTRACT(B746, ""/detail/([^/?]+)"") &amp; """""","""),"""olfdaaodhngodpnnoahamgfnndipjopi"",")</f>
        <v>"olfdaaodhngodpnnoahamgfnndipjopi",</v>
      </c>
    </row>
    <row r="747">
      <c r="A747" s="4" t="s">
        <v>19930</v>
      </c>
      <c r="B747" s="4" t="s">
        <v>1491</v>
      </c>
      <c r="C747" s="16" t="str">
        <f>IFERROR(__xludf.DUMMYFUNCTION(""""""""" &amp; REGEXEXTRACT(B747, ""/detail/([^/?]+)"") &amp; """""","""),"""olndffocioplakeilhkgenfgdincjlpn"",")</f>
        <v>"olndffocioplakeilhkgenfgdincjlpn",</v>
      </c>
    </row>
    <row r="748">
      <c r="A748" s="4" t="s">
        <v>19931</v>
      </c>
      <c r="B748" s="4" t="s">
        <v>1493</v>
      </c>
      <c r="C748" s="16" t="str">
        <f>IFERROR(__xludf.DUMMYFUNCTION(""""""""" &amp; REGEXEXTRACT(B748, ""/detail/([^/?]+)"") &amp; """""","""),"""ologblpnojaoppnoekhcjbnnhjbepmge"",")</f>
        <v>"ologblpnojaoppnoekhcjbnnhjbepmge",</v>
      </c>
    </row>
    <row r="749">
      <c r="A749" s="4" t="s">
        <v>19932</v>
      </c>
      <c r="B749" s="4" t="s">
        <v>1495</v>
      </c>
      <c r="C749" s="16" t="str">
        <f>IFERROR(__xludf.DUMMYFUNCTION(""""""""" &amp; REGEXEXTRACT(B749, ""/detail/([^/?]+)"") &amp; """""","""),"""omalebghpgejjiaoknljcfmglgbpocdp"",")</f>
        <v>"omalebghpgejjiaoknljcfmglgbpocdp",</v>
      </c>
    </row>
    <row r="750">
      <c r="A750" s="4" t="s">
        <v>19933</v>
      </c>
      <c r="B750" s="4" t="s">
        <v>1497</v>
      </c>
      <c r="C750" s="16" t="str">
        <f>IFERROR(__xludf.DUMMYFUNCTION(""""""""" &amp; REGEXEXTRACT(B750, ""/detail/([^/?]+)"") &amp; """""","""),"""oompiimecpnflklhlnmdpddcjdmiibkf"",")</f>
        <v>"oompiimecpnflklhlnmdpddcjdmiibkf",</v>
      </c>
    </row>
    <row r="751">
      <c r="A751" s="4" t="s">
        <v>19934</v>
      </c>
      <c r="B751" s="4" t="s">
        <v>1499</v>
      </c>
      <c r="C751" s="16" t="str">
        <f>IFERROR(__xludf.DUMMYFUNCTION(""""""""" &amp; REGEXEXTRACT(B751, ""/detail/([^/?]+)"") &amp; """""","""),"""oonalfdoahlmjaoloddjenihohbfodme"",")</f>
        <v>"oonalfdoahlmjaoloddjenihohbfodme",</v>
      </c>
    </row>
    <row r="752">
      <c r="A752" s="4" t="s">
        <v>19935</v>
      </c>
      <c r="B752" s="4" t="s">
        <v>1501</v>
      </c>
      <c r="C752" s="16" t="str">
        <f>IFERROR(__xludf.DUMMYFUNCTION(""""""""" &amp; REGEXEXTRACT(B752, ""/detail/([^/?]+)"") &amp; """""","""),"""pcnhacefkmiiaohfeomepmkakclhbgkh"",")</f>
        <v>"pcnhacefkmiiaohfeomepmkakclhbgkh",</v>
      </c>
    </row>
    <row r="753">
      <c r="A753" s="4" t="s">
        <v>19936</v>
      </c>
      <c r="B753" s="4" t="s">
        <v>1503</v>
      </c>
      <c r="C753" s="16" t="str">
        <f>IFERROR(__xludf.DUMMYFUNCTION(""""""""" &amp; REGEXEXTRACT(B753, ""/detail/([^/?]+)"") &amp; """""","""),"""pdadjkfkgcafgbceimcpbkalnfnepbnk"",")</f>
        <v>"pdadjkfkgcafgbceimcpbkalnfnepbnk",</v>
      </c>
    </row>
    <row r="754">
      <c r="A754" s="4" t="s">
        <v>19937</v>
      </c>
      <c r="B754" s="4" t="s">
        <v>1505</v>
      </c>
      <c r="C754" s="16" t="str">
        <f>IFERROR(__xludf.DUMMYFUNCTION(""""""""" &amp; REGEXEXTRACT(B754, ""/detail/([^/?]+)"") &amp; """""","""),"""pdblffiahfjjldpkngdpaegghhamefam"",")</f>
        <v>"pdblffiahfjjldpkngdpaegghhamefam",</v>
      </c>
    </row>
    <row r="755">
      <c r="A755" s="4" t="s">
        <v>19938</v>
      </c>
      <c r="B755" s="4" t="s">
        <v>1507</v>
      </c>
      <c r="C755" s="16" t="str">
        <f>IFERROR(__xludf.DUMMYFUNCTION(""""""""" &amp; REGEXEXTRACT(B755, ""/detail/([^/?]+)"") &amp; """""","""),"""pdcohkhhjbifkmpakaiopnllnddofbbn"",")</f>
        <v>"pdcohkhhjbifkmpakaiopnllnddofbbn",</v>
      </c>
    </row>
    <row r="756">
      <c r="A756" s="4" t="s">
        <v>19939</v>
      </c>
      <c r="B756" s="4" t="s">
        <v>1509</v>
      </c>
      <c r="C756" s="16" t="str">
        <f>IFERROR(__xludf.DUMMYFUNCTION(""""""""" &amp; REGEXEXTRACT(B756, ""/detail/([^/?]+)"") &amp; """""","""),"""pdebhiihcebhmcpmdncgfodomdnhbehj"",")</f>
        <v>"pdebhiihcebhmcpmdncgfodomdnhbehj",</v>
      </c>
    </row>
    <row r="757">
      <c r="A757" s="4" t="s">
        <v>19940</v>
      </c>
      <c r="B757" s="4" t="s">
        <v>1511</v>
      </c>
      <c r="C757" s="16" t="str">
        <f>IFERROR(__xludf.DUMMYFUNCTION(""""""""" &amp; REGEXEXTRACT(B757, ""/detail/([^/?]+)"") &amp; """""","""),"""pdknmigbbbhmllnmgdfalmedcmcefdfn"",")</f>
        <v>"pdknmigbbbhmllnmgdfalmedcmcefdfn",</v>
      </c>
    </row>
    <row r="758">
      <c r="A758" s="4" t="s">
        <v>19941</v>
      </c>
      <c r="B758" s="4" t="s">
        <v>1513</v>
      </c>
      <c r="C758" s="16" t="str">
        <f>IFERROR(__xludf.DUMMYFUNCTION(""""""""" &amp; REGEXEXTRACT(B758, ""/detail/([^/?]+)"") &amp; """""","""),"""pekoadgpkajdflcemkdbjlnpjcmcdlfj"",")</f>
        <v>"pekoadgpkajdflcemkdbjlnpjcmcdlfj",</v>
      </c>
    </row>
    <row r="759">
      <c r="A759" s="4" t="s">
        <v>19942</v>
      </c>
      <c r="B759" s="4" t="s">
        <v>1515</v>
      </c>
      <c r="C759" s="16" t="str">
        <f>IFERROR(__xludf.DUMMYFUNCTION(""""""""" &amp; REGEXEXTRACT(B759, ""/detail/([^/?]+)"") &amp; """""","""),"""pflgjjogbmmcmfhfcnlohagkablhbpmg"",")</f>
        <v>"pflgjjogbmmcmfhfcnlohagkablhbpmg",</v>
      </c>
    </row>
    <row r="760">
      <c r="A760" s="4" t="s">
        <v>19943</v>
      </c>
      <c r="B760" s="4" t="s">
        <v>1517</v>
      </c>
      <c r="C760" s="16" t="str">
        <f>IFERROR(__xludf.DUMMYFUNCTION(""""""""" &amp; REGEXEXTRACT(B760, ""/detail/([^/?]+)"") &amp; """""","""),"""pjgjpabbgnnoohijnillgbckikfkbjed"",")</f>
        <v>"pjgjpabbgnnoohijnillgbckikfkbjed",</v>
      </c>
    </row>
    <row r="761">
      <c r="A761" s="4" t="s">
        <v>19944</v>
      </c>
      <c r="B761" s="4" t="s">
        <v>1519</v>
      </c>
      <c r="C761" s="16" t="str">
        <f>IFERROR(__xludf.DUMMYFUNCTION(""""""""" &amp; REGEXEXTRACT(B761, ""/detail/([^/?]+)"") &amp; """""","""),"""pmmeddaccflimcipblojlnfandenhicb"",")</f>
        <v>"pmmeddaccflimcipblojlnfandenhicb",</v>
      </c>
    </row>
    <row r="762">
      <c r="A762" s="4" t="s">
        <v>19945</v>
      </c>
      <c r="B762" s="4" t="s">
        <v>1523</v>
      </c>
      <c r="C762" s="16" t="str">
        <f>IFERROR(__xludf.DUMMYFUNCTION(""""""""" &amp; REGEXEXTRACT(B762, ""/detail/([^/?]+)"") &amp; """""","""),"""jbhbalpncehdfjnfcmmimecdhalmjjem"",")</f>
        <v>"jbhbalpncehdfjnfcmmimecdhalmjjem",</v>
      </c>
    </row>
    <row r="763">
      <c r="A763" s="4" t="s">
        <v>19946</v>
      </c>
      <c r="B763" s="4" t="s">
        <v>1525</v>
      </c>
      <c r="C763" s="16" t="str">
        <f>IFERROR(__xludf.DUMMYFUNCTION(""""""""" &amp; REGEXEXTRACT(B763, ""/detail/([^/?]+)"") &amp; """""","""),"""lkaihdpfpifdlgoapbfocpmekbokmcfd"",")</f>
        <v>"lkaihdpfpifdlgoapbfocpmekbokmcfd",</v>
      </c>
    </row>
    <row r="764">
      <c r="A764" s="4" t="s">
        <v>19947</v>
      </c>
      <c r="B764" s="4" t="s">
        <v>1527</v>
      </c>
      <c r="C764" s="16" t="str">
        <f>IFERROR(__xludf.DUMMYFUNCTION(""""""""" &amp; REGEXEXTRACT(B764, ""/detail/([^/?]+)"") &amp; """""","""),"""gcjpddnhdopbpimmngmgfhhimnbenjhl"",")</f>
        <v>"gcjpddnhdopbpimmngmgfhhimnbenjhl",</v>
      </c>
    </row>
    <row r="765">
      <c r="A765" s="4" t="s">
        <v>19948</v>
      </c>
      <c r="B765" s="4" t="s">
        <v>1529</v>
      </c>
      <c r="C765" s="16" t="str">
        <f>IFERROR(__xludf.DUMMYFUNCTION(""""""""" &amp; REGEXEXTRACT(B765, ""/detail/([^/?]+)"") &amp; """""","""),"""femogmcmjpjkokoojcljkpfdifkpbbpp"",")</f>
        <v>"femogmcmjpjkokoojcljkpfdifkpbbpp",</v>
      </c>
    </row>
    <row r="766">
      <c r="A766" s="4" t="s">
        <v>19949</v>
      </c>
      <c r="B766" s="4" t="s">
        <v>1531</v>
      </c>
      <c r="C766" s="16" t="str">
        <f>IFERROR(__xludf.DUMMYFUNCTION(""""""""" &amp; REGEXEXTRACT(B766, ""/detail/([^/?]+)"") &amp; """""","""),"""acfmebaomboldplijdpfepofggkocgnl"",")</f>
        <v>"acfmebaomboldplijdpfepofggkocgnl",</v>
      </c>
    </row>
    <row r="767">
      <c r="A767" s="4" t="s">
        <v>19950</v>
      </c>
      <c r="B767" s="4" t="s">
        <v>1533</v>
      </c>
      <c r="C767" s="16" t="str">
        <f>IFERROR(__xludf.DUMMYFUNCTION(""""""""" &amp; REGEXEXTRACT(B767, ""/detail/([^/?]+)"") &amp; """""","""),"""acofndgbcimipbpeoplfjcapdbebbmca"",")</f>
        <v>"acofndgbcimipbpeoplfjcapdbebbmca",</v>
      </c>
    </row>
    <row r="768">
      <c r="A768" s="4" t="s">
        <v>19951</v>
      </c>
      <c r="B768" s="4" t="s">
        <v>1535</v>
      </c>
      <c r="C768" s="16" t="str">
        <f>IFERROR(__xludf.DUMMYFUNCTION(""""""""" &amp; REGEXEXTRACT(B768, ""/detail/([^/?]+)"") &amp; """""","""),"""aeajehgeohhgjbhhbicilpenjfcbfnpg"",")</f>
        <v>"aeajehgeohhgjbhhbicilpenjfcbfnpg",</v>
      </c>
    </row>
    <row r="769">
      <c r="A769" s="4" t="s">
        <v>19952</v>
      </c>
      <c r="B769" s="4" t="s">
        <v>1537</v>
      </c>
      <c r="C769" s="16" t="str">
        <f>IFERROR(__xludf.DUMMYFUNCTION(""""""""" &amp; REGEXEXTRACT(B769, ""/detail/([^/?]+)"") &amp; """""","""),"""afanpgdoladoakmnkgoccdfoillpeaop"",")</f>
        <v>"afanpgdoladoakmnkgoccdfoillpeaop",</v>
      </c>
    </row>
    <row r="770">
      <c r="A770" s="4" t="s">
        <v>19953</v>
      </c>
      <c r="B770" s="4" t="s">
        <v>1539</v>
      </c>
      <c r="C770" s="16" t="str">
        <f>IFERROR(__xludf.DUMMYFUNCTION(""""""""" &amp; REGEXEXTRACT(B770, ""/detail/([^/?]+)"") &amp; """""","""),"""afbphoagjpegnkpeiliacmiiggojdabo"",")</f>
        <v>"afbphoagjpegnkpeiliacmiiggojdabo",</v>
      </c>
    </row>
    <row r="771">
      <c r="A771" s="4" t="s">
        <v>19954</v>
      </c>
      <c r="B771" s="4" t="s">
        <v>1541</v>
      </c>
      <c r="C771" s="16" t="str">
        <f>IFERROR(__xludf.DUMMYFUNCTION(""""""""" &amp; REGEXEXTRACT(B771, ""/detail/([^/?]+)"") &amp; """""","""),"""ageplmjnkcjmeoolbjaclpdmknmjpmkk"",")</f>
        <v>"ageplmjnkcjmeoolbjaclpdmknmjpmkk",</v>
      </c>
    </row>
    <row r="772">
      <c r="A772" s="4" t="s">
        <v>19955</v>
      </c>
      <c r="B772" s="4" t="s">
        <v>1543</v>
      </c>
      <c r="C772" s="16" t="str">
        <f>IFERROR(__xludf.DUMMYFUNCTION(""""""""" &amp; REGEXEXTRACT(B772, ""/detail/([^/?]+)"") &amp; """""","""),"""agjiicokbioponboibkfhfgmhcacafph"",")</f>
        <v>"agjiicokbioponboibkfhfgmhcacafph",</v>
      </c>
    </row>
    <row r="773">
      <c r="A773" s="4" t="s">
        <v>19956</v>
      </c>
      <c r="B773" s="4" t="s">
        <v>1545</v>
      </c>
      <c r="C773" s="16" t="str">
        <f>IFERROR(__xludf.DUMMYFUNCTION(""""""""" &amp; REGEXEXTRACT(B773, ""/detail/([^/?]+)"") &amp; """""","""),"""akcljdkpppokdcbopdcbkokilfdddhoi"",")</f>
        <v>"akcljdkpppokdcbopdcbkokilfdddhoi",</v>
      </c>
    </row>
    <row r="774">
      <c r="A774" s="4" t="s">
        <v>19957</v>
      </c>
      <c r="B774" s="4" t="s">
        <v>1547</v>
      </c>
      <c r="C774" s="16" t="str">
        <f>IFERROR(__xludf.DUMMYFUNCTION(""""""""" &amp; REGEXEXTRACT(B774, ""/detail/([^/?]+)"") &amp; """""","""),"""alakoggmijiicdlcjjeakffojoinhlpg"",")</f>
        <v>"alakoggmijiicdlcjjeakffojoinhlpg",</v>
      </c>
    </row>
    <row r="775">
      <c r="A775" s="4" t="s">
        <v>19958</v>
      </c>
      <c r="B775" s="4" t="s">
        <v>1549</v>
      </c>
      <c r="C775" s="16" t="str">
        <f>IFERROR(__xludf.DUMMYFUNCTION(""""""""" &amp; REGEXEXTRACT(B775, ""/detail/([^/?]+)"") &amp; """""","""),"""aldijnffnfojelcpcfoekkeifffkhldo"",")</f>
        <v>"aldijnffnfojelcpcfoekkeifffkhldo",</v>
      </c>
    </row>
    <row r="776">
      <c r="A776" s="4" t="s">
        <v>19959</v>
      </c>
      <c r="B776" s="4" t="s">
        <v>1551</v>
      </c>
      <c r="C776" s="16" t="str">
        <f>IFERROR(__xludf.DUMMYFUNCTION(""""""""" &amp; REGEXEXTRACT(B776, ""/detail/([^/?]+)"") &amp; """""","""),"""anchoacphlfbdomdlomnbbfhcmcdmjej"",")</f>
        <v>"anchoacphlfbdomdlomnbbfhcmcdmjej",</v>
      </c>
    </row>
    <row r="777">
      <c r="A777" s="4" t="s">
        <v>19960</v>
      </c>
      <c r="B777" s="4" t="s">
        <v>1553</v>
      </c>
      <c r="C777" s="16" t="str">
        <f>IFERROR(__xludf.DUMMYFUNCTION(""""""""" &amp; REGEXEXTRACT(B777, ""/detail/([^/?]+)"") &amp; """""","""),"""aolnbenhahgdmbdgjdkphepifgdnphcl"",")</f>
        <v>"aolnbenhahgdmbdgjdkphepifgdnphcl",</v>
      </c>
    </row>
    <row r="778">
      <c r="A778" s="4" t="s">
        <v>19961</v>
      </c>
      <c r="B778" s="4" t="s">
        <v>1555</v>
      </c>
      <c r="C778" s="16" t="str">
        <f>IFERROR(__xludf.DUMMYFUNCTION(""""""""" &amp; REGEXEXTRACT(B778, ""/detail/([^/?]+)"") &amp; """""","""),"""bblcccknbdbplgmdjnnikffefhdlobhp"",")</f>
        <v>"bblcccknbdbplgmdjnnikffefhdlobhp",</v>
      </c>
    </row>
    <row r="779">
      <c r="A779" s="4" t="s">
        <v>19962</v>
      </c>
      <c r="B779" s="4" t="s">
        <v>1557</v>
      </c>
      <c r="C779" s="16" t="str">
        <f>IFERROR(__xludf.DUMMYFUNCTION(""""""""" &amp; REGEXEXTRACT(B779, ""/detail/([^/?]+)"") &amp; """""","""),"""bccjgmdpenbibncpocpelfmdolmdfbci"",")</f>
        <v>"bccjgmdpenbibncpocpelfmdolmdfbci",</v>
      </c>
    </row>
    <row r="780">
      <c r="A780" s="4" t="s">
        <v>19963</v>
      </c>
      <c r="B780" s="4" t="s">
        <v>1559</v>
      </c>
      <c r="C780" s="16" t="str">
        <f>IFERROR(__xludf.DUMMYFUNCTION(""""""""" &amp; REGEXEXTRACT(B780, ""/detail/([^/?]+)"") &amp; """""","""),"""bcjfhbahclaolcbkdkckdnnenfeakhbk"",")</f>
        <v>"bcjfhbahclaolcbkdkckdnnenfeakhbk",</v>
      </c>
    </row>
    <row r="781">
      <c r="A781" s="4" t="s">
        <v>19964</v>
      </c>
      <c r="B781" s="4" t="s">
        <v>1561</v>
      </c>
      <c r="C781" s="16" t="str">
        <f>IFERROR(__xludf.DUMMYFUNCTION(""""""""" &amp; REGEXEXTRACT(B781, ""/detail/([^/?]+)"") &amp; """""","""),"""bdjldefoefllegplkmbmdkjibnlghinb"",")</f>
        <v>"bdjldefoefllegplkmbmdkjibnlghinb",</v>
      </c>
    </row>
    <row r="782">
      <c r="A782" s="4" t="s">
        <v>19965</v>
      </c>
      <c r="B782" s="4" t="s">
        <v>1563</v>
      </c>
      <c r="C782" s="16" t="str">
        <f>IFERROR(__xludf.DUMMYFUNCTION(""""""""" &amp; REGEXEXTRACT(B782, ""/detail/([^/?]+)"") &amp; """""","""),"""bdkobfnbgkbemcfgopfollaikdlknlkm"",")</f>
        <v>"bdkobfnbgkbemcfgopfollaikdlknlkm",</v>
      </c>
    </row>
    <row r="783">
      <c r="A783" s="4" t="s">
        <v>19966</v>
      </c>
      <c r="B783" s="4" t="s">
        <v>1565</v>
      </c>
      <c r="C783" s="16" t="str">
        <f>IFERROR(__xludf.DUMMYFUNCTION(""""""""" &amp; REGEXEXTRACT(B783, ""/detail/([^/?]+)"") &amp; """""","""),"""beglnkgbajkhcmmdkldmgbkggoeegabe"",")</f>
        <v>"beglnkgbajkhcmmdkldmgbkggoeegabe",</v>
      </c>
    </row>
    <row r="784">
      <c r="A784" s="4" t="s">
        <v>19967</v>
      </c>
      <c r="B784" s="4" t="s">
        <v>1567</v>
      </c>
      <c r="C784" s="16" t="str">
        <f>IFERROR(__xludf.DUMMYFUNCTION(""""""""" &amp; REGEXEXTRACT(B784, ""/detail/([^/?]+)"") &amp; """""","""),"""bflpmpggmkamcjjdjajcafkpcmjmgcfg"",")</f>
        <v>"bflpmpggmkamcjjdjajcafkpcmjmgcfg",</v>
      </c>
    </row>
    <row r="785">
      <c r="A785" s="4" t="s">
        <v>19968</v>
      </c>
      <c r="B785" s="4" t="s">
        <v>1569</v>
      </c>
      <c r="C785" s="16" t="str">
        <f>IFERROR(__xludf.DUMMYFUNCTION(""""""""" &amp; REGEXEXTRACT(B785, ""/detail/([^/?]+)"") &amp; """""","""),"""bfmgdnjlifbmedglimhnbhgkefanaiep"",")</f>
        <v>"bfmgdnjlifbmedglimhnbhgkefanaiep",</v>
      </c>
    </row>
    <row r="786">
      <c r="A786" s="4" t="s">
        <v>19969</v>
      </c>
      <c r="B786" s="4" t="s">
        <v>1571</v>
      </c>
      <c r="C786" s="16" t="str">
        <f>IFERROR(__xludf.DUMMYFUNCTION(""""""""" &amp; REGEXEXTRACT(B786, ""/detail/([^/?]+)"") &amp; """""","""),"""bicfjeemoamhnnfjbhkajljimlgagiph"",")</f>
        <v>"bicfjeemoamhnnfjbhkajljimlgagiph",</v>
      </c>
    </row>
    <row r="787">
      <c r="A787" s="4" t="s">
        <v>19970</v>
      </c>
      <c r="B787" s="4" t="s">
        <v>1573</v>
      </c>
      <c r="C787" s="16" t="str">
        <f>IFERROR(__xludf.DUMMYFUNCTION(""""""""" &amp; REGEXEXTRACT(B787, ""/detail/([^/?]+)"") &amp; """""","""),"""bjdhcabjnhhifipbnopnfpfidkafanjf"",")</f>
        <v>"bjdhcabjnhhifipbnopnfpfidkafanjf",</v>
      </c>
    </row>
    <row r="788">
      <c r="A788" s="4" t="s">
        <v>19971</v>
      </c>
      <c r="B788" s="4" t="s">
        <v>1575</v>
      </c>
      <c r="C788" s="16" t="str">
        <f>IFERROR(__xludf.DUMMYFUNCTION(""""""""" &amp; REGEXEXTRACT(B788, ""/detail/([^/?]+)"") &amp; """""","""),"""bjjgbdlbgjeoankjijbmheneoekbghcg"",")</f>
        <v>"bjjgbdlbgjeoankjijbmheneoekbghcg",</v>
      </c>
    </row>
    <row r="789">
      <c r="A789" s="4" t="s">
        <v>19972</v>
      </c>
      <c r="B789" s="4" t="s">
        <v>1577</v>
      </c>
      <c r="C789" s="16" t="str">
        <f>IFERROR(__xludf.DUMMYFUNCTION(""""""""" &amp; REGEXEXTRACT(B789, ""/detail/([^/?]+)"") &amp; """""","""),"""blbeajekbphoogbcoomlkenjbklkoofc"",")</f>
        <v>"blbeajekbphoogbcoomlkenjbklkoofc",</v>
      </c>
    </row>
    <row r="790">
      <c r="A790" s="4" t="s">
        <v>19973</v>
      </c>
      <c r="B790" s="4" t="s">
        <v>1579</v>
      </c>
      <c r="C790" s="16" t="str">
        <f>IFERROR(__xludf.DUMMYFUNCTION(""""""""" &amp; REGEXEXTRACT(B790, ""/detail/([^/?]+)"") &amp; """""","""),"""bodeglehbhhophjohjfpddflimmhilod"",")</f>
        <v>"bodeglehbhhophjohjfpddflimmhilod",</v>
      </c>
    </row>
    <row r="791">
      <c r="A791" s="4" t="s">
        <v>19974</v>
      </c>
      <c r="B791" s="4" t="s">
        <v>1581</v>
      </c>
      <c r="C791" s="16" t="str">
        <f>IFERROR(__xludf.DUMMYFUNCTION(""""""""" &amp; REGEXEXTRACT(B791, ""/detail/([^/?]+)"") &amp; """""","""),"""bomhdjeadceaggdgfoefmpeafkjhegbo"",")</f>
        <v>"bomhdjeadceaggdgfoefmpeafkjhegbo",</v>
      </c>
    </row>
    <row r="792">
      <c r="A792" s="4" t="s">
        <v>19975</v>
      </c>
      <c r="B792" s="4" t="s">
        <v>1583</v>
      </c>
      <c r="C792" s="16" t="str">
        <f>IFERROR(__xludf.DUMMYFUNCTION(""""""""" &amp; REGEXEXTRACT(B792, ""/detail/([^/?]+)"") &amp; """""","""),"""bpbdbiickajcfeoilijnjlgchjjlfakj"",")</f>
        <v>"bpbdbiickajcfeoilijnjlgchjjlfakj",</v>
      </c>
    </row>
    <row r="793">
      <c r="A793" s="4" t="s">
        <v>19976</v>
      </c>
      <c r="B793" s="4" t="s">
        <v>1585</v>
      </c>
      <c r="C793" s="16" t="str">
        <f>IFERROR(__xludf.DUMMYFUNCTION(""""""""" &amp; REGEXEXTRACT(B793, ""/detail/([^/?]+)"") &amp; """""","""),"""bpfbbngccefbbndginomofgpagkjckik"",")</f>
        <v>"bpfbbngccefbbndginomofgpagkjckik",</v>
      </c>
    </row>
    <row r="794">
      <c r="A794" s="4" t="s">
        <v>19977</v>
      </c>
      <c r="B794" s="4" t="s">
        <v>1587</v>
      </c>
      <c r="C794" s="16" t="str">
        <f>IFERROR(__xludf.DUMMYFUNCTION(""""""""" &amp; REGEXEXTRACT(B794, ""/detail/([^/?]+)"") &amp; """""","""),"""cbcbkhdmedgianpaifchdaddpnmgnknn"",")</f>
        <v>"cbcbkhdmedgianpaifchdaddpnmgnknn",</v>
      </c>
    </row>
    <row r="795">
      <c r="A795" s="4" t="s">
        <v>19978</v>
      </c>
      <c r="B795" s="4" t="s">
        <v>1589</v>
      </c>
      <c r="C795" s="16" t="str">
        <f>IFERROR(__xludf.DUMMYFUNCTION(""""""""" &amp; REGEXEXTRACT(B795, ""/detail/([^/?]+)"") &amp; """""","""),"""cceilgmnkeijahkehfcgfalepihfbcag"",")</f>
        <v>"cceilgmnkeijahkehfcgfalepihfbcag",</v>
      </c>
    </row>
    <row r="796">
      <c r="A796" s="4" t="s">
        <v>19979</v>
      </c>
      <c r="B796" s="4" t="s">
        <v>1591</v>
      </c>
      <c r="C796" s="16" t="str">
        <f>IFERROR(__xludf.DUMMYFUNCTION(""""""""" &amp; REGEXEXTRACT(B796, ""/detail/([^/?]+)"") &amp; """""","""),"""cdpobfbhbdlpbloccjokjgekjnmifbng"",")</f>
        <v>"cdpobfbhbdlpbloccjokjgekjnmifbng",</v>
      </c>
    </row>
    <row r="797">
      <c r="A797" s="4" t="s">
        <v>19980</v>
      </c>
      <c r="B797" s="4" t="s">
        <v>1593</v>
      </c>
      <c r="C797" s="16" t="str">
        <f>IFERROR(__xludf.DUMMYFUNCTION(""""""""" &amp; REGEXEXTRACT(B797, ""/detail/([^/?]+)"") &amp; """""","""),"""cfghpjmgdnienmgcajbmjjemfnnmldlh"",")</f>
        <v>"cfghpjmgdnienmgcajbmjjemfnnmldlh",</v>
      </c>
    </row>
    <row r="798">
      <c r="A798" s="4" t="s">
        <v>19981</v>
      </c>
      <c r="B798" s="4" t="s">
        <v>1595</v>
      </c>
      <c r="C798" s="16" t="str">
        <f>IFERROR(__xludf.DUMMYFUNCTION(""""""""" &amp; REGEXEXTRACT(B798, ""/detail/([^/?]+)"") &amp; """""","""),"""cfokcacdaonnckdmopmcgeanhkebeaio"",")</f>
        <v>"cfokcacdaonnckdmopmcgeanhkebeaio",</v>
      </c>
    </row>
    <row r="799">
      <c r="A799" s="4" t="s">
        <v>19982</v>
      </c>
      <c r="B799" s="4" t="s">
        <v>1597</v>
      </c>
      <c r="C799" s="16" t="str">
        <f>IFERROR(__xludf.DUMMYFUNCTION(""""""""" &amp; REGEXEXTRACT(B799, ""/detail/([^/?]+)"") &amp; """""","""),"""chackijkbbbmdlgekngbjdcpnbgaepji"",")</f>
        <v>"chackijkbbbmdlgekngbjdcpnbgaepji",</v>
      </c>
    </row>
    <row r="800">
      <c r="A800" s="4" t="s">
        <v>19983</v>
      </c>
      <c r="B800" s="4" t="s">
        <v>1599</v>
      </c>
      <c r="C800" s="16" t="str">
        <f>IFERROR(__xludf.DUMMYFUNCTION(""""""""" &amp; REGEXEXTRACT(B800, ""/detail/([^/?]+)"") &amp; """""","""),"""chhkkciiljiehmmfgmodhaaljggikhmc"",")</f>
        <v>"chhkkciiljiehmmfgmodhaaljggikhmc",</v>
      </c>
    </row>
    <row r="801">
      <c r="A801" s="4" t="s">
        <v>19984</v>
      </c>
      <c r="B801" s="4" t="s">
        <v>1601</v>
      </c>
      <c r="C801" s="16" t="str">
        <f>IFERROR(__xludf.DUMMYFUNCTION(""""""""" &amp; REGEXEXTRACT(B801, ""/detail/([^/?]+)"") &amp; """""","""),"""cifcnoebhbpdndjendfkpehpfbglgfkc"",")</f>
        <v>"cifcnoebhbpdndjendfkpehpfbglgfkc",</v>
      </c>
    </row>
    <row r="802">
      <c r="A802" s="4" t="s">
        <v>19985</v>
      </c>
      <c r="B802" s="4" t="s">
        <v>1603</v>
      </c>
      <c r="C802" s="16" t="str">
        <f>IFERROR(__xludf.DUMMYFUNCTION(""""""""" &amp; REGEXEXTRACT(B802, ""/detail/([^/?]+)"") &amp; """""","""),"""cinncpjcejdnoafflljjmgibkkgkigag"",")</f>
        <v>"cinncpjcejdnoafflljjmgibkkgkigag",</v>
      </c>
    </row>
    <row r="803">
      <c r="A803" s="4" t="s">
        <v>19986</v>
      </c>
      <c r="B803" s="4" t="s">
        <v>1605</v>
      </c>
      <c r="C803" s="16" t="str">
        <f>IFERROR(__xludf.DUMMYFUNCTION(""""""""" &amp; REGEXEXTRACT(B803, ""/detail/([^/?]+)"") &amp; """""","""),"""cjhgdbmohmlomkjgbgkcbknncblpfanf"",")</f>
        <v>"cjhgdbmohmlomkjgbgkcbknncblpfanf",</v>
      </c>
    </row>
    <row r="804">
      <c r="A804" s="4" t="s">
        <v>19987</v>
      </c>
      <c r="B804" s="4" t="s">
        <v>1607</v>
      </c>
      <c r="C804" s="16" t="str">
        <f>IFERROR(__xludf.DUMMYFUNCTION(""""""""" &amp; REGEXEXTRACT(B804, ""/detail/([^/?]+)"") &amp; """""","""),"""ckciegopcnnpagdmgjadmhjkocchicji"",")</f>
        <v>"ckciegopcnnpagdmgjadmhjkocchicji",</v>
      </c>
    </row>
    <row r="805">
      <c r="A805" s="4" t="s">
        <v>19988</v>
      </c>
      <c r="B805" s="4" t="s">
        <v>1609</v>
      </c>
      <c r="C805" s="16" t="str">
        <f>IFERROR(__xludf.DUMMYFUNCTION(""""""""" &amp; REGEXEXTRACT(B805, ""/detail/([^/?]+)"") &amp; """""","""),"""ckdjcgaagfcnndkkknfmncedapdjaokb"",")</f>
        <v>"ckdjcgaagfcnndkkknfmncedapdjaokb",</v>
      </c>
    </row>
    <row r="806">
      <c r="A806" s="4" t="s">
        <v>19989</v>
      </c>
      <c r="B806" s="4" t="s">
        <v>1611</v>
      </c>
      <c r="C806" s="16" t="str">
        <f>IFERROR(__xludf.DUMMYFUNCTION(""""""""" &amp; REGEXEXTRACT(B806, ""/detail/([^/?]+)"") &amp; """""","""),"""cmcidfkdmfopijnadkbdbhknfkjodmec"",")</f>
        <v>"cmcidfkdmfopijnadkbdbhknfkjodmec",</v>
      </c>
    </row>
    <row r="807">
      <c r="A807" s="4" t="s">
        <v>19990</v>
      </c>
      <c r="B807" s="4" t="s">
        <v>1613</v>
      </c>
      <c r="C807" s="16" t="str">
        <f>IFERROR(__xludf.DUMMYFUNCTION(""""""""" &amp; REGEXEXTRACT(B807, ""/detail/([^/?]+)"") &amp; """""","""),"""cnahgdhboflcnojgmeehhhfeoojifonm"",")</f>
        <v>"cnahgdhboflcnojgmeehhhfeoojifonm",</v>
      </c>
    </row>
    <row r="808">
      <c r="A808" s="4" t="s">
        <v>19991</v>
      </c>
      <c r="B808" s="4" t="s">
        <v>1615</v>
      </c>
      <c r="C808" s="16" t="str">
        <f>IFERROR(__xludf.DUMMYFUNCTION(""""""""" &amp; REGEXEXTRACT(B808, ""/detail/([^/?]+)"") &amp; """""","""),"""cnoplimhpndhhhnmoigbanpjeghjpohi"",")</f>
        <v>"cnoplimhpndhhhnmoigbanpjeghjpohi",</v>
      </c>
    </row>
    <row r="809">
      <c r="A809" s="4" t="s">
        <v>19992</v>
      </c>
      <c r="B809" s="4" t="s">
        <v>1617</v>
      </c>
      <c r="C809" s="16" t="str">
        <f>IFERROR(__xludf.DUMMYFUNCTION(""""""""" &amp; REGEXEXTRACT(B809, ""/detail/([^/?]+)"") &amp; """""","""),"""cobieddmkhhnbeldhncnfcgcaccmehgn"",")</f>
        <v>"cobieddmkhhnbeldhncnfcgcaccmehgn",</v>
      </c>
    </row>
    <row r="810">
      <c r="A810" s="4" t="s">
        <v>19993</v>
      </c>
      <c r="B810" s="4" t="s">
        <v>1619</v>
      </c>
      <c r="C810" s="16" t="str">
        <f>IFERROR(__xludf.DUMMYFUNCTION(""""""""" &amp; REGEXEXTRACT(B810, ""/detail/([^/?]+)"") &amp; """""","""),"""cocohmmjllchepkjocddkihldoiillkl"",")</f>
        <v>"cocohmmjllchepkjocddkihldoiillkl",</v>
      </c>
    </row>
    <row r="811">
      <c r="A811" s="4" t="s">
        <v>19994</v>
      </c>
      <c r="B811" s="4" t="s">
        <v>1621</v>
      </c>
      <c r="C811" s="16" t="str">
        <f>IFERROR(__xludf.DUMMYFUNCTION(""""""""" &amp; REGEXEXTRACT(B811, ""/detail/([^/?]+)"") &amp; """""","""),"""codgofkgobbmgglciccjabipdlgefnch"",")</f>
        <v>"codgofkgobbmgglciccjabipdlgefnch",</v>
      </c>
    </row>
    <row r="812">
      <c r="A812" s="4" t="s">
        <v>19995</v>
      </c>
      <c r="B812" s="4" t="s">
        <v>1623</v>
      </c>
      <c r="C812" s="16" t="str">
        <f>IFERROR(__xludf.DUMMYFUNCTION(""""""""" &amp; REGEXEXTRACT(B812, ""/detail/([^/?]+)"") &amp; """""","""),"""comoodengbhchaeglcgaaokhaicgngoo"",")</f>
        <v>"comoodengbhchaeglcgaaokhaicgngoo",</v>
      </c>
    </row>
    <row r="813">
      <c r="A813" s="4" t="s">
        <v>19996</v>
      </c>
      <c r="B813" s="4" t="s">
        <v>1625</v>
      </c>
      <c r="C813" s="16" t="str">
        <f>IFERROR(__xludf.DUMMYFUNCTION(""""""""" &amp; REGEXEXTRACT(B813, ""/detail/([^/?]+)"") &amp; """""","""),"""cpbhljkhbideandpbhpinhedfgdhkpdc"",")</f>
        <v>"cpbhljkhbideandpbhpinhedfgdhkpdc",</v>
      </c>
    </row>
    <row r="814">
      <c r="A814" s="4" t="s">
        <v>19997</v>
      </c>
      <c r="B814" s="4" t="s">
        <v>1627</v>
      </c>
      <c r="C814" s="16" t="str">
        <f>IFERROR(__xludf.DUMMYFUNCTION(""""""""" &amp; REGEXEXTRACT(B814, ""/detail/([^/?]+)"") &amp; """""","""),"""cphnkopapfgbhghcogkdcalgdohiianc"",")</f>
        <v>"cphnkopapfgbhghcogkdcalgdohiianc",</v>
      </c>
    </row>
    <row r="815">
      <c r="A815" s="4" t="s">
        <v>19998</v>
      </c>
      <c r="B815" s="4" t="s">
        <v>1629</v>
      </c>
      <c r="C815" s="16" t="str">
        <f>IFERROR(__xludf.DUMMYFUNCTION(""""""""" &amp; REGEXEXTRACT(B815, ""/detail/([^/?]+)"") &amp; """""","""),"""cpknagcmpelnmgoclahmkmnlokbibhga"",")</f>
        <v>"cpknagcmpelnmgoclahmkmnlokbibhga",</v>
      </c>
    </row>
    <row r="816">
      <c r="A816" s="4" t="s">
        <v>19999</v>
      </c>
      <c r="B816" s="4" t="s">
        <v>1631</v>
      </c>
      <c r="C816" s="16" t="str">
        <f>IFERROR(__xludf.DUMMYFUNCTION(""""""""" &amp; REGEXEXTRACT(B816, ""/detail/([^/?]+)"") &amp; """""","""),"""danjmbbdjabpapehlajpomcignjnoidp"",")</f>
        <v>"danjmbbdjabpapehlajpomcignjnoidp",</v>
      </c>
    </row>
    <row r="817">
      <c r="A817" s="4" t="s">
        <v>20000</v>
      </c>
      <c r="B817" s="4" t="s">
        <v>1633</v>
      </c>
      <c r="C817" s="16" t="str">
        <f>IFERROR(__xludf.DUMMYFUNCTION(""""""""" &amp; REGEXEXTRACT(B817, ""/detail/([^/?]+)"") &amp; """""","""),"""dbdfkhaojnhgfcbpkhfgpfaoincihmcm"",")</f>
        <v>"dbdfkhaojnhgfcbpkhfgpfaoincihmcm",</v>
      </c>
    </row>
    <row r="818">
      <c r="A818" s="4" t="s">
        <v>20001</v>
      </c>
      <c r="B818" s="4" t="s">
        <v>1635</v>
      </c>
      <c r="C818" s="16" t="str">
        <f>IFERROR(__xludf.DUMMYFUNCTION(""""""""" &amp; REGEXEXTRACT(B818, ""/detail/([^/?]+)"") &amp; """""","""),"""dbebidibfabmempkkbhabeehoncoaphf"",")</f>
        <v>"dbebidibfabmempkkbhabeehoncoaphf",</v>
      </c>
    </row>
    <row r="819">
      <c r="A819" s="4" t="s">
        <v>20002</v>
      </c>
      <c r="B819" s="4" t="s">
        <v>1637</v>
      </c>
      <c r="C819" s="16" t="str">
        <f>IFERROR(__xludf.DUMMYFUNCTION(""""""""" &amp; REGEXEXTRACT(B819, ""/detail/([^/?]+)"") &amp; """""","""),"""dbhhnnnpaeobfddmlalhnehgclcmjimi"",")</f>
        <v>"dbhhnnnpaeobfddmlalhnehgclcmjimi",</v>
      </c>
    </row>
    <row r="820">
      <c r="A820" s="4" t="s">
        <v>20003</v>
      </c>
      <c r="B820" s="4" t="s">
        <v>1639</v>
      </c>
      <c r="C820" s="16" t="str">
        <f>IFERROR(__xludf.DUMMYFUNCTION(""""""""" &amp; REGEXEXTRACT(B820, ""/detail/([^/?]+)"") &amp; """""","""),"""dcjdhicepiklefpimapdkbaeoocniemc"",")</f>
        <v>"dcjdhicepiklefpimapdkbaeoocniemc",</v>
      </c>
    </row>
    <row r="821">
      <c r="A821" s="4" t="s">
        <v>20004</v>
      </c>
      <c r="B821" s="4" t="s">
        <v>1641</v>
      </c>
      <c r="C821" s="16" t="str">
        <f>IFERROR(__xludf.DUMMYFUNCTION(""""""""" &amp; REGEXEXTRACT(B821, ""/detail/([^/?]+)"") &amp; """""","""),"""dckonobhgjekgmkfgipjdeombidiaeci"",")</f>
        <v>"dckonobhgjekgmkfgipjdeombidiaeci",</v>
      </c>
    </row>
    <row r="822">
      <c r="A822" s="4" t="s">
        <v>20005</v>
      </c>
      <c r="B822" s="4" t="s">
        <v>1643</v>
      </c>
      <c r="C822" s="16" t="str">
        <f>IFERROR(__xludf.DUMMYFUNCTION(""""""""" &amp; REGEXEXTRACT(B822, ""/detail/([^/?]+)"") &amp; """""","""),"""dcpbedhdekgkhigjgmlcbmcjoeaebbfm"",")</f>
        <v>"dcpbedhdekgkhigjgmlcbmcjoeaebbfm",</v>
      </c>
    </row>
    <row r="823">
      <c r="A823" s="4" t="s">
        <v>20006</v>
      </c>
      <c r="B823" s="4" t="s">
        <v>1645</v>
      </c>
      <c r="C823" s="16" t="str">
        <f>IFERROR(__xludf.DUMMYFUNCTION(""""""""" &amp; REGEXEXTRACT(B823, ""/detail/([^/?]+)"") &amp; """""","""),"""ddfmingbghgdadipkmlocgkdlenbjpni"",")</f>
        <v>"ddfmingbghgdadipkmlocgkdlenbjpni",</v>
      </c>
    </row>
    <row r="824">
      <c r="A824" s="4" t="s">
        <v>20007</v>
      </c>
      <c r="B824" s="4" t="s">
        <v>1647</v>
      </c>
      <c r="C824" s="16" t="str">
        <f>IFERROR(__xludf.DUMMYFUNCTION(""""""""" &amp; REGEXEXTRACT(B824, ""/detail/([^/?]+)"") &amp; """""","""),"""dennnbdlpgjgbcjfgaohdahloollfgoc"",")</f>
        <v>"dennnbdlpgjgbcjfgaohdahloollfgoc",</v>
      </c>
    </row>
    <row r="825">
      <c r="A825" s="4" t="s">
        <v>20008</v>
      </c>
      <c r="B825" s="4" t="s">
        <v>1649</v>
      </c>
      <c r="C825" s="16" t="str">
        <f>IFERROR(__xludf.DUMMYFUNCTION(""""""""" &amp; REGEXEXTRACT(B825, ""/detail/([^/?]+)"") &amp; """""","""),"""dgdfbndljpogobgjlligoffljmkiiafc"",")</f>
        <v>"dgdfbndljpogobgjlligoffljmkiiafc",</v>
      </c>
    </row>
    <row r="826">
      <c r="A826" s="4" t="s">
        <v>20009</v>
      </c>
      <c r="B826" s="4" t="s">
        <v>1651</v>
      </c>
      <c r="C826" s="16" t="str">
        <f>IFERROR(__xludf.DUMMYFUNCTION(""""""""" &amp; REGEXEXTRACT(B826, ""/detail/([^/?]+)"") &amp; """""","""),"""dgpinehekakmfhnmdickgcaofkegnipd"",")</f>
        <v>"dgpinehekakmfhnmdickgcaofkegnipd",</v>
      </c>
    </row>
    <row r="827">
      <c r="A827" s="4" t="s">
        <v>20010</v>
      </c>
      <c r="B827" s="4" t="s">
        <v>1653</v>
      </c>
      <c r="C827" s="16" t="str">
        <f>IFERROR(__xludf.DUMMYFUNCTION(""""""""" &amp; REGEXEXTRACT(B827, ""/detail/([^/?]+)"") &amp; """""","""),"""dhcoicbcegmeaoipdjabengnggkciepp"",")</f>
        <v>"dhcoicbcegmeaoipdjabengnggkciepp",</v>
      </c>
    </row>
    <row r="828">
      <c r="A828" s="4" t="s">
        <v>20011</v>
      </c>
      <c r="B828" s="4" t="s">
        <v>1655</v>
      </c>
      <c r="C828" s="16" t="str">
        <f>IFERROR(__xludf.DUMMYFUNCTION(""""""""" &amp; REGEXEXTRACT(B828, ""/detail/([^/?]+)"") &amp; """""","""),"""diamegoomkocpgkfkmlmegiegkmogpao"",")</f>
        <v>"diamegoomkocpgkfkmlmegiegkmogpao",</v>
      </c>
    </row>
    <row r="829">
      <c r="A829" s="4" t="s">
        <v>20012</v>
      </c>
      <c r="B829" s="4" t="s">
        <v>1657</v>
      </c>
      <c r="C829" s="16" t="str">
        <f>IFERROR(__xludf.DUMMYFUNCTION(""""""""" &amp; REGEXEXTRACT(B829, ""/detail/([^/?]+)"") &amp; """""","""),"""diebikgmpmeppiilkaijjbdgciafajmg"",")</f>
        <v>"diebikgmpmeppiilkaijjbdgciafajmg",</v>
      </c>
    </row>
    <row r="830">
      <c r="A830" s="4" t="s">
        <v>20013</v>
      </c>
      <c r="B830" s="4" t="s">
        <v>1659</v>
      </c>
      <c r="C830" s="16" t="str">
        <f>IFERROR(__xludf.DUMMYFUNCTION(""""""""" &amp; REGEXEXTRACT(B830, ""/detail/([^/?]+)"") &amp; """""","""),"""djadfifncobffjpicnkiegahdiobpaap"",")</f>
        <v>"djadfifncobffjpicnkiegahdiobpaap",</v>
      </c>
    </row>
    <row r="831">
      <c r="A831" s="4" t="s">
        <v>20014</v>
      </c>
      <c r="B831" s="4" t="s">
        <v>1661</v>
      </c>
      <c r="C831" s="16" t="str">
        <f>IFERROR(__xludf.DUMMYFUNCTION(""""""""" &amp; REGEXEXTRACT(B831, ""/detail/([^/?]+)"") &amp; """""","""),"""djfpbemmcokhlllnafdmomgecdlicfhj"",")</f>
        <v>"djfpbemmcokhlllnafdmomgecdlicfhj",</v>
      </c>
    </row>
    <row r="832">
      <c r="A832" s="4" t="s">
        <v>20015</v>
      </c>
      <c r="B832" s="4" t="s">
        <v>1663</v>
      </c>
      <c r="C832" s="16" t="str">
        <f>IFERROR(__xludf.DUMMYFUNCTION(""""""""" &amp; REGEXEXTRACT(B832, ""/detail/([^/?]+)"") &amp; """""","""),"""djhgeeodemlfdpmcccdekfalbhllcoim"",")</f>
        <v>"djhgeeodemlfdpmcccdekfalbhllcoim",</v>
      </c>
    </row>
    <row r="833">
      <c r="A833" s="4" t="s">
        <v>20016</v>
      </c>
      <c r="B833" s="4" t="s">
        <v>1665</v>
      </c>
      <c r="C833" s="16" t="str">
        <f>IFERROR(__xludf.DUMMYFUNCTION(""""""""" &amp; REGEXEXTRACT(B833, ""/detail/([^/?]+)"") &amp; """""","""),"""dlmmhgaeahcfkojednnfghfpinbinicj"",")</f>
        <v>"dlmmhgaeahcfkojednnfghfpinbinicj",</v>
      </c>
    </row>
    <row r="834">
      <c r="A834" s="4" t="s">
        <v>20017</v>
      </c>
      <c r="B834" s="4" t="s">
        <v>1667</v>
      </c>
      <c r="C834" s="16" t="str">
        <f>IFERROR(__xludf.DUMMYFUNCTION(""""""""" &amp; REGEXEXTRACT(B834, ""/detail/([^/?]+)"") &amp; """""","""),"""dlnjlajbdnhgcdeljgbhkiaodefepnpf"",")</f>
        <v>"dlnjlajbdnhgcdeljgbhkiaodefepnpf",</v>
      </c>
    </row>
    <row r="835">
      <c r="A835" s="4" t="s">
        <v>20018</v>
      </c>
      <c r="B835" s="4" t="s">
        <v>1669</v>
      </c>
      <c r="C835" s="16" t="str">
        <f>IFERROR(__xludf.DUMMYFUNCTION(""""""""" &amp; REGEXEXTRACT(B835, ""/detail/([^/?]+)"") &amp; """""","""),"""dmkincdpchiadkhhocmbpjljebfifgbl"",")</f>
        <v>"dmkincdpchiadkhhocmbpjljebfifgbl",</v>
      </c>
    </row>
    <row r="836">
      <c r="A836" s="4" t="s">
        <v>20019</v>
      </c>
      <c r="B836" s="4" t="s">
        <v>1671</v>
      </c>
      <c r="C836" s="16" t="str">
        <f>IFERROR(__xludf.DUMMYFUNCTION(""""""""" &amp; REGEXEXTRACT(B836, ""/detail/([^/?]+)"") &amp; """""","""),"""dmlmcpcjndojhbflolmdgfpojnjfdlbj"",")</f>
        <v>"dmlmcpcjndojhbflolmdgfpojnjfdlbj",</v>
      </c>
    </row>
    <row r="837">
      <c r="A837" s="4" t="s">
        <v>20020</v>
      </c>
      <c r="B837" s="4" t="s">
        <v>1673</v>
      </c>
      <c r="C837" s="16" t="str">
        <f>IFERROR(__xludf.DUMMYFUNCTION(""""""""" &amp; REGEXEXTRACT(B837, ""/detail/([^/?]+)"") &amp; """""","""),"""dnnjlaebcepcagnefdgodliagfhbebba"",")</f>
        <v>"dnnjlaebcepcagnefdgodliagfhbebba",</v>
      </c>
    </row>
    <row r="838">
      <c r="A838" s="4" t="s">
        <v>20021</v>
      </c>
      <c r="B838" s="4" t="s">
        <v>1675</v>
      </c>
      <c r="C838" s="16" t="str">
        <f>IFERROR(__xludf.DUMMYFUNCTION(""""""""" &amp; REGEXEXTRACT(B838, ""/detail/([^/?]+)"") &amp; """""","""),"""dpfgmabfakicdmcijnddgbelfhfkddnb"",")</f>
        <v>"dpfgmabfakicdmcijnddgbelfhfkddnb",</v>
      </c>
    </row>
    <row r="839">
      <c r="A839" s="4" t="s">
        <v>20022</v>
      </c>
      <c r="B839" s="4" t="s">
        <v>1677</v>
      </c>
      <c r="C839" s="16" t="str">
        <f>IFERROR(__xludf.DUMMYFUNCTION(""""""""" &amp; REGEXEXTRACT(B839, ""/detail/([^/?]+)"") &amp; """""","""),"""ebgihmollhfickaopoldkikdnipmdemg"",")</f>
        <v>"ebgihmollhfickaopoldkikdnipmdemg",</v>
      </c>
    </row>
    <row r="840">
      <c r="A840" s="4" t="s">
        <v>20023</v>
      </c>
      <c r="B840" s="4" t="s">
        <v>1679</v>
      </c>
      <c r="C840" s="16" t="str">
        <f>IFERROR(__xludf.DUMMYFUNCTION(""""""""" &amp; REGEXEXTRACT(B840, ""/detail/([^/?]+)"") &amp; """""","""),"""eccidpbmllnjfhhnjhaaopeeldnlokbi"",")</f>
        <v>"eccidpbmllnjfhhnjhaaopeeldnlokbi",</v>
      </c>
    </row>
    <row r="841">
      <c r="A841" s="4" t="s">
        <v>20024</v>
      </c>
      <c r="B841" s="4" t="s">
        <v>1681</v>
      </c>
      <c r="C841" s="16" t="str">
        <f>IFERROR(__xludf.DUMMYFUNCTION(""""""""" &amp; REGEXEXTRACT(B841, ""/detail/([^/?]+)"") &amp; """""","""),"""eckionmoiajpjncecfebdmmbcboblkja"",")</f>
        <v>"eckionmoiajpjncecfebdmmbcboblkja",</v>
      </c>
    </row>
    <row r="842">
      <c r="A842" s="4" t="s">
        <v>20025</v>
      </c>
      <c r="B842" s="4" t="s">
        <v>1683</v>
      </c>
      <c r="C842" s="16" t="str">
        <f>IFERROR(__xludf.DUMMYFUNCTION(""""""""" &amp; REGEXEXTRACT(B842, ""/detail/([^/?]+)"") &amp; """""","""),"""eelacikjiplnmdingehjfdjcfegclmkg"",")</f>
        <v>"eelacikjiplnmdingehjfdjcfegclmkg",</v>
      </c>
    </row>
    <row r="843">
      <c r="A843" s="4" t="s">
        <v>20026</v>
      </c>
      <c r="B843" s="4" t="s">
        <v>1685</v>
      </c>
      <c r="C843" s="16" t="str">
        <f>IFERROR(__xludf.DUMMYFUNCTION(""""""""" &amp; REGEXEXTRACT(B843, ""/detail/([^/?]+)"") &amp; """""","""),"""efoelbbfbknfhpmgclpcdbkoieedkkai"",")</f>
        <v>"efoelbbfbknfhpmgclpcdbkoieedkkai",</v>
      </c>
    </row>
    <row r="844">
      <c r="A844" s="4" t="s">
        <v>20027</v>
      </c>
      <c r="B844" s="4" t="s">
        <v>1687</v>
      </c>
      <c r="C844" s="16" t="str">
        <f>IFERROR(__xludf.DUMMYFUNCTION(""""""""" &amp; REGEXEXTRACT(B844, ""/detail/([^/?]+)"") &amp; """""","""),"""egikgfbhipinieabdmcpigejkaomgjgb"",")</f>
        <v>"egikgfbhipinieabdmcpigejkaomgjgb",</v>
      </c>
    </row>
    <row r="845">
      <c r="A845" s="4" t="s">
        <v>20028</v>
      </c>
      <c r="B845" s="4" t="s">
        <v>1689</v>
      </c>
      <c r="C845" s="16" t="str">
        <f>IFERROR(__xludf.DUMMYFUNCTION(""""""""" &amp; REGEXEXTRACT(B845, ""/detail/([^/?]+)"") &amp; """""","""),"""egkikapjpndmjflbjjoondbihalgdjco"",")</f>
        <v>"egkikapjpndmjflbjjoondbihalgdjco",</v>
      </c>
    </row>
    <row r="846">
      <c r="A846" s="4" t="s">
        <v>20029</v>
      </c>
      <c r="B846" s="4" t="s">
        <v>1691</v>
      </c>
      <c r="C846" s="16" t="str">
        <f>IFERROR(__xludf.DUMMYFUNCTION(""""""""" &amp; REGEXEXTRACT(B846, ""/detail/([^/?]+)"") &amp; """""","""),"""egpachgbfnbpkceigfpcpicekmiehame"",")</f>
        <v>"egpachgbfnbpkceigfpcpicekmiehame",</v>
      </c>
    </row>
    <row r="847">
      <c r="A847" s="4" t="s">
        <v>20030</v>
      </c>
      <c r="B847" s="4" t="s">
        <v>1693</v>
      </c>
      <c r="C847" s="16" t="str">
        <f>IFERROR(__xludf.DUMMYFUNCTION(""""""""" &amp; REGEXEXTRACT(B847, ""/detail/([^/?]+)"") &amp; """""","""),"""ehoopddfhgaehhmphfcooacjdpmbjlao"",")</f>
        <v>"ehoopddfhgaehhmphfcooacjdpmbjlao",</v>
      </c>
    </row>
    <row r="848">
      <c r="A848" s="4" t="s">
        <v>20031</v>
      </c>
      <c r="B848" s="4" t="s">
        <v>1695</v>
      </c>
      <c r="C848" s="16" t="str">
        <f>IFERROR(__xludf.DUMMYFUNCTION(""""""""" &amp; REGEXEXTRACT(B848, ""/detail/([^/?]+)"") &amp; """""","""),"""ejimgapgkloohjjiiamebgpcobfcaffl"",")</f>
        <v>"ejimgapgkloohjjiiamebgpcobfcaffl",</v>
      </c>
    </row>
    <row r="849">
      <c r="A849" s="4" t="s">
        <v>20032</v>
      </c>
      <c r="B849" s="4" t="s">
        <v>1697</v>
      </c>
      <c r="C849" s="16" t="str">
        <f>IFERROR(__xludf.DUMMYFUNCTION(""""""""" &amp; REGEXEXTRACT(B849, ""/detail/([^/?]+)"") &amp; """""","""),"""ekgaebaencakkggokbokmgojdbafnefi"",")</f>
        <v>"ekgaebaencakkggokbokmgojdbafnefi",</v>
      </c>
    </row>
    <row r="850">
      <c r="A850" s="4" t="s">
        <v>20033</v>
      </c>
      <c r="B850" s="4" t="s">
        <v>1699</v>
      </c>
      <c r="C850" s="16" t="str">
        <f>IFERROR(__xludf.DUMMYFUNCTION(""""""""" &amp; REGEXEXTRACT(B850, ""/detail/([^/?]+)"") &amp; """""","""),"""eknhddnoflchkcccjgdddmnimjggiona"",")</f>
        <v>"eknhddnoflchkcccjgdddmnimjggiona",</v>
      </c>
    </row>
    <row r="851">
      <c r="A851" s="4" t="s">
        <v>20034</v>
      </c>
      <c r="B851" s="4" t="s">
        <v>1701</v>
      </c>
      <c r="C851" s="16" t="str">
        <f>IFERROR(__xludf.DUMMYFUNCTION(""""""""" &amp; REGEXEXTRACT(B851, ""/detail/([^/?]+)"") &amp; """""","""),"""eldlkpeoddgbmpjlnpfblfpgodnojfjl"",")</f>
        <v>"eldlkpeoddgbmpjlnpfblfpgodnojfjl",</v>
      </c>
    </row>
    <row r="852">
      <c r="A852" s="4" t="s">
        <v>20035</v>
      </c>
      <c r="B852" s="4" t="s">
        <v>1703</v>
      </c>
      <c r="C852" s="16" t="str">
        <f>IFERROR(__xludf.DUMMYFUNCTION(""""""""" &amp; REGEXEXTRACT(B852, ""/detail/([^/?]+)"") &amp; """""","""),"""emdjdpchbjipnjhkfljbcapgfecmnglm"",")</f>
        <v>"emdjdpchbjipnjhkfljbcapgfecmnglm",</v>
      </c>
    </row>
    <row r="853">
      <c r="A853" s="4" t="s">
        <v>20036</v>
      </c>
      <c r="B853" s="4" t="s">
        <v>1705</v>
      </c>
      <c r="C853" s="16" t="str">
        <f>IFERROR(__xludf.DUMMYFUNCTION(""""""""" &amp; REGEXEXTRACT(B853, ""/detail/([^/?]+)"") &amp; """""","""),"""emdkdnnopdnajipoapepbeeiemahbjcn"",")</f>
        <v>"emdkdnnopdnajipoapepbeeiemahbjcn",</v>
      </c>
    </row>
    <row r="854">
      <c r="A854" s="4" t="s">
        <v>20037</v>
      </c>
      <c r="B854" s="4" t="s">
        <v>1707</v>
      </c>
      <c r="C854" s="16" t="str">
        <f>IFERROR(__xludf.DUMMYFUNCTION(""""""""" &amp; REGEXEXTRACT(B854, ""/detail/([^/?]+)"") &amp; """""","""),"""enibedkmbpadhfofcgjcphipflcbpelf"",")</f>
        <v>"enibedkmbpadhfofcgjcphipflcbpelf",</v>
      </c>
    </row>
    <row r="855">
      <c r="A855" s="4" t="s">
        <v>20038</v>
      </c>
      <c r="B855" s="4" t="s">
        <v>1709</v>
      </c>
      <c r="C855" s="16" t="str">
        <f>IFERROR(__xludf.DUMMYFUNCTION(""""""""" &amp; REGEXEXTRACT(B855, ""/detail/([^/?]+)"") &amp; """""","""),"""enjefpkmlibebgbbgidmhpmjhcdffhfm"",")</f>
        <v>"enjefpkmlibebgbbgidmhpmjhcdffhfm",</v>
      </c>
    </row>
    <row r="856">
      <c r="A856" s="4" t="s">
        <v>20039</v>
      </c>
      <c r="B856" s="4" t="s">
        <v>1711</v>
      </c>
      <c r="C856" s="16" t="str">
        <f>IFERROR(__xludf.DUMMYFUNCTION(""""""""" &amp; REGEXEXTRACT(B856, ""/detail/([^/?]+)"") &amp; """""","""),"""fcckkdbjnoikooededlapcalpionmalo"",")</f>
        <v>"fcckkdbjnoikooededlapcalpionmalo",</v>
      </c>
    </row>
    <row r="857">
      <c r="A857" s="4" t="s">
        <v>20040</v>
      </c>
      <c r="B857" s="4" t="s">
        <v>1713</v>
      </c>
      <c r="C857" s="16" t="str">
        <f>IFERROR(__xludf.DUMMYFUNCTION(""""""""" &amp; REGEXEXTRACT(B857, ""/detail/([^/?]+)"") &amp; """""","""),"""fcemphgmjnjpmmdhcedhjiegickfbiia"",")</f>
        <v>"fcemphgmjnjpmmdhcedhjiegickfbiia",</v>
      </c>
    </row>
    <row r="858">
      <c r="A858" s="4" t="s">
        <v>20041</v>
      </c>
      <c r="B858" s="4" t="s">
        <v>1715</v>
      </c>
      <c r="C858" s="16" t="str">
        <f>IFERROR(__xludf.DUMMYFUNCTION(""""""""" &amp; REGEXEXTRACT(B858, ""/detail/([^/?]+)"") &amp; """""","""),"""fdkgolkkimdnnjaeiogdciekaflaellb"",")</f>
        <v>"fdkgolkkimdnnjaeiogdciekaflaellb",</v>
      </c>
    </row>
    <row r="859">
      <c r="A859" s="4" t="s">
        <v>20042</v>
      </c>
      <c r="B859" s="4" t="s">
        <v>1717</v>
      </c>
      <c r="C859" s="16" t="str">
        <f>IFERROR(__xludf.DUMMYFUNCTION(""""""""" &amp; REGEXEXTRACT(B859, ""/detail/([^/?]+)"") &amp; """""","""),"""fdnbdgmkhikelgaohpgdpcecklddmpaj"",")</f>
        <v>"fdnbdgmkhikelgaohpgdpcecklddmpaj",</v>
      </c>
    </row>
    <row r="860">
      <c r="A860" s="4" t="s">
        <v>20043</v>
      </c>
      <c r="B860" s="4" t="s">
        <v>1719</v>
      </c>
      <c r="C860" s="16" t="str">
        <f>IFERROR(__xludf.DUMMYFUNCTION(""""""""" &amp; REGEXEXTRACT(B860, ""/detail/([^/?]+)"") &amp; """""","""),"""fdnpgodccdfgofepkclnopmbnacjkbnj"",")</f>
        <v>"fdnpgodccdfgofepkclnopmbnacjkbnj",</v>
      </c>
    </row>
    <row r="861">
      <c r="A861" s="4" t="s">
        <v>20044</v>
      </c>
      <c r="B861" s="4" t="s">
        <v>1721</v>
      </c>
      <c r="C861" s="16" t="str">
        <f>IFERROR(__xludf.DUMMYFUNCTION(""""""""" &amp; REGEXEXTRACT(B861, ""/detail/([^/?]+)"") &amp; """""","""),"""fdpigloibdnkimfbebdgaaefdlkkjoha"",")</f>
        <v>"fdpigloibdnkimfbebdgaaefdlkkjoha",</v>
      </c>
    </row>
    <row r="862">
      <c r="A862" s="4" t="s">
        <v>20045</v>
      </c>
      <c r="B862" s="4" t="s">
        <v>1723</v>
      </c>
      <c r="C862" s="16" t="str">
        <f>IFERROR(__xludf.DUMMYFUNCTION(""""""""" &amp; REGEXEXTRACT(B862, ""/detail/([^/?]+)"") &amp; """""","""),"""fficfkginiidknkbmlcdiojphhkokggh"",")</f>
        <v>"fficfkginiidknkbmlcdiojphhkokggh",</v>
      </c>
    </row>
    <row r="863">
      <c r="A863" s="4" t="s">
        <v>20046</v>
      </c>
      <c r="B863" s="4" t="s">
        <v>1725</v>
      </c>
      <c r="C863" s="16" t="str">
        <f>IFERROR(__xludf.DUMMYFUNCTION(""""""""" &amp; REGEXEXTRACT(B863, ""/detail/([^/?]+)"") &amp; """""","""),"""ffkjohkdmfhoojleoljhhlkonedmccjg"",")</f>
        <v>"ffkjohkdmfhoojleoljhhlkonedmccjg",</v>
      </c>
    </row>
    <row r="864">
      <c r="A864" s="4" t="s">
        <v>20047</v>
      </c>
      <c r="B864" s="4" t="s">
        <v>1727</v>
      </c>
      <c r="C864" s="16" t="str">
        <f>IFERROR(__xludf.DUMMYFUNCTION(""""""""" &amp; REGEXEXTRACT(B864, ""/detail/([^/?]+)"") &amp; """""","""),"""fhhdlnnepfjhlhilgmeepgkhjmhhhjkh"",")</f>
        <v>"fhhdlnnepfjhlhilgmeepgkhjmhhhjkh",</v>
      </c>
    </row>
    <row r="865">
      <c r="A865" s="4" t="s">
        <v>20048</v>
      </c>
      <c r="B865" s="4" t="s">
        <v>1729</v>
      </c>
      <c r="C865" s="16" t="str">
        <f>IFERROR(__xludf.DUMMYFUNCTION(""""""""" &amp; REGEXEXTRACT(B865, ""/detail/([^/?]+)"") &amp; """""","""),"""fhkconleiijpolngfiiggodoeaonlacn"",")</f>
        <v>"fhkconleiijpolngfiiggodoeaonlacn",</v>
      </c>
    </row>
    <row r="866">
      <c r="A866" s="4" t="s">
        <v>20049</v>
      </c>
      <c r="B866" s="4" t="s">
        <v>1731</v>
      </c>
      <c r="C866" s="16" t="str">
        <f>IFERROR(__xludf.DUMMYFUNCTION(""""""""" &amp; REGEXEXTRACT(B866, ""/detail/([^/?]+)"") &amp; """""","""),"""fhlogpdbadmjfpndmaijnibflgnbnhof"",")</f>
        <v>"fhlogpdbadmjfpndmaijnibflgnbnhof",</v>
      </c>
    </row>
    <row r="867">
      <c r="A867" s="4" t="s">
        <v>20050</v>
      </c>
      <c r="B867" s="4" t="s">
        <v>1733</v>
      </c>
      <c r="C867" s="16" t="str">
        <f>IFERROR(__xludf.DUMMYFUNCTION(""""""""" &amp; REGEXEXTRACT(B867, ""/detail/([^/?]+)"") &amp; """""","""),"""fhnegjjodccfaliddboelcleikbmapik"",")</f>
        <v>"fhnegjjodccfaliddboelcleikbmapik",</v>
      </c>
    </row>
    <row r="868">
      <c r="A868" s="4" t="s">
        <v>20051</v>
      </c>
      <c r="B868" s="4" t="s">
        <v>1735</v>
      </c>
      <c r="C868" s="16" t="str">
        <f>IFERROR(__xludf.DUMMYFUNCTION(""""""""" &amp; REGEXEXTRACT(B868, ""/detail/([^/?]+)"") &amp; """""","""),"""fjbdfjiheheafbioiejbdpalmojkeobk"",")</f>
        <v>"fjbdfjiheheafbioiejbdpalmojkeobk",</v>
      </c>
    </row>
    <row r="869">
      <c r="A869" s="4" t="s">
        <v>20052</v>
      </c>
      <c r="B869" s="4" t="s">
        <v>1737</v>
      </c>
      <c r="C869" s="16" t="str">
        <f>IFERROR(__xludf.DUMMYFUNCTION(""""""""" &amp; REGEXEXTRACT(B869, ""/detail/([^/?]+)"") &amp; """""","""),"""fjfbkbdcdmafppmmeajldfnkjllemkej"",")</f>
        <v>"fjfbkbdcdmafppmmeajldfnkjllemkej",</v>
      </c>
    </row>
    <row r="870">
      <c r="A870" s="4" t="s">
        <v>20053</v>
      </c>
      <c r="B870" s="4" t="s">
        <v>1739</v>
      </c>
      <c r="C870" s="16" t="str">
        <f>IFERROR(__xludf.DUMMYFUNCTION(""""""""" &amp; REGEXEXTRACT(B870, ""/detail/([^/?]+)"") &amp; """""","""),"""fjngbolidiommeliclbhnoifnbniclfk"",")</f>
        <v>"fjngbolidiommeliclbhnoifnbniclfk",</v>
      </c>
    </row>
    <row r="871">
      <c r="A871" s="4" t="s">
        <v>20054</v>
      </c>
      <c r="B871" s="4" t="s">
        <v>1741</v>
      </c>
      <c r="C871" s="16" t="str">
        <f>IFERROR(__xludf.DUMMYFUNCTION(""""""""" &amp; REGEXEXTRACT(B871, ""/detail/([^/?]+)"") &amp; """""","""),"""fkaokedhimpifhfadmgjpfjimkogdlcm"",")</f>
        <v>"fkaokedhimpifhfadmgjpfjimkogdlcm",</v>
      </c>
    </row>
    <row r="872">
      <c r="A872" s="4" t="s">
        <v>20055</v>
      </c>
      <c r="B872" s="4" t="s">
        <v>1743</v>
      </c>
      <c r="C872" s="16" t="str">
        <f>IFERROR(__xludf.DUMMYFUNCTION(""""""""" &amp; REGEXEXTRACT(B872, ""/detail/([^/?]+)"") &amp; """""","""),"""fkcddcfdmiebmhabfipjlnkkeokdlbom"",")</f>
        <v>"fkcddcfdmiebmhabfipjlnkkeokdlbom",</v>
      </c>
    </row>
    <row r="873">
      <c r="A873" s="4" t="s">
        <v>20056</v>
      </c>
      <c r="B873" s="4" t="s">
        <v>1745</v>
      </c>
      <c r="C873" s="16" t="str">
        <f>IFERROR(__xludf.DUMMYFUNCTION(""""""""" &amp; REGEXEXTRACT(B873, ""/detail/([^/?]+)"") &amp; """""","""),"""fkemipdcgbeknabedhecepcebhlnlhbf"",")</f>
        <v>"fkemipdcgbeknabedhecepcebhlnlhbf",</v>
      </c>
    </row>
    <row r="874">
      <c r="A874" s="4" t="s">
        <v>20057</v>
      </c>
      <c r="B874" s="4" t="s">
        <v>1747</v>
      </c>
      <c r="C874" s="16" t="str">
        <f>IFERROR(__xludf.DUMMYFUNCTION(""""""""" &amp; REGEXEXTRACT(B874, ""/detail/([^/?]+)"") &amp; """""","""),"""fklakbbaaknbgcedidhblbnhclijnhbi"",")</f>
        <v>"fklakbbaaknbgcedidhblbnhclijnhbi",</v>
      </c>
    </row>
    <row r="875">
      <c r="A875" s="4" t="s">
        <v>20058</v>
      </c>
      <c r="B875" s="4" t="s">
        <v>1749</v>
      </c>
      <c r="C875" s="16" t="str">
        <f>IFERROR(__xludf.DUMMYFUNCTION(""""""""" &amp; REGEXEXTRACT(B875, ""/detail/([^/?]+)"") &amp; """""","""),"""fkpaakpeehepibjpdmoocdaonognfiog"",")</f>
        <v>"fkpaakpeehepibjpdmoocdaonognfiog",</v>
      </c>
    </row>
    <row r="876">
      <c r="A876" s="4" t="s">
        <v>20059</v>
      </c>
      <c r="B876" s="4" t="s">
        <v>1751</v>
      </c>
      <c r="C876" s="16" t="str">
        <f>IFERROR(__xludf.DUMMYFUNCTION(""""""""" &amp; REGEXEXTRACT(B876, ""/detail/([^/?]+)"") &amp; """""","""),"""fkpampcchocandlbgdffjaihmccjmlgk"",")</f>
        <v>"fkpampcchocandlbgdffjaihmccjmlgk",</v>
      </c>
    </row>
    <row r="877">
      <c r="A877" s="4" t="s">
        <v>20060</v>
      </c>
      <c r="B877" s="4" t="s">
        <v>1753</v>
      </c>
      <c r="C877" s="16" t="str">
        <f>IFERROR(__xludf.DUMMYFUNCTION(""""""""" &amp; REGEXEXTRACT(B877, ""/detail/([^/?]+)"") &amp; """""","""),"""fmgaogkbodhdhhbgkphhbokciiecllno"",")</f>
        <v>"fmgaogkbodhdhhbgkphhbokciiecllno",</v>
      </c>
    </row>
    <row r="878">
      <c r="A878" s="4" t="s">
        <v>20061</v>
      </c>
      <c r="B878" s="4" t="s">
        <v>1755</v>
      </c>
      <c r="C878" s="16" t="str">
        <f>IFERROR(__xludf.DUMMYFUNCTION(""""""""" &amp; REGEXEXTRACT(B878, ""/detail/([^/?]+)"") &amp; """""","""),"""fncjhcjfnnooidlkijollckpakkebden"",")</f>
        <v>"fncjhcjfnnooidlkijollckpakkebden",</v>
      </c>
    </row>
    <row r="879">
      <c r="A879" s="4" t="s">
        <v>20062</v>
      </c>
      <c r="B879" s="4" t="s">
        <v>1757</v>
      </c>
      <c r="C879" s="16" t="str">
        <f>IFERROR(__xludf.DUMMYFUNCTION(""""""""" &amp; REGEXEXTRACT(B879, ""/detail/([^/?]+)"") &amp; """""","""),"""fojpkmgahmlajoheocnkebaoodepoekj"",")</f>
        <v>"fojpkmgahmlajoheocnkebaoodepoekj",</v>
      </c>
    </row>
    <row r="880">
      <c r="A880" s="4" t="s">
        <v>20063</v>
      </c>
      <c r="B880" s="4" t="s">
        <v>1759</v>
      </c>
      <c r="C880" s="16" t="str">
        <f>IFERROR(__xludf.DUMMYFUNCTION(""""""""" &amp; REGEXEXTRACT(B880, ""/detail/([^/?]+)"") &amp; """""","""),"""fommidcneendjonelhhhkmoekeicedej"",")</f>
        <v>"fommidcneendjonelhhhkmoekeicedej",</v>
      </c>
    </row>
    <row r="881">
      <c r="A881" s="4" t="s">
        <v>20064</v>
      </c>
      <c r="B881" s="4" t="s">
        <v>1761</v>
      </c>
      <c r="C881" s="16" t="str">
        <f>IFERROR(__xludf.DUMMYFUNCTION(""""""""" &amp; REGEXEXTRACT(B881, ""/detail/([^/?]+)"") &amp; """""","""),"""fopaemeedckajflibkpifppcankfmbhk"",")</f>
        <v>"fopaemeedckajflibkpifppcankfmbhk",</v>
      </c>
    </row>
    <row r="882">
      <c r="A882" s="4" t="s">
        <v>20065</v>
      </c>
      <c r="B882" s="4" t="s">
        <v>1763</v>
      </c>
      <c r="C882" s="16" t="str">
        <f>IFERROR(__xludf.DUMMYFUNCTION(""""""""" &amp; REGEXEXTRACT(B882, ""/detail/([^/?]+)"") &amp; """""","""),"""gappjieodenkcldikeopfgiheemoaagb"",")</f>
        <v>"gappjieodenkcldikeopfgiheemoaagb",</v>
      </c>
    </row>
    <row r="883">
      <c r="A883" s="4" t="s">
        <v>20066</v>
      </c>
      <c r="B883" s="4" t="s">
        <v>1765</v>
      </c>
      <c r="C883" s="16" t="str">
        <f>IFERROR(__xludf.DUMMYFUNCTION(""""""""" &amp; REGEXEXTRACT(B883, ""/detail/([^/?]+)"") &amp; """""","""),"""gcejephhbgbhgajnkgjcjnolbpgdghbc"",")</f>
        <v>"gcejephhbgbhgajnkgjcjnolbpgdghbc",</v>
      </c>
    </row>
    <row r="884">
      <c r="A884" s="4" t="s">
        <v>20067</v>
      </c>
      <c r="B884" s="4" t="s">
        <v>1767</v>
      </c>
      <c r="C884" s="16" t="str">
        <f>IFERROR(__xludf.DUMMYFUNCTION(""""""""" &amp; REGEXEXTRACT(B884, ""/detail/([^/?]+)"") &amp; """""","""),"""gdcfkpenohoihodlddbcgpdjhmdjepnb"",")</f>
        <v>"gdcfkpenohoihodlddbcgpdjhmdjepnb",</v>
      </c>
    </row>
    <row r="885">
      <c r="A885" s="4" t="s">
        <v>20068</v>
      </c>
      <c r="B885" s="4" t="s">
        <v>1769</v>
      </c>
      <c r="C885" s="16" t="str">
        <f>IFERROR(__xludf.DUMMYFUNCTION(""""""""" &amp; REGEXEXTRACT(B885, ""/detail/([^/?]+)"") &amp; """""","""),"""gdjfanbphogooppaefebaaoohdcigpoi"",")</f>
        <v>"gdjfanbphogooppaefebaaoohdcigpoi",</v>
      </c>
    </row>
    <row r="886">
      <c r="A886" s="4" t="s">
        <v>20069</v>
      </c>
      <c r="B886" s="4" t="s">
        <v>1771</v>
      </c>
      <c r="C886" s="16" t="str">
        <f>IFERROR(__xludf.DUMMYFUNCTION(""""""""" &amp; REGEXEXTRACT(B886, ""/detail/([^/?]+)"") &amp; """""","""),"""gdpgagmlpgilibfadpifdmpfopknkanf"",")</f>
        <v>"gdpgagmlpgilibfadpifdmpfopknkanf",</v>
      </c>
    </row>
    <row r="887">
      <c r="A887" s="4" t="s">
        <v>20070</v>
      </c>
      <c r="B887" s="4" t="s">
        <v>1773</v>
      </c>
      <c r="C887" s="16" t="str">
        <f>IFERROR(__xludf.DUMMYFUNCTION(""""""""" &amp; REGEXEXTRACT(B887, ""/detail/([^/?]+)"") &amp; """""","""),"""gebhifiddmaaeecbaiemfpejghjdjmhc"",")</f>
        <v>"gebhifiddmaaeecbaiemfpejghjdjmhc",</v>
      </c>
    </row>
    <row r="888">
      <c r="A888" s="4" t="s">
        <v>20071</v>
      </c>
      <c r="B888" s="4" t="s">
        <v>1775</v>
      </c>
      <c r="C888" s="16" t="str">
        <f>IFERROR(__xludf.DUMMYFUNCTION(""""""""" &amp; REGEXEXTRACT(B888, ""/detail/([^/?]+)"") &amp; """""","""),"""gefaihkenmchjmcpcbpdijpoknfjpbfe"",")</f>
        <v>"gefaihkenmchjmcpcbpdijpoknfjpbfe",</v>
      </c>
    </row>
    <row r="889">
      <c r="A889" s="4" t="s">
        <v>20072</v>
      </c>
      <c r="B889" s="4" t="s">
        <v>1777</v>
      </c>
      <c r="C889" s="16" t="str">
        <f>IFERROR(__xludf.DUMMYFUNCTION(""""""""" &amp; REGEXEXTRACT(B889, ""/detail/([^/?]+)"") &amp; """""","""),"""gegfpbhjnhegdnjdkghhnneaocdbbhjp"",")</f>
        <v>"gegfpbhjnhegdnjdkghhnneaocdbbhjp",</v>
      </c>
    </row>
    <row r="890">
      <c r="A890" s="4" t="s">
        <v>20073</v>
      </c>
      <c r="B890" s="4" t="s">
        <v>1779</v>
      </c>
      <c r="C890" s="16" t="str">
        <f>IFERROR(__xludf.DUMMYFUNCTION(""""""""" &amp; REGEXEXTRACT(B890, ""/detail/([^/?]+)"") &amp; """""","""),"""ghhapdfndmlhligpkofeppifkgddkonj"",")</f>
        <v>"ghhapdfndmlhligpkofeppifkgddkonj",</v>
      </c>
    </row>
    <row r="891">
      <c r="A891" s="4" t="s">
        <v>20074</v>
      </c>
      <c r="B891" s="4" t="s">
        <v>1781</v>
      </c>
      <c r="C891" s="16" t="str">
        <f>IFERROR(__xludf.DUMMYFUNCTION(""""""""" &amp; REGEXEXTRACT(B891, ""/detail/([^/?]+)"") &amp; """""","""),"""gijhpnmjcpbddpedmmdihijogkkejfgj"",")</f>
        <v>"gijhpnmjcpbddpedmmdihijogkkejfgj",</v>
      </c>
    </row>
    <row r="892">
      <c r="A892" s="4" t="s">
        <v>20075</v>
      </c>
      <c r="B892" s="4" t="s">
        <v>1783</v>
      </c>
      <c r="C892" s="16" t="str">
        <f>IFERROR(__xludf.DUMMYFUNCTION(""""""""" &amp; REGEXEXTRACT(B892, ""/detail/([^/?]+)"") &amp; """""","""),"""gjcmklpilmpfhfjpebhnapnglcppdbic"",")</f>
        <v>"gjcmklpilmpfhfjpebhnapnglcppdbic",</v>
      </c>
    </row>
    <row r="893">
      <c r="A893" s="4" t="s">
        <v>20076</v>
      </c>
      <c r="B893" s="4" t="s">
        <v>1785</v>
      </c>
      <c r="C893" s="16" t="str">
        <f>IFERROR(__xludf.DUMMYFUNCTION(""""""""" &amp; REGEXEXTRACT(B893, ""/detail/([^/?]+)"") &amp; """""","""),"""gklhnpfkcfpkjcihhjbgmhgkcajamlmd"",")</f>
        <v>"gklhnpfkcfpkjcihhjbgmhgkcajamlmd",</v>
      </c>
    </row>
    <row r="894">
      <c r="A894" s="4" t="s">
        <v>20077</v>
      </c>
      <c r="B894" s="4" t="s">
        <v>1787</v>
      </c>
      <c r="C894" s="16" t="str">
        <f>IFERROR(__xludf.DUMMYFUNCTION(""""""""" &amp; REGEXEXTRACT(B894, ""/detail/([^/?]+)"") &amp; """""","""),"""glifngepkcmfolnojchcfiinmjgeablm"",")</f>
        <v>"glifngepkcmfolnojchcfiinmjgeablm",</v>
      </c>
    </row>
    <row r="895">
      <c r="A895" s="4" t="s">
        <v>20078</v>
      </c>
      <c r="B895" s="4" t="s">
        <v>1789</v>
      </c>
      <c r="C895" s="16" t="str">
        <f>IFERROR(__xludf.DUMMYFUNCTION(""""""""" &amp; REGEXEXTRACT(B895, ""/detail/([^/?]+)"") &amp; """""","""),"""glkfpmcniebkbeakjdpobddpjghbapec"",")</f>
        <v>"glkfpmcniebkbeakjdpobddpjghbapec",</v>
      </c>
    </row>
    <row r="896">
      <c r="A896" s="4" t="s">
        <v>20079</v>
      </c>
      <c r="B896" s="4" t="s">
        <v>1791</v>
      </c>
      <c r="C896" s="16" t="str">
        <f>IFERROR(__xludf.DUMMYFUNCTION(""""""""" &amp; REGEXEXTRACT(B896, ""/detail/([^/?]+)"") &amp; """""","""),"""gmaddeabdjpmjkghhhhfdkeemfcnknpl"",")</f>
        <v>"gmaddeabdjpmjkghhhhfdkeemfcnknpl",</v>
      </c>
    </row>
    <row r="897">
      <c r="A897" s="4" t="s">
        <v>20080</v>
      </c>
      <c r="B897" s="4" t="s">
        <v>1793</v>
      </c>
      <c r="C897" s="16" t="str">
        <f>IFERROR(__xludf.DUMMYFUNCTION(""""""""" &amp; REGEXEXTRACT(B897, ""/detail/([^/?]+)"") &amp; """""","""),"""gnknjnebjldmkpmlhjipalimhjofpgho"",")</f>
        <v>"gnknjnebjldmkpmlhjipalimhjofpgho",</v>
      </c>
    </row>
    <row r="898">
      <c r="A898" s="4" t="s">
        <v>20081</v>
      </c>
      <c r="B898" s="4" t="s">
        <v>1795</v>
      </c>
      <c r="C898" s="16" t="str">
        <f>IFERROR(__xludf.DUMMYFUNCTION(""""""""" &amp; REGEXEXTRACT(B898, ""/detail/([^/?]+)"") &amp; """""","""),"""gnmdbogfankgjepgglmmfmbnimcmcjle"",")</f>
        <v>"gnmdbogfankgjepgglmmfmbnimcmcjle",</v>
      </c>
    </row>
    <row r="899">
      <c r="A899" s="4" t="s">
        <v>20082</v>
      </c>
      <c r="B899" s="4" t="s">
        <v>1797</v>
      </c>
      <c r="C899" s="16" t="str">
        <f>IFERROR(__xludf.DUMMYFUNCTION(""""""""" &amp; REGEXEXTRACT(B899, ""/detail/([^/?]+)"") &amp; """""","""),"""gphjjfiadngdfchoeimfdlpnhhjmddid"",")</f>
        <v>"gphjjfiadngdfchoeimfdlpnhhjmddid",</v>
      </c>
    </row>
    <row r="900">
      <c r="A900" s="4" t="s">
        <v>20083</v>
      </c>
      <c r="B900" s="4" t="s">
        <v>1799</v>
      </c>
      <c r="C900" s="16" t="str">
        <f>IFERROR(__xludf.DUMMYFUNCTION(""""""""" &amp; REGEXEXTRACT(B900, ""/detail/([^/?]+)"") &amp; """""","""),"""habajgjiodkagmalhjchegenflkoogej"",")</f>
        <v>"habajgjiodkagmalhjchegenflkoogej",</v>
      </c>
    </row>
    <row r="901">
      <c r="A901" s="4" t="s">
        <v>20084</v>
      </c>
      <c r="B901" s="4" t="s">
        <v>1801</v>
      </c>
      <c r="C901" s="16" t="str">
        <f>IFERROR(__xludf.DUMMYFUNCTION(""""""""" &amp; REGEXEXTRACT(B901, ""/detail/([^/?]+)"") &amp; """""","""),"""hbphcokhhbpehbnikdfkcedpleahhdao"",")</f>
        <v>"hbphcokhhbpehbnikdfkcedpleahhdao",</v>
      </c>
    </row>
    <row r="902">
      <c r="A902" s="4" t="s">
        <v>20085</v>
      </c>
      <c r="B902" s="4" t="s">
        <v>1803</v>
      </c>
      <c r="C902" s="16" t="str">
        <f>IFERROR(__xludf.DUMMYFUNCTION(""""""""" &amp; REGEXEXTRACT(B902, ""/detail/([^/?]+)"") &amp; """""","""),"""hflnkihcpgldmkepajmpooacmmhglpff"",")</f>
        <v>"hflnkihcpgldmkepajmpooacmmhglpff",</v>
      </c>
    </row>
    <row r="903">
      <c r="A903" s="4" t="s">
        <v>20086</v>
      </c>
      <c r="B903" s="4" t="s">
        <v>1805</v>
      </c>
      <c r="C903" s="16" t="str">
        <f>IFERROR(__xludf.DUMMYFUNCTION(""""""""" &amp; REGEXEXTRACT(B903, ""/detail/([^/?]+)"") &amp; """""","""),"""hhmokalkpaiacdofbcddkogifepbaijk"",")</f>
        <v>"hhmokalkpaiacdofbcddkogifepbaijk",</v>
      </c>
    </row>
    <row r="904">
      <c r="A904" s="4" t="s">
        <v>20087</v>
      </c>
      <c r="B904" s="4" t="s">
        <v>1807</v>
      </c>
      <c r="C904" s="16" t="str">
        <f>IFERROR(__xludf.DUMMYFUNCTION(""""""""" &amp; REGEXEXTRACT(B904, ""/detail/([^/?]+)"") &amp; """""","""),"""hhogfmlhffdddckpokfodepfiimfffjf"",")</f>
        <v>"hhogfmlhffdddckpokfodepfiimfffjf",</v>
      </c>
    </row>
    <row r="905">
      <c r="A905" s="4" t="s">
        <v>20088</v>
      </c>
      <c r="B905" s="4" t="s">
        <v>1809</v>
      </c>
      <c r="C905" s="16" t="str">
        <f>IFERROR(__xludf.DUMMYFUNCTION(""""""""" &amp; REGEXEXTRACT(B905, ""/detail/([^/?]+)"") &amp; """""","""),"""hiponeioelghhaljfflaaflpccedbdem"",")</f>
        <v>"hiponeioelghhaljfflaaflpccedbdem",</v>
      </c>
    </row>
    <row r="906">
      <c r="A906" s="4" t="s">
        <v>20089</v>
      </c>
      <c r="B906" s="4" t="s">
        <v>1811</v>
      </c>
      <c r="C906" s="16" t="str">
        <f>IFERROR(__xludf.DUMMYFUNCTION(""""""""" &amp; REGEXEXTRACT(B906, ""/detail/([^/?]+)"") &amp; """""","""),"""hjgdcecfiohgajnhilmjhebdganpaomk"",")</f>
        <v>"hjgdcecfiohgajnhilmjhebdganpaomk",</v>
      </c>
    </row>
    <row r="907">
      <c r="A907" s="4" t="s">
        <v>20090</v>
      </c>
      <c r="B907" s="4" t="s">
        <v>1813</v>
      </c>
      <c r="C907" s="16" t="str">
        <f>IFERROR(__xludf.DUMMYFUNCTION(""""""""" &amp; REGEXEXTRACT(B907, ""/detail/([^/?]+)"") &amp; """""","""),"""hjhmkoefmbbhepifdpbclgfikpeahkib"",")</f>
        <v>"hjhmkoefmbbhepifdpbclgfikpeahkib",</v>
      </c>
    </row>
    <row r="908">
      <c r="A908" s="4" t="s">
        <v>20091</v>
      </c>
      <c r="B908" s="4" t="s">
        <v>1815</v>
      </c>
      <c r="C908" s="16" t="str">
        <f>IFERROR(__xludf.DUMMYFUNCTION(""""""""" &amp; REGEXEXTRACT(B908, ""/detail/([^/?]+)"") &amp; """""","""),"""hjmchndlheccnejbaamnbdmehmabemen"",")</f>
        <v>"hjmchndlheccnejbaamnbdmehmabemen",</v>
      </c>
    </row>
    <row r="909">
      <c r="A909" s="4" t="s">
        <v>20092</v>
      </c>
      <c r="B909" s="4" t="s">
        <v>1817</v>
      </c>
      <c r="C909" s="16" t="str">
        <f>IFERROR(__xludf.DUMMYFUNCTION(""""""""" &amp; REGEXEXTRACT(B909, ""/detail/([^/?]+)"") &amp; """""","""),"""hjmoaenjknbdehbiaeeijcppnljflkff"",")</f>
        <v>"hjmoaenjknbdehbiaeeijcppnljflkff",</v>
      </c>
    </row>
    <row r="910">
      <c r="A910" s="4" t="s">
        <v>20093</v>
      </c>
      <c r="B910" s="4" t="s">
        <v>1819</v>
      </c>
      <c r="C910" s="16" t="str">
        <f>IFERROR(__xludf.DUMMYFUNCTION(""""""""" &amp; REGEXEXTRACT(B910, ""/detail/([^/?]+)"") &amp; """""","""),"""hkdbcemiphlcpmcphjgfaepgciimcoef"",")</f>
        <v>"hkdbcemiphlcpmcphjgfaepgciimcoef",</v>
      </c>
    </row>
    <row r="911">
      <c r="A911" s="4" t="s">
        <v>20094</v>
      </c>
      <c r="B911" s="4" t="s">
        <v>1821</v>
      </c>
      <c r="C911" s="16" t="str">
        <f>IFERROR(__xludf.DUMMYFUNCTION(""""""""" &amp; REGEXEXTRACT(B911, ""/detail/([^/?]+)"") &amp; """""","""),"""hkihmgfcedmdoaogcjdljeeacngbhinc"",")</f>
        <v>"hkihmgfcedmdoaogcjdljeeacngbhinc",</v>
      </c>
    </row>
    <row r="912">
      <c r="A912" s="4" t="s">
        <v>20095</v>
      </c>
      <c r="B912" s="4" t="s">
        <v>1823</v>
      </c>
      <c r="C912" s="16" t="str">
        <f>IFERROR(__xludf.DUMMYFUNCTION(""""""""" &amp; REGEXEXTRACT(B912, ""/detail/([^/?]+)"") &amp; """""","""),"""hklkdbpicdmlpoiellngedpejjkmapei"",")</f>
        <v>"hklkdbpicdmlpoiellngedpejjkmapei",</v>
      </c>
    </row>
    <row r="913">
      <c r="A913" s="4" t="s">
        <v>20096</v>
      </c>
      <c r="B913" s="4" t="s">
        <v>1825</v>
      </c>
      <c r="C913" s="16" t="str">
        <f>IFERROR(__xludf.DUMMYFUNCTION(""""""""" &amp; REGEXEXTRACT(B913, ""/detail/([^/?]+)"") &amp; """""","""),"""hmgehpjpfhobbnhhelhlggjfcaollidl"",")</f>
        <v>"hmgehpjpfhobbnhhelhlggjfcaollidl",</v>
      </c>
    </row>
    <row r="914">
      <c r="A914" s="4" t="s">
        <v>20097</v>
      </c>
      <c r="B914" s="4" t="s">
        <v>1827</v>
      </c>
      <c r="C914" s="16" t="str">
        <f>IFERROR(__xludf.DUMMYFUNCTION(""""""""" &amp; REGEXEXTRACT(B914, ""/detail/([^/?]+)"") &amp; """""","""),"""hoboanjcaobnfchcnlgjhmnmogmnbipb"",")</f>
        <v>"hoboanjcaobnfchcnlgjhmnmogmnbipb",</v>
      </c>
    </row>
    <row r="915">
      <c r="A915" s="4" t="s">
        <v>20098</v>
      </c>
      <c r="B915" s="4" t="s">
        <v>1829</v>
      </c>
      <c r="C915" s="16" t="str">
        <f>IFERROR(__xludf.DUMMYFUNCTION(""""""""" &amp; REGEXEXTRACT(B915, ""/detail/([^/?]+)"") &amp; """""","""),"""hpkpbfeihkdokkifjnfomcpjldjfpmig"",")</f>
        <v>"hpkpbfeihkdokkifjnfomcpjldjfpmig",</v>
      </c>
    </row>
    <row r="916">
      <c r="A916" s="4" t="s">
        <v>20099</v>
      </c>
      <c r="B916" s="4" t="s">
        <v>1831</v>
      </c>
      <c r="C916" s="16" t="str">
        <f>IFERROR(__xludf.DUMMYFUNCTION(""""""""" &amp; REGEXEXTRACT(B916, ""/detail/([^/?]+)"") &amp; """""","""),"""iaihapeddbkncmmikkpmeggfecohnahg"",")</f>
        <v>"iaihapeddbkncmmikkpmeggfecohnahg",</v>
      </c>
    </row>
    <row r="917">
      <c r="A917" s="4" t="s">
        <v>20100</v>
      </c>
      <c r="B917" s="4" t="s">
        <v>1833</v>
      </c>
      <c r="C917" s="16" t="str">
        <f>IFERROR(__xludf.DUMMYFUNCTION(""""""""" &amp; REGEXEXTRACT(B917, ""/detail/([^/?]+)"") &amp; """""","""),"""iccjgbbjckehppnpajnmplcccjcgbdep"",")</f>
        <v>"iccjgbbjckehppnpajnmplcccjcgbdep",</v>
      </c>
    </row>
    <row r="918">
      <c r="A918" s="4" t="s">
        <v>20101</v>
      </c>
      <c r="B918" s="4" t="s">
        <v>1835</v>
      </c>
      <c r="C918" s="16" t="str">
        <f>IFERROR(__xludf.DUMMYFUNCTION(""""""""" &amp; REGEXEXTRACT(B918, ""/detail/([^/?]+)"") &amp; """""","""),"""icpmbhohkmnbobaibikffolbgmijomjn"",")</f>
        <v>"icpmbhohkmnbobaibikffolbgmijomjn",</v>
      </c>
    </row>
    <row r="919">
      <c r="A919" s="4" t="s">
        <v>20102</v>
      </c>
      <c r="B919" s="4" t="s">
        <v>1837</v>
      </c>
      <c r="C919" s="16" t="str">
        <f>IFERROR(__xludf.DUMMYFUNCTION(""""""""" &amp; REGEXEXTRACT(B919, ""/detail/([^/?]+)"") &amp; """""","""),"""idkjhjggpffolpidfkikidcokdkdaogg"",")</f>
        <v>"idkjhjggpffolpidfkikidcokdkdaogg",</v>
      </c>
    </row>
    <row r="920">
      <c r="A920" s="4" t="s">
        <v>20103</v>
      </c>
      <c r="B920" s="4" t="s">
        <v>1839</v>
      </c>
      <c r="C920" s="16" t="str">
        <f>IFERROR(__xludf.DUMMYFUNCTION(""""""""" &amp; REGEXEXTRACT(B920, ""/detail/([^/?]+)"") &amp; """""","""),"""iejmieihafhhmjpoblelhbpdgchbckil"",")</f>
        <v>"iejmieihafhhmjpoblelhbpdgchbckil",</v>
      </c>
    </row>
    <row r="921">
      <c r="A921" s="4" t="s">
        <v>20104</v>
      </c>
      <c r="B921" s="4" t="s">
        <v>1841</v>
      </c>
      <c r="C921" s="16" t="str">
        <f>IFERROR(__xludf.DUMMYFUNCTION(""""""""" &amp; REGEXEXTRACT(B921, ""/detail/([^/?]+)"") &amp; """""","""),"""igbahmkffbagkepelepkldjiknhbklga"",")</f>
        <v>"igbahmkffbagkepelepkldjiknhbklga",</v>
      </c>
    </row>
    <row r="922">
      <c r="A922" s="4" t="s">
        <v>20105</v>
      </c>
      <c r="B922" s="4" t="s">
        <v>1843</v>
      </c>
      <c r="C922" s="16" t="str">
        <f>IFERROR(__xludf.DUMMYFUNCTION(""""""""" &amp; REGEXEXTRACT(B922, ""/detail/([^/?]+)"") &amp; """""","""),"""igfldmdhjhigiidegkljjhgfpalpdmgd"",")</f>
        <v>"igfldmdhjhigiidegkljjhgfpalpdmgd",</v>
      </c>
    </row>
    <row r="923">
      <c r="A923" s="4" t="s">
        <v>20106</v>
      </c>
      <c r="B923" s="4" t="s">
        <v>1845</v>
      </c>
      <c r="C923" s="16" t="str">
        <f>IFERROR(__xludf.DUMMYFUNCTION(""""""""" &amp; REGEXEXTRACT(B923, ""/detail/([^/?]+)"") &amp; """""","""),"""igiofjnckcagmjgdoaakafngegecjnkj"",")</f>
        <v>"igiofjnckcagmjgdoaakafngegecjnkj",</v>
      </c>
    </row>
    <row r="924">
      <c r="A924" s="4" t="s">
        <v>20107</v>
      </c>
      <c r="B924" s="4" t="s">
        <v>1847</v>
      </c>
      <c r="C924" s="16" t="str">
        <f>IFERROR(__xludf.DUMMYFUNCTION(""""""""" &amp; REGEXEXTRACT(B924, ""/detail/([^/?]+)"") &amp; """""","""),"""iglbakfobmoijpbigmlfklckogbefnlf"",")</f>
        <v>"iglbakfobmoijpbigmlfklckogbefnlf",</v>
      </c>
    </row>
    <row r="925">
      <c r="A925" s="4" t="s">
        <v>20108</v>
      </c>
      <c r="B925" s="4" t="s">
        <v>1849</v>
      </c>
      <c r="C925" s="16" t="str">
        <f>IFERROR(__xludf.DUMMYFUNCTION(""""""""" &amp; REGEXEXTRACT(B925, ""/detail/([^/?]+)"") &amp; """""","""),"""ihlabelanalahcdadbbfggjpdhmkpmpo"",")</f>
        <v>"ihlabelanalahcdadbbfggjpdhmkpmpo",</v>
      </c>
    </row>
    <row r="926">
      <c r="A926" s="4" t="s">
        <v>20109</v>
      </c>
      <c r="B926" s="4" t="s">
        <v>1851</v>
      </c>
      <c r="C926" s="16" t="str">
        <f>IFERROR(__xludf.DUMMYFUNCTION(""""""""" &amp; REGEXEXTRACT(B926, ""/detail/([^/?]+)"") &amp; """""","""),"""iiljidcefnbhbpamageahhblhbbhhopm"",")</f>
        <v>"iiljidcefnbhbpamageahhblhbbhhopm",</v>
      </c>
    </row>
    <row r="927">
      <c r="A927" s="4" t="s">
        <v>20110</v>
      </c>
      <c r="B927" s="4" t="s">
        <v>1853</v>
      </c>
      <c r="C927" s="16" t="str">
        <f>IFERROR(__xludf.DUMMYFUNCTION(""""""""" &amp; REGEXEXTRACT(B927, ""/detail/([^/?]+)"") &amp; """""","""),"""ijaabbaphikljkkcbgpbaljfjpflpeoo"",")</f>
        <v>"ijaabbaphikljkkcbgpbaljfjpflpeoo",</v>
      </c>
    </row>
    <row r="928">
      <c r="A928" s="10" t="s">
        <v>20111</v>
      </c>
      <c r="B928" s="4" t="s">
        <v>1855</v>
      </c>
      <c r="C928" s="16" t="str">
        <f>IFERROR(__xludf.DUMMYFUNCTION(""""""""" &amp; REGEXEXTRACT(B928, ""/detail/([^/?]+)"") &amp; """""","""),"""ijnjlojbdhgpamjiflocklhfeciokfdl"",")</f>
        <v>"ijnjlojbdhgpamjiflocklhfeciokfdl",</v>
      </c>
    </row>
    <row r="929">
      <c r="A929" s="4" t="s">
        <v>20112</v>
      </c>
      <c r="B929" s="4" t="s">
        <v>1856</v>
      </c>
      <c r="C929" s="16" t="str">
        <f>IFERROR(__xludf.DUMMYFUNCTION(""""""""" &amp; REGEXEXTRACT(B929, ""/detail/([^/?]+)"") &amp; """""","""),"""inailacfginaoeoaalimoleipnedabga"",")</f>
        <v>"inailacfginaoeoaalimoleipnedabga",</v>
      </c>
    </row>
    <row r="930">
      <c r="A930" s="4" t="s">
        <v>20113</v>
      </c>
      <c r="B930" s="4" t="s">
        <v>1858</v>
      </c>
      <c r="C930" s="16" t="str">
        <f>IFERROR(__xludf.DUMMYFUNCTION(""""""""" &amp; REGEXEXTRACT(B930, ""/detail/([^/?]+)"") &amp; """""","""),"""ioaplpondpicpdlfoccpaenbdinbdbpi"",")</f>
        <v>"ioaplpondpicpdlfoccpaenbdinbdbpi",</v>
      </c>
    </row>
    <row r="931">
      <c r="A931" s="4" t="s">
        <v>20114</v>
      </c>
      <c r="B931" s="4" t="s">
        <v>1860</v>
      </c>
      <c r="C931" s="16" t="str">
        <f>IFERROR(__xludf.DUMMYFUNCTION(""""""""" &amp; REGEXEXTRACT(B931, ""/detail/([^/?]+)"") &amp; """""","""),"""ioemnmodlmafdkllaclgeombjnmnbima"",")</f>
        <v>"ioemnmodlmafdkllaclgeombjnmnbima",</v>
      </c>
    </row>
    <row r="932">
      <c r="A932" s="4" t="s">
        <v>20115</v>
      </c>
      <c r="B932" s="4" t="s">
        <v>1862</v>
      </c>
      <c r="C932" s="16" t="str">
        <f>IFERROR(__xludf.DUMMYFUNCTION(""""""""" &amp; REGEXEXTRACT(B932, ""/detail/([^/?]+)"") &amp; """""","""),"""ipdjaafajlfiopcppipdinmcjbcpofhd"",")</f>
        <v>"ipdjaafajlfiopcppipdinmcjbcpofhd",</v>
      </c>
    </row>
    <row r="933">
      <c r="A933" s="4" t="s">
        <v>20116</v>
      </c>
      <c r="B933" s="4" t="s">
        <v>1864</v>
      </c>
      <c r="C933" s="16" t="str">
        <f>IFERROR(__xludf.DUMMYFUNCTION(""""""""" &amp; REGEXEXTRACT(B933, ""/detail/([^/?]+)"") &amp; """""","""),"""ipgcdnbeeiajinajlafjcdfhckglcopd"",")</f>
        <v>"ipgcdnbeeiajinajlafjcdfhckglcopd",</v>
      </c>
    </row>
    <row r="934">
      <c r="A934" s="4" t="s">
        <v>20117</v>
      </c>
      <c r="B934" s="4" t="s">
        <v>1866</v>
      </c>
      <c r="C934" s="16" t="str">
        <f>IFERROR(__xludf.DUMMYFUNCTION(""""""""" &amp; REGEXEXTRACT(B934, ""/detail/([^/?]+)"") &amp; """""","""),"""jalmmnpclgbgcphkbnglcnlobgcbhkki"",")</f>
        <v>"jalmmnpclgbgcphkbnglcnlobgcbhkki",</v>
      </c>
    </row>
    <row r="935">
      <c r="A935" s="4" t="s">
        <v>20118</v>
      </c>
      <c r="B935" s="4" t="s">
        <v>1868</v>
      </c>
      <c r="C935" s="16" t="str">
        <f>IFERROR(__xludf.DUMMYFUNCTION(""""""""" &amp; REGEXEXTRACT(B935, ""/detail/([^/?]+)"") &amp; """""","""),"""jcgoegpgdgklohplpnopagfbipaaddcl"",")</f>
        <v>"jcgoegpgdgklohplpnopagfbipaaddcl",</v>
      </c>
    </row>
    <row r="936">
      <c r="A936" s="4" t="s">
        <v>20119</v>
      </c>
      <c r="B936" s="4" t="s">
        <v>1870</v>
      </c>
      <c r="C936" s="16" t="str">
        <f>IFERROR(__xludf.DUMMYFUNCTION(""""""""" &amp; REGEXEXTRACT(B936, ""/detail/([^/?]+)"") &amp; """""","""),"""jcidaaakdmdpepcgdgjklecfhebbmjjk"",")</f>
        <v>"jcidaaakdmdpepcgdgjklecfhebbmjjk",</v>
      </c>
    </row>
    <row r="937">
      <c r="A937" s="4" t="s">
        <v>20120</v>
      </c>
      <c r="B937" s="4" t="s">
        <v>1872</v>
      </c>
      <c r="C937" s="16" t="str">
        <f>IFERROR(__xludf.DUMMYFUNCTION(""""""""" &amp; REGEXEXTRACT(B937, ""/detail/([^/?]+)"") &amp; """""","""),"""jeddnlnhbnhbpojpebckcgongkiijobk"",")</f>
        <v>"jeddnlnhbnhbpojpebckcgongkiijobk",</v>
      </c>
    </row>
    <row r="938">
      <c r="A938" s="4" t="s">
        <v>20121</v>
      </c>
      <c r="B938" s="4" t="s">
        <v>1874</v>
      </c>
      <c r="C938" s="16" t="str">
        <f>IFERROR(__xludf.DUMMYFUNCTION(""""""""" &amp; REGEXEXTRACT(B938, ""/detail/([^/?]+)"") &amp; """""","""),"""jfanfpmalehkemdiiebjljddhgojhfab"",")</f>
        <v>"jfanfpmalehkemdiiebjljddhgojhfab",</v>
      </c>
    </row>
    <row r="939">
      <c r="A939" s="4" t="s">
        <v>20122</v>
      </c>
      <c r="B939" s="4" t="s">
        <v>1876</v>
      </c>
      <c r="C939" s="16" t="str">
        <f>IFERROR(__xludf.DUMMYFUNCTION(""""""""" &amp; REGEXEXTRACT(B939, ""/detail/([^/?]+)"") &amp; """""","""),"""jfeiiafdlajdfijkagdncomkjjpadogg"",")</f>
        <v>"jfeiiafdlajdfijkagdncomkjjpadogg",</v>
      </c>
    </row>
    <row r="940">
      <c r="A940" s="4" t="s">
        <v>20123</v>
      </c>
      <c r="B940" s="4" t="s">
        <v>1878</v>
      </c>
      <c r="C940" s="16" t="str">
        <f>IFERROR(__xludf.DUMMYFUNCTION(""""""""" &amp; REGEXEXTRACT(B940, ""/detail/([^/?]+)"") &amp; """""","""),"""jfnifeihccihocjbfcfhicmmgpjicaec"",")</f>
        <v>"jfnifeihccihocjbfcfhicmmgpjicaec",</v>
      </c>
    </row>
    <row r="941">
      <c r="A941" s="4" t="s">
        <v>20124</v>
      </c>
      <c r="B941" s="4" t="s">
        <v>1880</v>
      </c>
      <c r="C941" s="16" t="str">
        <f>IFERROR(__xludf.DUMMYFUNCTION(""""""""" &amp; REGEXEXTRACT(B941, ""/detail/([^/?]+)"") &amp; """""","""),"""jhlbghechidndabckcpalkdkdckloceo"",")</f>
        <v>"jhlbghechidndabckcpalkdkdckloceo",</v>
      </c>
    </row>
    <row r="942">
      <c r="A942" s="4" t="s">
        <v>20125</v>
      </c>
      <c r="B942" s="4" t="s">
        <v>1882</v>
      </c>
      <c r="C942" s="16" t="str">
        <f>IFERROR(__xludf.DUMMYFUNCTION(""""""""" &amp; REGEXEXTRACT(B942, ""/detail/([^/?]+)"") &amp; """""","""),"""jimdhomgkpmmhhcegiebdajlkmjgikaf"",")</f>
        <v>"jimdhomgkpmmhhcegiebdajlkmjgikaf",</v>
      </c>
    </row>
    <row r="943">
      <c r="A943" s="4" t="s">
        <v>20126</v>
      </c>
      <c r="B943" s="4" t="s">
        <v>1884</v>
      </c>
      <c r="C943" s="16" t="str">
        <f>IFERROR(__xludf.DUMMYFUNCTION(""""""""" &amp; REGEXEXTRACT(B943, ""/detail/([^/?]+)"") &amp; """""","""),"""jkdogkallbmmdhpdjdpmoejkehfeefnb"",")</f>
        <v>"jkdogkallbmmdhpdjdpmoejkehfeefnb",</v>
      </c>
    </row>
    <row r="944">
      <c r="A944" s="4" t="s">
        <v>20127</v>
      </c>
      <c r="B944" s="4" t="s">
        <v>1886</v>
      </c>
      <c r="C944" s="16" t="str">
        <f>IFERROR(__xludf.DUMMYFUNCTION(""""""""" &amp; REGEXEXTRACT(B944, ""/detail/([^/?]+)"") &amp; """""","""),"""jlmafbaeoofdegohdhinkhilhclaklkp"",")</f>
        <v>"jlmafbaeoofdegohdhinkhilhclaklkp",</v>
      </c>
    </row>
    <row r="945">
      <c r="A945" s="4" t="s">
        <v>20128</v>
      </c>
      <c r="B945" s="4" t="s">
        <v>1888</v>
      </c>
      <c r="C945" s="16" t="str">
        <f>IFERROR(__xludf.DUMMYFUNCTION(""""""""" &amp; REGEXEXTRACT(B945, ""/detail/([^/?]+)"") &amp; """""","""),"""jmgffnfpmjbignenkflohmgagidjcomp"",")</f>
        <v>"jmgffnfpmjbignenkflohmgagidjcomp",</v>
      </c>
    </row>
    <row r="946">
      <c r="A946" s="4" t="s">
        <v>20129</v>
      </c>
      <c r="B946" s="4" t="s">
        <v>1890</v>
      </c>
      <c r="C946" s="16" t="str">
        <f>IFERROR(__xludf.DUMMYFUNCTION(""""""""" &amp; REGEXEXTRACT(B946, ""/detail/([^/?]+)"") &amp; """""","""),"""jnlkjeecojckkigmchmfoigphmgkgbip"",")</f>
        <v>"jnlkjeecojckkigmchmfoigphmgkgbip",</v>
      </c>
    </row>
    <row r="947">
      <c r="A947" s="4" t="s">
        <v>20130</v>
      </c>
      <c r="B947" s="4" t="s">
        <v>1892</v>
      </c>
      <c r="C947" s="16" t="str">
        <f>IFERROR(__xludf.DUMMYFUNCTION(""""""""" &amp; REGEXEXTRACT(B947, ""/detail/([^/?]+)"") &amp; """""","""),"""jocgehpknbbpjlenfoobdlgpppacpfgk"",")</f>
        <v>"jocgehpknbbpjlenfoobdlgpppacpfgk",</v>
      </c>
    </row>
    <row r="948">
      <c r="A948" s="4" t="s">
        <v>20131</v>
      </c>
      <c r="B948" s="4" t="s">
        <v>1894</v>
      </c>
      <c r="C948" s="16" t="str">
        <f>IFERROR(__xludf.DUMMYFUNCTION(""""""""" &amp; REGEXEXTRACT(B948, ""/detail/([^/?]+)"") &amp; """""","""),"""jociimjddimnffomhjjehnfkimddinaa"",")</f>
        <v>"jociimjddimnffomhjjehnfkimddinaa",</v>
      </c>
    </row>
    <row r="949">
      <c r="A949" s="4" t="s">
        <v>20132</v>
      </c>
      <c r="B949" s="4" t="s">
        <v>1896</v>
      </c>
      <c r="C949" s="16" t="str">
        <f>IFERROR(__xludf.DUMMYFUNCTION(""""""""" &amp; REGEXEXTRACT(B949, ""/detail/([^/?]+)"") &amp; """""","""),"""kbbidhfplpegemhlbcfboalcjdmgebap"",")</f>
        <v>"kbbidhfplpegemhlbcfboalcjdmgebap",</v>
      </c>
    </row>
    <row r="950">
      <c r="A950" s="4" t="s">
        <v>20133</v>
      </c>
      <c r="B950" s="4" t="s">
        <v>1898</v>
      </c>
      <c r="C950" s="16" t="str">
        <f>IFERROR(__xludf.DUMMYFUNCTION(""""""""" &amp; REGEXEXTRACT(B950, ""/detail/([^/?]+)"") &amp; """""","""),"""kbcogmlnjaoecibenadekhkeelgdpmnb"",")</f>
        <v>"kbcogmlnjaoecibenadekhkeelgdpmnb",</v>
      </c>
    </row>
    <row r="951">
      <c r="A951" s="4" t="s">
        <v>20134</v>
      </c>
      <c r="B951" s="4" t="s">
        <v>1900</v>
      </c>
      <c r="C951" s="16" t="str">
        <f>IFERROR(__xludf.DUMMYFUNCTION(""""""""" &amp; REGEXEXTRACT(B951, ""/detail/([^/?]+)"") &amp; """""","""),"""kchdfagjljmhgapoonapmfngpadcjkhk"",")</f>
        <v>"kchdfagjljmhgapoonapmfngpadcjkhk",</v>
      </c>
    </row>
    <row r="952">
      <c r="A952" s="4" t="s">
        <v>20135</v>
      </c>
      <c r="B952" s="4" t="s">
        <v>1902</v>
      </c>
      <c r="C952" s="16" t="str">
        <f>IFERROR(__xludf.DUMMYFUNCTION(""""""""" &amp; REGEXEXTRACT(B952, ""/detail/([^/?]+)"") &amp; """""","""),"""kclagiidcihmjfnlfdboggonemfhcklk"",")</f>
        <v>"kclagiidcihmjfnlfdboggonemfhcklk",</v>
      </c>
    </row>
    <row r="953">
      <c r="A953" s="4" t="s">
        <v>20136</v>
      </c>
      <c r="B953" s="4" t="s">
        <v>1904</v>
      </c>
      <c r="C953" s="16" t="str">
        <f>IFERROR(__xludf.DUMMYFUNCTION(""""""""" &amp; REGEXEXTRACT(B953, ""/detail/([^/?]+)"") &amp; """""","""),"""kddpiojgkjnpmgiegglncafdpnigcbij"",")</f>
        <v>"kddpiojgkjnpmgiegglncafdpnigcbij",</v>
      </c>
    </row>
    <row r="954">
      <c r="A954" s="4" t="s">
        <v>20137</v>
      </c>
      <c r="B954" s="4" t="s">
        <v>1906</v>
      </c>
      <c r="C954" s="16" t="str">
        <f>IFERROR(__xludf.DUMMYFUNCTION(""""""""" &amp; REGEXEXTRACT(B954, ""/detail/([^/?]+)"") &amp; """""","""),"""kegnjbncdcliihbemealioapbifiaedg"",")</f>
        <v>"kegnjbncdcliihbemealioapbifiaedg",</v>
      </c>
    </row>
    <row r="955">
      <c r="A955" s="4" t="s">
        <v>20138</v>
      </c>
      <c r="B955" s="4" t="s">
        <v>1908</v>
      </c>
      <c r="C955" s="16" t="str">
        <f>IFERROR(__xludf.DUMMYFUNCTION(""""""""" &amp; REGEXEXTRACT(B955, ""/detail/([^/?]+)"") &amp; """""","""),"""kglfobkcdlefpknbcckmlmemggfdnmcd"",")</f>
        <v>"kglfobkcdlefpknbcckmlmemggfdnmcd",</v>
      </c>
    </row>
    <row r="956">
      <c r="A956" s="4" t="s">
        <v>20139</v>
      </c>
      <c r="B956" s="4" t="s">
        <v>1910</v>
      </c>
      <c r="C956" s="16" t="str">
        <f>IFERROR(__xludf.DUMMYFUNCTION(""""""""" &amp; REGEXEXTRACT(B956, ""/detail/([^/?]+)"") &amp; """""","""),"""khoojcphcmgcplkpckkjpdlloooifgec"",")</f>
        <v>"khoojcphcmgcplkpckkjpdlloooifgec",</v>
      </c>
    </row>
    <row r="957">
      <c r="A957" s="4" t="s">
        <v>20140</v>
      </c>
      <c r="B957" s="4" t="s">
        <v>1912</v>
      </c>
      <c r="C957" s="16" t="str">
        <f>IFERROR(__xludf.DUMMYFUNCTION(""""""""" &amp; REGEXEXTRACT(B957, ""/detail/([^/?]+)"") &amp; """""","""),"""kmillccnmojidmkhhjngjlalnbhpobcl"",")</f>
        <v>"kmillccnmojidmkhhjngjlalnbhpobcl",</v>
      </c>
    </row>
    <row r="958">
      <c r="A958" s="4" t="s">
        <v>20141</v>
      </c>
      <c r="B958" s="4" t="s">
        <v>1914</v>
      </c>
      <c r="C958" s="16" t="str">
        <f>IFERROR(__xludf.DUMMYFUNCTION(""""""""" &amp; REGEXEXTRACT(B958, ""/detail/([^/?]+)"") &amp; """""","""),"""kpfnljnhmfhomajodmlepkcoflmbjiaf"",")</f>
        <v>"kpfnljnhmfhomajodmlepkcoflmbjiaf",</v>
      </c>
    </row>
    <row r="959">
      <c r="A959" s="4" t="s">
        <v>20142</v>
      </c>
      <c r="B959" s="4" t="s">
        <v>1916</v>
      </c>
      <c r="C959" s="16" t="str">
        <f>IFERROR(__xludf.DUMMYFUNCTION(""""""""" &amp; REGEXEXTRACT(B959, ""/detail/([^/?]+)"") &amp; """""","""),"""lcaelgondnfehcambmdhhfokjknhfahc"",")</f>
        <v>"lcaelgondnfehcambmdhhfokjknhfahc",</v>
      </c>
    </row>
    <row r="960">
      <c r="A960" s="4" t="s">
        <v>20143</v>
      </c>
      <c r="B960" s="4" t="s">
        <v>1918</v>
      </c>
      <c r="C960" s="16" t="str">
        <f>IFERROR(__xludf.DUMMYFUNCTION(""""""""" &amp; REGEXEXTRACT(B960, ""/detail/([^/?]+)"") &amp; """""","""),"""lccfnphpgnpeghoffocbacbkohbapinm"",")</f>
        <v>"lccfnphpgnpeghoffocbacbkohbapinm",</v>
      </c>
    </row>
    <row r="961">
      <c r="A961" s="4" t="s">
        <v>20144</v>
      </c>
      <c r="B961" s="4" t="s">
        <v>1920</v>
      </c>
      <c r="C961" s="16" t="str">
        <f>IFERROR(__xludf.DUMMYFUNCTION(""""""""" &amp; REGEXEXTRACT(B961, ""/detail/([^/?]+)"") &amp; """""","""),"""ldjbglicecgnpkpdhpbogkednmmbebec"",")</f>
        <v>"ldjbglicecgnpkpdhpbogkednmmbebec",</v>
      </c>
    </row>
    <row r="962">
      <c r="A962" s="4" t="s">
        <v>20145</v>
      </c>
      <c r="B962" s="4" t="s">
        <v>1922</v>
      </c>
      <c r="C962" s="16" t="str">
        <f>IFERROR(__xludf.DUMMYFUNCTION(""""""""" &amp; REGEXEXTRACT(B962, ""/detail/([^/?]+)"") &amp; """""","""),"""lfhjgihpknekohffabeddfkmoiklonhm"",")</f>
        <v>"lfhjgihpknekohffabeddfkmoiklonhm",</v>
      </c>
    </row>
    <row r="963">
      <c r="A963" s="4" t="s">
        <v>20146</v>
      </c>
      <c r="B963" s="4" t="s">
        <v>1924</v>
      </c>
      <c r="C963" s="16" t="str">
        <f>IFERROR(__xludf.DUMMYFUNCTION(""""""""" &amp; REGEXEXTRACT(B963, ""/detail/([^/?]+)"") &amp; """""","""),"""lflnplggpolkcgknahacafilopgngelc"",")</f>
        <v>"lflnplggpolkcgknahacafilopgngelc",</v>
      </c>
    </row>
    <row r="964">
      <c r="A964" s="4" t="s">
        <v>20147</v>
      </c>
      <c r="B964" s="4" t="s">
        <v>1926</v>
      </c>
      <c r="C964" s="16" t="str">
        <f>IFERROR(__xludf.DUMMYFUNCTION(""""""""" &amp; REGEXEXTRACT(B964, ""/detail/([^/?]+)"") &amp; """""","""),"""lhlckkgdiojkapplglfeomlkjllphilo"",")</f>
        <v>"lhlckkgdiojkapplglfeomlkjllphilo",</v>
      </c>
    </row>
    <row r="965">
      <c r="A965" s="4" t="s">
        <v>20148</v>
      </c>
      <c r="B965" s="4" t="s">
        <v>1928</v>
      </c>
      <c r="C965" s="16" t="str">
        <f>IFERROR(__xludf.DUMMYFUNCTION(""""""""" &amp; REGEXEXTRACT(B965, ""/detail/([^/?]+)"") &amp; """""","""),"""lifkpflabnobkgbjpcmocmgcajlecbcp"",")</f>
        <v>"lifkpflabnobkgbjpcmocmgcajlecbcp",</v>
      </c>
    </row>
    <row r="966">
      <c r="A966" s="4" t="s">
        <v>20149</v>
      </c>
      <c r="B966" s="4" t="s">
        <v>1930</v>
      </c>
      <c r="C966" s="16" t="str">
        <f>IFERROR(__xludf.DUMMYFUNCTION(""""""""" &amp; REGEXEXTRACT(B966, ""/detail/([^/?]+)"") &amp; """""","""),"""lihjlachbdicbhpalgegcgknkbmjhicl"",")</f>
        <v>"lihjlachbdicbhpalgegcgknkbmjhicl",</v>
      </c>
    </row>
    <row r="967">
      <c r="A967" s="4" t="s">
        <v>20150</v>
      </c>
      <c r="B967" s="4" t="s">
        <v>1932</v>
      </c>
      <c r="C967" s="16" t="str">
        <f>IFERROR(__xludf.DUMMYFUNCTION(""""""""" &amp; REGEXEXTRACT(B967, ""/detail/([^/?]+)"") &amp; """""","""),"""ljmkpdhploeaohmnljbbkohmmfkikklj"",")</f>
        <v>"ljmkpdhploeaohmnljbbkohmmfkikklj",</v>
      </c>
    </row>
    <row r="968">
      <c r="A968" s="4" t="s">
        <v>20151</v>
      </c>
      <c r="B968" s="4" t="s">
        <v>1934</v>
      </c>
      <c r="C968" s="16" t="str">
        <f>IFERROR(__xludf.DUMMYFUNCTION(""""""""" &amp; REGEXEXTRACT(B968, ""/detail/([^/?]+)"") &amp; """""","""),"""lkcihiljgncclejgncmkfgdaljifeedk"",")</f>
        <v>"lkcihiljgncclejgncmkfgdaljifeedk",</v>
      </c>
    </row>
    <row r="969">
      <c r="A969" s="4" t="s">
        <v>20152</v>
      </c>
      <c r="B969" s="4" t="s">
        <v>1936</v>
      </c>
      <c r="C969" s="16" t="str">
        <f>IFERROR(__xludf.DUMMYFUNCTION(""""""""" &amp; REGEXEXTRACT(B969, ""/detail/([^/?]+)"") &amp; """""","""),"""lkmjmficaoifggpfapbffkggecbleang"",")</f>
        <v>"lkmjmficaoifggpfapbffkggecbleang",</v>
      </c>
    </row>
    <row r="970">
      <c r="A970" s="4" t="s">
        <v>20153</v>
      </c>
      <c r="B970" s="4" t="s">
        <v>1938</v>
      </c>
      <c r="C970" s="16" t="str">
        <f>IFERROR(__xludf.DUMMYFUNCTION(""""""""" &amp; REGEXEXTRACT(B970, ""/detail/([^/?]+)"") &amp; """""","""),"""lknpoadjjkjcmjhbjpcljdednccbldeb"",")</f>
        <v>"lknpoadjjkjcmjhbjpcljdednccbldeb",</v>
      </c>
    </row>
    <row r="971">
      <c r="A971" s="4" t="s">
        <v>20154</v>
      </c>
      <c r="B971" s="4" t="s">
        <v>1940</v>
      </c>
      <c r="C971" s="16" t="str">
        <f>IFERROR(__xludf.DUMMYFUNCTION(""""""""" &amp; REGEXEXTRACT(B971, ""/detail/([^/?]+)"") &amp; """""","""),"""lmjkddpocmpfpfelefmjeikplccmchaj"",")</f>
        <v>"lmjkddpocmpfpfelefmjeikplccmchaj",</v>
      </c>
    </row>
    <row r="972">
      <c r="A972" s="4" t="s">
        <v>20155</v>
      </c>
      <c r="B972" s="4" t="s">
        <v>1942</v>
      </c>
      <c r="C972" s="16" t="str">
        <f>IFERROR(__xludf.DUMMYFUNCTION(""""""""" &amp; REGEXEXTRACT(B972, ""/detail/([^/?]+)"") &amp; """""","""),"""lomkpheldlbkkfiifcbfifipaofnmnkn"",")</f>
        <v>"lomkpheldlbkkfiifcbfifipaofnmnkn",</v>
      </c>
    </row>
    <row r="973">
      <c r="A973" s="4" t="s">
        <v>20156</v>
      </c>
      <c r="B973" s="4" t="s">
        <v>1944</v>
      </c>
      <c r="C973" s="16" t="str">
        <f>IFERROR(__xludf.DUMMYFUNCTION(""""""""" &amp; REGEXEXTRACT(B973, ""/detail/([^/?]+)"") &amp; """""","""),"""lpgjbchlhnpodjjnemfpfajibnclknam"",")</f>
        <v>"lpgjbchlhnpodjjnemfpfajibnclknam",</v>
      </c>
    </row>
    <row r="974">
      <c r="A974" s="4" t="s">
        <v>20157</v>
      </c>
      <c r="B974" s="4" t="s">
        <v>1946</v>
      </c>
      <c r="C974" s="16" t="str">
        <f>IFERROR(__xludf.DUMMYFUNCTION(""""""""" &amp; REGEXEXTRACT(B974, ""/detail/([^/?]+)"") &amp; """""","""),"""lpmoaclacdaofhlijejogfldmgkdlglj"",")</f>
        <v>"lpmoaclacdaofhlijejogfldmgkdlglj",</v>
      </c>
    </row>
    <row r="975">
      <c r="A975" s="4" t="s">
        <v>20158</v>
      </c>
      <c r="B975" s="4" t="s">
        <v>1948</v>
      </c>
      <c r="C975" s="16" t="str">
        <f>IFERROR(__xludf.DUMMYFUNCTION(""""""""" &amp; REGEXEXTRACT(B975, ""/detail/([^/?]+)"") &amp; """""","""),"""lppjdajkacanlmpbbcdkccjkdbpllajb"",")</f>
        <v>"lppjdajkacanlmpbbcdkccjkdbpllajb",</v>
      </c>
    </row>
    <row r="976">
      <c r="A976" s="4" t="s">
        <v>20159</v>
      </c>
      <c r="B976" s="4" t="s">
        <v>1950</v>
      </c>
      <c r="C976" s="16" t="str">
        <f>IFERROR(__xludf.DUMMYFUNCTION(""""""""" &amp; REGEXEXTRACT(B976, ""/detail/([^/?]+)"") &amp; """""","""),"""maejjihldgmkjlfmgpgoebepjchengka"",")</f>
        <v>"maejjihldgmkjlfmgpgoebepjchengka",</v>
      </c>
    </row>
    <row r="977">
      <c r="A977" s="4" t="s">
        <v>20160</v>
      </c>
      <c r="B977" s="4" t="s">
        <v>1952</v>
      </c>
      <c r="C977" s="16" t="str">
        <f>IFERROR(__xludf.DUMMYFUNCTION(""""""""" &amp; REGEXEXTRACT(B977, ""/detail/([^/?]+)"") &amp; """""","""),"""mafpfjnpmblneioebkpdjlledcopckld"",")</f>
        <v>"mafpfjnpmblneioebkpdjlledcopckld",</v>
      </c>
    </row>
    <row r="978">
      <c r="A978" s="4" t="s">
        <v>20161</v>
      </c>
      <c r="B978" s="4" t="s">
        <v>1954</v>
      </c>
      <c r="C978" s="16" t="str">
        <f>IFERROR(__xludf.DUMMYFUNCTION(""""""""" &amp; REGEXEXTRACT(B978, ""/detail/([^/?]+)"") &amp; """""","""),"""malcldkhojjdohmhhnognefoafofdaek"",")</f>
        <v>"malcldkhojjdohmhhnognefoafofdaek",</v>
      </c>
    </row>
    <row r="979">
      <c r="A979" s="4" t="s">
        <v>20162</v>
      </c>
      <c r="B979" s="4" t="s">
        <v>1956</v>
      </c>
      <c r="C979" s="16" t="str">
        <f>IFERROR(__xludf.DUMMYFUNCTION(""""""""" &amp; REGEXEXTRACT(B979, ""/detail/([^/?]+)"") &amp; """""","""),"""mbfblhpconbgpgmphhlonlcbnmebdeme"",")</f>
        <v>"mbfblhpconbgpgmphhlonlcbnmebdeme",</v>
      </c>
    </row>
    <row r="980">
      <c r="A980" s="4" t="s">
        <v>20163</v>
      </c>
      <c r="B980" s="4" t="s">
        <v>1958</v>
      </c>
      <c r="C980" s="16" t="str">
        <f>IFERROR(__xludf.DUMMYFUNCTION(""""""""" &amp; REGEXEXTRACT(B980, ""/detail/([^/?]+)"") &amp; """""","""),"""mccffpojdcohdkefnbfhfdcklpcagdlc"",")</f>
        <v>"mccffpojdcohdkefnbfhfdcklpcagdlc",</v>
      </c>
    </row>
    <row r="981">
      <c r="A981" s="4" t="s">
        <v>20164</v>
      </c>
      <c r="B981" s="4" t="s">
        <v>1960</v>
      </c>
      <c r="C981" s="16" t="str">
        <f>IFERROR(__xludf.DUMMYFUNCTION(""""""""" &amp; REGEXEXTRACT(B981, ""/detail/([^/?]+)"") &amp; """""","""),"""mcmknapfancdcboaebbfhadibffomkjk"",")</f>
        <v>"mcmknapfancdcboaebbfhadibffomkjk",</v>
      </c>
    </row>
    <row r="982">
      <c r="A982" s="4" t="s">
        <v>20165</v>
      </c>
      <c r="B982" s="4" t="s">
        <v>1962</v>
      </c>
      <c r="C982" s="16" t="str">
        <f>IFERROR(__xludf.DUMMYFUNCTION(""""""""" &amp; REGEXEXTRACT(B982, ""/detail/([^/?]+)"") &amp; """""","""),"""mdnkjehfdplfnomhcbhinllojmfbncfk"",")</f>
        <v>"mdnkjehfdplfnomhcbhinllojmfbncfk",</v>
      </c>
    </row>
    <row r="983">
      <c r="A983" s="4" t="s">
        <v>20166</v>
      </c>
      <c r="B983" s="4" t="s">
        <v>1964</v>
      </c>
      <c r="C983" s="16" t="str">
        <f>IFERROR(__xludf.DUMMYFUNCTION(""""""""" &amp; REGEXEXTRACT(B983, ""/detail/([^/?]+)"") &amp; """""","""),"""mgbhenpklhdajfgdgmaflahjckifacki"",")</f>
        <v>"mgbhenpklhdajfgdgmaflahjckifacki",</v>
      </c>
    </row>
    <row r="984">
      <c r="A984" s="4" t="s">
        <v>20167</v>
      </c>
      <c r="B984" s="4" t="s">
        <v>1966</v>
      </c>
      <c r="C984" s="16" t="str">
        <f>IFERROR(__xludf.DUMMYFUNCTION(""""""""" &amp; REGEXEXTRACT(B984, ""/detail/([^/?]+)"") &amp; """""","""),"""mgjhkhhbkkldiihlajcnlfchfcmhipmn"",")</f>
        <v>"mgjhkhhbkkldiihlajcnlfchfcmhipmn",</v>
      </c>
    </row>
    <row r="985">
      <c r="A985" s="4" t="s">
        <v>20168</v>
      </c>
      <c r="B985" s="4" t="s">
        <v>1968</v>
      </c>
      <c r="C985" s="16" t="str">
        <f>IFERROR(__xludf.DUMMYFUNCTION(""""""""" &amp; REGEXEXTRACT(B985, ""/detail/([^/?]+)"") &amp; """""","""),"""milkbiaeapddfnpenedfgbfdacpbcbam"",")</f>
        <v>"milkbiaeapddfnpenedfgbfdacpbcbam",</v>
      </c>
    </row>
    <row r="986">
      <c r="A986" s="4" t="s">
        <v>20169</v>
      </c>
      <c r="B986" s="4" t="s">
        <v>1970</v>
      </c>
      <c r="C986" s="16" t="str">
        <f>IFERROR(__xludf.DUMMYFUNCTION(""""""""" &amp; REGEXEXTRACT(B986, ""/detail/([^/?]+)"") &amp; """""","""),"""mjcecbpccklceljomllkhilglcdcncbh"",")</f>
        <v>"mjcecbpccklceljomllkhilglcdcncbh",</v>
      </c>
    </row>
    <row r="987">
      <c r="A987" s="4" t="s">
        <v>20170</v>
      </c>
      <c r="B987" s="4" t="s">
        <v>1972</v>
      </c>
      <c r="C987" s="16" t="str">
        <f>IFERROR(__xludf.DUMMYFUNCTION(""""""""" &amp; REGEXEXTRACT(B987, ""/detail/([^/?]+)"") &amp; """""","""),"""mjmdefoccnioblaeicpedekiigfoghbb"",")</f>
        <v>"mjmdefoccnioblaeicpedekiigfoghbb",</v>
      </c>
    </row>
    <row r="988">
      <c r="A988" s="4" t="s">
        <v>20171</v>
      </c>
      <c r="B988" s="4" t="s">
        <v>1974</v>
      </c>
      <c r="C988" s="16" t="str">
        <f>IFERROR(__xludf.DUMMYFUNCTION(""""""""" &amp; REGEXEXTRACT(B988, ""/detail/([^/?]+)"") &amp; """""","""),"""mkgjficalhplaenklhejcbmlkonbakjj"",")</f>
        <v>"mkgjficalhplaenklhejcbmlkonbakjj",</v>
      </c>
    </row>
    <row r="989">
      <c r="A989" s="4" t="s">
        <v>20172</v>
      </c>
      <c r="B989" s="4" t="s">
        <v>1976</v>
      </c>
      <c r="C989" s="16" t="str">
        <f>IFERROR(__xludf.DUMMYFUNCTION(""""""""" &amp; REGEXEXTRACT(B989, ""/detail/([^/?]+)"") &amp; """""","""),"""mlbgnlemejoeocmncpolejmdbimkoiol"",")</f>
        <v>"mlbgnlemejoeocmncpolejmdbimkoiol",</v>
      </c>
    </row>
    <row r="990">
      <c r="A990" s="4" t="s">
        <v>20173</v>
      </c>
      <c r="B990" s="4" t="s">
        <v>1978</v>
      </c>
      <c r="C990" s="16" t="str">
        <f>IFERROR(__xludf.DUMMYFUNCTION(""""""""" &amp; REGEXEXTRACT(B990, ""/detail/([^/?]+)"") &amp; """""","""),"""mmiolkcfamcbpoandjpnefiegkcpeoan"",")</f>
        <v>"mmiolkcfamcbpoandjpnefiegkcpeoan",</v>
      </c>
    </row>
    <row r="991">
      <c r="A991" s="4" t="s">
        <v>20174</v>
      </c>
      <c r="B991" s="4" t="s">
        <v>1980</v>
      </c>
      <c r="C991" s="16" t="str">
        <f>IFERROR(__xludf.DUMMYFUNCTION(""""""""" &amp; REGEXEXTRACT(B991, ""/detail/([^/?]+)"") &amp; """""","""),"""mmjmmaebgpkepeokbpeljabjhbmepodi"",")</f>
        <v>"mmjmmaebgpkepeokbpeljabjhbmepodi",</v>
      </c>
    </row>
    <row r="992">
      <c r="A992" s="4" t="s">
        <v>20175</v>
      </c>
      <c r="B992" s="4" t="s">
        <v>1982</v>
      </c>
      <c r="C992" s="16" t="str">
        <f>IFERROR(__xludf.DUMMYFUNCTION(""""""""" &amp; REGEXEXTRACT(B992, ""/detail/([^/?]+)"") &amp; """""","""),"""mofhjibbjkonpgnejododmahilkbconf"",")</f>
        <v>"mofhjibbjkonpgnejododmahilkbconf",</v>
      </c>
    </row>
    <row r="993">
      <c r="A993" s="4" t="s">
        <v>20176</v>
      </c>
      <c r="B993" s="4" t="s">
        <v>1984</v>
      </c>
      <c r="C993" s="16" t="str">
        <f>IFERROR(__xludf.DUMMYFUNCTION(""""""""" &amp; REGEXEXTRACT(B993, ""/detail/([^/?]+)"") &amp; """""","""),"""moibopkbhjceeedibkbkbchbjnkadmom"",")</f>
        <v>"moibopkbhjceeedibkbkbchbjnkadmom",</v>
      </c>
    </row>
    <row r="994">
      <c r="A994" s="4" t="s">
        <v>20177</v>
      </c>
      <c r="B994" s="4" t="s">
        <v>1986</v>
      </c>
      <c r="C994" s="16" t="str">
        <f>IFERROR(__xludf.DUMMYFUNCTION(""""""""" &amp; REGEXEXTRACT(B994, ""/detail/([^/?]+)"") &amp; """""","""),"""mpfbkohdhhgacfeehcmplcfggmeeajdg"",")</f>
        <v>"mpfbkohdhhgacfeehcmplcfggmeeajdg",</v>
      </c>
    </row>
    <row r="995">
      <c r="A995" s="4" t="s">
        <v>20178</v>
      </c>
      <c r="B995" s="4" t="s">
        <v>1988</v>
      </c>
      <c r="C995" s="16" t="str">
        <f>IFERROR(__xludf.DUMMYFUNCTION(""""""""" &amp; REGEXEXTRACT(B995, ""/detail/([^/?]+)"") &amp; """""","""),"""mpnfndnehgmmonhfcfdnaemdeokofgaf"",")</f>
        <v>"mpnfndnehgmmonhfcfdnaemdeokofgaf",</v>
      </c>
    </row>
    <row r="996">
      <c r="A996" s="4" t="s">
        <v>20179</v>
      </c>
      <c r="B996" s="4" t="s">
        <v>1990</v>
      </c>
      <c r="C996" s="16" t="str">
        <f>IFERROR(__xludf.DUMMYFUNCTION(""""""""" &amp; REGEXEXTRACT(B996, ""/detail/([^/?]+)"") &amp; """""","""),"""mpoakikepagdiphlmfaeifpojdmbnegj"",")</f>
        <v>"mpoakikepagdiphlmfaeifpojdmbnegj",</v>
      </c>
    </row>
    <row r="997">
      <c r="A997" s="4" t="s">
        <v>20180</v>
      </c>
      <c r="B997" s="4" t="s">
        <v>1992</v>
      </c>
      <c r="C997" s="16" t="str">
        <f>IFERROR(__xludf.DUMMYFUNCTION(""""""""" &amp; REGEXEXTRACT(B997, ""/detail/([^/?]+)"") &amp; """""","""),"""mppkgnedeapfejgfimkdoninnofofigk"",")</f>
        <v>"mppkgnedeapfejgfimkdoninnofofigk",</v>
      </c>
    </row>
    <row r="998">
      <c r="A998" s="4" t="s">
        <v>20181</v>
      </c>
      <c r="B998" s="4" t="s">
        <v>1994</v>
      </c>
      <c r="C998" s="16" t="str">
        <f>IFERROR(__xludf.DUMMYFUNCTION(""""""""" &amp; REGEXEXTRACT(B998, ""/detail/([^/?]+)"") &amp; """""","""),"""ncaaipdfhdijmfdfmeoagmogddhkfdec"",")</f>
        <v>"ncaaipdfhdijmfdfmeoagmogddhkfdec",</v>
      </c>
    </row>
    <row r="999">
      <c r="A999" s="4" t="s">
        <v>20182</v>
      </c>
      <c r="B999" s="4" t="s">
        <v>1996</v>
      </c>
      <c r="C999" s="16" t="str">
        <f>IFERROR(__xludf.DUMMYFUNCTION(""""""""" &amp; REGEXEXTRACT(B999, ""/detail/([^/?]+)"") &amp; """""","""),"""ndgnpnpakfcdjmpgmcaknimfgcldechn"",")</f>
        <v>"ndgnpnpakfcdjmpgmcaknimfgcldechn",</v>
      </c>
    </row>
    <row r="1000">
      <c r="A1000" s="4" t="s">
        <v>20183</v>
      </c>
      <c r="B1000" s="4" t="s">
        <v>1998</v>
      </c>
      <c r="C1000" s="16" t="str">
        <f>IFERROR(__xludf.DUMMYFUNCTION(""""""""" &amp; REGEXEXTRACT(B1000, ""/detail/([^/?]+)"") &amp; """""","""),"""ndlalmkdjajlefnlimdbmgdhehblelpl"",")</f>
        <v>"ndlalmkdjajlefnlimdbmgdhehblelpl",</v>
      </c>
    </row>
    <row r="1001">
      <c r="A1001" s="4" t="s">
        <v>20184</v>
      </c>
      <c r="B1001" s="4" t="s">
        <v>2000</v>
      </c>
      <c r="C1001" s="16" t="str">
        <f>IFERROR(__xludf.DUMMYFUNCTION(""""""""" &amp; REGEXEXTRACT(B1001, ""/detail/([^/?]+)"") &amp; """""","""),"""nfiebcmdfpjodedomagjlajcdpnkdopm"",")</f>
        <v>"nfiebcmdfpjodedomagjlajcdpnkdopm",</v>
      </c>
    </row>
    <row r="1002">
      <c r="A1002" s="4" t="s">
        <v>20185</v>
      </c>
      <c r="B1002" s="4" t="s">
        <v>2002</v>
      </c>
      <c r="C1002" s="16" t="str">
        <f>IFERROR(__xludf.DUMMYFUNCTION(""""""""" &amp; REGEXEXTRACT(B1002, ""/detail/([^/?]+)"") &amp; """""","""),"""ngdilonafabhaefomphllifjknaeabne"",")</f>
        <v>"ngdilonafabhaefomphllifjknaeabne",</v>
      </c>
    </row>
    <row r="1003">
      <c r="A1003" s="4" t="s">
        <v>20186</v>
      </c>
      <c r="B1003" s="4" t="s">
        <v>2004</v>
      </c>
      <c r="C1003" s="16" t="str">
        <f>IFERROR(__xludf.DUMMYFUNCTION(""""""""" &amp; REGEXEXTRACT(B1003, ""/detail/([^/?]+)"") &amp; """""","""),"""nhebfnlghmjfcammdgbgfcomeonbfcfn"",")</f>
        <v>"nhebfnlghmjfcammdgbgfcomeonbfcfn",</v>
      </c>
    </row>
    <row r="1004">
      <c r="A1004" s="4" t="s">
        <v>20187</v>
      </c>
      <c r="B1004" s="4" t="s">
        <v>2006</v>
      </c>
      <c r="C1004" s="16" t="str">
        <f>IFERROR(__xludf.DUMMYFUNCTION(""""""""" &amp; REGEXEXTRACT(B1004, ""/detail/([^/?]+)"") &amp; """""","""),"""nikomkkhhpfoeamojhhgpfkpkdlfhfii"",")</f>
        <v>"nikomkkhhpfoeamojhhgpfkpkdlfhfii",</v>
      </c>
    </row>
    <row r="1005">
      <c r="A1005" s="4" t="s">
        <v>20188</v>
      </c>
      <c r="B1005" s="4" t="s">
        <v>2008</v>
      </c>
      <c r="C1005" s="16" t="str">
        <f>IFERROR(__xludf.DUMMYFUNCTION(""""""""" &amp; REGEXEXTRACT(B1005, ""/detail/([^/?]+)"") &amp; """""","""),"""nipplohpekjbcnbdnakkhbceejihphmg"",")</f>
        <v>"nipplohpekjbcnbdnakkhbceejihphmg",</v>
      </c>
    </row>
    <row r="1006">
      <c r="A1006" s="4" t="s">
        <v>20189</v>
      </c>
      <c r="B1006" s="4" t="s">
        <v>2010</v>
      </c>
      <c r="C1006" s="16" t="str">
        <f>IFERROR(__xludf.DUMMYFUNCTION(""""""""" &amp; REGEXEXTRACT(B1006, ""/detail/([^/?]+)"") &amp; """""","""),"""njdfdhgcmkocbgbhcioffdbicglldapd"",")</f>
        <v>"njdfdhgcmkocbgbhcioffdbicglldapd",</v>
      </c>
    </row>
    <row r="1007">
      <c r="A1007" s="4" t="s">
        <v>20190</v>
      </c>
      <c r="B1007" s="4" t="s">
        <v>2012</v>
      </c>
      <c r="C1007" s="16" t="str">
        <f>IFERROR(__xludf.DUMMYFUNCTION(""""""""" &amp; REGEXEXTRACT(B1007, ""/detail/([^/?]+)"") &amp; """""","""),"""njfcnmifhoggcefmkiikjckcgbjnabjp"",")</f>
        <v>"njfcnmifhoggcefmkiikjckcgbjnabjp",</v>
      </c>
    </row>
    <row r="1008">
      <c r="A1008" s="4" t="s">
        <v>20191</v>
      </c>
      <c r="B1008" s="4" t="s">
        <v>2014</v>
      </c>
      <c r="C1008" s="16" t="str">
        <f>IFERROR(__xludf.DUMMYFUNCTION(""""""""" &amp; REGEXEXTRACT(B1008, ""/detail/([^/?]+)"") &amp; """""","""),"""njhehnieenekbompacofnhlljnobgcga"",")</f>
        <v>"njhehnieenekbompacofnhlljnobgcga",</v>
      </c>
    </row>
    <row r="1009">
      <c r="A1009" s="4" t="s">
        <v>20192</v>
      </c>
      <c r="B1009" s="4" t="s">
        <v>2016</v>
      </c>
      <c r="C1009" s="16" t="str">
        <f>IFERROR(__xludf.DUMMYFUNCTION(""""""""" &amp; REGEXEXTRACT(B1009, ""/detail/([^/?]+)"") &amp; """""","""),"""njphjoojdldjpogfhbncccnkldebgbnd"",")</f>
        <v>"njphjoojdldjpogfhbncccnkldebgbnd",</v>
      </c>
    </row>
    <row r="1010">
      <c r="A1010" s="4" t="s">
        <v>20193</v>
      </c>
      <c r="B1010" s="4" t="s">
        <v>2018</v>
      </c>
      <c r="C1010" s="16" t="str">
        <f>IFERROR(__xludf.DUMMYFUNCTION(""""""""" &amp; REGEXEXTRACT(B1010, ""/detail/([^/?]+)"") &amp; """""","""),"""nlaealbpbmpioeidemdfedkfmglobidl"",")</f>
        <v>"nlaealbpbmpioeidemdfedkfmglobidl",</v>
      </c>
    </row>
    <row r="1011">
      <c r="A1011" s="4" t="s">
        <v>20194</v>
      </c>
      <c r="B1011" s="4" t="s">
        <v>2020</v>
      </c>
      <c r="C1011" s="16" t="str">
        <f>IFERROR(__xludf.DUMMYFUNCTION(""""""""" &amp; REGEXEXTRACT(B1011, ""/detail/([^/?]+)"") &amp; """""","""),"""nlimgpifeghlfefnpnajahjkagaedakh"",")</f>
        <v>"nlimgpifeghlfefnpnajahjkagaedakh",</v>
      </c>
    </row>
    <row r="1012">
      <c r="A1012" s="4" t="s">
        <v>20195</v>
      </c>
      <c r="B1012" s="4" t="s">
        <v>2022</v>
      </c>
      <c r="C1012" s="16" t="str">
        <f>IFERROR(__xludf.DUMMYFUNCTION(""""""""" &amp; REGEXEXTRACT(B1012, ""/detail/([^/?]+)"") &amp; """""","""),"""nlmafifddohpicbnipcndobchhcfgalf"",")</f>
        <v>"nlmafifddohpicbnipcndobchhcfgalf",</v>
      </c>
    </row>
    <row r="1013">
      <c r="A1013" s="4" t="s">
        <v>20196</v>
      </c>
      <c r="B1013" s="4" t="s">
        <v>2024</v>
      </c>
      <c r="C1013" s="16" t="str">
        <f>IFERROR(__xludf.DUMMYFUNCTION(""""""""" &amp; REGEXEXTRACT(B1013, ""/detail/([^/?]+)"") &amp; """""","""),"""nmejbbhnolhkmecdmippejfondppbgen"",")</f>
        <v>"nmejbbhnolhkmecdmippejfondppbgen",</v>
      </c>
    </row>
    <row r="1014">
      <c r="A1014" s="4" t="s">
        <v>20197</v>
      </c>
      <c r="B1014" s="4" t="s">
        <v>2026</v>
      </c>
      <c r="C1014" s="16" t="str">
        <f>IFERROR(__xludf.DUMMYFUNCTION(""""""""" &amp; REGEXEXTRACT(B1014, ""/detail/([^/?]+)"") &amp; """""","""),"""nmnnjcmpjlbbobehaikglfgpbjclcoeg"",")</f>
        <v>"nmnnjcmpjlbbobehaikglfgpbjclcoeg",</v>
      </c>
    </row>
    <row r="1015">
      <c r="A1015" s="4" t="s">
        <v>20198</v>
      </c>
      <c r="B1015" s="4" t="s">
        <v>2028</v>
      </c>
      <c r="C1015" s="16" t="str">
        <f>IFERROR(__xludf.DUMMYFUNCTION(""""""""" &amp; REGEXEXTRACT(B1015, ""/detail/([^/?]+)"") &amp; """""","""),"""nobemmencanophcnicjhfhnjiimegjeo"",")</f>
        <v>"nobemmencanophcnicjhfhnjiimegjeo",</v>
      </c>
    </row>
    <row r="1016">
      <c r="A1016" s="4" t="s">
        <v>20199</v>
      </c>
      <c r="B1016" s="4" t="s">
        <v>2030</v>
      </c>
      <c r="C1016" s="16" t="str">
        <f>IFERROR(__xludf.DUMMYFUNCTION(""""""""" &amp; REGEXEXTRACT(B1016, ""/detail/([^/?]+)"") &amp; """""","""),"""nonnkklkpbokmppgochfdamhihaijdin"",")</f>
        <v>"nonnkklkpbokmppgochfdamhihaijdin",</v>
      </c>
    </row>
    <row r="1017">
      <c r="A1017" s="4" t="s">
        <v>20200</v>
      </c>
      <c r="B1017" s="4" t="s">
        <v>2032</v>
      </c>
      <c r="C1017" s="16" t="str">
        <f>IFERROR(__xludf.DUMMYFUNCTION(""""""""" &amp; REGEXEXTRACT(B1017, ""/detail/([^/?]+)"") &amp; """""","""),"""noojmhngiheennhgaffkfboanjpbkpep"",")</f>
        <v>"noojmhngiheennhgaffkfboanjpbkpep",</v>
      </c>
    </row>
    <row r="1018">
      <c r="A1018" s="4" t="s">
        <v>20201</v>
      </c>
      <c r="B1018" s="4" t="s">
        <v>2034</v>
      </c>
      <c r="C1018" s="16" t="str">
        <f>IFERROR(__xludf.DUMMYFUNCTION(""""""""" &amp; REGEXEXTRACT(B1018, ""/detail/([^/?]+)"") &amp; """""","""),"""oaepeijninfcgjdnighjnlgdkkgpnaen"",")</f>
        <v>"oaepeijninfcgjdnighjnlgdkkgpnaen",</v>
      </c>
    </row>
    <row r="1019">
      <c r="A1019" s="4" t="s">
        <v>20202</v>
      </c>
      <c r="B1019" s="4" t="s">
        <v>2036</v>
      </c>
      <c r="C1019" s="16" t="str">
        <f>IFERROR(__xludf.DUMMYFUNCTION(""""""""" &amp; REGEXEXTRACT(B1019, ""/detail/([^/?]+)"") &amp; """""","""),"""oaikandahkibeihnampagmegnpfefhca"",")</f>
        <v>"oaikandahkibeihnampagmegnpfefhca",</v>
      </c>
    </row>
    <row r="1020">
      <c r="A1020" s="4" t="s">
        <v>20203</v>
      </c>
      <c r="B1020" s="4" t="s">
        <v>2038</v>
      </c>
      <c r="C1020" s="16" t="str">
        <f>IFERROR(__xludf.DUMMYFUNCTION(""""""""" &amp; REGEXEXTRACT(B1020, ""/detail/([^/?]+)"") &amp; """""","""),"""oamphgegmigmlgkdnijmeomjenbmkbdg"",")</f>
        <v>"oamphgegmigmlgkdnijmeomjenbmkbdg",</v>
      </c>
    </row>
    <row r="1021">
      <c r="A1021" s="4" t="s">
        <v>20204</v>
      </c>
      <c r="B1021" s="4" t="s">
        <v>2040</v>
      </c>
      <c r="C1021" s="16" t="str">
        <f>IFERROR(__xludf.DUMMYFUNCTION(""""""""" &amp; REGEXEXTRACT(B1021, ""/detail/([^/?]+)"") &amp; """""","""),"""odahhdimpaeigjcdbgcnhemlkejclmmk"",")</f>
        <v>"odahhdimpaeigjcdbgcnhemlkejclmmk",</v>
      </c>
    </row>
    <row r="1022">
      <c r="A1022" s="4" t="s">
        <v>20205</v>
      </c>
      <c r="B1022" s="4" t="s">
        <v>2042</v>
      </c>
      <c r="C1022" s="16" t="str">
        <f>IFERROR(__xludf.DUMMYFUNCTION(""""""""" &amp; REGEXEXTRACT(B1022, ""/detail/([^/?]+)"") &amp; """""","""),"""oeafialjoahjmjobbkpedkdbjeejmcnf"",")</f>
        <v>"oeafialjoahjmjobbkpedkdbjeejmcnf",</v>
      </c>
    </row>
    <row r="1023">
      <c r="A1023" s="4" t="s">
        <v>20206</v>
      </c>
      <c r="B1023" s="4" t="s">
        <v>2044</v>
      </c>
      <c r="C1023" s="16" t="str">
        <f>IFERROR(__xludf.DUMMYFUNCTION(""""""""" &amp; REGEXEXTRACT(B1023, ""/detail/([^/?]+)"") &amp; """""","""),"""oegnpmiddfljlloiklpkeelagaeejfai"",")</f>
        <v>"oegnpmiddfljlloiklpkeelagaeejfai",</v>
      </c>
    </row>
    <row r="1024">
      <c r="A1024" s="4" t="s">
        <v>20207</v>
      </c>
      <c r="B1024" s="4" t="s">
        <v>2046</v>
      </c>
      <c r="C1024" s="16" t="str">
        <f>IFERROR(__xludf.DUMMYFUNCTION(""""""""" &amp; REGEXEXTRACT(B1024, ""/detail/([^/?]+)"") &amp; """""","""),"""ofpamglakelakiehjfhgfcikpponflgi"",")</f>
        <v>"ofpamglakelakiehjfhgfcikpponflgi",</v>
      </c>
    </row>
    <row r="1025">
      <c r="A1025" s="4" t="s">
        <v>20208</v>
      </c>
      <c r="B1025" s="4" t="s">
        <v>2048</v>
      </c>
      <c r="C1025" s="16" t="str">
        <f>IFERROR(__xludf.DUMMYFUNCTION(""""""""" &amp; REGEXEXTRACT(B1025, ""/detail/([^/?]+)"") &amp; """""","""),"""ogddbpbbbnkmipdmjafanjcljlafdcop"",")</f>
        <v>"ogddbpbbbnkmipdmjafanjcljlafdcop",</v>
      </c>
    </row>
    <row r="1026">
      <c r="A1026" s="4" t="s">
        <v>20209</v>
      </c>
      <c r="B1026" s="4" t="s">
        <v>2049</v>
      </c>
      <c r="C1026" s="16" t="str">
        <f>IFERROR(__xludf.DUMMYFUNCTION(""""""""" &amp; REGEXEXTRACT(B1026, ""/detail/([^/?]+)"") &amp; """""","""),"""okkmcikiomamamiehecmghonbhgkdgda"",")</f>
        <v>"okkmcikiomamamiehecmghonbhgkdgda",</v>
      </c>
    </row>
    <row r="1027">
      <c r="A1027" s="4" t="s">
        <v>20210</v>
      </c>
      <c r="B1027" s="4" t="s">
        <v>2051</v>
      </c>
      <c r="C1027" s="16" t="str">
        <f>IFERROR(__xludf.DUMMYFUNCTION(""""""""" &amp; REGEXEXTRACT(B1027, ""/detail/([^/?]+)"") &amp; """""","""),"""okphadhbbjadcifjplhifajfacbkkbod"",")</f>
        <v>"okphadhbbjadcifjplhifajfacbkkbod",</v>
      </c>
    </row>
    <row r="1028">
      <c r="A1028" s="10" t="s">
        <v>20211</v>
      </c>
      <c r="B1028" s="4" t="s">
        <v>2053</v>
      </c>
      <c r="C1028" s="16" t="str">
        <f>IFERROR(__xludf.DUMMYFUNCTION(""""""""" &amp; REGEXEXTRACT(B1028, ""/detail/([^/?]+)"") &amp; """""","""),"""olhdholihhioakdjhfhligfehfjjfeoc"",")</f>
        <v>"olhdholihhioakdjhfhligfehfjjfeoc",</v>
      </c>
    </row>
    <row r="1029">
      <c r="A1029" s="4" t="s">
        <v>20212</v>
      </c>
      <c r="B1029" s="4" t="s">
        <v>2055</v>
      </c>
      <c r="C1029" s="16" t="str">
        <f>IFERROR(__xludf.DUMMYFUNCTION(""""""""" &amp; REGEXEXTRACT(B1029, ""/detail/([^/?]+)"") &amp; """""","""),"""olomkelphccokjjidpagjpihlnemlpng"",")</f>
        <v>"olomkelphccokjjidpagjpihlnemlpng",</v>
      </c>
    </row>
    <row r="1030">
      <c r="A1030" s="4" t="s">
        <v>20213</v>
      </c>
      <c r="B1030" s="4" t="s">
        <v>2057</v>
      </c>
      <c r="C1030" s="16" t="str">
        <f>IFERROR(__xludf.DUMMYFUNCTION(""""""""" &amp; REGEXEXTRACT(B1030, ""/detail/([^/?]+)"") &amp; """""","""),"""onacbfmmdkfldapeocgkemoecilceemm"",")</f>
        <v>"onacbfmmdkfldapeocgkemoecilceemm",</v>
      </c>
    </row>
    <row r="1031">
      <c r="A1031" s="4" t="s">
        <v>20214</v>
      </c>
      <c r="B1031" s="4" t="s">
        <v>2059</v>
      </c>
      <c r="C1031" s="16" t="str">
        <f>IFERROR(__xludf.DUMMYFUNCTION(""""""""" &amp; REGEXEXTRACT(B1031, ""/detail/([^/?]+)"") &amp; """""","""),"""oobijlcdpmmmpgkonmjnpkkbdmnjpeeb"",")</f>
        <v>"oobijlcdpmmmpgkonmjnpkkbdmnjpeeb",</v>
      </c>
    </row>
    <row r="1032">
      <c r="A1032" s="4" t="s">
        <v>20215</v>
      </c>
      <c r="B1032" s="4" t="s">
        <v>2061</v>
      </c>
      <c r="C1032" s="16" t="str">
        <f>IFERROR(__xludf.DUMMYFUNCTION(""""""""" &amp; REGEXEXTRACT(B1032, ""/detail/([^/?]+)"") &amp; """""","""),"""oooelhhaglnggehlocjjmgngfknfclak"",")</f>
        <v>"oooelhhaglnggehlocjjmgngfknfclak",</v>
      </c>
    </row>
    <row r="1033">
      <c r="A1033" s="4" t="s">
        <v>20216</v>
      </c>
      <c r="B1033" s="4" t="s">
        <v>2063</v>
      </c>
      <c r="C1033" s="16" t="str">
        <f>IFERROR(__xludf.DUMMYFUNCTION(""""""""" &amp; REGEXEXTRACT(B1033, ""/detail/([^/?]+)"") &amp; """""","""),"""opheklanmaieaeneebdohfpbjkhcgilk"",")</f>
        <v>"opheklanmaieaeneebdohfpbjkhcgilk",</v>
      </c>
    </row>
    <row r="1034">
      <c r="A1034" s="4" t="s">
        <v>20217</v>
      </c>
      <c r="B1034" s="4" t="s">
        <v>2065</v>
      </c>
      <c r="C1034" s="16" t="str">
        <f>IFERROR(__xludf.DUMMYFUNCTION(""""""""" &amp; REGEXEXTRACT(B1034, ""/detail/([^/?]+)"") &amp; """""","""),"""opokoaglpekkimldnlggpoagmjegichg"",")</f>
        <v>"opokoaglpekkimldnlggpoagmjegichg",</v>
      </c>
    </row>
    <row r="1035">
      <c r="A1035" s="10" t="s">
        <v>20218</v>
      </c>
      <c r="B1035" s="4" t="s">
        <v>2066</v>
      </c>
      <c r="C1035" s="16" t="str">
        <f>IFERROR(__xludf.DUMMYFUNCTION(""""""""" &amp; REGEXEXTRACT(B1035, ""/detail/([^/?]+)"") &amp; """""","""),"""pajiegeliagebegjdhebejdlknciafen"",")</f>
        <v>"pajiegeliagebegjdhebejdlknciafen",</v>
      </c>
    </row>
    <row r="1036">
      <c r="A1036" s="4" t="s">
        <v>20219</v>
      </c>
      <c r="B1036" s="4" t="s">
        <v>2068</v>
      </c>
      <c r="C1036" s="16" t="str">
        <f>IFERROR(__xludf.DUMMYFUNCTION(""""""""" &amp; REGEXEXTRACT(B1036, ""/detail/([^/?]+)"") &amp; """""","""),"""pbfolfhmdiaigbbijmdbkmkgjjkhoili"",")</f>
        <v>"pbfolfhmdiaigbbijmdbkmkgjjkhoili",</v>
      </c>
    </row>
    <row r="1037">
      <c r="A1037" s="4" t="s">
        <v>20220</v>
      </c>
      <c r="B1037" s="4" t="s">
        <v>2069</v>
      </c>
      <c r="C1037" s="16" t="str">
        <f>IFERROR(__xludf.DUMMYFUNCTION(""""""""" &amp; REGEXEXTRACT(B1037, ""/detail/([^/?]+)"") &amp; """""","""),"""pblpfhfcojodgcifojnofommahgbaple"",")</f>
        <v>"pblpfhfcojodgcifojnofommahgbaple",</v>
      </c>
    </row>
    <row r="1038">
      <c r="A1038" s="4" t="s">
        <v>20221</v>
      </c>
      <c r="B1038" s="4" t="s">
        <v>2071</v>
      </c>
      <c r="C1038" s="16" t="str">
        <f>IFERROR(__xludf.DUMMYFUNCTION(""""""""" &amp; REGEXEXTRACT(B1038, ""/detail/([^/?]+)"") &amp; """""","""),"""pbpfchnddjilendkobiabenojlniemoh"",")</f>
        <v>"pbpfchnddjilendkobiabenojlniemoh",</v>
      </c>
    </row>
    <row r="1039">
      <c r="A1039" s="4" t="s">
        <v>20222</v>
      </c>
      <c r="B1039" s="4" t="s">
        <v>2073</v>
      </c>
      <c r="C1039" s="16" t="str">
        <f>IFERROR(__xludf.DUMMYFUNCTION(""""""""" &amp; REGEXEXTRACT(B1039, ""/detail/([^/?]+)"") &amp; """""","""),"""pckkddchhdhkfapanbkcalloijbbjhbd"",")</f>
        <v>"pckkddchhdhkfapanbkcalloijbbjhbd",</v>
      </c>
    </row>
    <row r="1040">
      <c r="A1040" s="4" t="s">
        <v>20223</v>
      </c>
      <c r="B1040" s="4" t="s">
        <v>2075</v>
      </c>
      <c r="C1040" s="16" t="str">
        <f>IFERROR(__xludf.DUMMYFUNCTION(""""""""" &amp; REGEXEXTRACT(B1040, ""/detail/([^/?]+)"") &amp; """""","""),"""pddljdmihkpdfpkgmbhdomeeifpklgnm"",")</f>
        <v>"pddljdmihkpdfpkgmbhdomeeifpklgnm",</v>
      </c>
    </row>
    <row r="1041">
      <c r="A1041" s="4" t="s">
        <v>20224</v>
      </c>
      <c r="B1041" s="4" t="s">
        <v>2077</v>
      </c>
      <c r="C1041" s="16" t="str">
        <f>IFERROR(__xludf.DUMMYFUNCTION(""""""""" &amp; REGEXEXTRACT(B1041, ""/detail/([^/?]+)"") &amp; """""","""),"""pebcgebefnbdkgpkkeelbpbgijmjackb"",")</f>
        <v>"pebcgebefnbdkgpkkeelbpbgijmjackb",</v>
      </c>
    </row>
    <row r="1042">
      <c r="A1042" s="4" t="s">
        <v>20225</v>
      </c>
      <c r="B1042" s="4" t="s">
        <v>2079</v>
      </c>
      <c r="C1042" s="16" t="str">
        <f>IFERROR(__xludf.DUMMYFUNCTION(""""""""" &amp; REGEXEXTRACT(B1042, ""/detail/([^/?]+)"") &amp; """""","""),"""peilgijmhiocdmdeglhiljipigamfbjh"",")</f>
        <v>"peilgijmhiocdmdeglhiljipigamfbjh",</v>
      </c>
    </row>
    <row r="1043">
      <c r="A1043" s="4" t="s">
        <v>20226</v>
      </c>
      <c r="B1043" s="4" t="s">
        <v>2081</v>
      </c>
      <c r="C1043" s="16" t="str">
        <f>IFERROR(__xludf.DUMMYFUNCTION(""""""""" &amp; REGEXEXTRACT(B1043, ""/detail/([^/?]+)"") &amp; """""","""),"""pgabmkcldlelbhcookaealohoeknnapn"",")</f>
        <v>"pgabmkcldlelbhcookaealohoeknnapn",</v>
      </c>
    </row>
    <row r="1044">
      <c r="A1044" s="4" t="s">
        <v>20227</v>
      </c>
      <c r="B1044" s="4" t="s">
        <v>2083</v>
      </c>
      <c r="C1044" s="16" t="str">
        <f>IFERROR(__xludf.DUMMYFUNCTION(""""""""" &amp; REGEXEXTRACT(B1044, ""/detail/([^/?]+)"") &amp; """""","""),"""pglahbfamjiifnafcicdibiiabpakkkb"",")</f>
        <v>"pglahbfamjiifnafcicdibiiabpakkkb",</v>
      </c>
    </row>
    <row r="1045">
      <c r="A1045" s="4" t="s">
        <v>20228</v>
      </c>
      <c r="B1045" s="4" t="s">
        <v>2085</v>
      </c>
      <c r="C1045" s="16" t="str">
        <f>IFERROR(__xludf.DUMMYFUNCTION(""""""""" &amp; REGEXEXTRACT(B1045, ""/detail/([^/?]+)"") &amp; """""","""),"""pgpdaocammeipkkgaeelifgakbhjoiel"",")</f>
        <v>"pgpdaocammeipkkgaeelifgakbhjoiel",</v>
      </c>
    </row>
    <row r="1046">
      <c r="A1046" s="4" t="s">
        <v>20229</v>
      </c>
      <c r="B1046" s="4" t="s">
        <v>2087</v>
      </c>
      <c r="C1046" s="16" t="str">
        <f>IFERROR(__xludf.DUMMYFUNCTION(""""""""" &amp; REGEXEXTRACT(B1046, ""/detail/([^/?]+)"") &amp; """""","""),"""phoidlklenidapnijkabnfdgmadlcmjo"",")</f>
        <v>"phoidlklenidapnijkabnfdgmadlcmjo",</v>
      </c>
    </row>
    <row r="1047">
      <c r="A1047" s="4" t="s">
        <v>20230</v>
      </c>
      <c r="B1047" s="4" t="s">
        <v>2089</v>
      </c>
      <c r="C1047" s="16" t="str">
        <f>IFERROR(__xludf.DUMMYFUNCTION(""""""""" &amp; REGEXEXTRACT(B1047, ""/detail/([^/?]+)"") &amp; """""","""),"""pnhdnpnnffpijjbnhnipkehhibchdeok"",")</f>
        <v>"pnhdnpnnffpijjbnhnipkehhibchdeok",</v>
      </c>
    </row>
    <row r="1048">
      <c r="A1048" s="4" t="s">
        <v>20231</v>
      </c>
      <c r="B1048" s="4" t="s">
        <v>2091</v>
      </c>
      <c r="C1048" s="16" t="str">
        <f>IFERROR(__xludf.DUMMYFUNCTION(""""""""" &amp; REGEXEXTRACT(B1048, ""/detail/([^/?]+)"") &amp; """""","""),"""pofkdbcaeneekbdeclapnijhapjiepfb"",")</f>
        <v>"pofkdbcaeneekbdeclapnijhapjiepfb",</v>
      </c>
    </row>
    <row r="1049">
      <c r="A1049" s="4" t="s">
        <v>20232</v>
      </c>
      <c r="B1049" s="4" t="s">
        <v>2093</v>
      </c>
      <c r="C1049" s="16" t="str">
        <f>IFERROR(__xludf.DUMMYFUNCTION(""""""""" &amp; REGEXEXTRACT(B1049, ""/detail/([^/?]+)"") &amp; """""","""),"""ppcgokfjhdfiinomggddeeaomecakllo"",")</f>
        <v>"ppcgokfjhdfiinomggddeeaomecakllo",</v>
      </c>
    </row>
    <row r="1050">
      <c r="A1050" s="4" t="s">
        <v>20233</v>
      </c>
      <c r="B1050" s="4" t="s">
        <v>2095</v>
      </c>
      <c r="C1050" s="16" t="str">
        <f>IFERROR(__xludf.DUMMYFUNCTION(""""""""" &amp; REGEXEXTRACT(B1050, ""/detail/([^/?]+)"") &amp; """""","""),"""ppmacakdbohpklnhpaecpoohbkapggpo"",")</f>
        <v>"ppmacakdbohpklnhpaecpoohbkapggpo",</v>
      </c>
    </row>
    <row r="1051">
      <c r="A1051" s="4" t="s">
        <v>20234</v>
      </c>
      <c r="B1051" s="4" t="s">
        <v>2099</v>
      </c>
      <c r="C1051" s="16" t="str">
        <f>IFERROR(__xludf.DUMMYFUNCTION(""""""""" &amp; REGEXEXTRACT(B1051, ""/detail/([^/?]+)"") &amp; """""","""),"""akeoohkkkolcipkfkiendbdligilnllo"",")</f>
        <v>"akeoohkkkolcipkfkiendbdligilnllo",</v>
      </c>
    </row>
    <row r="1052">
      <c r="A1052" s="4" t="s">
        <v>20235</v>
      </c>
      <c r="B1052" s="4" t="s">
        <v>2101</v>
      </c>
      <c r="C1052" s="16" t="str">
        <f>IFERROR(__xludf.DUMMYFUNCTION(""""""""" &amp; REGEXEXTRACT(B1052, ""/detail/([^/?]+)"") &amp; """""","""),"""aamfmnhcipnbjjnbfmaoooiohikifefk"",")</f>
        <v>"aamfmnhcipnbjjnbfmaoooiohikifefk",</v>
      </c>
    </row>
    <row r="1053">
      <c r="A1053" s="4" t="s">
        <v>20236</v>
      </c>
      <c r="B1053" s="4" t="s">
        <v>2103</v>
      </c>
      <c r="C1053" s="16" t="str">
        <f>IFERROR(__xludf.DUMMYFUNCTION(""""""""" &amp; REGEXEXTRACT(B1053, ""/detail/([^/?]+)"") &amp; """""","""),"""abfopppplogcojgdcfhhffngkabbhifm"",")</f>
        <v>"abfopppplogcojgdcfhhffngkabbhifm",</v>
      </c>
    </row>
    <row r="1054">
      <c r="A1054" s="4" t="s">
        <v>20237</v>
      </c>
      <c r="B1054" s="4" t="s">
        <v>2105</v>
      </c>
      <c r="C1054" s="16" t="str">
        <f>IFERROR(__xludf.DUMMYFUNCTION(""""""""" &amp; REGEXEXTRACT(B1054, ""/detail/([^/?]+)"") &amp; """""","""),"""abgngoenjiblahhbgpmabiggpdjkcmeg"",")</f>
        <v>"abgngoenjiblahhbgpmabiggpdjkcmeg",</v>
      </c>
    </row>
    <row r="1055">
      <c r="A1055" s="4" t="s">
        <v>20238</v>
      </c>
      <c r="B1055" s="4" t="s">
        <v>2107</v>
      </c>
      <c r="C1055" s="16" t="str">
        <f>IFERROR(__xludf.DUMMYFUNCTION(""""""""" &amp; REGEXEXTRACT(B1055, ""/detail/([^/?]+)"") &amp; """""","""),"""abpbcfijgmlbecbplnfknakoemncanbo"",")</f>
        <v>"abpbcfijgmlbecbplnfknakoemncanbo",</v>
      </c>
    </row>
    <row r="1056">
      <c r="A1056" s="4" t="s">
        <v>20239</v>
      </c>
      <c r="B1056" s="4" t="s">
        <v>2109</v>
      </c>
      <c r="C1056" s="16" t="str">
        <f>IFERROR(__xludf.DUMMYFUNCTION(""""""""" &amp; REGEXEXTRACT(B1056, ""/detail/([^/?]+)"") &amp; """""","""),"""acjdmkdcbbhokaleofmalpcnnkpgphpb"",")</f>
        <v>"acjdmkdcbbhokaleofmalpcnnkpgphpb",</v>
      </c>
    </row>
    <row r="1057">
      <c r="A1057" s="4" t="s">
        <v>20240</v>
      </c>
      <c r="B1057" s="4" t="s">
        <v>2111</v>
      </c>
      <c r="C1057" s="16" t="str">
        <f>IFERROR(__xludf.DUMMYFUNCTION(""""""""" &amp; REGEXEXTRACT(B1057, ""/detail/([^/?]+)"") &amp; """""","""),"""acjlefdefjkldgcimnfkehgbnpjekedo"",")</f>
        <v>"acjlefdefjkldgcimnfkehgbnpjekedo",</v>
      </c>
    </row>
    <row r="1058">
      <c r="A1058" s="4" t="s">
        <v>20241</v>
      </c>
      <c r="B1058" s="4" t="s">
        <v>2113</v>
      </c>
      <c r="C1058" s="16" t="str">
        <f>IFERROR(__xludf.DUMMYFUNCTION(""""""""" &amp; REGEXEXTRACT(B1058, ""/detail/([^/?]+)"") &amp; """""","""),"""acnkplahjeepjhacnmooibhpmdgfilkf"",")</f>
        <v>"acnkplahjeepjhacnmooibhpmdgfilkf",</v>
      </c>
    </row>
    <row r="1059">
      <c r="A1059" s="4" t="s">
        <v>20242</v>
      </c>
      <c r="B1059" s="4" t="s">
        <v>2115</v>
      </c>
      <c r="C1059" s="16" t="str">
        <f>IFERROR(__xludf.DUMMYFUNCTION(""""""""" &amp; REGEXEXTRACT(B1059, ""/detail/([^/?]+)"") &amp; """""","""),"""adbenckfpdnmlhleegopganmonbchdkb"",")</f>
        <v>"adbenckfpdnmlhleegopganmonbchdkb",</v>
      </c>
    </row>
    <row r="1060">
      <c r="A1060" s="4" t="s">
        <v>20243</v>
      </c>
      <c r="B1060" s="4" t="s">
        <v>2117</v>
      </c>
      <c r="C1060" s="16" t="str">
        <f>IFERROR(__xludf.DUMMYFUNCTION(""""""""" &amp; REGEXEXTRACT(B1060, ""/detail/([^/?]+)"") &amp; """""","""),"""adhfhfpebeloakommdgicanmhfbeifnb"",")</f>
        <v>"adhfhfpebeloakommdgicanmhfbeifnb",</v>
      </c>
    </row>
    <row r="1061">
      <c r="A1061" s="4" t="s">
        <v>20244</v>
      </c>
      <c r="B1061" s="4" t="s">
        <v>2119</v>
      </c>
      <c r="C1061" s="16" t="str">
        <f>IFERROR(__xludf.DUMMYFUNCTION(""""""""" &amp; REGEXEXTRACT(B1061, ""/detail/([^/?]+)"") &amp; """""","""),"""adnkagodbfngmdajbbocegjnllfmdaie"",")</f>
        <v>"adnkagodbfngmdajbbocegjnllfmdaie",</v>
      </c>
    </row>
    <row r="1062">
      <c r="A1062" s="4" t="s">
        <v>20245</v>
      </c>
      <c r="B1062" s="4" t="s">
        <v>2121</v>
      </c>
      <c r="C1062" s="16" t="str">
        <f>IFERROR(__xludf.DUMMYFUNCTION(""""""""" &amp; REGEXEXTRACT(B1062, ""/detail/([^/?]+)"") &amp; """""","""),"""aendhplcpcfjlebhcjfiapmoaiekpkba"",")</f>
        <v>"aendhplcpcfjlebhcjfiapmoaiekpkba",</v>
      </c>
    </row>
    <row r="1063">
      <c r="A1063" s="4" t="s">
        <v>20246</v>
      </c>
      <c r="B1063" s="4" t="s">
        <v>2123</v>
      </c>
      <c r="C1063" s="16" t="str">
        <f>IFERROR(__xludf.DUMMYFUNCTION(""""""""" &amp; REGEXEXTRACT(B1063, ""/detail/([^/?]+)"") &amp; """""","""),"""aenmbapdfjdkanhfppdmmdipakgacanp"",")</f>
        <v>"aenmbapdfjdkanhfppdmmdipakgacanp",</v>
      </c>
    </row>
    <row r="1064">
      <c r="A1064" s="4" t="s">
        <v>20247</v>
      </c>
      <c r="B1064" s="4" t="s">
        <v>2125</v>
      </c>
      <c r="C1064" s="16" t="str">
        <f>IFERROR(__xludf.DUMMYFUNCTION(""""""""" &amp; REGEXEXTRACT(B1064, ""/detail/([^/?]+)"") &amp; """""","""),"""afcafnelafcgjinkaeohkalmfececool"",")</f>
        <v>"afcafnelafcgjinkaeohkalmfececool",</v>
      </c>
    </row>
    <row r="1065">
      <c r="A1065" s="4" t="s">
        <v>20248</v>
      </c>
      <c r="B1065" s="4" t="s">
        <v>2127</v>
      </c>
      <c r="C1065" s="16" t="str">
        <f>IFERROR(__xludf.DUMMYFUNCTION(""""""""" &amp; REGEXEXTRACT(B1065, ""/detail/([^/?]+)"") &amp; """""","""),"""afcloemkcifjdjcgonbmnahlkakgpigb"",")</f>
        <v>"afcloemkcifjdjcgonbmnahlkakgpigb",</v>
      </c>
    </row>
    <row r="1066">
      <c r="A1066" s="4" t="s">
        <v>20249</v>
      </c>
      <c r="B1066" s="4" t="s">
        <v>2129</v>
      </c>
      <c r="C1066" s="16" t="str">
        <f>IFERROR(__xludf.DUMMYFUNCTION(""""""""" &amp; REGEXEXTRACT(B1066, ""/detail/([^/?]+)"") &amp; """""","""),"""agchmcconfdfcenopioeilpgjngelefk"",")</f>
        <v>"agchmcconfdfcenopioeilpgjngelefk",</v>
      </c>
    </row>
    <row r="1067">
      <c r="A1067" s="4" t="s">
        <v>20250</v>
      </c>
      <c r="B1067" s="4" t="s">
        <v>2130</v>
      </c>
      <c r="C1067" s="16" t="str">
        <f>IFERROR(__xludf.DUMMYFUNCTION(""""""""" &amp; REGEXEXTRACT(B1067, ""/detail/([^/?]+)"") &amp; """""","""),"""ageghplgcapnfpdhapeemolbmfccclke"",")</f>
        <v>"ageghplgcapnfpdhapeemolbmfccclke",</v>
      </c>
    </row>
    <row r="1068">
      <c r="A1068" s="4" t="s">
        <v>20251</v>
      </c>
      <c r="B1068" s="4" t="s">
        <v>2132</v>
      </c>
      <c r="C1068" s="16" t="str">
        <f>IFERROR(__xludf.DUMMYFUNCTION(""""""""" &amp; REGEXEXTRACT(B1068, ""/detail/([^/?]+)"") &amp; """""","""),"""agglgohcegmeeaccikjfmehncfomccpg"",")</f>
        <v>"agglgohcegmeeaccikjfmehncfomccpg",</v>
      </c>
    </row>
    <row r="1069">
      <c r="A1069" s="4" t="s">
        <v>20252</v>
      </c>
      <c r="B1069" s="4" t="s">
        <v>2134</v>
      </c>
      <c r="C1069" s="16" t="str">
        <f>IFERROR(__xludf.DUMMYFUNCTION(""""""""" &amp; REGEXEXTRACT(B1069, ""/detail/([^/?]+)"") &amp; """""","""),"""agiednhnlghobdgpgfdnbdaflnngmoij"",")</f>
        <v>"agiednhnlghobdgpgfdnbdaflnngmoij",</v>
      </c>
    </row>
    <row r="1070">
      <c r="A1070" s="4" t="s">
        <v>20253</v>
      </c>
      <c r="B1070" s="4" t="s">
        <v>2136</v>
      </c>
      <c r="C1070" s="16" t="str">
        <f>IFERROR(__xludf.DUMMYFUNCTION(""""""""" &amp; REGEXEXTRACT(B1070, ""/detail/([^/?]+)"") &amp; """""","""),"""agnbniclhlfikoejdpdhkbaabginadlf"",")</f>
        <v>"agnbniclhlfikoejdpdhkbaabginadlf",</v>
      </c>
    </row>
    <row r="1071">
      <c r="A1071" s="4" t="s">
        <v>20254</v>
      </c>
      <c r="B1071" s="4" t="s">
        <v>2138</v>
      </c>
      <c r="C1071" s="16" t="str">
        <f>IFERROR(__xludf.DUMMYFUNCTION(""""""""" &amp; REGEXEXTRACT(B1071, ""/detail/([^/?]+)"") &amp; """""","""),"""agnoocojkneiphkobpcfoaenhpjnmifb"",")</f>
        <v>"agnoocojkneiphkobpcfoaenhpjnmifb",</v>
      </c>
    </row>
    <row r="1072">
      <c r="A1072" s="4" t="s">
        <v>20255</v>
      </c>
      <c r="B1072" s="4" t="s">
        <v>2140</v>
      </c>
      <c r="C1072" s="16" t="str">
        <f>IFERROR(__xludf.DUMMYFUNCTION(""""""""" &amp; REGEXEXTRACT(B1072, ""/detail/([^/?]+)"") &amp; """""","""),"""agoljmemkbciolpigpabjfkagboolkcj"",")</f>
        <v>"agoljmemkbciolpigpabjfkagboolkcj",</v>
      </c>
    </row>
    <row r="1073">
      <c r="A1073" s="4" t="s">
        <v>20256</v>
      </c>
      <c r="B1073" s="4" t="s">
        <v>2142</v>
      </c>
      <c r="C1073" s="16" t="str">
        <f>IFERROR(__xludf.DUMMYFUNCTION(""""""""" &amp; REGEXEXTRACT(B1073, ""/detail/([^/?]+)"") &amp; """""","""),"""ahbcoeleapdfhmlnjglbiaddohfncace"",")</f>
        <v>"ahbcoeleapdfhmlnjglbiaddohfncace",</v>
      </c>
    </row>
    <row r="1074">
      <c r="A1074" s="4" t="s">
        <v>20257</v>
      </c>
      <c r="B1074" s="4" t="s">
        <v>2144</v>
      </c>
      <c r="C1074" s="16" t="str">
        <f>IFERROR(__xludf.DUMMYFUNCTION(""""""""" &amp; REGEXEXTRACT(B1074, ""/detail/([^/?]+)"") &amp; """""","""),"""ahcjlglemcmnjpnkeahidjenglphjnam"",")</f>
        <v>"ahcjlglemcmnjpnkeahidjenglphjnam",</v>
      </c>
    </row>
    <row r="1075">
      <c r="A1075" s="4" t="s">
        <v>20258</v>
      </c>
      <c r="B1075" s="4" t="s">
        <v>2146</v>
      </c>
      <c r="C1075" s="16" t="str">
        <f>IFERROR(__xludf.DUMMYFUNCTION(""""""""" &amp; REGEXEXTRACT(B1075, ""/detail/([^/?]+)"") &amp; """""","""),"""ahcoedgggbhcdgmhhhhliafnbcifmdln"",")</f>
        <v>"ahcoedgggbhcdgmhhhhliafnbcifmdln",</v>
      </c>
    </row>
    <row r="1076">
      <c r="A1076" s="4" t="s">
        <v>20259</v>
      </c>
      <c r="B1076" s="4" t="s">
        <v>2148</v>
      </c>
      <c r="C1076" s="16" t="str">
        <f>IFERROR(__xludf.DUMMYFUNCTION(""""""""" &amp; REGEXEXTRACT(B1076, ""/detail/([^/?]+)"") &amp; """""","""),"""ahgbiciilcpclcekhegbhofljoolnfei"",")</f>
        <v>"ahgbiciilcpclcekhegbhofljoolnfei",</v>
      </c>
    </row>
    <row r="1077">
      <c r="A1077" s="4" t="s">
        <v>20260</v>
      </c>
      <c r="B1077" s="4" t="s">
        <v>2150</v>
      </c>
      <c r="C1077" s="16" t="str">
        <f>IFERROR(__xludf.DUMMYFUNCTION(""""""""" &amp; REGEXEXTRACT(B1077, ""/detail/([^/?]+)"") &amp; """""","""),"""ahjnfakocpfoocnncbgmondnnnlfjide"",")</f>
        <v>"ahjnfakocpfoocnncbgmondnnnlfjide",</v>
      </c>
    </row>
    <row r="1078">
      <c r="A1078" s="4" t="s">
        <v>20261</v>
      </c>
      <c r="B1078" s="4" t="s">
        <v>2152</v>
      </c>
      <c r="C1078" s="16" t="str">
        <f>IFERROR(__xludf.DUMMYFUNCTION(""""""""" &amp; REGEXEXTRACT(B1078, ""/detail/([^/?]+)"") &amp; """""","""),"""ahlhlpmldjfennoppdkhpnljgihpnnpj"",")</f>
        <v>"ahlhlpmldjfennoppdkhpnljgihpnnpj",</v>
      </c>
    </row>
    <row r="1079">
      <c r="A1079" s="4" t="s">
        <v>20262</v>
      </c>
      <c r="B1079" s="4" t="s">
        <v>2154</v>
      </c>
      <c r="C1079" s="16" t="str">
        <f>IFERROR(__xludf.DUMMYFUNCTION(""""""""" &amp; REGEXEXTRACT(B1079, ""/detail/([^/?]+)"") &amp; """""","""),"""aiecbkandfgpphpdilbaaagnampmdgpd"",")</f>
        <v>"aiecbkandfgpphpdilbaaagnampmdgpd",</v>
      </c>
    </row>
    <row r="1080">
      <c r="A1080" s="4" t="s">
        <v>20263</v>
      </c>
      <c r="B1080" s="4" t="s">
        <v>2156</v>
      </c>
      <c r="C1080" s="16" t="str">
        <f>IFERROR(__xludf.DUMMYFUNCTION(""""""""" &amp; REGEXEXTRACT(B1080, ""/detail/([^/?]+)"") &amp; """""","""),"""aiehidpclglccialeifedhajckcpedom"",")</f>
        <v>"aiehidpclglccialeifedhajckcpedom",</v>
      </c>
    </row>
    <row r="1081">
      <c r="A1081" s="4" t="s">
        <v>20264</v>
      </c>
      <c r="B1081" s="4" t="s">
        <v>2158</v>
      </c>
      <c r="C1081" s="16" t="str">
        <f>IFERROR(__xludf.DUMMYFUNCTION(""""""""" &amp; REGEXEXTRACT(B1081, ""/detail/([^/?]+)"") &amp; """""","""),"""aijcbedoijmgnlmjeegjaglmepbmpkpi"",")</f>
        <v>"aijcbedoijmgnlmjeegjaglmepbmpkpi",</v>
      </c>
    </row>
    <row r="1082">
      <c r="A1082" s="4" t="s">
        <v>20265</v>
      </c>
      <c r="B1082" s="4" t="s">
        <v>2160</v>
      </c>
      <c r="C1082" s="16" t="str">
        <f>IFERROR(__xludf.DUMMYFUNCTION(""""""""" &amp; REGEXEXTRACT(B1082, ""/detail/([^/?]+)"") &amp; """""","""),"""ailhpmlejogfdcpoflidmobgkgdemaog"",")</f>
        <v>"ailhpmlejogfdcpoflidmobgkgdemaog",</v>
      </c>
    </row>
    <row r="1083">
      <c r="A1083" s="4" t="s">
        <v>20266</v>
      </c>
      <c r="B1083" s="4" t="s">
        <v>2162</v>
      </c>
      <c r="C1083" s="16" t="str">
        <f>IFERROR(__xludf.DUMMYFUNCTION(""""""""" &amp; REGEXEXTRACT(B1083, ""/detail/([^/?]+)"") &amp; """""","""),"""ajeapkolnhblcfaapiifkeknkknpliia"",")</f>
        <v>"ajeapkolnhblcfaapiifkeknkknpliia",</v>
      </c>
    </row>
    <row r="1084">
      <c r="A1084" s="4" t="s">
        <v>20267</v>
      </c>
      <c r="B1084" s="4" t="s">
        <v>2164</v>
      </c>
      <c r="C1084" s="16" t="str">
        <f>IFERROR(__xludf.DUMMYFUNCTION(""""""""" &amp; REGEXEXTRACT(B1084, ""/detail/([^/?]+)"") &amp; """""","""),"""ajencmdaamfnkgilhpgkepfhfgjfplnn"",")</f>
        <v>"ajencmdaamfnkgilhpgkepfhfgjfplnn",</v>
      </c>
    </row>
    <row r="1085">
      <c r="A1085" s="4" t="s">
        <v>20268</v>
      </c>
      <c r="B1085" s="4" t="s">
        <v>2166</v>
      </c>
      <c r="C1085" s="16" t="str">
        <f>IFERROR(__xludf.DUMMYFUNCTION(""""""""" &amp; REGEXEXTRACT(B1085, ""/detail/([^/?]+)"") &amp; """""","""),"""akcejfbfkkjnghlfngighgncolfaghco"",")</f>
        <v>"akcejfbfkkjnghlfngighgncolfaghco",</v>
      </c>
    </row>
    <row r="1086">
      <c r="A1086" s="4" t="s">
        <v>20269</v>
      </c>
      <c r="B1086" s="4" t="s">
        <v>2168</v>
      </c>
      <c r="C1086" s="16" t="str">
        <f>IFERROR(__xludf.DUMMYFUNCTION(""""""""" &amp; REGEXEXTRACT(B1086, ""/detail/([^/?]+)"") &amp; """""","""),"""akhomcacccpndpgckgpkmcijkimphhmk"",")</f>
        <v>"akhomcacccpndpgckgpkmcijkimphhmk",</v>
      </c>
    </row>
    <row r="1087">
      <c r="A1087" s="4" t="s">
        <v>20270</v>
      </c>
      <c r="B1087" s="4" t="s">
        <v>2170</v>
      </c>
      <c r="C1087" s="16" t="str">
        <f>IFERROR(__xludf.DUMMYFUNCTION(""""""""" &amp; REGEXEXTRACT(B1087, ""/detail/([^/?]+)"") &amp; """""","""),"""akmainiinlejjdanmfhkhfkekfolhdai"",")</f>
        <v>"akmainiinlejjdanmfhkhfkekfolhdai",</v>
      </c>
    </row>
    <row r="1088">
      <c r="A1088" s="4" t="s">
        <v>20271</v>
      </c>
      <c r="B1088" s="4" t="s">
        <v>2172</v>
      </c>
      <c r="C1088" s="16" t="str">
        <f>IFERROR(__xludf.DUMMYFUNCTION(""""""""" &amp; REGEXEXTRACT(B1088, ""/detail/([^/?]+)"") &amp; """""","""),"""aknkejhkdngmlbfafnopmkbgfhpecbic"",")</f>
        <v>"aknkejhkdngmlbfafnopmkbgfhpecbic",</v>
      </c>
    </row>
    <row r="1089">
      <c r="A1089" s="4" t="s">
        <v>20272</v>
      </c>
      <c r="B1089" s="4" t="s">
        <v>2174</v>
      </c>
      <c r="C1089" s="16" t="str">
        <f>IFERROR(__xludf.DUMMYFUNCTION(""""""""" &amp; REGEXEXTRACT(B1089, ""/detail/([^/?]+)"") &amp; """""","""),"""alehdleagcgnimdipdmllebddejplpbi"",")</f>
        <v>"alehdleagcgnimdipdmllebddejplpbi",</v>
      </c>
    </row>
    <row r="1090">
      <c r="A1090" s="4" t="s">
        <v>20273</v>
      </c>
      <c r="B1090" s="4" t="s">
        <v>2176</v>
      </c>
      <c r="C1090" s="16" t="str">
        <f>IFERROR(__xludf.DUMMYFUNCTION(""""""""" &amp; REGEXEXTRACT(B1090, ""/detail/([^/?]+)"") &amp; """""","""),"""amlielhlgedcjnbkilihjhoheammcbgm"",")</f>
        <v>"amlielhlgedcjnbkilihjhoheammcbgm",</v>
      </c>
    </row>
    <row r="1091">
      <c r="A1091" s="4" t="s">
        <v>20274</v>
      </c>
      <c r="B1091" s="4" t="s">
        <v>2178</v>
      </c>
      <c r="C1091" s="16" t="str">
        <f>IFERROR(__xludf.DUMMYFUNCTION(""""""""" &amp; REGEXEXTRACT(B1091, ""/detail/([^/?]+)"") &amp; """""","""),"""ananhmnkepfflgfdklgcdpgdngejokkn"",")</f>
        <v>"ananhmnkepfflgfdklgcdpgdngejokkn",</v>
      </c>
    </row>
    <row r="1092">
      <c r="A1092" s="4" t="s">
        <v>20275</v>
      </c>
      <c r="B1092" s="4" t="s">
        <v>2180</v>
      </c>
      <c r="C1092" s="16" t="str">
        <f>IFERROR(__xludf.DUMMYFUNCTION(""""""""" &amp; REGEXEXTRACT(B1092, ""/detail/([^/?]+)"") &amp; """""","""),"""anfhmiaflneaeffhlmbcedfjakdlpleg"",")</f>
        <v>"anfhmiaflneaeffhlmbcedfjakdlpleg",</v>
      </c>
    </row>
    <row r="1093">
      <c r="A1093" s="4" t="s">
        <v>20276</v>
      </c>
      <c r="B1093" s="4" t="s">
        <v>2182</v>
      </c>
      <c r="C1093" s="16" t="str">
        <f>IFERROR(__xludf.DUMMYFUNCTION(""""""""" &amp; REGEXEXTRACT(B1093, ""/detail/([^/?]+)"") &amp; """""","""),"""anljhkoknafhgofbdhoijjojmhhncblo"",")</f>
        <v>"anljhkoknafhgofbdhoijjojmhhncblo",</v>
      </c>
    </row>
    <row r="1094">
      <c r="A1094" s="4" t="s">
        <v>20277</v>
      </c>
      <c r="B1094" s="4" t="s">
        <v>2184</v>
      </c>
      <c r="C1094" s="16" t="str">
        <f>IFERROR(__xludf.DUMMYFUNCTION(""""""""" &amp; REGEXEXTRACT(B1094, ""/detail/([^/?]+)"") &amp; """""","""),"""anlpljppoinmpaedoilhjibjehpjhcob"",")</f>
        <v>"anlpljppoinmpaedoilhjibjehpjhcob",</v>
      </c>
    </row>
    <row r="1095">
      <c r="A1095" s="4" t="s">
        <v>20278</v>
      </c>
      <c r="B1095" s="4" t="s">
        <v>2186</v>
      </c>
      <c r="C1095" s="16" t="str">
        <f>IFERROR(__xludf.DUMMYFUNCTION(""""""""" &amp; REGEXEXTRACT(B1095, ""/detail/([^/?]+)"") &amp; """""","""),"""anoogklhdcmijbahjmigedmpboccgkge"",")</f>
        <v>"anoogklhdcmijbahjmigedmpboccgkge",</v>
      </c>
    </row>
    <row r="1096">
      <c r="A1096" s="4" t="s">
        <v>20279</v>
      </c>
      <c r="B1096" s="4" t="s">
        <v>2188</v>
      </c>
      <c r="C1096" s="16" t="str">
        <f>IFERROR(__xludf.DUMMYFUNCTION(""""""""" &amp; REGEXEXTRACT(B1096, ""/detail/([^/?]+)"") &amp; """""","""),"""aokheaddinafdmjphkjlnachkejgleao"",")</f>
        <v>"aokheaddinafdmjphkjlnachkejgleao",</v>
      </c>
    </row>
    <row r="1097">
      <c r="A1097" s="4" t="s">
        <v>20280</v>
      </c>
      <c r="B1097" s="4" t="s">
        <v>2190</v>
      </c>
      <c r="C1097" s="16" t="str">
        <f>IFERROR(__xludf.DUMMYFUNCTION(""""""""" &amp; REGEXEXTRACT(B1097, ""/detail/([^/?]+)"") &amp; """""","""),"""aonflkdebcjkiimklgpgkclmjohclbbf"",")</f>
        <v>"aonflkdebcjkiimklgpgkclmjohclbbf",</v>
      </c>
    </row>
    <row r="1098">
      <c r="A1098" s="4" t="s">
        <v>20281</v>
      </c>
      <c r="B1098" s="4" t="s">
        <v>2192</v>
      </c>
      <c r="C1098" s="16" t="str">
        <f>IFERROR(__xludf.DUMMYFUNCTION(""""""""" &amp; REGEXEXTRACT(B1098, ""/detail/([^/?]+)"") &amp; """""","""),"""aopjalhdfmoibmpcfgnfakhinbeeohkp"",")</f>
        <v>"aopjalhdfmoibmpcfgnfakhinbeeohkp",</v>
      </c>
    </row>
    <row r="1099">
      <c r="A1099" s="4" t="s">
        <v>20282</v>
      </c>
      <c r="B1099" s="4" t="s">
        <v>2194</v>
      </c>
      <c r="C1099" s="16" t="str">
        <f>IFERROR(__xludf.DUMMYFUNCTION(""""""""" &amp; REGEXEXTRACT(B1099, ""/detail/([^/?]+)"") &amp; """""","""),"""apjappedjeldbandppbcigamkkhoooka"",")</f>
        <v>"apjappedjeldbandppbcigamkkhoooka",</v>
      </c>
    </row>
    <row r="1100">
      <c r="A1100" s="4" t="s">
        <v>20283</v>
      </c>
      <c r="B1100" s="4" t="s">
        <v>2196</v>
      </c>
      <c r="C1100" s="16" t="str">
        <f>IFERROR(__xludf.DUMMYFUNCTION(""""""""" &amp; REGEXEXTRACT(B1100, ""/detail/([^/?]+)"") &amp; """""","""),"""apmlngnhgbnjpajelfkmabhkfapgnoai"",")</f>
        <v>"apmlngnhgbnjpajelfkmabhkfapgnoai",</v>
      </c>
    </row>
    <row r="1101">
      <c r="A1101" s="4" t="s">
        <v>20284</v>
      </c>
      <c r="B1101" s="4" t="s">
        <v>2198</v>
      </c>
      <c r="C1101" s="16" t="str">
        <f>IFERROR(__xludf.DUMMYFUNCTION(""""""""" &amp; REGEXEXTRACT(B1101, ""/detail/([^/?]+)"") &amp; """""","""),"""apnjnepphihnjahpbfjiebcnpgmjnhfp"",")</f>
        <v>"apnjnepphihnjahpbfjiebcnpgmjnhfp",</v>
      </c>
    </row>
    <row r="1102">
      <c r="A1102" s="4" t="s">
        <v>20285</v>
      </c>
      <c r="B1102" s="4" t="s">
        <v>2200</v>
      </c>
      <c r="C1102" s="16" t="str">
        <f>IFERROR(__xludf.DUMMYFUNCTION(""""""""" &amp; REGEXEXTRACT(B1102, ""/detail/([^/?]+)"") &amp; """""","""),"""apnjnioapinblneaedefcnopcjepgkci"",")</f>
        <v>"apnjnioapinblneaedefcnopcjepgkci",</v>
      </c>
    </row>
    <row r="1103">
      <c r="A1103" s="4" t="s">
        <v>20286</v>
      </c>
      <c r="B1103" s="4" t="s">
        <v>2202</v>
      </c>
      <c r="C1103" s="16" t="str">
        <f>IFERROR(__xludf.DUMMYFUNCTION(""""""""" &amp; REGEXEXTRACT(B1103, ""/detail/([^/?]+)"") &amp; """""","""),"""bakhinbceendkcjcelepkjmgabicabnb"",")</f>
        <v>"bakhinbceendkcjcelepkjmgabicabnb",</v>
      </c>
    </row>
    <row r="1104">
      <c r="A1104" s="4" t="s">
        <v>20287</v>
      </c>
      <c r="B1104" s="4" t="s">
        <v>2204</v>
      </c>
      <c r="C1104" s="16" t="str">
        <f>IFERROR(__xludf.DUMMYFUNCTION(""""""""" &amp; REGEXEXTRACT(B1104, ""/detail/([^/?]+)"") &amp; """""","""),"""banggcaohiaanmdkalekjcffjonamlkj"",")</f>
        <v>"banggcaohiaanmdkalekjcffjonamlkj",</v>
      </c>
    </row>
    <row r="1105">
      <c r="A1105" s="4" t="s">
        <v>20288</v>
      </c>
      <c r="B1105" s="4" t="s">
        <v>2206</v>
      </c>
      <c r="C1105" s="16" t="str">
        <f>IFERROR(__xludf.DUMMYFUNCTION(""""""""" &amp; REGEXEXTRACT(B1105, ""/detail/([^/?]+)"") &amp; """""","""),"""bcaffafhaggoecheiojienglkhonafcd"",")</f>
        <v>"bcaffafhaggoecheiojienglkhonafcd",</v>
      </c>
    </row>
    <row r="1106">
      <c r="A1106" s="4" t="s">
        <v>20289</v>
      </c>
      <c r="B1106" s="4" t="s">
        <v>2208</v>
      </c>
      <c r="C1106" s="16" t="str">
        <f>IFERROR(__xludf.DUMMYFUNCTION(""""""""" &amp; REGEXEXTRACT(B1106, ""/detail/([^/?]+)"") &amp; """""","""),"""beiklbdjdmfkgchmiabjejdlpaoicbef"",")</f>
        <v>"beiklbdjdmfkgchmiabjejdlpaoicbef",</v>
      </c>
    </row>
    <row r="1107">
      <c r="A1107" s="4" t="s">
        <v>20290</v>
      </c>
      <c r="B1107" s="4" t="s">
        <v>2210</v>
      </c>
      <c r="C1107" s="16" t="str">
        <f>IFERROR(__xludf.DUMMYFUNCTION(""""""""" &amp; REGEXEXTRACT(B1107, ""/detail/([^/?]+)"") &amp; """""","""),"""bemmkaadpllphjpebfapkojnjnjfkfan"",")</f>
        <v>"bemmkaadpllphjpebfapkojnjnjfkfan",</v>
      </c>
    </row>
    <row r="1108">
      <c r="A1108" s="4" t="s">
        <v>20291</v>
      </c>
      <c r="B1108" s="4" t="s">
        <v>2212</v>
      </c>
      <c r="C1108" s="16" t="str">
        <f>IFERROR(__xludf.DUMMYFUNCTION(""""""""" &amp; REGEXEXTRACT(B1108, ""/detail/([^/?]+)"") &amp; """""","""),"""bfeldahomapdhmnmedanpodjpkfjohen"",")</f>
        <v>"bfeldahomapdhmnmedanpodjpkfjohen",</v>
      </c>
    </row>
    <row r="1109">
      <c r="A1109" s="4" t="s">
        <v>20292</v>
      </c>
      <c r="B1109" s="4" t="s">
        <v>2214</v>
      </c>
      <c r="C1109" s="16" t="str">
        <f>IFERROR(__xludf.DUMMYFUNCTION(""""""""" &amp; REGEXEXTRACT(B1109, ""/detail/([^/?]+)"") &amp; """""","""),"""bfgblailifedppfilabonohepkofbkpm"",")</f>
        <v>"bfgblailifedppfilabonohepkofbkpm",</v>
      </c>
    </row>
    <row r="1110">
      <c r="A1110" s="4" t="s">
        <v>423</v>
      </c>
      <c r="B1110" s="4" t="s">
        <v>2216</v>
      </c>
      <c r="C1110" s="16" t="str">
        <f>IFERROR(__xludf.DUMMYFUNCTION(""""""""" &amp; REGEXEXTRACT(B1110, ""/detail/([^/?]+)"") &amp; """""","""),"""bhcdnkhpbgbkhebemnifijfibpofflga"",")</f>
        <v>"bhcdnkhpbgbkhebemnifijfibpofflga",</v>
      </c>
    </row>
    <row r="1111">
      <c r="A1111" s="4" t="s">
        <v>20293</v>
      </c>
      <c r="B1111" s="4" t="s">
        <v>2218</v>
      </c>
      <c r="C1111" s="16" t="str">
        <f>IFERROR(__xludf.DUMMYFUNCTION(""""""""" &amp; REGEXEXTRACT(B1111, ""/detail/([^/?]+)"") &amp; """""","""),"""bhgkdnnlhmefhnkfilcaaibapeepkfok"",")</f>
        <v>"bhgkdnnlhmefhnkfilcaaibapeepkfok",</v>
      </c>
    </row>
    <row r="1112">
      <c r="A1112" s="4" t="s">
        <v>20294</v>
      </c>
      <c r="B1112" s="4" t="s">
        <v>2220</v>
      </c>
      <c r="C1112" s="16" t="str">
        <f>IFERROR(__xludf.DUMMYFUNCTION(""""""""" &amp; REGEXEXTRACT(B1112, ""/detail/([^/?]+)"") &amp; """""","""),"""bidckpnndigbjhmojikkhmejkfkpgoih"",")</f>
        <v>"bidckpnndigbjhmojikkhmejkfkpgoih",</v>
      </c>
    </row>
    <row r="1113">
      <c r="A1113" s="4" t="s">
        <v>20295</v>
      </c>
      <c r="B1113" s="4" t="s">
        <v>2222</v>
      </c>
      <c r="C1113" s="16" t="str">
        <f>IFERROR(__xludf.DUMMYFUNCTION(""""""""" &amp; REGEXEXTRACT(B1113, ""/detail/([^/?]+)"") &amp; """""","""),"""bifehkofibaamoeaopjglfkddgkijdlh"",")</f>
        <v>"bifehkofibaamoeaopjglfkddgkijdlh",</v>
      </c>
    </row>
    <row r="1114">
      <c r="A1114" s="4" t="s">
        <v>20296</v>
      </c>
      <c r="B1114" s="4" t="s">
        <v>2224</v>
      </c>
      <c r="C1114" s="16" t="str">
        <f>IFERROR(__xludf.DUMMYFUNCTION(""""""""" &amp; REGEXEXTRACT(B1114, ""/detail/([^/?]+)"") &amp; """""","""),"""bkmjnlfillpnkgmjnhgklpjjlpjnfeil"",")</f>
        <v>"bkmjnlfillpnkgmjnhgklpjjlpjnfeil",</v>
      </c>
    </row>
    <row r="1115">
      <c r="A1115" s="4" t="s">
        <v>20297</v>
      </c>
      <c r="B1115" s="4" t="s">
        <v>2226</v>
      </c>
      <c r="C1115" s="16" t="str">
        <f>IFERROR(__xludf.DUMMYFUNCTION(""""""""" &amp; REGEXEXTRACT(B1115, ""/detail/([^/?]+)"") &amp; """""","""),"""bkpeohkfimdfogdnpcnokjkbpankkmil"",")</f>
        <v>"bkpeohkfimdfogdnpcnokjkbpankkmil",</v>
      </c>
    </row>
    <row r="1116">
      <c r="A1116" s="4" t="s">
        <v>20298</v>
      </c>
      <c r="B1116" s="4" t="s">
        <v>2228</v>
      </c>
      <c r="C1116" s="16" t="str">
        <f>IFERROR(__xludf.DUMMYFUNCTION(""""""""" &amp; REGEXEXTRACT(B1116, ""/detail/([^/?]+)"") &amp; """""","""),"""blcnboogonjdimbnmmjcfkaonnkckkaa"",")</f>
        <v>"blcnboogonjdimbnmmjcfkaonnkckkaa",</v>
      </c>
    </row>
    <row r="1117">
      <c r="A1117" s="4" t="s">
        <v>20299</v>
      </c>
      <c r="B1117" s="4" t="s">
        <v>2230</v>
      </c>
      <c r="C1117" s="16" t="str">
        <f>IFERROR(__xludf.DUMMYFUNCTION(""""""""" &amp; REGEXEXTRACT(B1117, ""/detail/([^/?]+)"") &amp; """""","""),"""bleoifhkdalbjfbobjackfdifdneehpo"",")</f>
        <v>"bleoifhkdalbjfbobjackfdifdneehpo",</v>
      </c>
    </row>
    <row r="1118">
      <c r="A1118" s="4" t="s">
        <v>20300</v>
      </c>
      <c r="B1118" s="4" t="s">
        <v>2232</v>
      </c>
      <c r="C1118" s="16" t="str">
        <f>IFERROR(__xludf.DUMMYFUNCTION(""""""""" &amp; REGEXEXTRACT(B1118, ""/detail/([^/?]+)"") &amp; """""","""),"""bmebokbfolangbgkdodkfcblkdcdkpgo"",")</f>
        <v>"bmebokbfolangbgkdodkfcblkdcdkpgo",</v>
      </c>
    </row>
    <row r="1119">
      <c r="A1119" s="4" t="s">
        <v>20301</v>
      </c>
      <c r="B1119" s="4" t="s">
        <v>2234</v>
      </c>
      <c r="C1119" s="16" t="str">
        <f>IFERROR(__xludf.DUMMYFUNCTION(""""""""" &amp; REGEXEXTRACT(B1119, ""/detail/([^/?]+)"") &amp; """""","""),"""bmihblnpomgpjkfddepdpdafhhepdbek"",")</f>
        <v>"bmihblnpomgpjkfddepdpdafhhepdbek",</v>
      </c>
    </row>
    <row r="1120">
      <c r="A1120" s="4" t="s">
        <v>20302</v>
      </c>
      <c r="B1120" s="4" t="s">
        <v>2236</v>
      </c>
      <c r="C1120" s="16" t="str">
        <f>IFERROR(__xludf.DUMMYFUNCTION(""""""""" &amp; REGEXEXTRACT(B1120, ""/detail/([^/?]+)"") &amp; """""","""),"""bmnfikjlonhkoojjfddnlbinkkapmldg"",")</f>
        <v>"bmnfikjlonhkoojjfddnlbinkkapmldg",</v>
      </c>
    </row>
    <row r="1121">
      <c r="A1121" s="4" t="s">
        <v>20303</v>
      </c>
      <c r="B1121" s="4" t="s">
        <v>2238</v>
      </c>
      <c r="C1121" s="16" t="str">
        <f>IFERROR(__xludf.DUMMYFUNCTION(""""""""" &amp; REGEXEXTRACT(B1121, ""/detail/([^/?]+)"") &amp; """""","""),"""bmobkojilggkdhfginkfilecnbnkngha"",")</f>
        <v>"bmobkojilggkdhfginkfilecnbnkngha",</v>
      </c>
    </row>
    <row r="1122">
      <c r="A1122" s="4" t="s">
        <v>20304</v>
      </c>
      <c r="B1122" s="4" t="s">
        <v>2240</v>
      </c>
      <c r="C1122" s="16" t="str">
        <f>IFERROR(__xludf.DUMMYFUNCTION(""""""""" &amp; REGEXEXTRACT(B1122, ""/detail/([^/?]+)"") &amp; """""","""),"""bnapnikdipejhnceiohjeldjopimjecf"",")</f>
        <v>"bnapnikdipejhnceiohjeldjopimjecf",</v>
      </c>
    </row>
    <row r="1123">
      <c r="A1123" s="4" t="s">
        <v>20305</v>
      </c>
      <c r="B1123" s="4" t="s">
        <v>2242</v>
      </c>
      <c r="C1123" s="16" t="str">
        <f>IFERROR(__xludf.DUMMYFUNCTION(""""""""" &amp; REGEXEXTRACT(B1123, ""/detail/([^/?]+)"") &amp; """""","""),"""bnceafpojmnimbnhamaeedgomdcgnbjk"",")</f>
        <v>"bnceafpojmnimbnhamaeedgomdcgnbjk",</v>
      </c>
    </row>
    <row r="1124">
      <c r="A1124" s="4" t="s">
        <v>20306</v>
      </c>
      <c r="B1124" s="4" t="s">
        <v>2244</v>
      </c>
      <c r="C1124" s="16" t="str">
        <f>IFERROR(__xludf.DUMMYFUNCTION(""""""""" &amp; REGEXEXTRACT(B1124, ""/detail/([^/?]+)"") &amp; """""","""),"""bniadokhddgdbbcpolbgjcnmaphkbpni"",")</f>
        <v>"bniadokhddgdbbcpolbgjcnmaphkbpni",</v>
      </c>
    </row>
    <row r="1125">
      <c r="A1125" s="4" t="s">
        <v>20307</v>
      </c>
      <c r="B1125" s="4" t="s">
        <v>2246</v>
      </c>
      <c r="C1125" s="16" t="str">
        <f>IFERROR(__xludf.DUMMYFUNCTION(""""""""" &amp; REGEXEXTRACT(B1125, ""/detail/([^/?]+)"") &amp; """""","""),"""bniikohfmajhdcffljgfeiklcbgffppl"",")</f>
        <v>"bniikohfmajhdcffljgfeiklcbgffppl",</v>
      </c>
    </row>
    <row r="1126">
      <c r="A1126" s="4" t="s">
        <v>20308</v>
      </c>
      <c r="B1126" s="4" t="s">
        <v>2248</v>
      </c>
      <c r="C1126" s="16" t="str">
        <f>IFERROR(__xludf.DUMMYFUNCTION(""""""""" &amp; REGEXEXTRACT(B1126, ""/detail/([^/?]+)"") &amp; """""","""),"""boabkkhbickbpleplbghkjpcoebckgai"",")</f>
        <v>"boabkkhbickbpleplbghkjpcoebckgai",</v>
      </c>
    </row>
    <row r="1127">
      <c r="A1127" s="4" t="s">
        <v>20309</v>
      </c>
      <c r="B1127" s="4" t="s">
        <v>2250</v>
      </c>
      <c r="C1127" s="16" t="str">
        <f>IFERROR(__xludf.DUMMYFUNCTION(""""""""" &amp; REGEXEXTRACT(B1127, ""/detail/([^/?]+)"") &amp; """""","""),"""bocpokimicclpaiekenaeelehdjllofo"",")</f>
        <v>"bocpokimicclpaiekenaeelehdjllofo",</v>
      </c>
    </row>
    <row r="1128">
      <c r="A1128" s="4" t="s">
        <v>20310</v>
      </c>
      <c r="B1128" s="4" t="s">
        <v>2252</v>
      </c>
      <c r="C1128" s="16" t="str">
        <f>IFERROR(__xludf.DUMMYFUNCTION(""""""""" &amp; REGEXEXTRACT(B1128, ""/detail/([^/?]+)"") &amp; """""","""),"""bogdgcfoocbajfkjjolkmcdcnnellpkb"",")</f>
        <v>"bogdgcfoocbajfkjjolkmcdcnnellpkb",</v>
      </c>
    </row>
    <row r="1129">
      <c r="A1129" s="4" t="s">
        <v>20311</v>
      </c>
      <c r="B1129" s="4" t="s">
        <v>2254</v>
      </c>
      <c r="C1129" s="16" t="str">
        <f>IFERROR(__xludf.DUMMYFUNCTION(""""""""" &amp; REGEXEXTRACT(B1129, ""/detail/([^/?]+)"") &amp; """""","""),"""bognnpjhkpbbokjlgbiflfilppjopfdj"",")</f>
        <v>"bognnpjhkpbbokjlgbiflfilppjopfdj",</v>
      </c>
    </row>
    <row r="1130">
      <c r="A1130" s="4" t="s">
        <v>20312</v>
      </c>
      <c r="B1130" s="4" t="s">
        <v>2256</v>
      </c>
      <c r="C1130" s="16" t="str">
        <f>IFERROR(__xludf.DUMMYFUNCTION(""""""""" &amp; REGEXEXTRACT(B1130, ""/detail/([^/?]+)"") &amp; """""","""),"""bohhpcaljnggabklkeanncbebknjpcod"",")</f>
        <v>"bohhpcaljnggabklkeanncbebknjpcod",</v>
      </c>
    </row>
    <row r="1131">
      <c r="A1131" s="4" t="s">
        <v>20313</v>
      </c>
      <c r="B1131" s="4" t="s">
        <v>2258</v>
      </c>
      <c r="C1131" s="16" t="str">
        <f>IFERROR(__xludf.DUMMYFUNCTION(""""""""" &amp; REGEXEXTRACT(B1131, ""/detail/([^/?]+)"") &amp; """""","""),"""cahmhjehomglimoklhidcfdlfmahlold"",")</f>
        <v>"cahmhjehomglimoklhidcfdlfmahlold",</v>
      </c>
    </row>
    <row r="1132">
      <c r="A1132" s="4" t="s">
        <v>20314</v>
      </c>
      <c r="B1132" s="4" t="s">
        <v>2260</v>
      </c>
      <c r="C1132" s="16" t="str">
        <f>IFERROR(__xludf.DUMMYFUNCTION(""""""""" &amp; REGEXEXTRACT(B1132, ""/detail/([^/?]+)"") &amp; """""","""),"""camcjdhmakkedecangafdibaekmfjici"",")</f>
        <v>"camcjdhmakkedecangafdibaekmfjici",</v>
      </c>
    </row>
    <row r="1133">
      <c r="A1133" s="4" t="s">
        <v>20315</v>
      </c>
      <c r="B1133" s="4" t="s">
        <v>2262</v>
      </c>
      <c r="C1133" s="16" t="str">
        <f>IFERROR(__xludf.DUMMYFUNCTION(""""""""" &amp; REGEXEXTRACT(B1133, ""/detail/([^/?]+)"") &amp; """""","""),"""cbdobfnjgnmlcajcamdfjeofmnecepdl"",")</f>
        <v>"cbdobfnjgnmlcajcamdfjeofmnecepdl",</v>
      </c>
    </row>
    <row r="1134">
      <c r="A1134" s="4" t="s">
        <v>20316</v>
      </c>
      <c r="B1134" s="4" t="s">
        <v>2264</v>
      </c>
      <c r="C1134" s="16" t="str">
        <f>IFERROR(__xludf.DUMMYFUNCTION(""""""""" &amp; REGEXEXTRACT(B1134, ""/detail/([^/?]+)"") &amp; """""","""),"""cbklkhaojmgbcgkpbemolkionjbepkfc"",")</f>
        <v>"cbklkhaojmgbcgkpbemolkionjbepkfc",</v>
      </c>
    </row>
    <row r="1135">
      <c r="A1135" s="4" t="s">
        <v>20317</v>
      </c>
      <c r="B1135" s="4" t="s">
        <v>2266</v>
      </c>
      <c r="C1135" s="16" t="str">
        <f>IFERROR(__xludf.DUMMYFUNCTION(""""""""" &amp; REGEXEXTRACT(B1135, ""/detail/([^/?]+)"") &amp; """""","""),"""ccdfjnniglfbpaplecpifdiglfmcebce"",")</f>
        <v>"ccdfjnniglfbpaplecpifdiglfmcebce",</v>
      </c>
    </row>
    <row r="1136">
      <c r="A1136" s="4" t="s">
        <v>20318</v>
      </c>
      <c r="B1136" s="4" t="s">
        <v>2268</v>
      </c>
      <c r="C1136" s="16" t="str">
        <f>IFERROR(__xludf.DUMMYFUNCTION(""""""""" &amp; REGEXEXTRACT(B1136, ""/detail/([^/?]+)"") &amp; """""","""),"""ccmkbgknapokcjabmiaimipiepgpgbco"",")</f>
        <v>"ccmkbgknapokcjabmiaimipiepgpgbco",</v>
      </c>
    </row>
    <row r="1137">
      <c r="A1137" s="4" t="s">
        <v>20319</v>
      </c>
      <c r="B1137" s="4" t="s">
        <v>2270</v>
      </c>
      <c r="C1137" s="16" t="str">
        <f>IFERROR(__xludf.DUMMYFUNCTION(""""""""" &amp; REGEXEXTRACT(B1137, ""/detail/([^/?]+)"") &amp; """""","""),"""ccpleclnjidgphbmhphdfeejfifeekak"",")</f>
        <v>"ccpleclnjidgphbmhphdfeejfifeekak",</v>
      </c>
    </row>
    <row r="1138">
      <c r="A1138" s="4" t="s">
        <v>20320</v>
      </c>
      <c r="B1138" s="4" t="s">
        <v>2272</v>
      </c>
      <c r="C1138" s="16" t="str">
        <f>IFERROR(__xludf.DUMMYFUNCTION(""""""""" &amp; REGEXEXTRACT(B1138, ""/detail/([^/?]+)"") &amp; """""","""),"""cddofafgecbaiedcjjhmfiojofcbpknn"",")</f>
        <v>"cddofafgecbaiedcjjhmfiojofcbpknn",</v>
      </c>
    </row>
    <row r="1139">
      <c r="A1139" s="4" t="s">
        <v>20321</v>
      </c>
      <c r="B1139" s="4" t="s">
        <v>2274</v>
      </c>
      <c r="C1139" s="16" t="str">
        <f>IFERROR(__xludf.DUMMYFUNCTION(""""""""" &amp; REGEXEXTRACT(B1139, ""/detail/([^/?]+)"") &amp; """""","""),"""cdkhibgadomdghgnknpmgegpjjmfecfk"",")</f>
        <v>"cdkhibgadomdghgnknpmgegpjjmfecfk",</v>
      </c>
    </row>
    <row r="1140">
      <c r="A1140" s="4" t="s">
        <v>20322</v>
      </c>
      <c r="B1140" s="4" t="s">
        <v>2276</v>
      </c>
      <c r="C1140" s="16" t="str">
        <f>IFERROR(__xludf.DUMMYFUNCTION(""""""""" &amp; REGEXEXTRACT(B1140, ""/detail/([^/?]+)"") &amp; """""","""),"""ceplnfffelfmoahckkalagpmipjfcncc"",")</f>
        <v>"ceplnfffelfmoahckkalagpmipjfcncc",</v>
      </c>
    </row>
    <row r="1141">
      <c r="A1141" s="4" t="s">
        <v>20323</v>
      </c>
      <c r="B1141" s="4" t="s">
        <v>2277</v>
      </c>
      <c r="C1141" s="16" t="str">
        <f>IFERROR(__xludf.DUMMYFUNCTION(""""""""" &amp; REGEXEXTRACT(B1141, ""/detail/([^/?]+)"") &amp; """""","""),"""cfaihfocdnniaholfnjcemnfhcjchohb"",")</f>
        <v>"cfaihfocdnniaholfnjcemnfhcjchohb",</v>
      </c>
    </row>
    <row r="1142">
      <c r="A1142" s="4" t="s">
        <v>20324</v>
      </c>
      <c r="B1142" s="4" t="s">
        <v>2279</v>
      </c>
      <c r="C1142" s="16" t="str">
        <f>IFERROR(__xludf.DUMMYFUNCTION(""""""""" &amp; REGEXEXTRACT(B1142, ""/detail/([^/?]+)"") &amp; """""","""),"""cfpenpohaapdgnkglcbgjiooipcbcebi"",")</f>
        <v>"cfpenpohaapdgnkglcbgjiooipcbcebi",</v>
      </c>
    </row>
    <row r="1143">
      <c r="A1143" s="4" t="s">
        <v>20325</v>
      </c>
      <c r="B1143" s="4" t="s">
        <v>2281</v>
      </c>
      <c r="C1143" s="16" t="str">
        <f>IFERROR(__xludf.DUMMYFUNCTION(""""""""" &amp; REGEXEXTRACT(B1143, ""/detail/([^/?]+)"") &amp; """""","""),"""cgaocdmhkmfnkdkbnckgmpopcbpaaejo"",")</f>
        <v>"cgaocdmhkmfnkdkbnckgmpopcbpaaejo",</v>
      </c>
    </row>
    <row r="1144">
      <c r="A1144" s="4" t="s">
        <v>20326</v>
      </c>
      <c r="B1144" s="4" t="s">
        <v>2283</v>
      </c>
      <c r="C1144" s="16" t="str">
        <f>IFERROR(__xludf.DUMMYFUNCTION(""""""""" &amp; REGEXEXTRACT(B1144, ""/detail/([^/?]+)"") &amp; """""","""),"""cgfkddgbnfplidghapbbnngaogeldmop"",")</f>
        <v>"cgfkddgbnfplidghapbbnngaogeldmop",</v>
      </c>
    </row>
    <row r="1145">
      <c r="A1145" s="4" t="s">
        <v>20327</v>
      </c>
      <c r="B1145" s="4" t="s">
        <v>2285</v>
      </c>
      <c r="C1145" s="16" t="str">
        <f>IFERROR(__xludf.DUMMYFUNCTION(""""""""" &amp; REGEXEXTRACT(B1145, ""/detail/([^/?]+)"") &amp; """""","""),"""chaeijjekipecdajnijdldjjipaegdjc"",")</f>
        <v>"chaeijjekipecdajnijdldjjipaegdjc",</v>
      </c>
    </row>
    <row r="1146">
      <c r="A1146" s="4" t="s">
        <v>20328</v>
      </c>
      <c r="B1146" s="4" t="s">
        <v>2287</v>
      </c>
      <c r="C1146" s="16" t="str">
        <f>IFERROR(__xludf.DUMMYFUNCTION(""""""""" &amp; REGEXEXTRACT(B1146, ""/detail/([^/?]+)"") &amp; """""","""),"""chchfhampioeijdffegkhnpccchjbfpk"",")</f>
        <v>"chchfhampioeijdffegkhnpccchjbfpk",</v>
      </c>
    </row>
    <row r="1147">
      <c r="A1147" s="4" t="s">
        <v>20329</v>
      </c>
      <c r="B1147" s="4" t="s">
        <v>2289</v>
      </c>
      <c r="C1147" s="16" t="str">
        <f>IFERROR(__xludf.DUMMYFUNCTION(""""""""" &amp; REGEXEXTRACT(B1147, ""/detail/([^/?]+)"") &amp; """""","""),"""chfdigebbepdmeelcfiefkklfldmmgld"",")</f>
        <v>"chfdigebbepdmeelcfiefkklfldmmgld",</v>
      </c>
    </row>
    <row r="1148">
      <c r="A1148" s="4" t="s">
        <v>20330</v>
      </c>
      <c r="B1148" s="4" t="s">
        <v>2291</v>
      </c>
      <c r="C1148" s="16" t="str">
        <f>IFERROR(__xludf.DUMMYFUNCTION(""""""""" &amp; REGEXEXTRACT(B1148, ""/detail/([^/?]+)"") &amp; """""","""),"""chinfkfmaefdlchhempbfgbdagheknoj"",")</f>
        <v>"chinfkfmaefdlchhempbfgbdagheknoj",</v>
      </c>
    </row>
    <row r="1149">
      <c r="A1149" s="4" t="s">
        <v>20331</v>
      </c>
      <c r="B1149" s="4" t="s">
        <v>2293</v>
      </c>
      <c r="C1149" s="16" t="str">
        <f>IFERROR(__xludf.DUMMYFUNCTION(""""""""" &amp; REGEXEXTRACT(B1149, ""/detail/([^/?]+)"") &amp; """""","""),"""chnhdkjgpeonhdlilkjhhbahbciplhae"",")</f>
        <v>"chnhdkjgpeonhdlilkjhhbahbciplhae",</v>
      </c>
    </row>
    <row r="1150">
      <c r="A1150" s="4" t="s">
        <v>20332</v>
      </c>
      <c r="B1150" s="4" t="s">
        <v>2295</v>
      </c>
      <c r="C1150" s="16" t="str">
        <f>IFERROR(__xludf.DUMMYFUNCTION(""""""""" &amp; REGEXEXTRACT(B1150, ""/detail/([^/?]+)"") &amp; """""","""),"""chnmnpjdfgbmmhcfckgccdloplddclkk"",")</f>
        <v>"chnmnpjdfgbmmhcfckgccdloplddclkk",</v>
      </c>
    </row>
    <row r="1151">
      <c r="A1151" s="4" t="s">
        <v>20333</v>
      </c>
      <c r="B1151" s="4" t="s">
        <v>2297</v>
      </c>
      <c r="C1151" s="16" t="str">
        <f>IFERROR(__xludf.DUMMYFUNCTION(""""""""" &amp; REGEXEXTRACT(B1151, ""/detail/([^/?]+)"") &amp; """""","""),"""cidepfmbgngpdapgncfhpecbdhmnnemf"",")</f>
        <v>"cidepfmbgngpdapgncfhpecbdhmnnemf",</v>
      </c>
    </row>
    <row r="1152">
      <c r="A1152" s="4" t="s">
        <v>20334</v>
      </c>
      <c r="B1152" s="4" t="s">
        <v>2299</v>
      </c>
      <c r="C1152" s="16" t="str">
        <f>IFERROR(__xludf.DUMMYFUNCTION(""""""""" &amp; REGEXEXTRACT(B1152, ""/detail/([^/?]+)"") &amp; """""","""),"""ciimjfgcajblmnjlcgopeflnjdknekkd"",")</f>
        <v>"ciimjfgcajblmnjlcgopeflnjdknekkd",</v>
      </c>
    </row>
    <row r="1153">
      <c r="A1153" s="4" t="s">
        <v>20335</v>
      </c>
      <c r="B1153" s="4" t="s">
        <v>2301</v>
      </c>
      <c r="C1153" s="16" t="str">
        <f>IFERROR(__xludf.DUMMYFUNCTION(""""""""" &amp; REGEXEXTRACT(B1153, ""/detail/([^/?]+)"") &amp; """""","""),"""cjaeiidkcfpfbeklmecdfloaaacancmo"",")</f>
        <v>"cjaeiidkcfpfbeklmecdfloaaacancmo",</v>
      </c>
    </row>
    <row r="1154">
      <c r="A1154" s="4" t="s">
        <v>20336</v>
      </c>
      <c r="B1154" s="4" t="s">
        <v>2303</v>
      </c>
      <c r="C1154" s="16" t="str">
        <f>IFERROR(__xludf.DUMMYFUNCTION(""""""""" &amp; REGEXEXTRACT(B1154, ""/detail/([^/?]+)"") &amp; """""","""),"""cjanhcgbkhnidopedkhomdfjalnmknjg"",")</f>
        <v>"cjanhcgbkhnidopedkhomdfjalnmknjg",</v>
      </c>
    </row>
    <row r="1155">
      <c r="A1155" s="4" t="s">
        <v>20337</v>
      </c>
      <c r="B1155" s="4" t="s">
        <v>2305</v>
      </c>
      <c r="C1155" s="16" t="str">
        <f>IFERROR(__xludf.DUMMYFUNCTION(""""""""" &amp; REGEXEXTRACT(B1155, ""/detail/([^/?]+)"") &amp; """""","""),"""ckhlohlbolmihakbnlddceackadnodoe"",")</f>
        <v>"ckhlohlbolmihakbnlddceackadnodoe",</v>
      </c>
    </row>
    <row r="1156">
      <c r="A1156" s="4" t="s">
        <v>20338</v>
      </c>
      <c r="B1156" s="4" t="s">
        <v>2307</v>
      </c>
      <c r="C1156" s="16" t="str">
        <f>IFERROR(__xludf.DUMMYFUNCTION(""""""""" &amp; REGEXEXTRACT(B1156, ""/detail/([^/?]+)"") &amp; """""","""),"""cknbjckicenodbiaejbmkjhldffonggp"",")</f>
        <v>"cknbjckicenodbiaejbmkjhldffonggp",</v>
      </c>
    </row>
    <row r="1157">
      <c r="A1157" s="4" t="s">
        <v>20339</v>
      </c>
      <c r="B1157" s="4" t="s">
        <v>2309</v>
      </c>
      <c r="C1157" s="16" t="str">
        <f>IFERROR(__xludf.DUMMYFUNCTION(""""""""" &amp; REGEXEXTRACT(B1157, ""/detail/([^/?]+)"") &amp; """""","""),"""clbhieamajlakjobcoiheklaoldcjhjf"",")</f>
        <v>"clbhieamajlakjobcoiheklaoldcjhjf",</v>
      </c>
    </row>
    <row r="1158">
      <c r="A1158" s="4" t="s">
        <v>20340</v>
      </c>
      <c r="B1158" s="4" t="s">
        <v>2311</v>
      </c>
      <c r="C1158" s="16" t="str">
        <f>IFERROR(__xludf.DUMMYFUNCTION(""""""""" &amp; REGEXEXTRACT(B1158, ""/detail/([^/?]+)"") &amp; """""","""),"""clihldpfnfandacppigjpkmkaaemlfie"",")</f>
        <v>"clihldpfnfandacppigjpkmkaaemlfie",</v>
      </c>
    </row>
    <row r="1159">
      <c r="A1159" s="4" t="s">
        <v>20341</v>
      </c>
      <c r="B1159" s="4" t="s">
        <v>2313</v>
      </c>
      <c r="C1159" s="16" t="str">
        <f>IFERROR(__xludf.DUMMYFUNCTION(""""""""" &amp; REGEXEXTRACT(B1159, ""/detail/([^/?]+)"") &amp; """""","""),"""clndcckcfbeokfnejgamfbeginbmbkgk"",")</f>
        <v>"clndcckcfbeokfnejgamfbeginbmbkgk",</v>
      </c>
    </row>
    <row r="1160">
      <c r="A1160" s="4" t="s">
        <v>20342</v>
      </c>
      <c r="B1160" s="4" t="s">
        <v>2315</v>
      </c>
      <c r="C1160" s="16" t="str">
        <f>IFERROR(__xludf.DUMMYFUNCTION(""""""""" &amp; REGEXEXTRACT(B1160, ""/detail/([^/?]+)"") &amp; """""","""),"""cmkhjlckcaeahimgmlnihmphjkcccopm"",")</f>
        <v>"cmkhjlckcaeahimgmlnihmphjkcccopm",</v>
      </c>
    </row>
    <row r="1161">
      <c r="A1161" s="4" t="s">
        <v>20343</v>
      </c>
      <c r="B1161" s="4" t="s">
        <v>2317</v>
      </c>
      <c r="C1161" s="16" t="str">
        <f>IFERROR(__xludf.DUMMYFUNCTION(""""""""" &amp; REGEXEXTRACT(B1161, ""/detail/([^/?]+)"") &amp; """""","""),"""cmkmelneeccijablfclenghkcbopdemg"",")</f>
        <v>"cmkmelneeccijablfclenghkcbopdemg",</v>
      </c>
    </row>
    <row r="1162">
      <c r="A1162" s="4" t="s">
        <v>20344</v>
      </c>
      <c r="B1162" s="4" t="s">
        <v>2319</v>
      </c>
      <c r="C1162" s="16" t="str">
        <f>IFERROR(__xludf.DUMMYFUNCTION(""""""""" &amp; REGEXEXTRACT(B1162, ""/detail/([^/?]+)"") &amp; """""","""),"""cmmlgikpahieigpcclckfmhnchdlfnjd"",")</f>
        <v>"cmmlgikpahieigpcclckfmhnchdlfnjd",</v>
      </c>
    </row>
    <row r="1163">
      <c r="A1163" s="4" t="s">
        <v>20345</v>
      </c>
      <c r="B1163" s="4" t="s">
        <v>2321</v>
      </c>
      <c r="C1163" s="16" t="str">
        <f>IFERROR(__xludf.DUMMYFUNCTION(""""""""" &amp; REGEXEXTRACT(B1163, ""/detail/([^/?]+)"") &amp; """""","""),"""cngkdhdiifcfigdffnmibfopjdlbnpeh"",")</f>
        <v>"cngkdhdiifcfigdffnmibfopjdlbnpeh",</v>
      </c>
    </row>
    <row r="1164">
      <c r="A1164" s="4" t="s">
        <v>20346</v>
      </c>
      <c r="B1164" s="4" t="s">
        <v>2323</v>
      </c>
      <c r="C1164" s="16" t="str">
        <f>IFERROR(__xludf.DUMMYFUNCTION(""""""""" &amp; REGEXEXTRACT(B1164, ""/detail/([^/?]+)"") &amp; """""","""),"""cofhgpcbaidjkjfbfglfhlklnbhajhpg"",")</f>
        <v>"cofhgpcbaidjkjfbfglfhlklnbhajhpg",</v>
      </c>
    </row>
    <row r="1165">
      <c r="A1165" s="4" t="s">
        <v>20347</v>
      </c>
      <c r="B1165" s="4" t="s">
        <v>2325</v>
      </c>
      <c r="C1165" s="16" t="str">
        <f>IFERROR(__xludf.DUMMYFUNCTION(""""""""" &amp; REGEXEXTRACT(B1165, ""/detail/([^/?]+)"") &amp; """""","""),"""cohamjploocgoejdfanacfgkhjkhdkek"",")</f>
        <v>"cohamjploocgoejdfanacfgkhjkhdkek",</v>
      </c>
    </row>
    <row r="1166">
      <c r="A1166" s="4" t="s">
        <v>20348</v>
      </c>
      <c r="B1166" s="4" t="s">
        <v>2327</v>
      </c>
      <c r="C1166" s="16" t="str">
        <f>IFERROR(__xludf.DUMMYFUNCTION(""""""""" &amp; REGEXEXTRACT(B1166, ""/detail/([^/?]+)"") &amp; """""","""),"""cpblokmdklckfpphjogojcjdpoogonfi"",")</f>
        <v>"cpblokmdklckfpphjogojcjdpoogonfi",</v>
      </c>
    </row>
    <row r="1167">
      <c r="A1167" s="4" t="s">
        <v>20349</v>
      </c>
      <c r="B1167" s="4" t="s">
        <v>2329</v>
      </c>
      <c r="C1167" s="16" t="str">
        <f>IFERROR(__xludf.DUMMYFUNCTION(""""""""" &amp; REGEXEXTRACT(B1167, ""/detail/([^/?]+)"") &amp; """""","""),"""cpecbmjeidppdiampimghndkikcmoadk"",")</f>
        <v>"cpecbmjeidppdiampimghndkikcmoadk",</v>
      </c>
    </row>
    <row r="1168">
      <c r="A1168" s="4" t="s">
        <v>20350</v>
      </c>
      <c r="B1168" s="4" t="s">
        <v>2331</v>
      </c>
      <c r="C1168" s="16" t="str">
        <f>IFERROR(__xludf.DUMMYFUNCTION(""""""""" &amp; REGEXEXTRACT(B1168, ""/detail/([^/?]+)"") &amp; """""","""),"""cpfefcnbolgjjabocpajaplcgpniphdd"",")</f>
        <v>"cpfefcnbolgjjabocpajaplcgpniphdd",</v>
      </c>
    </row>
    <row r="1169">
      <c r="A1169" s="4" t="s">
        <v>20351</v>
      </c>
      <c r="B1169" s="4" t="s">
        <v>2333</v>
      </c>
      <c r="C1169" s="16" t="str">
        <f>IFERROR(__xludf.DUMMYFUNCTION(""""""""" &amp; REGEXEXTRACT(B1169, ""/detail/([^/?]+)"") &amp; """""","""),"""cpgaepnhfockgofcejphihfafgmenofb"",")</f>
        <v>"cpgaepnhfockgofcejphihfafgmenofb",</v>
      </c>
    </row>
    <row r="1170">
      <c r="A1170" s="4" t="s">
        <v>20352</v>
      </c>
      <c r="B1170" s="4" t="s">
        <v>2335</v>
      </c>
      <c r="C1170" s="16" t="str">
        <f>IFERROR(__xludf.DUMMYFUNCTION(""""""""" &amp; REGEXEXTRACT(B1170, ""/detail/([^/?]+)"") &amp; """""","""),"""cpohpgohfajjfjiakcfcobnhfnfdddkg"",")</f>
        <v>"cpohpgohfajjfjiakcfcobnhfnfdddkg",</v>
      </c>
    </row>
    <row r="1171">
      <c r="A1171" s="4" t="s">
        <v>20353</v>
      </c>
      <c r="B1171" s="4" t="s">
        <v>2337</v>
      </c>
      <c r="C1171" s="16" t="str">
        <f>IFERROR(__xludf.DUMMYFUNCTION(""""""""" &amp; REGEXEXTRACT(B1171, ""/detail/([^/?]+)"") &amp; """""","""),"""dajjehkecdcgobjpemgcdjikpdgmiaod"",")</f>
        <v>"dajjehkecdcgobjpemgcdjikpdgmiaod",</v>
      </c>
    </row>
    <row r="1172">
      <c r="A1172" s="4" t="s">
        <v>20354</v>
      </c>
      <c r="B1172" s="4" t="s">
        <v>2339</v>
      </c>
      <c r="C1172" s="16" t="str">
        <f>IFERROR(__xludf.DUMMYFUNCTION(""""""""" &amp; REGEXEXTRACT(B1172, ""/detail/([^/?]+)"") &amp; """""","""),"""dakdpgneoijgmjihpkpppmofpglelack"",")</f>
        <v>"dakdpgneoijgmjihpkpppmofpglelack",</v>
      </c>
    </row>
    <row r="1173">
      <c r="A1173" s="4" t="s">
        <v>20355</v>
      </c>
      <c r="B1173" s="4" t="s">
        <v>2341</v>
      </c>
      <c r="C1173" s="16" t="str">
        <f>IFERROR(__xludf.DUMMYFUNCTION(""""""""" &amp; REGEXEXTRACT(B1173, ""/detail/([^/?]+)"") &amp; """""","""),"""damlgjaejablnjjkoehebfpdcolhkklj"",")</f>
        <v>"damlgjaejablnjjkoehebfpdcolhkklj",</v>
      </c>
    </row>
    <row r="1174">
      <c r="A1174" s="4" t="s">
        <v>20356</v>
      </c>
      <c r="B1174" s="4" t="s">
        <v>2343</v>
      </c>
      <c r="C1174" s="16" t="str">
        <f>IFERROR(__xludf.DUMMYFUNCTION(""""""""" &amp; REGEXEXTRACT(B1174, ""/detail/([^/?]+)"") &amp; """""","""),"""dbdibdbbenjkpmdjnannkgdehgegcopo"",")</f>
        <v>"dbdibdbbenjkpmdjnannkgdehgegcopo",</v>
      </c>
    </row>
    <row r="1175">
      <c r="A1175" s="4" t="s">
        <v>20357</v>
      </c>
      <c r="B1175" s="4" t="s">
        <v>2345</v>
      </c>
      <c r="C1175" s="16" t="str">
        <f>IFERROR(__xludf.DUMMYFUNCTION(""""""""" &amp; REGEXEXTRACT(B1175, ""/detail/([^/?]+)"") &amp; """""","""),"""dbiehnelaacgdbddpllpjnnpdpcndolf"",")</f>
        <v>"dbiehnelaacgdbddpllpjnnpdpcndolf",</v>
      </c>
    </row>
    <row r="1176">
      <c r="A1176" s="4" t="s">
        <v>20358</v>
      </c>
      <c r="B1176" s="4" t="s">
        <v>2347</v>
      </c>
      <c r="C1176" s="16" t="str">
        <f>IFERROR(__xludf.DUMMYFUNCTION(""""""""" &amp; REGEXEXTRACT(B1176, ""/detail/([^/?]+)"") &amp; """""","""),"""dbndgjfafojhfndfgpcibceghelbbnep"",")</f>
        <v>"dbndgjfafojhfndfgpcibceghelbbnep",</v>
      </c>
    </row>
    <row r="1177">
      <c r="A1177" s="4" t="s">
        <v>20359</v>
      </c>
      <c r="B1177" s="4" t="s">
        <v>2349</v>
      </c>
      <c r="C1177" s="16" t="str">
        <f>IFERROR(__xludf.DUMMYFUNCTION(""""""""" &amp; REGEXEXTRACT(B1177, ""/detail/([^/?]+)"") &amp; """""","""),"""dccccilgophpadpomgajjlkkioipoojh"",")</f>
        <v>"dccccilgophpadpomgajjlkkioipoojh",</v>
      </c>
    </row>
    <row r="1178">
      <c r="A1178" s="4" t="s">
        <v>20360</v>
      </c>
      <c r="B1178" s="4" t="s">
        <v>2351</v>
      </c>
      <c r="C1178" s="16" t="str">
        <f>IFERROR(__xludf.DUMMYFUNCTION(""""""""" &amp; REGEXEXTRACT(B1178, ""/detail/([^/?]+)"") &amp; """""","""),"""dcdjhpkampgckpejeeckifnmlmijjilm"",")</f>
        <v>"dcdjhpkampgckpejeeckifnmlmijjilm",</v>
      </c>
    </row>
    <row r="1179">
      <c r="A1179" s="4" t="s">
        <v>20361</v>
      </c>
      <c r="B1179" s="4" t="s">
        <v>2353</v>
      </c>
      <c r="C1179" s="16" t="str">
        <f>IFERROR(__xludf.DUMMYFUNCTION(""""""""" &amp; REGEXEXTRACT(B1179, ""/detail/([^/?]+)"") &amp; """""","""),"""dcfclemgmkccmnpgnldhldjmflphkimp"",")</f>
        <v>"dcfclemgmkccmnpgnldhldjmflphkimp",</v>
      </c>
    </row>
    <row r="1180">
      <c r="A1180" s="4" t="s">
        <v>20362</v>
      </c>
      <c r="B1180" s="4" t="s">
        <v>2355</v>
      </c>
      <c r="C1180" s="16" t="str">
        <f>IFERROR(__xludf.DUMMYFUNCTION(""""""""" &amp; REGEXEXTRACT(B1180, ""/detail/([^/?]+)"") &amp; """""","""),"""dcgondciahimhomfomnnpocjflglcppa"",")</f>
        <v>"dcgondciahimhomfomnnpocjflglcppa",</v>
      </c>
    </row>
    <row r="1181">
      <c r="A1181" s="4" t="s">
        <v>20363</v>
      </c>
      <c r="B1181" s="4" t="s">
        <v>2357</v>
      </c>
      <c r="C1181" s="16" t="str">
        <f>IFERROR(__xludf.DUMMYFUNCTION(""""""""" &amp; REGEXEXTRACT(B1181, ""/detail/([^/?]+)"") &amp; """""","""),"""dchaandmcifgjemlhiekookpgjmkcelg"",")</f>
        <v>"dchaandmcifgjemlhiekookpgjmkcelg",</v>
      </c>
    </row>
    <row r="1182">
      <c r="A1182" s="4" t="s">
        <v>20364</v>
      </c>
      <c r="B1182" s="4" t="s">
        <v>2359</v>
      </c>
      <c r="C1182" s="16" t="str">
        <f>IFERROR(__xludf.DUMMYFUNCTION(""""""""" &amp; REGEXEXTRACT(B1182, ""/detail/([^/?]+)"") &amp; """""","""),"""dcoeaobaokbccdcnadncifmconllpihp"",")</f>
        <v>"dcoeaobaokbccdcnadncifmconllpihp",</v>
      </c>
    </row>
    <row r="1183">
      <c r="A1183" s="4" t="s">
        <v>20365</v>
      </c>
      <c r="B1183" s="4" t="s">
        <v>2361</v>
      </c>
      <c r="C1183" s="16" t="str">
        <f>IFERROR(__xludf.DUMMYFUNCTION(""""""""" &amp; REGEXEXTRACT(B1183, ""/detail/([^/?]+)"") &amp; """""","""),"""ddhabjcagfbajoienelficconoekfmae"",")</f>
        <v>"ddhabjcagfbajoienelficconoekfmae",</v>
      </c>
    </row>
    <row r="1184">
      <c r="A1184" s="4" t="s">
        <v>20366</v>
      </c>
      <c r="B1184" s="4" t="s">
        <v>2363</v>
      </c>
      <c r="C1184" s="16" t="str">
        <f>IFERROR(__xludf.DUMMYFUNCTION(""""""""" &amp; REGEXEXTRACT(B1184, ""/detail/([^/?]+)"") &amp; """""","""),"""ddieaepnbjhgcbddafciempnibnfnakl"",")</f>
        <v>"ddieaepnbjhgcbddafciempnibnfnakl",</v>
      </c>
    </row>
    <row r="1185">
      <c r="A1185" s="4" t="s">
        <v>20367</v>
      </c>
      <c r="B1185" s="4" t="s">
        <v>2365</v>
      </c>
      <c r="C1185" s="16" t="str">
        <f>IFERROR(__xludf.DUMMYFUNCTION(""""""""" &amp; REGEXEXTRACT(B1185, ""/detail/([^/?]+)"") &amp; """""","""),"""deahejllghicakhplliloeheabddjajm"",")</f>
        <v>"deahejllghicakhplliloeheabddjajm",</v>
      </c>
    </row>
    <row r="1186">
      <c r="A1186" s="4" t="s">
        <v>20368</v>
      </c>
      <c r="B1186" s="4" t="s">
        <v>2367</v>
      </c>
      <c r="C1186" s="16" t="str">
        <f>IFERROR(__xludf.DUMMYFUNCTION(""""""""" &amp; REGEXEXTRACT(B1186, ""/detail/([^/?]+)"") &amp; """""","""),"""dehocbglhkaogiljpihicakmlockmlgd"",")</f>
        <v>"dehocbglhkaogiljpihicakmlockmlgd",</v>
      </c>
    </row>
    <row r="1187">
      <c r="A1187" s="4" t="s">
        <v>20369</v>
      </c>
      <c r="B1187" s="4" t="s">
        <v>2369</v>
      </c>
      <c r="C1187" s="16" t="str">
        <f>IFERROR(__xludf.DUMMYFUNCTION(""""""""" &amp; REGEXEXTRACT(B1187, ""/detail/([^/?]+)"") &amp; """""","""),"""dejbbjgopjpfimmknlccfbhnifhbhaib"",")</f>
        <v>"dejbbjgopjpfimmknlccfbhnifhbhaib",</v>
      </c>
    </row>
    <row r="1188">
      <c r="A1188" s="4" t="s">
        <v>20370</v>
      </c>
      <c r="B1188" s="4" t="s">
        <v>2371</v>
      </c>
      <c r="C1188" s="16" t="str">
        <f>IFERROR(__xludf.DUMMYFUNCTION(""""""""" &amp; REGEXEXTRACT(B1188, ""/detail/([^/?]+)"") &amp; """""","""),"""deofojifdhnbpkhfpjpnjdplfallmnbf"",")</f>
        <v>"deofojifdhnbpkhfpjpnjdplfallmnbf",</v>
      </c>
    </row>
    <row r="1189">
      <c r="A1189" s="4" t="s">
        <v>20371</v>
      </c>
      <c r="B1189" s="4" t="s">
        <v>2373</v>
      </c>
      <c r="C1189" s="16" t="str">
        <f>IFERROR(__xludf.DUMMYFUNCTION(""""""""" &amp; REGEXEXTRACT(B1189, ""/detail/([^/?]+)"") &amp; """""","""),"""dfbnahffpakjbdlccohcoglcnafhgnhm"",")</f>
        <v>"dfbnahffpakjbdlccohcoglcnafhgnhm",</v>
      </c>
    </row>
    <row r="1190">
      <c r="A1190" s="4" t="s">
        <v>20372</v>
      </c>
      <c r="B1190" s="4" t="s">
        <v>2375</v>
      </c>
      <c r="C1190" s="16" t="str">
        <f>IFERROR(__xludf.DUMMYFUNCTION(""""""""" &amp; REGEXEXTRACT(B1190, ""/detail/([^/?]+)"") &amp; """""","""),"""dffhipnliikkblkhpjapbecpmoilcama"",")</f>
        <v>"dffhipnliikkblkhpjapbecpmoilcama",</v>
      </c>
    </row>
    <row r="1191">
      <c r="A1191" s="4" t="s">
        <v>20373</v>
      </c>
      <c r="B1191" s="4" t="s">
        <v>2376</v>
      </c>
      <c r="C1191" s="16" t="str">
        <f>IFERROR(__xludf.DUMMYFUNCTION(""""""""" &amp; REGEXEXTRACT(B1191, ""/detail/([^/?]+)"") &amp; """""","""),"""dfifakhbglclfpaibeogoegkkimokhmg"",")</f>
        <v>"dfifakhbglclfpaibeogoegkkimokhmg",</v>
      </c>
    </row>
    <row r="1192">
      <c r="A1192" s="4" t="s">
        <v>20374</v>
      </c>
      <c r="B1192" s="4" t="s">
        <v>2378</v>
      </c>
      <c r="C1192" s="16" t="str">
        <f>IFERROR(__xludf.DUMMYFUNCTION(""""""""" &amp; REGEXEXTRACT(B1192, ""/detail/([^/?]+)"") &amp; """""","""),"""dgffjapjligfifmbgajcdaglfhjekmpm"",")</f>
        <v>"dgffjapjligfifmbgajcdaglfhjekmpm",</v>
      </c>
    </row>
    <row r="1193">
      <c r="A1193" s="4" t="s">
        <v>20375</v>
      </c>
      <c r="B1193" s="4" t="s">
        <v>2380</v>
      </c>
      <c r="C1193" s="16" t="str">
        <f>IFERROR(__xludf.DUMMYFUNCTION(""""""""" &amp; REGEXEXTRACT(B1193, ""/detail/([^/?]+)"") &amp; """""","""),"""dggcgdjndddfmcfoipccicfoajmciacf"",")</f>
        <v>"dggcgdjndddfmcfoipccicfoajmciacf",</v>
      </c>
    </row>
    <row r="1194">
      <c r="A1194" s="4" t="s">
        <v>20376</v>
      </c>
      <c r="B1194" s="4" t="s">
        <v>2382</v>
      </c>
      <c r="C1194" s="16" t="str">
        <f>IFERROR(__xludf.DUMMYFUNCTION(""""""""" &amp; REGEXEXTRACT(B1194, ""/detail/([^/?]+)"") &amp; """""","""),"""dgnaaplaoheafdckphgmpiaodckbcafg"",")</f>
        <v>"dgnaaplaoheafdckphgmpiaodckbcafg",</v>
      </c>
    </row>
    <row r="1195">
      <c r="A1195" s="4" t="s">
        <v>20377</v>
      </c>
      <c r="B1195" s="4" t="s">
        <v>2384</v>
      </c>
      <c r="C1195" s="16" t="str">
        <f>IFERROR(__xludf.DUMMYFUNCTION(""""""""" &amp; REGEXEXTRACT(B1195, ""/detail/([^/?]+)"") &amp; """""","""),"""dgnlcodfeenegnifnpcabcclldoceeml"",")</f>
        <v>"dgnlcodfeenegnifnpcabcclldoceeml",</v>
      </c>
    </row>
    <row r="1196">
      <c r="A1196" s="4" t="s">
        <v>20378</v>
      </c>
      <c r="B1196" s="4" t="s">
        <v>2386</v>
      </c>
      <c r="C1196" s="16" t="str">
        <f>IFERROR(__xludf.DUMMYFUNCTION(""""""""" &amp; REGEXEXTRACT(B1196, ""/detail/([^/?]+)"") &amp; """""","""),"""dgnlgpmjgafdilamdjgapndbmlehamhl"",")</f>
        <v>"dgnlgpmjgafdilamdjgapndbmlehamhl",</v>
      </c>
    </row>
    <row r="1197">
      <c r="A1197" s="4" t="s">
        <v>20379</v>
      </c>
      <c r="B1197" s="4" t="s">
        <v>2388</v>
      </c>
      <c r="C1197" s="16" t="str">
        <f>IFERROR(__xludf.DUMMYFUNCTION(""""""""" &amp; REGEXEXTRACT(B1197, ""/detail/([^/?]+)"") &amp; """""","""),"""dhipjhjomboikdkihfhmikadokkkehkd"",")</f>
        <v>"dhipjhjomboikdkihfhmikadokkkehkd",</v>
      </c>
    </row>
    <row r="1198">
      <c r="A1198" s="4" t="s">
        <v>20380</v>
      </c>
      <c r="B1198" s="4" t="s">
        <v>2390</v>
      </c>
      <c r="C1198" s="16" t="str">
        <f>IFERROR(__xludf.DUMMYFUNCTION(""""""""" &amp; REGEXEXTRACT(B1198, ""/detail/([^/?]+)"") &amp; """""","""),"""dhkdaobajijkikfmfhnebdocgfimnpag"",")</f>
        <v>"dhkdaobajijkikfmfhnebdocgfimnpag",</v>
      </c>
    </row>
    <row r="1199">
      <c r="A1199" s="4" t="s">
        <v>20381</v>
      </c>
      <c r="B1199" s="4" t="s">
        <v>2392</v>
      </c>
      <c r="C1199" s="16" t="str">
        <f>IFERROR(__xludf.DUMMYFUNCTION(""""""""" &amp; REGEXEXTRACT(B1199, ""/detail/([^/?]+)"") &amp; """""","""),"""dhkdpgpnekokcicojodnkgmpchnnopam"",")</f>
        <v>"dhkdpgpnekokcicojodnkgmpchnnopam",</v>
      </c>
    </row>
    <row r="1200">
      <c r="A1200" s="4" t="s">
        <v>20382</v>
      </c>
      <c r="B1200" s="4" t="s">
        <v>2393</v>
      </c>
      <c r="C1200" s="16" t="str">
        <f>IFERROR(__xludf.DUMMYFUNCTION(""""""""" &amp; REGEXEXTRACT(B1200, ""/detail/([^/?]+)"") &amp; """""","""),"""dhlkjnbimclneeepgfbmhnlkhnhapjho"",")</f>
        <v>"dhlkjnbimclneeepgfbmhnlkhnhapjho",</v>
      </c>
    </row>
    <row r="1201">
      <c r="A1201" s="4" t="s">
        <v>20383</v>
      </c>
      <c r="B1201" s="4" t="s">
        <v>2395</v>
      </c>
      <c r="C1201" s="16" t="str">
        <f>IFERROR(__xludf.DUMMYFUNCTION(""""""""" &amp; REGEXEXTRACT(B1201, ""/detail/([^/?]+)"") &amp; """""","""),"""dighjoofcdkhjloaeakagmfnbiehebbb"",")</f>
        <v>"dighjoofcdkhjloaeakagmfnbiehebbb",</v>
      </c>
    </row>
    <row r="1202">
      <c r="A1202" s="4" t="s">
        <v>20384</v>
      </c>
      <c r="B1202" s="4" t="s">
        <v>2397</v>
      </c>
      <c r="C1202" s="16" t="str">
        <f>IFERROR(__xludf.DUMMYFUNCTION(""""""""" &amp; REGEXEXTRACT(B1202, ""/detail/([^/?]+)"") &amp; """""","""),"""dihlbjcdgfoehmhbklciidmolbmabkki"",")</f>
        <v>"dihlbjcdgfoehmhbklciidmolbmabkki",</v>
      </c>
    </row>
    <row r="1203">
      <c r="A1203" s="4" t="s">
        <v>20385</v>
      </c>
      <c r="B1203" s="4" t="s">
        <v>2399</v>
      </c>
      <c r="C1203" s="16" t="str">
        <f>IFERROR(__xludf.DUMMYFUNCTION(""""""""" &amp; REGEXEXTRACT(B1203, ""/detail/([^/?]+)"") &amp; """""","""),"""dilkdnaihnkfembidikggnigimnbjcjn"",")</f>
        <v>"dilkdnaihnkfembidikggnigimnbjcjn",</v>
      </c>
    </row>
    <row r="1204">
      <c r="A1204" s="4" t="s">
        <v>20386</v>
      </c>
      <c r="B1204" s="4" t="s">
        <v>2401</v>
      </c>
      <c r="C1204" s="16" t="str">
        <f>IFERROR(__xludf.DUMMYFUNCTION(""""""""" &amp; REGEXEXTRACT(B1204, ""/detail/([^/?]+)"") &amp; """""","""),"""dingigiembmnbjocifcoeiideggpkplj"",")</f>
        <v>"dingigiembmnbjocifcoeiideggpkplj",</v>
      </c>
    </row>
    <row r="1205">
      <c r="A1205" s="4" t="s">
        <v>20387</v>
      </c>
      <c r="B1205" s="4" t="s">
        <v>2403</v>
      </c>
      <c r="C1205" s="16" t="str">
        <f>IFERROR(__xludf.DUMMYFUNCTION(""""""""" &amp; REGEXEXTRACT(B1205, ""/detail/([^/?]+)"") &amp; """""","""),"""djnlmphamjelmfnafkmkhepdcadaaogh"",")</f>
        <v>"djnlmphamjelmfnafkmkhepdcadaaogh",</v>
      </c>
    </row>
    <row r="1206">
      <c r="A1206" s="4" t="s">
        <v>20388</v>
      </c>
      <c r="B1206" s="4" t="s">
        <v>2405</v>
      </c>
      <c r="C1206" s="16" t="str">
        <f>IFERROR(__xludf.DUMMYFUNCTION(""""""""" &amp; REGEXEXTRACT(B1206, ""/detail/([^/?]+)"") &amp; """""","""),"""dkcdmdpcapjlaoioeenamjdanpeehjan"",")</f>
        <v>"dkcdmdpcapjlaoioeenamjdanpeehjan",</v>
      </c>
    </row>
    <row r="1207">
      <c r="A1207" s="4" t="s">
        <v>20389</v>
      </c>
      <c r="B1207" s="4" t="s">
        <v>2407</v>
      </c>
      <c r="C1207" s="16" t="str">
        <f>IFERROR(__xludf.DUMMYFUNCTION(""""""""" &amp; REGEXEXTRACT(B1207, ""/detail/([^/?]+)"") &amp; """""","""),"""dkhjafbceiceaidnbbilhphhkanlpkkj"",")</f>
        <v>"dkhjafbceiceaidnbbilhphhkanlpkkj",</v>
      </c>
    </row>
    <row r="1208">
      <c r="A1208" s="4" t="s">
        <v>20390</v>
      </c>
      <c r="B1208" s="4" t="s">
        <v>2409</v>
      </c>
      <c r="C1208" s="16" t="str">
        <f>IFERROR(__xludf.DUMMYFUNCTION(""""""""" &amp; REGEXEXTRACT(B1208, ""/detail/([^/?]+)"") &amp; """""","""),"""dkpfcdajmlidnigklffoploblagkncic"",")</f>
        <v>"dkpfcdajmlidnigklffoploblagkncic",</v>
      </c>
    </row>
    <row r="1209">
      <c r="A1209" s="4" t="s">
        <v>20391</v>
      </c>
      <c r="B1209" s="4" t="s">
        <v>2411</v>
      </c>
      <c r="C1209" s="16" t="str">
        <f>IFERROR(__xludf.DUMMYFUNCTION(""""""""" &amp; REGEXEXTRACT(B1209, ""/detail/([^/?]+)"") &amp; """""","""),"""dliccfbpegdcmlflaidhhnloeofgdnce"",")</f>
        <v>"dliccfbpegdcmlflaidhhnloeofgdnce",</v>
      </c>
    </row>
    <row r="1210">
      <c r="A1210" s="4" t="s">
        <v>20392</v>
      </c>
      <c r="B1210" s="4" t="s">
        <v>2413</v>
      </c>
      <c r="C1210" s="16" t="str">
        <f>IFERROR(__xludf.DUMMYFUNCTION(""""""""" &amp; REGEXEXTRACT(B1210, ""/detail/([^/?]+)"") &amp; """""","""),"""dmcinkkljkjjdagmegjedmdhbcdmkjlo"",")</f>
        <v>"dmcinkkljkjjdagmegjedmdhbcdmkjlo",</v>
      </c>
    </row>
    <row r="1211">
      <c r="A1211" s="4" t="s">
        <v>20393</v>
      </c>
      <c r="B1211" s="4" t="s">
        <v>2415</v>
      </c>
      <c r="C1211" s="16" t="str">
        <f>IFERROR(__xludf.DUMMYFUNCTION(""""""""" &amp; REGEXEXTRACT(B1211, ""/detail/([^/?]+)"") &amp; """""","""),"""dmkcmgmggijjopmhdikolbkanjbilljc"",")</f>
        <v>"dmkcmgmggijjopmhdikolbkanjbilljc",</v>
      </c>
    </row>
    <row r="1212">
      <c r="A1212" s="4" t="s">
        <v>20394</v>
      </c>
      <c r="B1212" s="4" t="s">
        <v>2417</v>
      </c>
      <c r="C1212" s="16" t="str">
        <f>IFERROR(__xludf.DUMMYFUNCTION(""""""""" &amp; REGEXEXTRACT(B1212, ""/detail/([^/?]+)"") &amp; """""","""),"""dmlgmehijaodgkkooghkknjjkddahmej"",")</f>
        <v>"dmlgmehijaodgkkooghkknjjkddahmej",</v>
      </c>
    </row>
    <row r="1213">
      <c r="A1213" s="4" t="s">
        <v>20395</v>
      </c>
      <c r="B1213" s="4" t="s">
        <v>2419</v>
      </c>
      <c r="C1213" s="16" t="str">
        <f>IFERROR(__xludf.DUMMYFUNCTION(""""""""" &amp; REGEXEXTRACT(B1213, ""/detail/([^/?]+)"") &amp; """""","""),"""dmpakmbfgeobalplhoohnkjenhkfadbg"",")</f>
        <v>"dmpakmbfgeobalplhoohnkjenhkfadbg",</v>
      </c>
    </row>
    <row r="1214">
      <c r="A1214" s="4" t="s">
        <v>20396</v>
      </c>
      <c r="B1214" s="4" t="s">
        <v>2421</v>
      </c>
      <c r="C1214" s="16" t="str">
        <f>IFERROR(__xludf.DUMMYFUNCTION(""""""""" &amp; REGEXEXTRACT(B1214, ""/detail/([^/?]+)"") &amp; """""","""),"""dnbilpdheddjgnakieihlflcolbeenda"",")</f>
        <v>"dnbilpdheddjgnakieihlflcolbeenda",</v>
      </c>
    </row>
    <row r="1215">
      <c r="A1215" s="4" t="s">
        <v>20397</v>
      </c>
      <c r="B1215" s="4" t="s">
        <v>2423</v>
      </c>
      <c r="C1215" s="16" t="str">
        <f>IFERROR(__xludf.DUMMYFUNCTION(""""""""" &amp; REGEXEXTRACT(B1215, ""/detail/([^/?]+)"") &amp; """""","""),"""dncilinodjpgloajbdolfcjjlhokbdan"",")</f>
        <v>"dncilinodjpgloajbdolfcjjlhokbdan",</v>
      </c>
    </row>
    <row r="1216">
      <c r="A1216" s="4" t="s">
        <v>20398</v>
      </c>
      <c r="B1216" s="4" t="s">
        <v>2425</v>
      </c>
      <c r="C1216" s="16" t="str">
        <f>IFERROR(__xludf.DUMMYFUNCTION(""""""""" &amp; REGEXEXTRACT(B1216, ""/detail/([^/?]+)"") &amp; """""","""),"""dnioinfbhmclclfdbcnlfgbojdpdicde"",")</f>
        <v>"dnioinfbhmclclfdbcnlfgbojdpdicde",</v>
      </c>
    </row>
    <row r="1217">
      <c r="A1217" s="4" t="s">
        <v>20399</v>
      </c>
      <c r="B1217" s="4" t="s">
        <v>2427</v>
      </c>
      <c r="C1217" s="16" t="str">
        <f>IFERROR(__xludf.DUMMYFUNCTION(""""""""" &amp; REGEXEXTRACT(B1217, ""/detail/([^/?]+)"") &amp; """""","""),"""dnjnjakimfpdaahjpakjjbobnfbjnjmb"",")</f>
        <v>"dnjnjakimfpdaahjpakjjbobnfbjnjmb",</v>
      </c>
    </row>
    <row r="1218">
      <c r="A1218" s="4" t="s">
        <v>20400</v>
      </c>
      <c r="B1218" s="4" t="s">
        <v>2429</v>
      </c>
      <c r="C1218" s="16" t="str">
        <f>IFERROR(__xludf.DUMMYFUNCTION(""""""""" &amp; REGEXEXTRACT(B1218, ""/detail/([^/?]+)"") &amp; """""","""),"""dnkjinhmoohpidjdgehjbglmgbngnknl"",")</f>
        <v>"dnkjinhmoohpidjdgehjbglmgbngnknl",</v>
      </c>
    </row>
    <row r="1219">
      <c r="A1219" s="4" t="s">
        <v>20401</v>
      </c>
      <c r="B1219" s="4" t="s">
        <v>2431</v>
      </c>
      <c r="C1219" s="16" t="str">
        <f>IFERROR(__xludf.DUMMYFUNCTION(""""""""" &amp; REGEXEXTRACT(B1219, ""/detail/([^/?]+)"") &amp; """""","""),"""doagleaopbffngpffnmnajoiablpakfj"",")</f>
        <v>"doagleaopbffngpffnmnajoiablpakfj",</v>
      </c>
    </row>
    <row r="1220">
      <c r="A1220" s="4" t="s">
        <v>20402</v>
      </c>
      <c r="B1220" s="4" t="s">
        <v>2433</v>
      </c>
      <c r="C1220" s="16" t="str">
        <f>IFERROR(__xludf.DUMMYFUNCTION(""""""""" &amp; REGEXEXTRACT(B1220, ""/detail/([^/?]+)"") &amp; """""","""),"""dofilojkogcnamnghamnjdgjkhgbledc"",")</f>
        <v>"dofilojkogcnamnghamnjdgjkhgbledc",</v>
      </c>
    </row>
    <row r="1221">
      <c r="A1221" s="4" t="s">
        <v>20403</v>
      </c>
      <c r="B1221" s="4" t="s">
        <v>2435</v>
      </c>
      <c r="C1221" s="16" t="str">
        <f>IFERROR(__xludf.DUMMYFUNCTION(""""""""" &amp; REGEXEXTRACT(B1221, ""/detail/([^/?]+)"") &amp; """""","""),"""dpbboilcojikdnfpponljmiohnhdjcaj"",")</f>
        <v>"dpbboilcojikdnfpponljmiohnhdjcaj",</v>
      </c>
    </row>
    <row r="1222">
      <c r="A1222" s="4" t="s">
        <v>20404</v>
      </c>
      <c r="B1222" s="4" t="s">
        <v>2437</v>
      </c>
      <c r="C1222" s="16" t="str">
        <f>IFERROR(__xludf.DUMMYFUNCTION(""""""""" &amp; REGEXEXTRACT(B1222, ""/detail/([^/?]+)"") &amp; """""","""),"""dpdcofblfbmmnikcbmmiakkclocadjab"",")</f>
        <v>"dpdcofblfbmmnikcbmmiakkclocadjab",</v>
      </c>
    </row>
    <row r="1223">
      <c r="A1223" s="4" t="s">
        <v>20405</v>
      </c>
      <c r="B1223" s="4" t="s">
        <v>2439</v>
      </c>
      <c r="C1223" s="16" t="str">
        <f>IFERROR(__xludf.DUMMYFUNCTION(""""""""" &amp; REGEXEXTRACT(B1223, ""/detail/([^/?]+)"") &amp; """""","""),"""dpjkpdelbaahkeeoeppmgkbliipjcnpm"",")</f>
        <v>"dpjkpdelbaahkeeoeppmgkbliipjcnpm",</v>
      </c>
    </row>
    <row r="1224">
      <c r="A1224" s="4" t="s">
        <v>20406</v>
      </c>
      <c r="B1224" s="4" t="s">
        <v>2441</v>
      </c>
      <c r="C1224" s="16" t="str">
        <f>IFERROR(__xludf.DUMMYFUNCTION(""""""""" &amp; REGEXEXTRACT(B1224, ""/detail/([^/?]+)"") &amp; """""","""),"""dpjloclnedokpfjlolaebpbaclbdigon"",")</f>
        <v>"dpjloclnedokpfjlolaebpbaclbdigon",</v>
      </c>
    </row>
    <row r="1225">
      <c r="A1225" s="4" t="s">
        <v>20407</v>
      </c>
      <c r="B1225" s="4" t="s">
        <v>2443</v>
      </c>
      <c r="C1225" s="16" t="str">
        <f>IFERROR(__xludf.DUMMYFUNCTION(""""""""" &amp; REGEXEXTRACT(B1225, ""/detail/([^/?]+)"") &amp; """""","""),"""eadmnplpcakhnmjbaioeholpakbknhgc"",")</f>
        <v>"eadmnplpcakhnmjbaioeholpakbknhgc",</v>
      </c>
    </row>
    <row r="1226">
      <c r="A1226" s="4" t="s">
        <v>20408</v>
      </c>
      <c r="B1226" s="4" t="s">
        <v>2445</v>
      </c>
      <c r="C1226" s="16" t="str">
        <f>IFERROR(__xludf.DUMMYFUNCTION(""""""""" &amp; REGEXEXTRACT(B1226, ""/detail/([^/?]+)"") &amp; """""","""),"""eaiohlimbkhifknljidephnpadioaiab"",")</f>
        <v>"eaiohlimbkhifknljidephnpadioaiab",</v>
      </c>
    </row>
    <row r="1227">
      <c r="A1227" s="4" t="s">
        <v>20409</v>
      </c>
      <c r="B1227" s="4" t="s">
        <v>2447</v>
      </c>
      <c r="C1227" s="16" t="str">
        <f>IFERROR(__xludf.DUMMYFUNCTION(""""""""" &amp; REGEXEXTRACT(B1227, ""/detail/([^/?]+)"") &amp; """""","""),"""eamjklppekpngnnlgdnefdefagpmddfi"",")</f>
        <v>"eamjklppekpngnnlgdnefdefagpmddfi",</v>
      </c>
    </row>
    <row r="1228">
      <c r="A1228" s="4" t="s">
        <v>20410</v>
      </c>
      <c r="B1228" s="4" t="s">
        <v>2449</v>
      </c>
      <c r="C1228" s="16" t="str">
        <f>IFERROR(__xludf.DUMMYFUNCTION(""""""""" &amp; REGEXEXTRACT(B1228, ""/detail/([^/?]+)"") &amp; """""","""),"""eanaofphbanknlngejejepmfomkjaiic"",")</f>
        <v>"eanaofphbanknlngejejepmfomkjaiic",</v>
      </c>
    </row>
    <row r="1229">
      <c r="A1229" s="4" t="s">
        <v>20411</v>
      </c>
      <c r="B1229" s="4" t="s">
        <v>2451</v>
      </c>
      <c r="C1229" s="16" t="str">
        <f>IFERROR(__xludf.DUMMYFUNCTION(""""""""" &amp; REGEXEXTRACT(B1229, ""/detail/([^/?]+)"") &amp; """""","""),"""ebcjlgcgbldnoopenkicjmfoapcnnlbp"",")</f>
        <v>"ebcjlgcgbldnoopenkicjmfoapcnnlbp",</v>
      </c>
    </row>
    <row r="1230">
      <c r="A1230" s="4" t="s">
        <v>20412</v>
      </c>
      <c r="B1230" s="4" t="s">
        <v>2453</v>
      </c>
      <c r="C1230" s="16" t="str">
        <f>IFERROR(__xludf.DUMMYFUNCTION(""""""""" &amp; REGEXEXTRACT(B1230, ""/detail/([^/?]+)"") &amp; """""","""),"""ebiododddhjccikhminneafpoppneknc"",")</f>
        <v>"ebiododddhjccikhminneafpoppneknc",</v>
      </c>
    </row>
    <row r="1231">
      <c r="A1231" s="4" t="s">
        <v>20413</v>
      </c>
      <c r="B1231" s="4" t="s">
        <v>2455</v>
      </c>
      <c r="C1231" s="16" t="str">
        <f>IFERROR(__xludf.DUMMYFUNCTION(""""""""" &amp; REGEXEXTRACT(B1231, ""/detail/([^/?]+)"") &amp; """""","""),"""ebpiggoccjgdoecccbcmenmbcnoldalf"",")</f>
        <v>"ebpiggoccjgdoecccbcmenmbcnoldalf",</v>
      </c>
    </row>
    <row r="1232">
      <c r="A1232" s="4" t="s">
        <v>20414</v>
      </c>
      <c r="B1232" s="4" t="s">
        <v>2457</v>
      </c>
      <c r="C1232" s="16" t="str">
        <f>IFERROR(__xludf.DUMMYFUNCTION(""""""""" &amp; REGEXEXTRACT(B1232, ""/detail/([^/?]+)"") &amp; """""","""),"""eceddpnnjbmalmmfedklfemafpnbmdfb"",")</f>
        <v>"eceddpnnjbmalmmfedklfemafpnbmdfb",</v>
      </c>
    </row>
    <row r="1233">
      <c r="A1233" s="4" t="s">
        <v>20415</v>
      </c>
      <c r="B1233" s="4" t="s">
        <v>2459</v>
      </c>
      <c r="C1233" s="16" t="str">
        <f>IFERROR(__xludf.DUMMYFUNCTION(""""""""" &amp; REGEXEXTRACT(B1233, ""/detail/([^/?]+)"") &amp; """""","""),"""edkcmflbdogcbjahoblehnlonjedkmoh"",")</f>
        <v>"edkcmflbdogcbjahoblehnlonjedkmoh",</v>
      </c>
    </row>
    <row r="1234">
      <c r="A1234" s="4" t="s">
        <v>20416</v>
      </c>
      <c r="B1234" s="4" t="s">
        <v>2461</v>
      </c>
      <c r="C1234" s="16" t="str">
        <f>IFERROR(__xludf.DUMMYFUNCTION(""""""""" &amp; REGEXEXTRACT(B1234, ""/detail/([^/?]+)"") &amp; """""","""),"""edkcmfocepnifkbnbkmlcmegedeikdeb"",")</f>
        <v>"edkcmfocepnifkbnbkmlcmegedeikdeb",</v>
      </c>
    </row>
    <row r="1235">
      <c r="A1235" s="4" t="s">
        <v>20417</v>
      </c>
      <c r="B1235" s="4" t="s">
        <v>2463</v>
      </c>
      <c r="C1235" s="16" t="str">
        <f>IFERROR(__xludf.DUMMYFUNCTION(""""""""" &amp; REGEXEXTRACT(B1235, ""/detail/([^/?]+)"") &amp; """""","""),"""edmehlbdajlhcbpadjphafonmgoocogh"",")</f>
        <v>"edmehlbdajlhcbpadjphafonmgoocogh",</v>
      </c>
    </row>
    <row r="1236">
      <c r="A1236" s="4" t="s">
        <v>20418</v>
      </c>
      <c r="B1236" s="4" t="s">
        <v>2465</v>
      </c>
      <c r="C1236" s="16" t="str">
        <f>IFERROR(__xludf.DUMMYFUNCTION(""""""""" &amp; REGEXEXTRACT(B1236, ""/detail/([^/?]+)"") &amp; """""","""),"""eecfoibnnhheckhfokpihgefmlnenofb"",")</f>
        <v>"eecfoibnnhheckhfokpihgefmlnenofb",</v>
      </c>
    </row>
    <row r="1237">
      <c r="A1237" s="4" t="s">
        <v>20419</v>
      </c>
      <c r="B1237" s="4" t="s">
        <v>2467</v>
      </c>
      <c r="C1237" s="16" t="str">
        <f>IFERROR(__xludf.DUMMYFUNCTION(""""""""" &amp; REGEXEXTRACT(B1237, ""/detail/([^/?]+)"") &amp; """""","""),"""eeedcpdcehnikgkhbobmkjcipjhlbmpn"",")</f>
        <v>"eeedcpdcehnikgkhbobmkjcipjhlbmpn",</v>
      </c>
    </row>
    <row r="1238">
      <c r="A1238" s="4" t="s">
        <v>20420</v>
      </c>
      <c r="B1238" s="4" t="s">
        <v>2469</v>
      </c>
      <c r="C1238" s="16" t="str">
        <f>IFERROR(__xludf.DUMMYFUNCTION(""""""""" &amp; REGEXEXTRACT(B1238, ""/detail/([^/?]+)"") &amp; """""","""),"""eemleifbnibgnoifdjohpchdemidjibj"",")</f>
        <v>"eemleifbnibgnoifdjohpchdemidjibj",</v>
      </c>
    </row>
    <row r="1239">
      <c r="A1239" s="4" t="s">
        <v>20421</v>
      </c>
      <c r="B1239" s="4" t="s">
        <v>2471</v>
      </c>
      <c r="C1239" s="16" t="str">
        <f>IFERROR(__xludf.DUMMYFUNCTION(""""""""" &amp; REGEXEXTRACT(B1239, ""/detail/([^/?]+)"") &amp; """""","""),"""efablgbmhenlnbblbdijphjkobelffib"",")</f>
        <v>"efablgbmhenlnbblbdijphjkobelffib",</v>
      </c>
    </row>
    <row r="1240">
      <c r="A1240" s="4" t="s">
        <v>20422</v>
      </c>
      <c r="B1240" s="4" t="s">
        <v>2473</v>
      </c>
      <c r="C1240" s="16" t="str">
        <f>IFERROR(__xludf.DUMMYFUNCTION(""""""""" &amp; REGEXEXTRACT(B1240, ""/detail/([^/?]+)"") &amp; """""","""),"""efcahpjiijlbojmfmaceicchnhkgdkje"",")</f>
        <v>"efcahpjiijlbojmfmaceicchnhkgdkje",</v>
      </c>
    </row>
    <row r="1241">
      <c r="A1241" s="4" t="s">
        <v>20423</v>
      </c>
      <c r="B1241" s="4" t="s">
        <v>2475</v>
      </c>
      <c r="C1241" s="16" t="str">
        <f>IFERROR(__xludf.DUMMYFUNCTION(""""""""" &amp; REGEXEXTRACT(B1241, ""/detail/([^/?]+)"") &amp; """""","""),"""efeejpljhmnlmccjklepacdpmjgmhieg"",")</f>
        <v>"efeejpljhmnlmccjklepacdpmjgmhieg",</v>
      </c>
    </row>
    <row r="1242">
      <c r="A1242" s="4" t="s">
        <v>20424</v>
      </c>
      <c r="B1242" s="4" t="s">
        <v>2477</v>
      </c>
      <c r="C1242" s="16" t="str">
        <f>IFERROR(__xludf.DUMMYFUNCTION(""""""""" &amp; REGEXEXTRACT(B1242, ""/detail/([^/?]+)"") &amp; """""","""),"""efjgjleilhflffpbnkaofpmdnajdpepi"",")</f>
        <v>"efjgjleilhflffpbnkaofpmdnajdpepi",</v>
      </c>
    </row>
    <row r="1243">
      <c r="A1243" s="4" t="s">
        <v>20425</v>
      </c>
      <c r="B1243" s="4" t="s">
        <v>2479</v>
      </c>
      <c r="C1243" s="16" t="str">
        <f>IFERROR(__xludf.DUMMYFUNCTION(""""""""" &amp; REGEXEXTRACT(B1243, ""/detail/([^/?]+)"") &amp; """""","""),"""efjjgphedlaihnlgaibiaihhmhaejjdd"",")</f>
        <v>"efjjgphedlaihnlgaibiaihhmhaejjdd",</v>
      </c>
    </row>
    <row r="1244">
      <c r="A1244" s="4" t="s">
        <v>20426</v>
      </c>
      <c r="B1244" s="4" t="s">
        <v>2481</v>
      </c>
      <c r="C1244" s="16" t="str">
        <f>IFERROR(__xludf.DUMMYFUNCTION(""""""""" &amp; REGEXEXTRACT(B1244, ""/detail/([^/?]+)"") &amp; """""","""),"""eflnfgjcfmhdpcaadiimlmclcmjpeaki"",")</f>
        <v>"eflnfgjcfmhdpcaadiimlmclcmjpeaki",</v>
      </c>
    </row>
    <row r="1245">
      <c r="A1245" s="4" t="s">
        <v>20427</v>
      </c>
      <c r="B1245" s="4" t="s">
        <v>2483</v>
      </c>
      <c r="C1245" s="16" t="str">
        <f>IFERROR(__xludf.DUMMYFUNCTION(""""""""" &amp; REGEXEXTRACT(B1245, ""/detail/([^/?]+)"") &amp; """""","""),"""egdlgaljianpgdlmfijpphbadibfncdm"",")</f>
        <v>"egdlgaljianpgdlmfijpphbadibfncdm",</v>
      </c>
    </row>
    <row r="1246">
      <c r="A1246" s="4" t="s">
        <v>20428</v>
      </c>
      <c r="B1246" s="4" t="s">
        <v>2485</v>
      </c>
      <c r="C1246" s="16" t="str">
        <f>IFERROR(__xludf.DUMMYFUNCTION(""""""""" &amp; REGEXEXTRACT(B1246, ""/detail/([^/?]+)"") &amp; """""","""),"""egkhfllhmjihbfnkikpnbeeakllbobjl"",")</f>
        <v>"egkhfllhmjihbfnkikpnbeeakllbobjl",</v>
      </c>
    </row>
    <row r="1247">
      <c r="A1247" s="4" t="s">
        <v>20429</v>
      </c>
      <c r="B1247" s="4" t="s">
        <v>2487</v>
      </c>
      <c r="C1247" s="16" t="str">
        <f>IFERROR(__xludf.DUMMYFUNCTION(""""""""" &amp; REGEXEXTRACT(B1247, ""/detail/([^/?]+)"") &amp; """""","""),"""egncijpdipioeknebabimpinkohpnlkj"",")</f>
        <v>"egncijpdipioeknebabimpinkohpnlkj",</v>
      </c>
    </row>
    <row r="1248">
      <c r="A1248" s="4" t="s">
        <v>20430</v>
      </c>
      <c r="B1248" s="4" t="s">
        <v>2489</v>
      </c>
      <c r="C1248" s="16" t="str">
        <f>IFERROR(__xludf.DUMMYFUNCTION(""""""""" &amp; REGEXEXTRACT(B1248, ""/detail/([^/?]+)"") &amp; """""","""),"""ehbjiffeoicjoibcmcadogclcbagjhjf"",")</f>
        <v>"ehbjiffeoicjoibcmcadogclcbagjhjf",</v>
      </c>
    </row>
    <row r="1249">
      <c r="A1249" s="4" t="s">
        <v>20431</v>
      </c>
      <c r="B1249" s="4" t="s">
        <v>2491</v>
      </c>
      <c r="C1249" s="16" t="str">
        <f>IFERROR(__xludf.DUMMYFUNCTION(""""""""" &amp; REGEXEXTRACT(B1249, ""/detail/([^/?]+)"") &amp; """""","""),"""ehcpkbhefjnefdkdoaahbafdohheeidn"",")</f>
        <v>"ehcpkbhefjnefdkdoaahbafdohheeidn",</v>
      </c>
    </row>
    <row r="1250">
      <c r="A1250" s="4" t="s">
        <v>20432</v>
      </c>
      <c r="B1250" s="4" t="s">
        <v>2493</v>
      </c>
      <c r="C1250" s="16" t="str">
        <f>IFERROR(__xludf.DUMMYFUNCTION(""""""""" &amp; REGEXEXTRACT(B1250, ""/detail/([^/?]+)"") &amp; """""","""),"""ehhhlpdgplkjdcgodmkgonnjhpkdiilc"",")</f>
        <v>"ehhhlpdgplkjdcgodmkgonnjhpkdiilc",</v>
      </c>
    </row>
    <row r="1251">
      <c r="A1251" s="4" t="s">
        <v>20433</v>
      </c>
      <c r="B1251" s="4" t="s">
        <v>2495</v>
      </c>
      <c r="C1251" s="16" t="str">
        <f>IFERROR(__xludf.DUMMYFUNCTION(""""""""" &amp; REGEXEXTRACT(B1251, ""/detail/([^/?]+)"") &amp; """""","""),"""ehpomalhbdabpiijhpbcpfjiihnjhnmg"",")</f>
        <v>"ehpomalhbdabpiijhpbcpfjiihnjhnmg",</v>
      </c>
    </row>
    <row r="1252">
      <c r="A1252" s="4" t="s">
        <v>20434</v>
      </c>
      <c r="B1252" s="4" t="s">
        <v>2497</v>
      </c>
      <c r="C1252" s="16" t="str">
        <f>IFERROR(__xludf.DUMMYFUNCTION(""""""""" &amp; REGEXEXTRACT(B1252, ""/detail/([^/?]+)"") &amp; """""","""),"""eiciglkcdnhlihjhlappkgbpbimejemb"",")</f>
        <v>"eiciglkcdnhlihjhlappkgbpbimejemb",</v>
      </c>
    </row>
    <row r="1253">
      <c r="A1253" s="4" t="s">
        <v>20435</v>
      </c>
      <c r="B1253" s="4" t="s">
        <v>2499</v>
      </c>
      <c r="C1253" s="16" t="str">
        <f>IFERROR(__xludf.DUMMYFUNCTION(""""""""" &amp; REGEXEXTRACT(B1253, ""/detail/([^/?]+)"") &amp; """""","""),"""eimhlfnbjllicocigjdalpodkokffbmm"",")</f>
        <v>"eimhlfnbjllicocigjdalpodkokffbmm",</v>
      </c>
    </row>
    <row r="1254">
      <c r="A1254" s="4" t="s">
        <v>20436</v>
      </c>
      <c r="B1254" s="4" t="s">
        <v>2501</v>
      </c>
      <c r="C1254" s="16" t="str">
        <f>IFERROR(__xludf.DUMMYFUNCTION(""""""""" &amp; REGEXEXTRACT(B1254, ""/detail/([^/?]+)"") &amp; """""","""),"""einlemfghikkfamnllmhiomaaneefepc"",")</f>
        <v>"einlemfghikkfamnllmhiomaaneefepc",</v>
      </c>
    </row>
    <row r="1255">
      <c r="A1255" s="4" t="s">
        <v>20437</v>
      </c>
      <c r="B1255" s="4" t="s">
        <v>2503</v>
      </c>
      <c r="C1255" s="16" t="str">
        <f>IFERROR(__xludf.DUMMYFUNCTION(""""""""" &amp; REGEXEXTRACT(B1255, ""/detail/([^/?]+)"") &amp; """""","""),"""eiofnhinpddbbdledofboplbdobmdane"",")</f>
        <v>"eiofnhinpddbbdledofboplbdobmdane",</v>
      </c>
    </row>
    <row r="1256">
      <c r="A1256" s="4" t="s">
        <v>20438</v>
      </c>
      <c r="B1256" s="4" t="s">
        <v>2505</v>
      </c>
      <c r="C1256" s="16" t="str">
        <f>IFERROR(__xludf.DUMMYFUNCTION(""""""""" &amp; REGEXEXTRACT(B1256, ""/detail/([^/?]+)"") &amp; """""","""),"""ekdikahbgfofidpjnldofcelffahiefl"",")</f>
        <v>"ekdikahbgfofidpjnldofcelffahiefl",</v>
      </c>
    </row>
    <row r="1257">
      <c r="A1257" s="4" t="s">
        <v>20439</v>
      </c>
      <c r="B1257" s="4" t="s">
        <v>2507</v>
      </c>
      <c r="C1257" s="16" t="str">
        <f>IFERROR(__xludf.DUMMYFUNCTION(""""""""" &amp; REGEXEXTRACT(B1257, ""/detail/([^/?]+)"") &amp; """""","""),"""ekkjohcjbjcjjifokpingdbdlfekjcgi"",")</f>
        <v>"ekkjohcjbjcjjifokpingdbdlfekjcgi",</v>
      </c>
    </row>
    <row r="1258">
      <c r="A1258" s="4" t="s">
        <v>20440</v>
      </c>
      <c r="B1258" s="4" t="s">
        <v>2509</v>
      </c>
      <c r="C1258" s="16" t="str">
        <f>IFERROR(__xludf.DUMMYFUNCTION(""""""""" &amp; REGEXEXTRACT(B1258, ""/detail/([^/?]+)"") &amp; """""","""),"""ekoddcneeknhkipabocnmcdfahbfinln"",")</f>
        <v>"ekoddcneeknhkipabocnmcdfahbfinln",</v>
      </c>
    </row>
    <row r="1259">
      <c r="A1259" s="4" t="s">
        <v>20441</v>
      </c>
      <c r="B1259" s="4" t="s">
        <v>2511</v>
      </c>
      <c r="C1259" s="16" t="str">
        <f>IFERROR(__xludf.DUMMYFUNCTION(""""""""" &amp; REGEXEXTRACT(B1259, ""/detail/([^/?]+)"") &amp; """""","""),"""ekopmclclddpoipchmcbhifohhbmjafd"",")</f>
        <v>"ekopmclclddpoipchmcbhifohhbmjafd",</v>
      </c>
    </row>
    <row r="1260">
      <c r="A1260" s="4" t="s">
        <v>20442</v>
      </c>
      <c r="B1260" s="4" t="s">
        <v>2513</v>
      </c>
      <c r="C1260" s="16" t="str">
        <f>IFERROR(__xludf.DUMMYFUNCTION(""""""""" &amp; REGEXEXTRACT(B1260, ""/detail/([^/?]+)"") &amp; """""","""),"""ekpegdfbihlbocepglfimeodnpiohcba"",")</f>
        <v>"ekpegdfbihlbocepglfimeodnpiohcba",</v>
      </c>
    </row>
    <row r="1261">
      <c r="A1261" s="4" t="s">
        <v>20443</v>
      </c>
      <c r="B1261" s="4" t="s">
        <v>2515</v>
      </c>
      <c r="C1261" s="16" t="str">
        <f>IFERROR(__xludf.DUMMYFUNCTION(""""""""" &amp; REGEXEXTRACT(B1261, ""/detail/([^/?]+)"") &amp; """""","""),"""elcnpdohkiddfbelgemgkpibmmnjhjni"",")</f>
        <v>"elcnpdohkiddfbelgemgkpibmmnjhjni",</v>
      </c>
    </row>
    <row r="1262">
      <c r="A1262" s="4" t="s">
        <v>20444</v>
      </c>
      <c r="B1262" s="4" t="s">
        <v>2517</v>
      </c>
      <c r="C1262" s="16" t="str">
        <f>IFERROR(__xludf.DUMMYFUNCTION(""""""""" &amp; REGEXEXTRACT(B1262, ""/detail/([^/?]+)"") &amp; """""","""),"""elhdjgjjmodgmhkokebhegekjooiaofm"",")</f>
        <v>"elhdjgjjmodgmhkokebhegekjooiaofm",</v>
      </c>
    </row>
    <row r="1263">
      <c r="A1263" s="4" t="s">
        <v>20445</v>
      </c>
      <c r="B1263" s="4" t="s">
        <v>2519</v>
      </c>
      <c r="C1263" s="16" t="str">
        <f>IFERROR(__xludf.DUMMYFUNCTION(""""""""" &amp; REGEXEXTRACT(B1263, ""/detail/([^/?]+)"") &amp; """""","""),"""elhgcjjhibcbkocpdklcmlhomhcbfonp"",")</f>
        <v>"elhgcjjhibcbkocpdklcmlhomhcbfonp",</v>
      </c>
    </row>
    <row r="1264">
      <c r="A1264" s="4" t="s">
        <v>20446</v>
      </c>
      <c r="B1264" s="4" t="s">
        <v>2521</v>
      </c>
      <c r="C1264" s="16" t="str">
        <f>IFERROR(__xludf.DUMMYFUNCTION(""""""""" &amp; REGEXEXTRACT(B1264, ""/detail/([^/?]+)"") &amp; """""","""),"""emiplbkkiabideffmpogkbbogkmofgph"",")</f>
        <v>"emiplbkkiabideffmpogkbbogkmofgph",</v>
      </c>
    </row>
    <row r="1265">
      <c r="A1265" s="4" t="s">
        <v>20447</v>
      </c>
      <c r="B1265" s="4" t="s">
        <v>2523</v>
      </c>
      <c r="C1265" s="16" t="str">
        <f>IFERROR(__xludf.DUMMYFUNCTION(""""""""" &amp; REGEXEXTRACT(B1265, ""/detail/([^/?]+)"") &amp; """""","""),"""emldbibkihanfiaiaghebffnbahjcgcp"",")</f>
        <v>"emldbibkihanfiaiaghebffnbahjcgcp",</v>
      </c>
    </row>
    <row r="1266">
      <c r="A1266" s="4" t="s">
        <v>20448</v>
      </c>
      <c r="B1266" s="4" t="s">
        <v>2525</v>
      </c>
      <c r="C1266" s="16" t="str">
        <f>IFERROR(__xludf.DUMMYFUNCTION(""""""""" &amp; REGEXEXTRACT(B1266, ""/detail/([^/?]+)"") &amp; """""","""),"""emlhjldmodkejoblhpbldpbddilijblk"",")</f>
        <v>"emlhjldmodkejoblhpbldpbddilijblk",</v>
      </c>
    </row>
    <row r="1267">
      <c r="A1267" s="4" t="s">
        <v>20449</v>
      </c>
      <c r="B1267" s="4" t="s">
        <v>2527</v>
      </c>
      <c r="C1267" s="16" t="str">
        <f>IFERROR(__xludf.DUMMYFUNCTION(""""""""" &amp; REGEXEXTRACT(B1267, ""/detail/([^/?]+)"") &amp; """""","""),"""emplldgagngbkepbhafkhcnlmjfjjbdp"",")</f>
        <v>"emplldgagngbkepbhafkhcnlmjfjjbdp",</v>
      </c>
    </row>
    <row r="1268">
      <c r="A1268" s="4" t="s">
        <v>20450</v>
      </c>
      <c r="B1268" s="4" t="s">
        <v>2529</v>
      </c>
      <c r="C1268" s="16" t="str">
        <f>IFERROR(__xludf.DUMMYFUNCTION(""""""""" &amp; REGEXEXTRACT(B1268, ""/detail/([^/?]+)"") &amp; """""","""),"""enejkfhimljloggnimhebadbjajhgkad"",")</f>
        <v>"enejkfhimljloggnimhebadbjajhgkad",</v>
      </c>
    </row>
    <row r="1269">
      <c r="A1269" s="4" t="s">
        <v>20451</v>
      </c>
      <c r="B1269" s="4" t="s">
        <v>2531</v>
      </c>
      <c r="C1269" s="16" t="str">
        <f>IFERROR(__xludf.DUMMYFUNCTION(""""""""" &amp; REGEXEXTRACT(B1269, ""/detail/([^/?]+)"") &amp; """""","""),"""enemipdanmallpjakiehedcgjmibjihj"",")</f>
        <v>"enemipdanmallpjakiehedcgjmibjihj",</v>
      </c>
    </row>
    <row r="1270">
      <c r="A1270" s="4" t="s">
        <v>20452</v>
      </c>
      <c r="B1270" s="4" t="s">
        <v>2533</v>
      </c>
      <c r="C1270" s="16" t="str">
        <f>IFERROR(__xludf.DUMMYFUNCTION(""""""""" &amp; REGEXEXTRACT(B1270, ""/detail/([^/?]+)"") &amp; """""","""),"""enggccnigdjpfjajmgicpdmbdfcecbfi"",")</f>
        <v>"enggccnigdjpfjajmgicpdmbdfcecbfi",</v>
      </c>
    </row>
    <row r="1271">
      <c r="A1271" s="4" t="s">
        <v>20453</v>
      </c>
      <c r="B1271" s="4" t="s">
        <v>2535</v>
      </c>
      <c r="C1271" s="16" t="str">
        <f>IFERROR(__xludf.DUMMYFUNCTION(""""""""" &amp; REGEXEXTRACT(B1271, ""/detail/([^/?]+)"") &amp; """""","""),"""engmocckoohpopiacajolojeobefbcec"",")</f>
        <v>"engmocckoohpopiacajolojeobefbcec",</v>
      </c>
    </row>
    <row r="1272">
      <c r="A1272" s="4" t="s">
        <v>20454</v>
      </c>
      <c r="B1272" s="4" t="s">
        <v>2537</v>
      </c>
      <c r="C1272" s="16" t="str">
        <f>IFERROR(__xludf.DUMMYFUNCTION(""""""""" &amp; REGEXEXTRACT(B1272, ""/detail/([^/?]+)"") &amp; """""","""),"""eobpccgcmekkhidcgneehbcgkmbmjiad"",")</f>
        <v>"eobpccgcmekkhidcgneehbcgkmbmjiad",</v>
      </c>
    </row>
    <row r="1273">
      <c r="A1273" s="4" t="s">
        <v>20455</v>
      </c>
      <c r="B1273" s="4" t="s">
        <v>2539</v>
      </c>
      <c r="C1273" s="16" t="str">
        <f>IFERROR(__xludf.DUMMYFUNCTION(""""""""" &amp; REGEXEXTRACT(B1273, ""/detail/([^/?]+)"") &amp; """""","""),"""eoefmbbcheodkhndmjkfjicobhiafano"",")</f>
        <v>"eoefmbbcheodkhndmjkfjicobhiafano",</v>
      </c>
    </row>
    <row r="1274">
      <c r="A1274" s="4" t="s">
        <v>20456</v>
      </c>
      <c r="B1274" s="4" t="s">
        <v>2541</v>
      </c>
      <c r="C1274" s="16" t="str">
        <f>IFERROR(__xludf.DUMMYFUNCTION(""""""""" &amp; REGEXEXTRACT(B1274, ""/detail/([^/?]+)"") &amp; """""","""),"""eognaopbbjmpompmibmllnddafjhbfdj"",")</f>
        <v>"eognaopbbjmpompmibmllnddafjhbfdj",</v>
      </c>
    </row>
    <row r="1275">
      <c r="A1275" s="4" t="s">
        <v>20457</v>
      </c>
      <c r="B1275" s="4" t="s">
        <v>2543</v>
      </c>
      <c r="C1275" s="16" t="str">
        <f>IFERROR(__xludf.DUMMYFUNCTION(""""""""" &amp; REGEXEXTRACT(B1275, ""/detail/([^/?]+)"") &amp; """""","""),"""eojkkpaoohebkdkplhjjcedcpkajlibe"",")</f>
        <v>"eojkkpaoohebkdkplhjjcedcpkajlibe",</v>
      </c>
    </row>
    <row r="1276">
      <c r="A1276" s="4" t="s">
        <v>20458</v>
      </c>
      <c r="B1276" s="4" t="s">
        <v>2545</v>
      </c>
      <c r="C1276" s="16" t="str">
        <f>IFERROR(__xludf.DUMMYFUNCTION(""""""""" &amp; REGEXEXTRACT(B1276, ""/detail/([^/?]+)"") &amp; """""","""),"""eomobieikegbkbaoobfcjjckhfkdgdlb"",")</f>
        <v>"eomobieikegbkbaoobfcjjckhfkdgdlb",</v>
      </c>
    </row>
    <row r="1277">
      <c r="A1277" s="4" t="s">
        <v>20459</v>
      </c>
      <c r="B1277" s="4" t="s">
        <v>2547</v>
      </c>
      <c r="C1277" s="16" t="str">
        <f>IFERROR(__xludf.DUMMYFUNCTION(""""""""" &amp; REGEXEXTRACT(B1277, ""/detail/([^/?]+)"") &amp; """""","""),"""epamkjmlhfiopklkjdenlbfdeiopgacf"",")</f>
        <v>"epamkjmlhfiopklkjdenlbfdeiopgacf",</v>
      </c>
    </row>
    <row r="1278">
      <c r="A1278" s="4" t="s">
        <v>20460</v>
      </c>
      <c r="B1278" s="4" t="s">
        <v>2549</v>
      </c>
      <c r="C1278" s="16" t="str">
        <f>IFERROR(__xludf.DUMMYFUNCTION(""""""""" &amp; REGEXEXTRACT(B1278, ""/detail/([^/?]+)"") &amp; """""","""),"""epgmnmcjdhapiojbohkkemlfkegmbebb"",")</f>
        <v>"epgmnmcjdhapiojbohkkemlfkegmbebb",</v>
      </c>
    </row>
    <row r="1279">
      <c r="A1279" s="4" t="s">
        <v>20461</v>
      </c>
      <c r="B1279" s="4" t="s">
        <v>2551</v>
      </c>
      <c r="C1279" s="16" t="str">
        <f>IFERROR(__xludf.DUMMYFUNCTION(""""""""" &amp; REGEXEXTRACT(B1279, ""/detail/([^/?]+)"") &amp; """""","""),"""eplindodloikpoelnafgdpjiebefecee"",")</f>
        <v>"eplindodloikpoelnafgdpjiebefecee",</v>
      </c>
    </row>
    <row r="1280">
      <c r="A1280" s="4" t="s">
        <v>20462</v>
      </c>
      <c r="B1280" s="4" t="s">
        <v>2553</v>
      </c>
      <c r="C1280" s="16" t="str">
        <f>IFERROR(__xludf.DUMMYFUNCTION(""""""""" &amp; REGEXEXTRACT(B1280, ""/detail/([^/?]+)"") &amp; """""","""),"""fabjnpecogealbfoebkcjfbmdhnnfhbj"",")</f>
        <v>"fabjnpecogealbfoebkcjfbmdhnnfhbj",</v>
      </c>
    </row>
    <row r="1281">
      <c r="A1281" s="4" t="s">
        <v>20463</v>
      </c>
      <c r="B1281" s="4" t="s">
        <v>2555</v>
      </c>
      <c r="C1281" s="16" t="str">
        <f>IFERROR(__xludf.DUMMYFUNCTION(""""""""" &amp; REGEXEXTRACT(B1281, ""/detail/([^/?]+)"") &amp; """""","""),"""fadlnhpmllgjcllbnpjdknlbnnpammlg"",")</f>
        <v>"fadlnhpmllgjcllbnpjdknlbnnpammlg",</v>
      </c>
    </row>
    <row r="1282">
      <c r="A1282" s="4" t="s">
        <v>20464</v>
      </c>
      <c r="B1282" s="4" t="s">
        <v>2557</v>
      </c>
      <c r="C1282" s="16" t="str">
        <f>IFERROR(__xludf.DUMMYFUNCTION(""""""""" &amp; REGEXEXTRACT(B1282, ""/detail/([^/?]+)"") &amp; """""","""),"""fafiooicgpgnicbbkfgimcofbhpcledk"",")</f>
        <v>"fafiooicgpgnicbbkfgimcofbhpcledk",</v>
      </c>
    </row>
    <row r="1283">
      <c r="A1283" s="4" t="s">
        <v>20465</v>
      </c>
      <c r="B1283" s="4" t="s">
        <v>2559</v>
      </c>
      <c r="C1283" s="16" t="str">
        <f>IFERROR(__xludf.DUMMYFUNCTION(""""""""" &amp; REGEXEXTRACT(B1283, ""/detail/([^/?]+)"") &amp; """""","""),"""famklkiljmbebjohjekddkmpicoepojf"",")</f>
        <v>"famklkiljmbebjohjekddkmpicoepojf",</v>
      </c>
    </row>
    <row r="1284">
      <c r="A1284" s="4" t="s">
        <v>20466</v>
      </c>
      <c r="B1284" s="4" t="s">
        <v>2561</v>
      </c>
      <c r="C1284" s="16" t="str">
        <f>IFERROR(__xludf.DUMMYFUNCTION(""""""""" &amp; REGEXEXTRACT(B1284, ""/detail/([^/?]+)"") &amp; """""","""),"""fbcdnjeoghampomjjaahjgjghdjdbbcj"",")</f>
        <v>"fbcdnjeoghampomjjaahjgjghdjdbbcj",</v>
      </c>
    </row>
    <row r="1285">
      <c r="A1285" s="4" t="s">
        <v>20467</v>
      </c>
      <c r="B1285" s="4" t="s">
        <v>2563</v>
      </c>
      <c r="C1285" s="16" t="str">
        <f>IFERROR(__xludf.DUMMYFUNCTION(""""""""" &amp; REGEXEXTRACT(B1285, ""/detail/([^/?]+)"") &amp; """""","""),"""fbgiiajhkmfpcfkdlfbbicfgkaaidfop"",")</f>
        <v>"fbgiiajhkmfpcfkdlfbbicfgkaaidfop",</v>
      </c>
    </row>
    <row r="1286">
      <c r="A1286" s="4" t="s">
        <v>20468</v>
      </c>
      <c r="B1286" s="4" t="s">
        <v>2565</v>
      </c>
      <c r="C1286" s="16" t="str">
        <f>IFERROR(__xludf.DUMMYFUNCTION(""""""""" &amp; REGEXEXTRACT(B1286, ""/detail/([^/?]+)"") &amp; """""","""),"""fbnocjfjcbbminbfklpioinjjofkobom"",")</f>
        <v>"fbnocjfjcbbminbfklpioinjjofkobom",</v>
      </c>
    </row>
    <row r="1287">
      <c r="A1287" s="4" t="s">
        <v>20469</v>
      </c>
      <c r="B1287" s="4" t="s">
        <v>2567</v>
      </c>
      <c r="C1287" s="16" t="str">
        <f>IFERROR(__xludf.DUMMYFUNCTION(""""""""" &amp; REGEXEXTRACT(B1287, ""/detail/([^/?]+)"") &amp; """""","""),"""fcglmegnjekkklhoomakhomlkghjpmcc"",")</f>
        <v>"fcglmegnjekkklhoomakhomlkghjpmcc",</v>
      </c>
    </row>
    <row r="1288">
      <c r="A1288" s="4" t="s">
        <v>20470</v>
      </c>
      <c r="B1288" s="4" t="s">
        <v>2569</v>
      </c>
      <c r="C1288" s="16" t="str">
        <f>IFERROR(__xludf.DUMMYFUNCTION(""""""""" &amp; REGEXEXTRACT(B1288, ""/detail/([^/?]+)"") &amp; """""","""),"""fcombecpigkkfcbfaeikoeegkmkjfbfm"",")</f>
        <v>"fcombecpigkkfcbfaeikoeegkmkjfbfm",</v>
      </c>
    </row>
    <row r="1289">
      <c r="A1289" s="4" t="s">
        <v>20471</v>
      </c>
      <c r="B1289" s="4" t="s">
        <v>2571</v>
      </c>
      <c r="C1289" s="16" t="str">
        <f>IFERROR(__xludf.DUMMYFUNCTION(""""""""" &amp; REGEXEXTRACT(B1289, ""/detail/([^/?]+)"") &amp; """""","""),"""fddffkdncgkkdjobemgbpojjeffmmofb"",")</f>
        <v>"fddffkdncgkkdjobemgbpojjeffmmofb",</v>
      </c>
    </row>
    <row r="1290">
      <c r="A1290" s="4" t="s">
        <v>20472</v>
      </c>
      <c r="B1290" s="4" t="s">
        <v>2573</v>
      </c>
      <c r="C1290" s="16" t="str">
        <f>IFERROR(__xludf.DUMMYFUNCTION(""""""""" &amp; REGEXEXTRACT(B1290, ""/detail/([^/?]+)"") &amp; """""","""),"""fdeopiliemdomncemeibjpmccgmnkfig"",")</f>
        <v>"fdeopiliemdomncemeibjpmccgmnkfig",</v>
      </c>
    </row>
    <row r="1291">
      <c r="A1291" s="4" t="s">
        <v>20473</v>
      </c>
      <c r="B1291" s="4" t="s">
        <v>2575</v>
      </c>
      <c r="C1291" s="16" t="str">
        <f>IFERROR(__xludf.DUMMYFUNCTION(""""""""" &amp; REGEXEXTRACT(B1291, ""/detail/([^/?]+)"") &amp; """""","""),"""fdlghnedhhdgjjfgdpgpaaiddipafhgk"",")</f>
        <v>"fdlghnedhhdgjjfgdpgpaaiddipafhgk",</v>
      </c>
    </row>
    <row r="1292">
      <c r="A1292" s="4" t="s">
        <v>20474</v>
      </c>
      <c r="B1292" s="4" t="s">
        <v>2577</v>
      </c>
      <c r="C1292" s="16" t="str">
        <f>IFERROR(__xludf.DUMMYFUNCTION(""""""""" &amp; REGEXEXTRACT(B1292, ""/detail/([^/?]+)"") &amp; """""","""),"""fdobpagoeokcdnpgdehandkpoabkibcj"",")</f>
        <v>"fdobpagoeokcdnpgdehandkpoabkibcj",</v>
      </c>
    </row>
    <row r="1293">
      <c r="A1293" s="4" t="s">
        <v>20475</v>
      </c>
      <c r="B1293" s="4" t="s">
        <v>2579</v>
      </c>
      <c r="C1293" s="16" t="str">
        <f>IFERROR(__xludf.DUMMYFUNCTION(""""""""" &amp; REGEXEXTRACT(B1293, ""/detail/([^/?]+)"") &amp; """""","""),"""ffboikeeabaiacihgbdinhcegeincpnh"",")</f>
        <v>"ffboikeeabaiacihgbdinhcegeincpnh",</v>
      </c>
    </row>
    <row r="1294">
      <c r="A1294" s="4" t="s">
        <v>20476</v>
      </c>
      <c r="B1294" s="4" t="s">
        <v>2581</v>
      </c>
      <c r="C1294" s="16" t="str">
        <f>IFERROR(__xludf.DUMMYFUNCTION(""""""""" &amp; REGEXEXTRACT(B1294, ""/detail/([^/?]+)"") &amp; """""","""),"""ffelghdomoehpceihalcnbmnodohkibj"",")</f>
        <v>"ffelghdomoehpceihalcnbmnodohkibj",</v>
      </c>
    </row>
    <row r="1295">
      <c r="A1295" s="4" t="s">
        <v>20477</v>
      </c>
      <c r="B1295" s="4" t="s">
        <v>2583</v>
      </c>
      <c r="C1295" s="16" t="str">
        <f>IFERROR(__xludf.DUMMYFUNCTION(""""""""" &amp; REGEXEXTRACT(B1295, ""/detail/([^/?]+)"") &amp; """""","""),"""ffhafkagcdhnhamiaecajogjcfgienom"",")</f>
        <v>"ffhafkagcdhnhamiaecajogjcfgienom",</v>
      </c>
    </row>
    <row r="1296">
      <c r="A1296" s="4" t="s">
        <v>20478</v>
      </c>
      <c r="B1296" s="4" t="s">
        <v>2585</v>
      </c>
      <c r="C1296" s="16" t="str">
        <f>IFERROR(__xludf.DUMMYFUNCTION(""""""""" &amp; REGEXEXTRACT(B1296, ""/detail/([^/?]+)"") &amp; """""","""),"""ffjgpapimgnmibnacmeilgjefnoofefp"",")</f>
        <v>"ffjgpapimgnmibnacmeilgjefnoofefp",</v>
      </c>
    </row>
    <row r="1297">
      <c r="A1297" s="4" t="s">
        <v>20479</v>
      </c>
      <c r="B1297" s="4" t="s">
        <v>2587</v>
      </c>
      <c r="C1297" s="16" t="str">
        <f>IFERROR(__xludf.DUMMYFUNCTION(""""""""" &amp; REGEXEXTRACT(B1297, ""/detail/([^/?]+)"") &amp; """""","""),"""ffoimglpkabojpaknlpodligjndnedji"",")</f>
        <v>"ffoimglpkabojpaknlpodligjndnedji",</v>
      </c>
    </row>
    <row r="1298">
      <c r="A1298" s="4" t="s">
        <v>20480</v>
      </c>
      <c r="B1298" s="4" t="s">
        <v>2589</v>
      </c>
      <c r="C1298" s="16" t="str">
        <f>IFERROR(__xludf.DUMMYFUNCTION(""""""""" &amp; REGEXEXTRACT(B1298, ""/detail/([^/?]+)"") &amp; """""","""),"""fgfklknfijhflahngajfoagmoilakebp"",")</f>
        <v>"fgfklknfijhflahngajfoagmoilakebp",</v>
      </c>
    </row>
    <row r="1299">
      <c r="A1299" s="4" t="s">
        <v>20481</v>
      </c>
      <c r="B1299" s="4" t="s">
        <v>2591</v>
      </c>
      <c r="C1299" s="16" t="str">
        <f>IFERROR(__xludf.DUMMYFUNCTION(""""""""" &amp; REGEXEXTRACT(B1299, ""/detail/([^/?]+)"") &amp; """""","""),"""fgkboeogiiklpklnjgdiaghaiehcknjo"",")</f>
        <v>"fgkboeogiiklpklnjgdiaghaiehcknjo",</v>
      </c>
    </row>
    <row r="1300">
      <c r="A1300" s="4" t="s">
        <v>20482</v>
      </c>
      <c r="B1300" s="4" t="s">
        <v>2593</v>
      </c>
      <c r="C1300" s="16" t="str">
        <f>IFERROR(__xludf.DUMMYFUNCTION(""""""""" &amp; REGEXEXTRACT(B1300, ""/detail/([^/?]+)"") &amp; """""","""),"""fhbmbhoboahpajmphkgdmoegfoogdkkm"",")</f>
        <v>"fhbmbhoboahpajmphkgdmoegfoogdkkm",</v>
      </c>
    </row>
    <row r="1301">
      <c r="A1301" s="4" t="s">
        <v>20483</v>
      </c>
      <c r="B1301" s="4" t="s">
        <v>2595</v>
      </c>
      <c r="C1301" s="16" t="str">
        <f>IFERROR(__xludf.DUMMYFUNCTION(""""""""" &amp; REGEXEXTRACT(B1301, ""/detail/([^/?]+)"") &amp; """""","""),"""fhdmkhbefcbhakffdihhceaklaigdllh"",")</f>
        <v>"fhdmkhbefcbhakffdihhceaklaigdllh",</v>
      </c>
    </row>
    <row r="1302">
      <c r="A1302" s="4" t="s">
        <v>20484</v>
      </c>
      <c r="B1302" s="4" t="s">
        <v>2597</v>
      </c>
      <c r="C1302" s="16" t="str">
        <f>IFERROR(__xludf.DUMMYFUNCTION(""""""""" &amp; REGEXEXTRACT(B1302, ""/detail/([^/?]+)"") &amp; """""","""),"""fhdoijgfljahinnpbolfdimpcfoicmnm"",")</f>
        <v>"fhdoijgfljahinnpbolfdimpcfoicmnm",</v>
      </c>
    </row>
    <row r="1303">
      <c r="A1303" s="4" t="s">
        <v>20485</v>
      </c>
      <c r="B1303" s="4" t="s">
        <v>2599</v>
      </c>
      <c r="C1303" s="16" t="str">
        <f>IFERROR(__xludf.DUMMYFUNCTION(""""""""" &amp; REGEXEXTRACT(B1303, ""/detail/([^/?]+)"") &amp; """""","""),"""fidkdjmpgoimefkibgbljlfkicpcpkpl"",")</f>
        <v>"fidkdjmpgoimefkibgbljlfkicpcpkpl",</v>
      </c>
    </row>
    <row r="1304">
      <c r="A1304" s="4" t="s">
        <v>20486</v>
      </c>
      <c r="B1304" s="4" t="s">
        <v>2601</v>
      </c>
      <c r="C1304" s="16" t="str">
        <f>IFERROR(__xludf.DUMMYFUNCTION(""""""""" &amp; REGEXEXTRACT(B1304, ""/detail/([^/?]+)"") &amp; """""","""),"""fiejnpolkeifcohdoehpckibdhgjalgo"",")</f>
        <v>"fiejnpolkeifcohdoehpckibdhgjalgo",</v>
      </c>
    </row>
    <row r="1305">
      <c r="A1305" s="4" t="s">
        <v>20487</v>
      </c>
      <c r="B1305" s="4" t="s">
        <v>2603</v>
      </c>
      <c r="C1305" s="16" t="str">
        <f>IFERROR(__xludf.DUMMYFUNCTION(""""""""" &amp; REGEXEXTRACT(B1305, ""/detail/([^/?]+)"") &amp; """""","""),"""figgbchemjpjjobkimbpkgoooifccpmg"",")</f>
        <v>"figgbchemjpjjobkimbpkgoooifccpmg",</v>
      </c>
    </row>
    <row r="1306">
      <c r="A1306" s="4" t="s">
        <v>20488</v>
      </c>
      <c r="B1306" s="4" t="s">
        <v>2605</v>
      </c>
      <c r="C1306" s="16" t="str">
        <f>IFERROR(__xludf.DUMMYFUNCTION(""""""""" &amp; REGEXEXTRACT(B1306, ""/detail/([^/?]+)"") &amp; """""","""),"""figgekmbbegjkbppenaagmmepdgfbdif"",")</f>
        <v>"figgekmbbegjkbppenaagmmepdgfbdif",</v>
      </c>
    </row>
    <row r="1307">
      <c r="A1307" s="4" t="s">
        <v>20489</v>
      </c>
      <c r="B1307" s="4" t="s">
        <v>2607</v>
      </c>
      <c r="C1307" s="16" t="str">
        <f>IFERROR(__xludf.DUMMYFUNCTION(""""""""" &amp; REGEXEXTRACT(B1307, ""/detail/([^/?]+)"") &amp; """""","""),"""fiidmaaecmjkhpfinfkdcabglcmghnaa"",")</f>
        <v>"fiidmaaecmjkhpfinfkdcabglcmghnaa",</v>
      </c>
    </row>
    <row r="1308">
      <c r="A1308" s="4" t="s">
        <v>20490</v>
      </c>
      <c r="B1308" s="4" t="s">
        <v>2609</v>
      </c>
      <c r="C1308" s="16" t="str">
        <f>IFERROR(__xludf.DUMMYFUNCTION(""""""""" &amp; REGEXEXTRACT(B1308, ""/detail/([^/?]+)"") &amp; """""","""),"""filmkodmbabpfkfhoekpgfpankdlajmf"",")</f>
        <v>"filmkodmbabpfkfhoekpgfpankdlajmf",</v>
      </c>
    </row>
    <row r="1309">
      <c r="A1309" s="4" t="s">
        <v>20491</v>
      </c>
      <c r="B1309" s="4" t="s">
        <v>2611</v>
      </c>
      <c r="C1309" s="16" t="str">
        <f>IFERROR(__xludf.DUMMYFUNCTION(""""""""" &amp; REGEXEXTRACT(B1309, ""/detail/([^/?]+)"") &amp; """""","""),"""fimgfedafeadlieiabdeeaodndnlbhid"",")</f>
        <v>"fimgfedafeadlieiabdeeaodndnlbhid",</v>
      </c>
    </row>
    <row r="1310">
      <c r="A1310" s="4" t="s">
        <v>20492</v>
      </c>
      <c r="B1310" s="4" t="s">
        <v>2613</v>
      </c>
      <c r="C1310" s="16" t="str">
        <f>IFERROR(__xludf.DUMMYFUNCTION(""""""""" &amp; REGEXEXTRACT(B1310, ""/detail/([^/?]+)"") &amp; """""","""),"""finjdnhagcdiikmofgpgkmebpmbjcdhf"",")</f>
        <v>"finjdnhagcdiikmofgpgkmebpmbjcdhf",</v>
      </c>
    </row>
    <row r="1311">
      <c r="A1311" s="4" t="s">
        <v>20493</v>
      </c>
      <c r="B1311" s="4" t="s">
        <v>2615</v>
      </c>
      <c r="C1311" s="16" t="str">
        <f>IFERROR(__xludf.DUMMYFUNCTION(""""""""" &amp; REGEXEXTRACT(B1311, ""/detail/([^/?]+)"") &amp; """""","""),"""fipdcenemkbohhdgadjflhpfneohchmj"",")</f>
        <v>"fipdcenemkbohhdgadjflhpfneohchmj",</v>
      </c>
    </row>
    <row r="1312">
      <c r="A1312" s="4" t="s">
        <v>20494</v>
      </c>
      <c r="B1312" s="4" t="s">
        <v>2617</v>
      </c>
      <c r="C1312" s="16" t="str">
        <f>IFERROR(__xludf.DUMMYFUNCTION(""""""""" &amp; REGEXEXTRACT(B1312, ""/detail/([^/?]+)"") &amp; """""","""),"""fjddglnphjcbiidehkejcpekajbefjka"",")</f>
        <v>"fjddglnphjcbiidehkejcpekajbefjka",</v>
      </c>
    </row>
    <row r="1313">
      <c r="A1313" s="4" t="s">
        <v>20495</v>
      </c>
      <c r="B1313" s="4" t="s">
        <v>2619</v>
      </c>
      <c r="C1313" s="16" t="str">
        <f>IFERROR(__xludf.DUMMYFUNCTION(""""""""" &amp; REGEXEXTRACT(B1313, ""/detail/([^/?]+)"") &amp; """""","""),"""fjfeeonbeiocojnpfboldpckcgcfknll"",")</f>
        <v>"fjfeeonbeiocojnpfboldpckcgcfknll",</v>
      </c>
    </row>
    <row r="1314">
      <c r="A1314" s="4" t="s">
        <v>20496</v>
      </c>
      <c r="B1314" s="4" t="s">
        <v>2621</v>
      </c>
      <c r="C1314" s="16" t="str">
        <f>IFERROR(__xludf.DUMMYFUNCTION(""""""""" &amp; REGEXEXTRACT(B1314, ""/detail/([^/?]+)"") &amp; """""","""),"""fjhpodccjhpmkjohgbmmafnnnjfkcalc"",")</f>
        <v>"fjhpodccjhpmkjohgbmmafnnnjfkcalc",</v>
      </c>
    </row>
    <row r="1315">
      <c r="A1315" s="4" t="s">
        <v>20497</v>
      </c>
      <c r="B1315" s="4" t="s">
        <v>2623</v>
      </c>
      <c r="C1315" s="16" t="str">
        <f>IFERROR(__xludf.DUMMYFUNCTION(""""""""" &amp; REGEXEXTRACT(B1315, ""/detail/([^/?]+)"") &amp; """""","""),"""fkfehdnondfhgkechihgejkcnkhdbfna"",")</f>
        <v>"fkfehdnondfhgkechihgejkcnkhdbfna",</v>
      </c>
    </row>
    <row r="1316">
      <c r="A1316" s="4" t="s">
        <v>20498</v>
      </c>
      <c r="B1316" s="4" t="s">
        <v>2625</v>
      </c>
      <c r="C1316" s="16" t="str">
        <f>IFERROR(__xludf.DUMMYFUNCTION(""""""""" &amp; REGEXEXTRACT(B1316, ""/detail/([^/?]+)"") &amp; """""","""),"""fkkiamalmpiidkljmicmjfbieiclmeij"",")</f>
        <v>"fkkiamalmpiidkljmicmjfbieiclmeij",</v>
      </c>
    </row>
    <row r="1317">
      <c r="A1317" s="4" t="s">
        <v>20499</v>
      </c>
      <c r="B1317" s="4" t="s">
        <v>2627</v>
      </c>
      <c r="C1317" s="16" t="str">
        <f>IFERROR(__xludf.DUMMYFUNCTION(""""""""" &amp; REGEXEXTRACT(B1317, ""/detail/([^/?]+)"") &amp; """""","""),"""fkllkmgclnabanhckclcipnddfbindan"",")</f>
        <v>"fkllkmgclnabanhckclcipnddfbindan",</v>
      </c>
    </row>
    <row r="1318">
      <c r="A1318" s="4" t="s">
        <v>20500</v>
      </c>
      <c r="B1318" s="4" t="s">
        <v>2629</v>
      </c>
      <c r="C1318" s="16" t="str">
        <f>IFERROR(__xludf.DUMMYFUNCTION(""""""""" &amp; REGEXEXTRACT(B1318, ""/detail/([^/?]+)"") &amp; """""","""),"""flcpelgcagfhfoegekianiofphddckof"",")</f>
        <v>"flcpelgcagfhfoegekianiofphddckof",</v>
      </c>
    </row>
    <row r="1319">
      <c r="A1319" s="4" t="s">
        <v>20501</v>
      </c>
      <c r="B1319" s="4" t="s">
        <v>2631</v>
      </c>
      <c r="C1319" s="16" t="str">
        <f>IFERROR(__xludf.DUMMYFUNCTION(""""""""" &amp; REGEXEXTRACT(B1319, ""/detail/([^/?]+)"") &amp; """""","""),"""flkokionhgagpmnhlngldhbfnblmenen"",")</f>
        <v>"flkokionhgagpmnhlngldhbfnblmenen",</v>
      </c>
    </row>
    <row r="1320">
      <c r="A1320" s="4" t="s">
        <v>20502</v>
      </c>
      <c r="B1320" s="4" t="s">
        <v>2633</v>
      </c>
      <c r="C1320" s="16" t="str">
        <f>IFERROR(__xludf.DUMMYFUNCTION(""""""""" &amp; REGEXEXTRACT(B1320, ""/detail/([^/?]+)"") &amp; """""","""),"""fmimndodhalboaeakkpfbophcagcelnn"",")</f>
        <v>"fmimndodhalboaeakkpfbophcagcelnn",</v>
      </c>
    </row>
    <row r="1321">
      <c r="A1321" s="4" t="s">
        <v>20503</v>
      </c>
      <c r="B1321" s="4" t="s">
        <v>2635</v>
      </c>
      <c r="C1321" s="16" t="str">
        <f>IFERROR(__xludf.DUMMYFUNCTION(""""""""" &amp; REGEXEXTRACT(B1321, ""/detail/([^/?]+)"") &amp; """""","""),"""fmopikahpohdfccohchaailaejpkbobg"",")</f>
        <v>"fmopikahpohdfccohchaailaejpkbobg",</v>
      </c>
    </row>
    <row r="1322">
      <c r="A1322" s="4" t="s">
        <v>20504</v>
      </c>
      <c r="B1322" s="4" t="s">
        <v>2637</v>
      </c>
      <c r="C1322" s="16" t="str">
        <f>IFERROR(__xludf.DUMMYFUNCTION(""""""""" &amp; REGEXEXTRACT(B1322, ""/detail/([^/?]+)"") &amp; """""","""),"""fndcenfgdacibjnofbbdndfijggefgmp"",")</f>
        <v>"fndcenfgdacibjnofbbdndfijggefgmp",</v>
      </c>
    </row>
    <row r="1323">
      <c r="A1323" s="4" t="s">
        <v>20505</v>
      </c>
      <c r="B1323" s="4" t="s">
        <v>2639</v>
      </c>
      <c r="C1323" s="16" t="str">
        <f>IFERROR(__xludf.DUMMYFUNCTION(""""""""" &amp; REGEXEXTRACT(B1323, ""/detail/([^/?]+)"") &amp; """""","""),"""fnfekoddbjkgnhkhjlaiddjionpkeddn"",")</f>
        <v>"fnfekoddbjkgnhkhjlaiddjionpkeddn",</v>
      </c>
    </row>
    <row r="1324">
      <c r="A1324" s="4" t="s">
        <v>20506</v>
      </c>
      <c r="B1324" s="4" t="s">
        <v>2641</v>
      </c>
      <c r="C1324" s="16" t="str">
        <f>IFERROR(__xludf.DUMMYFUNCTION(""""""""" &amp; REGEXEXTRACT(B1324, ""/detail/([^/?]+)"") &amp; """""","""),"""fngonekeakdeebdiokhdigkicnhlpnhj"",")</f>
        <v>"fngonekeakdeebdiokhdigkicnhlpnhj",</v>
      </c>
    </row>
    <row r="1325">
      <c r="A1325" s="4" t="s">
        <v>20507</v>
      </c>
      <c r="B1325" s="4" t="s">
        <v>2643</v>
      </c>
      <c r="C1325" s="16" t="str">
        <f>IFERROR(__xludf.DUMMYFUNCTION(""""""""" &amp; REGEXEXTRACT(B1325, ""/detail/([^/?]+)"") &amp; """""","""),"""fnmfnlamkbhmkaknaokkfcmkeknkpncb"",")</f>
        <v>"fnmfnlamkbhmkaknaokkfcmkeknkpncb",</v>
      </c>
    </row>
    <row r="1326">
      <c r="A1326" s="4" t="s">
        <v>20508</v>
      </c>
      <c r="B1326" s="4" t="s">
        <v>2645</v>
      </c>
      <c r="C1326" s="16" t="str">
        <f>IFERROR(__xludf.DUMMYFUNCTION(""""""""" &amp; REGEXEXTRACT(B1326, ""/detail/([^/?]+)"") &amp; """""","""),"""foiapgoppijipmmgkaibacckkhbngfhp"",")</f>
        <v>"foiapgoppijipmmgkaibacckkhbngfhp",</v>
      </c>
    </row>
    <row r="1327">
      <c r="A1327" s="4" t="s">
        <v>20509</v>
      </c>
      <c r="B1327" s="4" t="s">
        <v>2647</v>
      </c>
      <c r="C1327" s="16" t="str">
        <f>IFERROR(__xludf.DUMMYFUNCTION(""""""""" &amp; REGEXEXTRACT(B1327, ""/detail/([^/?]+)"") &amp; """""","""),"""fojcpnmhelbpakmgaakfhjlmjokocgjg"",")</f>
        <v>"fojcpnmhelbpakmgaakfhjlmjokocgjg",</v>
      </c>
    </row>
    <row r="1328">
      <c r="A1328" s="4" t="s">
        <v>20510</v>
      </c>
      <c r="B1328" s="4" t="s">
        <v>2649</v>
      </c>
      <c r="C1328" s="16" t="str">
        <f>IFERROR(__xludf.DUMMYFUNCTION(""""""""" &amp; REGEXEXTRACT(B1328, ""/detail/([^/?]+)"") &amp; """""","""),"""fojfndbpbomkflegaomglkjiiimbkaco"",")</f>
        <v>"fojfndbpbomkflegaomglkjiiimbkaco",</v>
      </c>
    </row>
    <row r="1329">
      <c r="A1329" s="4" t="s">
        <v>20511</v>
      </c>
      <c r="B1329" s="4" t="s">
        <v>2651</v>
      </c>
      <c r="C1329" s="16" t="str">
        <f>IFERROR(__xludf.DUMMYFUNCTION(""""""""" &amp; REGEXEXTRACT(B1329, ""/detail/([^/?]+)"") &amp; """""","""),"""folafkamgdbhdeejjhohajojeogpoknm"",")</f>
        <v>"folafkamgdbhdeejjhohajojeogpoknm",</v>
      </c>
    </row>
    <row r="1330">
      <c r="A1330" s="4" t="s">
        <v>20512</v>
      </c>
      <c r="B1330" s="4" t="s">
        <v>2653</v>
      </c>
      <c r="C1330" s="16" t="str">
        <f>IFERROR(__xludf.DUMMYFUNCTION(""""""""" &amp; REGEXEXTRACT(B1330, ""/detail/([^/?]+)"") &amp; """""","""),"""fpcgjpjkgjphjiehdfkolmaldbnefgjg"",")</f>
        <v>"fpcgjpjkgjphjiehdfkolmaldbnefgjg",</v>
      </c>
    </row>
    <row r="1331">
      <c r="A1331" s="4" t="s">
        <v>20513</v>
      </c>
      <c r="B1331" s="4" t="s">
        <v>2655</v>
      </c>
      <c r="C1331" s="16" t="str">
        <f>IFERROR(__xludf.DUMMYFUNCTION(""""""""" &amp; REGEXEXTRACT(B1331, ""/detail/([^/?]+)"") &amp; """""","""),"""fpdmlanpbgokpkcmkojldkjlajcnajko"",")</f>
        <v>"fpdmlanpbgokpkcmkojldkjlajcnajko",</v>
      </c>
    </row>
    <row r="1332">
      <c r="A1332" s="4" t="s">
        <v>20514</v>
      </c>
      <c r="B1332" s="4" t="s">
        <v>2657</v>
      </c>
      <c r="C1332" s="16" t="str">
        <f>IFERROR(__xludf.DUMMYFUNCTION(""""""""" &amp; REGEXEXTRACT(B1332, ""/detail/([^/?]+)"") &amp; """""","""),"""fpfmklldfnlcblofkhdeoohfppdoejdc"",")</f>
        <v>"fpfmklldfnlcblofkhdeoohfppdoejdc",</v>
      </c>
    </row>
    <row r="1333">
      <c r="A1333" s="4" t="s">
        <v>20515</v>
      </c>
      <c r="B1333" s="4" t="s">
        <v>2659</v>
      </c>
      <c r="C1333" s="16" t="str">
        <f>IFERROR(__xludf.DUMMYFUNCTION(""""""""" &amp; REGEXEXTRACT(B1333, ""/detail/([^/?]+)"") &amp; """""","""),"""gabdloknkpdefdpkkibplcfnkngbidim"",")</f>
        <v>"gabdloknkpdefdpkkibplcfnkngbidim",</v>
      </c>
    </row>
    <row r="1334">
      <c r="A1334" s="4" t="s">
        <v>20516</v>
      </c>
      <c r="B1334" s="4" t="s">
        <v>2661</v>
      </c>
      <c r="C1334" s="16" t="str">
        <f>IFERROR(__xludf.DUMMYFUNCTION(""""""""" &amp; REGEXEXTRACT(B1334, ""/detail/([^/?]+)"") &amp; """""","""),"""gahikeojfodidijbfjdfigekphlkcpjm"",")</f>
        <v>"gahikeojfodidijbfjdfigekphlkcpjm",</v>
      </c>
    </row>
    <row r="1335">
      <c r="A1335" s="4" t="s">
        <v>20517</v>
      </c>
      <c r="B1335" s="4" t="s">
        <v>2663</v>
      </c>
      <c r="C1335" s="16" t="str">
        <f>IFERROR(__xludf.DUMMYFUNCTION(""""""""" &amp; REGEXEXTRACT(B1335, ""/detail/([^/?]+)"") &amp; """""","""),"""gbalmmdepliaghihofedeopaacjfcgab"",")</f>
        <v>"gbalmmdepliaghihofedeopaacjfcgab",</v>
      </c>
    </row>
    <row r="1336">
      <c r="A1336" s="4" t="s">
        <v>20518</v>
      </c>
      <c r="B1336" s="4" t="s">
        <v>2665</v>
      </c>
      <c r="C1336" s="16" t="str">
        <f>IFERROR(__xludf.DUMMYFUNCTION(""""""""" &amp; REGEXEXTRACT(B1336, ""/detail/([^/?]+)"") &amp; """""","""),"""gbbehmiepgfmmnifjbnknjaebgmnpbam"",")</f>
        <v>"gbbehmiepgfmmnifjbnknjaebgmnpbam",</v>
      </c>
    </row>
    <row r="1337">
      <c r="A1337" s="4" t="s">
        <v>20519</v>
      </c>
      <c r="B1337" s="4" t="s">
        <v>2667</v>
      </c>
      <c r="C1337" s="16" t="str">
        <f>IFERROR(__xludf.DUMMYFUNCTION(""""""""" &amp; REGEXEXTRACT(B1337, ""/detail/([^/?]+)"") &amp; """""","""),"""gbobdaaeaihkghbokihkofcbndhmbdpd"",")</f>
        <v>"gbobdaaeaihkghbokihkofcbndhmbdpd",</v>
      </c>
    </row>
    <row r="1338">
      <c r="A1338" s="4" t="s">
        <v>20520</v>
      </c>
      <c r="B1338" s="4" t="s">
        <v>2669</v>
      </c>
      <c r="C1338" s="16" t="str">
        <f>IFERROR(__xludf.DUMMYFUNCTION(""""""""" &amp; REGEXEXTRACT(B1338, ""/detail/([^/?]+)"") &amp; """""","""),"""gdhnniabnphencplancldglaflfafmfj"",")</f>
        <v>"gdhnniabnphencplancldglaflfafmfj",</v>
      </c>
    </row>
    <row r="1339">
      <c r="A1339" s="4" t="s">
        <v>20521</v>
      </c>
      <c r="B1339" s="4" t="s">
        <v>2671</v>
      </c>
      <c r="C1339" s="16" t="str">
        <f>IFERROR(__xludf.DUMMYFUNCTION(""""""""" &amp; REGEXEXTRACT(B1339, ""/detail/([^/?]+)"") &amp; """""","""),"""gdocmgbfkjnnpapoeobnolbbkoibbcif"",")</f>
        <v>"gdocmgbfkjnnpapoeobnolbbkoibbcif",</v>
      </c>
    </row>
    <row r="1340">
      <c r="A1340" s="4" t="s">
        <v>20522</v>
      </c>
      <c r="B1340" s="4" t="s">
        <v>2673</v>
      </c>
      <c r="C1340" s="16" t="str">
        <f>IFERROR(__xludf.DUMMYFUNCTION(""""""""" &amp; REGEXEXTRACT(B1340, ""/detail/([^/?]+)"") &amp; """""","""),"""gefaddaengbodpiobpbgblajdboalmgc"",")</f>
        <v>"gefaddaengbodpiobpbgblajdboalmgc",</v>
      </c>
    </row>
    <row r="1341">
      <c r="A1341" s="4" t="s">
        <v>20523</v>
      </c>
      <c r="B1341" s="4" t="s">
        <v>2674</v>
      </c>
      <c r="C1341" s="16" t="str">
        <f>IFERROR(__xludf.DUMMYFUNCTION(""""""""" &amp; REGEXEXTRACT(B1341, ""/detail/([^/?]+)"") &amp; """""","""),"""gemdkhkmcnifpfbfnhpbbhageflibppm"",")</f>
        <v>"gemdkhkmcnifpfbfnhpbbhageflibppm",</v>
      </c>
    </row>
    <row r="1342">
      <c r="A1342" s="4" t="s">
        <v>20524</v>
      </c>
      <c r="B1342" s="4" t="s">
        <v>2676</v>
      </c>
      <c r="C1342" s="16" t="str">
        <f>IFERROR(__xludf.DUMMYFUNCTION(""""""""" &amp; REGEXEXTRACT(B1342, ""/detail/([^/?]+)"") &amp; """""","""),"""gffjdohanhmkfbpnjlnmaeabfhghpilo"",")</f>
        <v>"gffjdohanhmkfbpnjlnmaeabfhghpilo",</v>
      </c>
    </row>
    <row r="1343">
      <c r="A1343" s="4" t="s">
        <v>20525</v>
      </c>
      <c r="B1343" s="4" t="s">
        <v>2678</v>
      </c>
      <c r="C1343" s="16" t="str">
        <f>IFERROR(__xludf.DUMMYFUNCTION(""""""""" &amp; REGEXEXTRACT(B1343, ""/detail/([^/?]+)"") &amp; """""","""),"""gflgnmgilmokfhbckilljalhemjjeldl"",")</f>
        <v>"gflgnmgilmokfhbckilljalhemjjeldl",</v>
      </c>
    </row>
    <row r="1344">
      <c r="A1344" s="4" t="s">
        <v>20526</v>
      </c>
      <c r="B1344" s="4" t="s">
        <v>2680</v>
      </c>
      <c r="C1344" s="16" t="str">
        <f>IFERROR(__xludf.DUMMYFUNCTION(""""""""" &amp; REGEXEXTRACT(B1344, ""/detail/([^/?]+)"") &amp; """""","""),"""ggbjpoaaoeklmpdfjcbgenmbdjhecjjp"",")</f>
        <v>"ggbjpoaaoeklmpdfjcbgenmbdjhecjjp",</v>
      </c>
    </row>
    <row r="1345">
      <c r="A1345" s="4" t="s">
        <v>20527</v>
      </c>
      <c r="B1345" s="4" t="s">
        <v>2682</v>
      </c>
      <c r="C1345" s="16" t="str">
        <f>IFERROR(__xludf.DUMMYFUNCTION(""""""""" &amp; REGEXEXTRACT(B1345, ""/detail/([^/?]+)"") &amp; """""","""),"""ggdcjplapccgoinblmidpkoocfafajfa"",")</f>
        <v>"ggdcjplapccgoinblmidpkoocfafajfa",</v>
      </c>
    </row>
    <row r="1346">
      <c r="A1346" s="4" t="s">
        <v>20528</v>
      </c>
      <c r="B1346" s="4" t="s">
        <v>2684</v>
      </c>
      <c r="C1346" s="16" t="str">
        <f>IFERROR(__xludf.DUMMYFUNCTION(""""""""" &amp; REGEXEXTRACT(B1346, ""/detail/([^/?]+)"") &amp; """""","""),"""ggiokgahenecggcpdafpffnpelpfkjam"",")</f>
        <v>"ggiokgahenecggcpdafpffnpelpfkjam",</v>
      </c>
    </row>
    <row r="1347">
      <c r="A1347" s="4" t="s">
        <v>20529</v>
      </c>
      <c r="B1347" s="4" t="s">
        <v>2686</v>
      </c>
      <c r="C1347" s="16" t="str">
        <f>IFERROR(__xludf.DUMMYFUNCTION(""""""""" &amp; REGEXEXTRACT(B1347, ""/detail/([^/?]+)"") &amp; """""","""),"""ggjpideecfnbipkacplkhhaflkdjagak"",")</f>
        <v>"ggjpideecfnbipkacplkhhaflkdjagak",</v>
      </c>
    </row>
    <row r="1348">
      <c r="A1348" s="4" t="s">
        <v>20530</v>
      </c>
      <c r="B1348" s="4" t="s">
        <v>2688</v>
      </c>
      <c r="C1348" s="16" t="str">
        <f>IFERROR(__xludf.DUMMYFUNCTION(""""""""" &amp; REGEXEXTRACT(B1348, ""/detail/([^/?]+)"") &amp; """""","""),"""ggmfokbjchlhboclfngkneflhkopebbh"",")</f>
        <v>"ggmfokbjchlhboclfngkneflhkopebbh",</v>
      </c>
    </row>
    <row r="1349">
      <c r="A1349" s="4" t="s">
        <v>20531</v>
      </c>
      <c r="B1349" s="4" t="s">
        <v>2690</v>
      </c>
      <c r="C1349" s="16" t="str">
        <f>IFERROR(__xludf.DUMMYFUNCTION(""""""""" &amp; REGEXEXTRACT(B1349, ""/detail/([^/?]+)"") &amp; """""","""),"""ghhhlhbkkchjfnnliacdpmfjjgpmkbpd"",")</f>
        <v>"ghhhlhbkkchjfnnliacdpmfjjgpmkbpd",</v>
      </c>
    </row>
    <row r="1350">
      <c r="A1350" s="4" t="s">
        <v>20532</v>
      </c>
      <c r="B1350" s="4" t="s">
        <v>2692</v>
      </c>
      <c r="C1350" s="16" t="str">
        <f>IFERROR(__xludf.DUMMYFUNCTION(""""""""" &amp; REGEXEXTRACT(B1350, ""/detail/([^/?]+)"") &amp; """""","""),"""ghkpjogmachfebfbikjopkdcimjfekdm"",")</f>
        <v>"ghkpjogmachfebfbikjopkdcimjfekdm",</v>
      </c>
    </row>
    <row r="1351">
      <c r="A1351" s="4" t="s">
        <v>20533</v>
      </c>
      <c r="B1351" s="4" t="s">
        <v>2694</v>
      </c>
      <c r="C1351" s="16" t="str">
        <f>IFERROR(__xludf.DUMMYFUNCTION(""""""""" &amp; REGEXEXTRACT(B1351, ""/detail/([^/?]+)"") &amp; """""","""),"""ghnkdbkeniegahdcjeeikjoaapakeomf"",")</f>
        <v>"ghnkdbkeniegahdcjeeikjoaapakeomf",</v>
      </c>
    </row>
    <row r="1352">
      <c r="A1352" s="4" t="s">
        <v>20534</v>
      </c>
      <c r="B1352" s="4" t="s">
        <v>2696</v>
      </c>
      <c r="C1352" s="16" t="str">
        <f>IFERROR(__xludf.DUMMYFUNCTION(""""""""" &amp; REGEXEXTRACT(B1352, ""/detail/([^/?]+)"") &amp; """""","""),"""ghppfgfeoafdcaebjoglabppkfmbcjdd"",")</f>
        <v>"ghppfgfeoafdcaebjoglabppkfmbcjdd",</v>
      </c>
    </row>
    <row r="1353">
      <c r="A1353" s="4" t="s">
        <v>20535</v>
      </c>
      <c r="B1353" s="4" t="s">
        <v>2698</v>
      </c>
      <c r="C1353" s="16" t="str">
        <f>IFERROR(__xludf.DUMMYFUNCTION(""""""""" &amp; REGEXEXTRACT(B1353, ""/detail/([^/?]+)"") &amp; """""","""),"""giompennnhheakjcnobejbnjgbbkmdnd"",")</f>
        <v>"giompennnhheakjcnobejbnjgbbkmdnd",</v>
      </c>
    </row>
    <row r="1354">
      <c r="A1354" s="4" t="s">
        <v>20536</v>
      </c>
      <c r="B1354" s="4" t="s">
        <v>2700</v>
      </c>
      <c r="C1354" s="16" t="str">
        <f>IFERROR(__xludf.DUMMYFUNCTION(""""""""" &amp; REGEXEXTRACT(B1354, ""/detail/([^/?]+)"") &amp; """""","""),"""gjdldigdojpjlmphnogmcmhojfadfmem"",")</f>
        <v>"gjdldigdojpjlmphnogmcmhojfadfmem",</v>
      </c>
    </row>
    <row r="1355">
      <c r="A1355" s="4" t="s">
        <v>20537</v>
      </c>
      <c r="B1355" s="4" t="s">
        <v>2702</v>
      </c>
      <c r="C1355" s="16" t="str">
        <f>IFERROR(__xludf.DUMMYFUNCTION(""""""""" &amp; REGEXEXTRACT(B1355, ""/detail/([^/?]+)"") &amp; """""","""),"""gjgmceajgibmifohoegfllnnbjmabije"",")</f>
        <v>"gjgmceajgibmifohoegfllnnbjmabije",</v>
      </c>
    </row>
    <row r="1356">
      <c r="A1356" s="4" t="s">
        <v>20538</v>
      </c>
      <c r="B1356" s="4" t="s">
        <v>2704</v>
      </c>
      <c r="C1356" s="16" t="str">
        <f>IFERROR(__xludf.DUMMYFUNCTION(""""""""" &amp; REGEXEXTRACT(B1356, ""/detail/([^/?]+)"") &amp; """""","""),"""gkcckpoladnboalokmkldjabamjpkafo"",")</f>
        <v>"gkcckpoladnboalokmkldjabamjpkafo",</v>
      </c>
    </row>
    <row r="1357">
      <c r="A1357" s="4" t="s">
        <v>20539</v>
      </c>
      <c r="B1357" s="4" t="s">
        <v>2706</v>
      </c>
      <c r="C1357" s="16" t="str">
        <f>IFERROR(__xludf.DUMMYFUNCTION(""""""""" &amp; REGEXEXTRACT(B1357, ""/detail/([^/?]+)"") &amp; """""","""),"""gkcknpgdmiigoagkcoglklgaagnpojed"",")</f>
        <v>"gkcknpgdmiigoagkcoglklgaagnpojed",</v>
      </c>
    </row>
    <row r="1358">
      <c r="A1358" s="4" t="s">
        <v>20540</v>
      </c>
      <c r="B1358" s="4" t="s">
        <v>2708</v>
      </c>
      <c r="C1358" s="16" t="str">
        <f>IFERROR(__xludf.DUMMYFUNCTION(""""""""" &amp; REGEXEXTRACT(B1358, ""/detail/([^/?]+)"") &amp; """""","""),"""gkdcpimagggbnjdkjhbnilfeiidhdhcl"",")</f>
        <v>"gkdcpimagggbnjdkjhbnilfeiidhdhcl",</v>
      </c>
    </row>
    <row r="1359">
      <c r="A1359" s="4" t="s">
        <v>20541</v>
      </c>
      <c r="B1359" s="4" t="s">
        <v>2710</v>
      </c>
      <c r="C1359" s="16" t="str">
        <f>IFERROR(__xludf.DUMMYFUNCTION(""""""""" &amp; REGEXEXTRACT(B1359, ""/detail/([^/?]+)"") &amp; """""","""),"""gkdimpanhbihidflnpedojnljpapgmbe"",")</f>
        <v>"gkdimpanhbihidflnpedojnljpapgmbe",</v>
      </c>
    </row>
    <row r="1360">
      <c r="A1360" s="4" t="s">
        <v>20542</v>
      </c>
      <c r="B1360" s="4" t="s">
        <v>2712</v>
      </c>
      <c r="C1360" s="16" t="str">
        <f>IFERROR(__xludf.DUMMYFUNCTION(""""""""" &amp; REGEXEXTRACT(B1360, ""/detail/([^/?]+)"") &amp; """""","""),"""gkmndgjgpolmikgnipipfekglbbgjcel"",")</f>
        <v>"gkmndgjgpolmikgnipipfekglbbgjcel",</v>
      </c>
    </row>
    <row r="1361">
      <c r="A1361" s="4" t="s">
        <v>20543</v>
      </c>
      <c r="B1361" s="4" t="s">
        <v>2714</v>
      </c>
      <c r="C1361" s="16" t="str">
        <f>IFERROR(__xludf.DUMMYFUNCTION(""""""""" &amp; REGEXEXTRACT(B1361, ""/detail/([^/?]+)"") &amp; """""","""),"""glcapdcacdfkokcmicllhcjigeodacab"",")</f>
        <v>"glcapdcacdfkokcmicllhcjigeodacab",</v>
      </c>
    </row>
    <row r="1362">
      <c r="A1362" s="4" t="s">
        <v>20544</v>
      </c>
      <c r="B1362" s="4" t="s">
        <v>2716</v>
      </c>
      <c r="C1362" s="16" t="str">
        <f>IFERROR(__xludf.DUMMYFUNCTION(""""""""" &amp; REGEXEXTRACT(B1362, ""/detail/([^/?]+)"") &amp; """""","""),"""glknmaideaikkmemifbfkhnomoknepka"",")</f>
        <v>"glknmaideaikkmemifbfkhnomoknepka",</v>
      </c>
    </row>
    <row r="1363">
      <c r="A1363" s="4" t="s">
        <v>20545</v>
      </c>
      <c r="B1363" s="4" t="s">
        <v>2718</v>
      </c>
      <c r="C1363" s="16" t="str">
        <f>IFERROR(__xludf.DUMMYFUNCTION(""""""""" &amp; REGEXEXTRACT(B1363, ""/detail/([^/?]+)"") &amp; """""","""),"""gllmlkidgbagkcikijiljllpdloelocn"",")</f>
        <v>"gllmlkidgbagkcikijiljllpdloelocn",</v>
      </c>
    </row>
    <row r="1364">
      <c r="A1364" s="4" t="s">
        <v>20546</v>
      </c>
      <c r="B1364" s="4" t="s">
        <v>2720</v>
      </c>
      <c r="C1364" s="16" t="str">
        <f>IFERROR(__xludf.DUMMYFUNCTION(""""""""" &amp; REGEXEXTRACT(B1364, ""/detail/([^/?]+)"") &amp; """""","""),"""gmcmlgfecmkefmkgbbnggmamclbmikbi"",")</f>
        <v>"gmcmlgfecmkefmkgbbnggmamclbmikbi",</v>
      </c>
    </row>
    <row r="1365">
      <c r="A1365" s="4" t="s">
        <v>20547</v>
      </c>
      <c r="B1365" s="4" t="s">
        <v>2722</v>
      </c>
      <c r="C1365" s="16" t="str">
        <f>IFERROR(__xludf.DUMMYFUNCTION(""""""""" &amp; REGEXEXTRACT(B1365, ""/detail/([^/?]+)"") &amp; """""","""),"""gmcofljannieocjefhglfanemdmkafgg"",")</f>
        <v>"gmcofljannieocjefhglfanemdmkafgg",</v>
      </c>
    </row>
    <row r="1366">
      <c r="A1366" s="4" t="s">
        <v>20548</v>
      </c>
      <c r="B1366" s="4" t="s">
        <v>2724</v>
      </c>
      <c r="C1366" s="16" t="str">
        <f>IFERROR(__xludf.DUMMYFUNCTION(""""""""" &amp; REGEXEXTRACT(B1366, ""/detail/([^/?]+)"") &amp; """""","""),"""gminfkdpejmfkjnelbapfofhkpkomcap"",")</f>
        <v>"gminfkdpejmfkjnelbapfofhkpkomcap",</v>
      </c>
    </row>
    <row r="1367">
      <c r="A1367" s="4" t="s">
        <v>20549</v>
      </c>
      <c r="B1367" s="4" t="s">
        <v>2726</v>
      </c>
      <c r="C1367" s="16" t="str">
        <f>IFERROR(__xludf.DUMMYFUNCTION(""""""""" &amp; REGEXEXTRACT(B1367, ""/detail/([^/?]+)"") &amp; """""","""),"""gmodihnfibbjdecbanmpmbmeffnmloel"",")</f>
        <v>"gmodihnfibbjdecbanmpmbmeffnmloel",</v>
      </c>
    </row>
    <row r="1368">
      <c r="A1368" s="4" t="s">
        <v>20550</v>
      </c>
      <c r="B1368" s="4" t="s">
        <v>2728</v>
      </c>
      <c r="C1368" s="16" t="str">
        <f>IFERROR(__xludf.DUMMYFUNCTION(""""""""" &amp; REGEXEXTRACT(B1368, ""/detail/([^/?]+)"") &amp; """""","""),"""gmpiiinlandbgcfejoeaodgpfkdjnolm"",")</f>
        <v>"gmpiiinlandbgcfejoeaodgpfkdjnolm",</v>
      </c>
    </row>
    <row r="1369">
      <c r="A1369" s="4" t="s">
        <v>20551</v>
      </c>
      <c r="B1369" s="4" t="s">
        <v>2730</v>
      </c>
      <c r="C1369" s="16" t="str">
        <f>IFERROR(__xludf.DUMMYFUNCTION(""""""""" &amp; REGEXEXTRACT(B1369, ""/detail/([^/?]+)"") &amp; """""","""),"""gmpnnmonpnnmnhpdldahlekfofigiffh"",")</f>
        <v>"gmpnnmonpnnmnhpdldahlekfofigiffh",</v>
      </c>
    </row>
    <row r="1370">
      <c r="A1370" s="4" t="s">
        <v>20552</v>
      </c>
      <c r="B1370" s="4" t="s">
        <v>2732</v>
      </c>
      <c r="C1370" s="16" t="str">
        <f>IFERROR(__xludf.DUMMYFUNCTION(""""""""" &amp; REGEXEXTRACT(B1370, ""/detail/([^/?]+)"") &amp; """""","""),"""gniejkbdlpcgfmgmfbnldfjmijmklacl"",")</f>
        <v>"gniejkbdlpcgfmgmfbnldfjmijmklacl",</v>
      </c>
    </row>
    <row r="1371">
      <c r="A1371" s="4" t="s">
        <v>20553</v>
      </c>
      <c r="B1371" s="4" t="s">
        <v>2734</v>
      </c>
      <c r="C1371" s="16" t="str">
        <f>IFERROR(__xludf.DUMMYFUNCTION(""""""""" &amp; REGEXEXTRACT(B1371, ""/detail/([^/?]+)"") &amp; """""","""),"""gojllalahpiahalfhfjpbpfhjpaahjkc"",")</f>
        <v>"gojllalahpiahalfhfjpbpfhjpaahjkc",</v>
      </c>
    </row>
    <row r="1372">
      <c r="A1372" s="4" t="s">
        <v>20554</v>
      </c>
      <c r="B1372" s="4" t="s">
        <v>2736</v>
      </c>
      <c r="C1372" s="16" t="str">
        <f>IFERROR(__xludf.DUMMYFUNCTION(""""""""" &amp; REGEXEXTRACT(B1372, ""/detail/([^/?]+)"") &amp; """""","""),"""gokficnebmomagijbakglkcmhdbchbhn"",")</f>
        <v>"gokficnebmomagijbakglkcmhdbchbhn",</v>
      </c>
    </row>
    <row r="1373">
      <c r="A1373" s="4" t="s">
        <v>20555</v>
      </c>
      <c r="B1373" s="4" t="s">
        <v>2738</v>
      </c>
      <c r="C1373" s="16" t="str">
        <f>IFERROR(__xludf.DUMMYFUNCTION(""""""""" &amp; REGEXEXTRACT(B1373, ""/detail/([^/?]+)"") &amp; """""","""),"""gpcgiglobfejclglnojamoopffmcejcm"",")</f>
        <v>"gpcgiglobfejclglnojamoopffmcejcm",</v>
      </c>
    </row>
    <row r="1374">
      <c r="A1374" s="4" t="s">
        <v>20556</v>
      </c>
      <c r="B1374" s="4" t="s">
        <v>2740</v>
      </c>
      <c r="C1374" s="16" t="str">
        <f>IFERROR(__xludf.DUMMYFUNCTION(""""""""" &amp; REGEXEXTRACT(B1374, ""/detail/([^/?]+)"") &amp; """""","""),"""gpdpldlbafdmhlmcdllcjgoigmpjonfc"",")</f>
        <v>"gpdpldlbafdmhlmcdllcjgoigmpjonfc",</v>
      </c>
    </row>
    <row r="1375">
      <c r="A1375" s="4" t="s">
        <v>20557</v>
      </c>
      <c r="B1375" s="4" t="s">
        <v>2742</v>
      </c>
      <c r="C1375" s="16" t="str">
        <f>IFERROR(__xludf.DUMMYFUNCTION(""""""""" &amp; REGEXEXTRACT(B1375, ""/detail/([^/?]+)"") &amp; """""","""),"""gpgjofmpmjjopcogjgdldidobhmjmdbm"",")</f>
        <v>"gpgjofmpmjjopcogjgdldidobhmjmdbm",</v>
      </c>
    </row>
    <row r="1376">
      <c r="A1376" s="4" t="s">
        <v>20558</v>
      </c>
      <c r="B1376" s="4" t="s">
        <v>2744</v>
      </c>
      <c r="C1376" s="16" t="str">
        <f>IFERROR(__xludf.DUMMYFUNCTION(""""""""" &amp; REGEXEXTRACT(B1376, ""/detail/([^/?]+)"") &amp; """""","""),"""gpnamfpkffldfnlkofbbebcndfdkclpc"",")</f>
        <v>"gpnamfpkffldfnlkofbbebcndfdkclpc",</v>
      </c>
    </row>
    <row r="1377">
      <c r="A1377" s="4" t="s">
        <v>20559</v>
      </c>
      <c r="B1377" s="4" t="s">
        <v>2746</v>
      </c>
      <c r="C1377" s="16" t="str">
        <f>IFERROR(__xludf.DUMMYFUNCTION(""""""""" &amp; REGEXEXTRACT(B1377, ""/detail/([^/?]+)"") &amp; """""","""),"""gponajbpomilcmbmfoipobkikeopjjhp"",")</f>
        <v>"gponajbpomilcmbmfoipobkikeopjjhp",</v>
      </c>
    </row>
    <row r="1378">
      <c r="A1378" s="4" t="s">
        <v>20560</v>
      </c>
      <c r="B1378" s="4" t="s">
        <v>2748</v>
      </c>
      <c r="C1378" s="16" t="str">
        <f>IFERROR(__xludf.DUMMYFUNCTION(""""""""" &amp; REGEXEXTRACT(B1378, ""/detail/([^/?]+)"") &amp; """""","""),"""haaplkpoiimngbppjihnegfmpejdnffj"",")</f>
        <v>"haaplkpoiimngbppjihnegfmpejdnffj",</v>
      </c>
    </row>
    <row r="1379">
      <c r="A1379" s="4" t="s">
        <v>20561</v>
      </c>
      <c r="B1379" s="4" t="s">
        <v>2749</v>
      </c>
      <c r="C1379" s="16" t="str">
        <f>IFERROR(__xludf.DUMMYFUNCTION(""""""""" &amp; REGEXEXTRACT(B1379, ""/detail/([^/?]+)"") &amp; """""","""),"""hacigcgfiefikmkmmmncaiaijoffndpl"",")</f>
        <v>"hacigcgfiefikmkmmmncaiaijoffndpl",</v>
      </c>
    </row>
    <row r="1380">
      <c r="A1380" s="4" t="s">
        <v>20562</v>
      </c>
      <c r="B1380" s="4" t="s">
        <v>2751</v>
      </c>
      <c r="C1380" s="16" t="str">
        <f>IFERROR(__xludf.DUMMYFUNCTION(""""""""" &amp; REGEXEXTRACT(B1380, ""/detail/([^/?]+)"") &amp; """""","""),"""hapfgfdkleiggjjpfpenajgdnfckjpaj"",")</f>
        <v>"hapfgfdkleiggjjpfpenajgdnfckjpaj",</v>
      </c>
    </row>
    <row r="1381">
      <c r="A1381" s="4" t="s">
        <v>20563</v>
      </c>
      <c r="B1381" s="4" t="s">
        <v>2753</v>
      </c>
      <c r="C1381" s="16" t="str">
        <f>IFERROR(__xludf.DUMMYFUNCTION(""""""""" &amp; REGEXEXTRACT(B1381, ""/detail/([^/?]+)"") &amp; """""","""),"""hapgiopokcmcnjmakciaeaocceodcjdn"",")</f>
        <v>"hapgiopokcmcnjmakciaeaocceodcjdn",</v>
      </c>
    </row>
    <row r="1382">
      <c r="A1382" s="4" t="s">
        <v>20564</v>
      </c>
      <c r="B1382" s="4" t="s">
        <v>2755</v>
      </c>
      <c r="C1382" s="16" t="str">
        <f>IFERROR(__xludf.DUMMYFUNCTION(""""""""" &amp; REGEXEXTRACT(B1382, ""/detail/([^/?]+)"") &amp; """""","""),"""hbcennhacfaagdopikcegfcobcadeocj"",")</f>
        <v>"hbcennhacfaagdopikcegfcobcadeocj",</v>
      </c>
    </row>
    <row r="1383">
      <c r="A1383" s="4" t="s">
        <v>20565</v>
      </c>
      <c r="B1383" s="4" t="s">
        <v>2757</v>
      </c>
      <c r="C1383" s="16" t="str">
        <f>IFERROR(__xludf.DUMMYFUNCTION(""""""""" &amp; REGEXEXTRACT(B1383, ""/detail/([^/?]+)"") &amp; """""","""),"""hbkdeaccegiikknckeoppkblopjnljhf"",")</f>
        <v>"hbkdeaccegiikknckeoppkblopjnljhf",</v>
      </c>
    </row>
    <row r="1384">
      <c r="A1384" s="4" t="s">
        <v>20566</v>
      </c>
      <c r="B1384" s="4" t="s">
        <v>2759</v>
      </c>
      <c r="C1384" s="16" t="str">
        <f>IFERROR(__xludf.DUMMYFUNCTION(""""""""" &amp; REGEXEXTRACT(B1384, ""/detail/([^/?]+)"") &amp; """""","""),"""hbojkigaehlioofejgdpelgfpeahfpga"",")</f>
        <v>"hbojkigaehlioofejgdpelgfpeahfpga",</v>
      </c>
    </row>
    <row r="1385">
      <c r="A1385" s="4" t="s">
        <v>20567</v>
      </c>
      <c r="B1385" s="4" t="s">
        <v>2761</v>
      </c>
      <c r="C1385" s="16" t="str">
        <f>IFERROR(__xludf.DUMMYFUNCTION(""""""""" &amp; REGEXEXTRACT(B1385, ""/detail/([^/?]+)"") &amp; """""","""),"""hccbinpobnjcpckmcfngmdpnbnjpmcbd"",")</f>
        <v>"hccbinpobnjcpckmcfngmdpnbnjpmcbd",</v>
      </c>
    </row>
    <row r="1386">
      <c r="A1386" s="4" t="s">
        <v>20568</v>
      </c>
      <c r="B1386" s="4" t="s">
        <v>2763</v>
      </c>
      <c r="C1386" s="16" t="str">
        <f>IFERROR(__xludf.DUMMYFUNCTION(""""""""" &amp; REGEXEXTRACT(B1386, ""/detail/([^/?]+)"") &amp; """""","""),"""hcfmpekcjhpfcokagmhnhldpacknikim"",")</f>
        <v>"hcfmpekcjhpfcokagmhnhldpacknikim",</v>
      </c>
    </row>
    <row r="1387">
      <c r="A1387" s="4" t="s">
        <v>20569</v>
      </c>
      <c r="B1387" s="4" t="s">
        <v>2765</v>
      </c>
      <c r="C1387" s="16" t="str">
        <f>IFERROR(__xludf.DUMMYFUNCTION(""""""""" &amp; REGEXEXTRACT(B1387, ""/detail/([^/?]+)"") &amp; """""","""),"""hchobocdmclopcbnibdnoafilagadion"",")</f>
        <v>"hchobocdmclopcbnibdnoafilagadion",</v>
      </c>
    </row>
    <row r="1388">
      <c r="A1388" s="4" t="s">
        <v>20570</v>
      </c>
      <c r="B1388" s="4" t="s">
        <v>2767</v>
      </c>
      <c r="C1388" s="16" t="str">
        <f>IFERROR(__xludf.DUMMYFUNCTION(""""""""" &amp; REGEXEXTRACT(B1388, ""/detail/([^/?]+)"") &amp; """""","""),"""hcnjemngcihnhncobgdgkkfkhmleapah"",")</f>
        <v>"hcnjemngcihnhncobgdgkkfkhmleapah",</v>
      </c>
    </row>
    <row r="1389">
      <c r="A1389" s="4" t="s">
        <v>20571</v>
      </c>
      <c r="B1389" s="4" t="s">
        <v>2769</v>
      </c>
      <c r="C1389" s="16" t="str">
        <f>IFERROR(__xludf.DUMMYFUNCTION(""""""""" &amp; REGEXEXTRACT(B1389, ""/detail/([^/?]+)"") &amp; """""","""),"""hdhblphcdjcicefneapkhmleapfaocih"",")</f>
        <v>"hdhblphcdjcicefneapkhmleapfaocih",</v>
      </c>
    </row>
    <row r="1390">
      <c r="A1390" s="4" t="s">
        <v>20572</v>
      </c>
      <c r="B1390" s="4" t="s">
        <v>2770</v>
      </c>
      <c r="C1390" s="16" t="str">
        <f>IFERROR(__xludf.DUMMYFUNCTION(""""""""" &amp; REGEXEXTRACT(B1390, ""/detail/([^/?]+)"") &amp; """""","""),"""hdifnhiliocdiomkphonngpedadhinof"",")</f>
        <v>"hdifnhiliocdiomkphonngpedadhinof",</v>
      </c>
    </row>
    <row r="1391">
      <c r="A1391" s="4" t="s">
        <v>20573</v>
      </c>
      <c r="B1391" s="4" t="s">
        <v>2772</v>
      </c>
      <c r="C1391" s="16" t="str">
        <f>IFERROR(__xludf.DUMMYFUNCTION(""""""""" &amp; REGEXEXTRACT(B1391, ""/detail/([^/?]+)"") &amp; """""","""),"""heolgpojkkeacaokbpolhalhlaidpkkc"",")</f>
        <v>"heolgpojkkeacaokbpolhalhlaidpkkc",</v>
      </c>
    </row>
    <row r="1392">
      <c r="A1392" s="4" t="s">
        <v>20574</v>
      </c>
      <c r="B1392" s="4" t="s">
        <v>2774</v>
      </c>
      <c r="C1392" s="16" t="str">
        <f>IFERROR(__xludf.DUMMYFUNCTION(""""""""" &amp; REGEXEXTRACT(B1392, ""/detail/([^/?]+)"") &amp; """""","""),"""hfaapeomffgpemdlpgcjlgcogkiecjjn"",")</f>
        <v>"hfaapeomffgpemdlpgcjlgcogkiecjjn",</v>
      </c>
    </row>
    <row r="1393">
      <c r="A1393" s="4" t="s">
        <v>20575</v>
      </c>
      <c r="B1393" s="4" t="s">
        <v>2776</v>
      </c>
      <c r="C1393" s="16" t="str">
        <f>IFERROR(__xludf.DUMMYFUNCTION(""""""""" &amp; REGEXEXTRACT(B1393, ""/detail/([^/?]+)"") &amp; """""","""),"""hffgmamoeadcoibgfoabbnnmlcpjoonj"",")</f>
        <v>"hffgmamoeadcoibgfoabbnnmlcpjoonj",</v>
      </c>
    </row>
    <row r="1394">
      <c r="A1394" s="4" t="s">
        <v>20576</v>
      </c>
      <c r="B1394" s="4" t="s">
        <v>2778</v>
      </c>
      <c r="C1394" s="16" t="str">
        <f>IFERROR(__xludf.DUMMYFUNCTION(""""""""" &amp; REGEXEXTRACT(B1394, ""/detail/([^/?]+)"") &amp; """""","""),"""hfpcmmccnlhkdbaailjllkmfkebmckeo"",")</f>
        <v>"hfpcmmccnlhkdbaailjllkmfkebmckeo",</v>
      </c>
    </row>
    <row r="1395">
      <c r="A1395" s="4" t="s">
        <v>20577</v>
      </c>
      <c r="B1395" s="4" t="s">
        <v>2780</v>
      </c>
      <c r="C1395" s="16" t="str">
        <f>IFERROR(__xludf.DUMMYFUNCTION(""""""""" &amp; REGEXEXTRACT(B1395, ""/detail/([^/?]+)"") &amp; """""","""),"""hgkofcnfkalomcloglekemngljnndhfa"",")</f>
        <v>"hgkofcnfkalomcloglekemngljnndhfa",</v>
      </c>
    </row>
    <row r="1396">
      <c r="A1396" s="4" t="s">
        <v>20578</v>
      </c>
      <c r="B1396" s="4" t="s">
        <v>2782</v>
      </c>
      <c r="C1396" s="16" t="str">
        <f>IFERROR(__xludf.DUMMYFUNCTION(""""""""" &amp; REGEXEXTRACT(B1396, ""/detail/([^/?]+)"") &amp; """""","""),"""hglnindfakmbhhkldompfjeknfapaceh"",")</f>
        <v>"hglnindfakmbhhkldompfjeknfapaceh",</v>
      </c>
    </row>
    <row r="1397">
      <c r="A1397" s="4" t="s">
        <v>20579</v>
      </c>
      <c r="B1397" s="4" t="s">
        <v>2784</v>
      </c>
      <c r="C1397" s="16" t="str">
        <f>IFERROR(__xludf.DUMMYFUNCTION(""""""""" &amp; REGEXEXTRACT(B1397, ""/detail/([^/?]+)"") &amp; """""","""),"""hgmhphfbdfbkokcfajipbmkcakmmepeb"",")</f>
        <v>"hgmhphfbdfbkokcfajipbmkcakmmepeb",</v>
      </c>
    </row>
    <row r="1398">
      <c r="A1398" s="4" t="s">
        <v>20580</v>
      </c>
      <c r="B1398" s="4" t="s">
        <v>2786</v>
      </c>
      <c r="C1398" s="16" t="str">
        <f>IFERROR(__xludf.DUMMYFUNCTION(""""""""" &amp; REGEXEXTRACT(B1398, ""/detail/([^/?]+)"") &amp; """""","""),"""hhcddohiohbojnfdmfpbbhiaompeiemo"",")</f>
        <v>"hhcddohiohbojnfdmfpbbhiaompeiemo",</v>
      </c>
    </row>
    <row r="1399">
      <c r="A1399" s="4" t="s">
        <v>20581</v>
      </c>
      <c r="B1399" s="4" t="s">
        <v>2788</v>
      </c>
      <c r="C1399" s="16" t="str">
        <f>IFERROR(__xludf.DUMMYFUNCTION(""""""""" &amp; REGEXEXTRACT(B1399, ""/detail/([^/?]+)"") &amp; """""","""),"""hipgmnlpnimedfepbfbfiaobohhffcfc"",")</f>
        <v>"hipgmnlpnimedfepbfbfiaobohhffcfc",</v>
      </c>
    </row>
    <row r="1400">
      <c r="A1400" s="4" t="s">
        <v>20582</v>
      </c>
      <c r="B1400" s="4" t="s">
        <v>2790</v>
      </c>
      <c r="C1400" s="16" t="str">
        <f>IFERROR(__xludf.DUMMYFUNCTION(""""""""" &amp; REGEXEXTRACT(B1400, ""/detail/([^/?]+)"") &amp; """""","""),"""hipojknikpmpknnpbgpondgpeepppbjk"",")</f>
        <v>"hipojknikpmpknnpbgpondgpeepppbjk",</v>
      </c>
    </row>
    <row r="1401">
      <c r="A1401" s="4" t="s">
        <v>20583</v>
      </c>
      <c r="B1401" s="4" t="s">
        <v>2792</v>
      </c>
      <c r="C1401" s="16" t="str">
        <f>IFERROR(__xludf.DUMMYFUNCTION(""""""""" &amp; REGEXEXTRACT(B1401, ""/detail/([^/?]+)"") &amp; """""","""),"""hjamchbafpmgdbgohhplicknmcppnmgm"",")</f>
        <v>"hjamchbafpmgdbgohhplicknmcppnmgm",</v>
      </c>
    </row>
    <row r="1402">
      <c r="A1402" s="4" t="s">
        <v>20584</v>
      </c>
      <c r="B1402" s="4" t="s">
        <v>2794</v>
      </c>
      <c r="C1402" s="16" t="str">
        <f>IFERROR(__xludf.DUMMYFUNCTION(""""""""" &amp; REGEXEXTRACT(B1402, ""/detail/([^/?]+)"") &amp; """""","""),"""hjgibfcoeomknakfhedjmlkakgelnecf"",")</f>
        <v>"hjgibfcoeomknakfhedjmlkakgelnecf",</v>
      </c>
    </row>
    <row r="1403">
      <c r="A1403" s="4" t="s">
        <v>20585</v>
      </c>
      <c r="B1403" s="4" t="s">
        <v>2796</v>
      </c>
      <c r="C1403" s="16" t="str">
        <f>IFERROR(__xludf.DUMMYFUNCTION(""""""""" &amp; REGEXEXTRACT(B1403, ""/detail/([^/?]+)"") &amp; """""","""),"""hjjlnpghgkgmnpjimgbblhggmbjlbmld"",")</f>
        <v>"hjjlnpghgkgmnpjimgbblhggmbjlbmld",</v>
      </c>
    </row>
    <row r="1404">
      <c r="A1404" s="4" t="s">
        <v>20586</v>
      </c>
      <c r="B1404" s="4" t="s">
        <v>2798</v>
      </c>
      <c r="C1404" s="16" t="str">
        <f>IFERROR(__xludf.DUMMYFUNCTION(""""""""" &amp; REGEXEXTRACT(B1404, ""/detail/([^/?]+)"") &amp; """""","""),"""hjkajeglckopdkbggdiajobpilgccgnj"",")</f>
        <v>"hjkajeglckopdkbggdiajobpilgccgnj",</v>
      </c>
    </row>
    <row r="1405">
      <c r="A1405" s="4" t="s">
        <v>20587</v>
      </c>
      <c r="B1405" s="4" t="s">
        <v>2800</v>
      </c>
      <c r="C1405" s="16" t="str">
        <f>IFERROR(__xludf.DUMMYFUNCTION(""""""""" &amp; REGEXEXTRACT(B1405, ""/detail/([^/?]+)"") &amp; """""","""),"""hkodokikbjolckghdnljbkbhacbhpnkb"",")</f>
        <v>"hkodokikbjolckghdnljbkbhacbhpnkb",</v>
      </c>
    </row>
    <row r="1406">
      <c r="A1406" s="4" t="s">
        <v>20588</v>
      </c>
      <c r="B1406" s="4" t="s">
        <v>2802</v>
      </c>
      <c r="C1406" s="16" t="str">
        <f>IFERROR(__xludf.DUMMYFUNCTION(""""""""" &amp; REGEXEXTRACT(B1406, ""/detail/([^/?]+)"") &amp; """""","""),"""hlhgkeikggdbhfhlmkapkmaogoohepml"",")</f>
        <v>"hlhgkeikggdbhfhlmkapkmaogoohepml",</v>
      </c>
    </row>
    <row r="1407">
      <c r="A1407" s="4" t="s">
        <v>20589</v>
      </c>
      <c r="B1407" s="4" t="s">
        <v>2804</v>
      </c>
      <c r="C1407" s="16" t="str">
        <f>IFERROR(__xludf.DUMMYFUNCTION(""""""""" &amp; REGEXEXTRACT(B1407, ""/detail/([^/?]+)"") &amp; """""","""),"""hlkagghgnlpbocljaclinmklnlgppemp"",")</f>
        <v>"hlkagghgnlpbocljaclinmklnlgppemp",</v>
      </c>
    </row>
    <row r="1408">
      <c r="A1408" s="4" t="s">
        <v>20590</v>
      </c>
      <c r="B1408" s="4" t="s">
        <v>2806</v>
      </c>
      <c r="C1408" s="16" t="str">
        <f>IFERROR(__xludf.DUMMYFUNCTION(""""""""" &amp; REGEXEXTRACT(B1408, ""/detail/([^/?]+)"") &amp; """""","""),"""hlledchhaimjmakjdmjpldfanefbhikj"",")</f>
        <v>"hlledchhaimjmakjdmjpldfanefbhikj",</v>
      </c>
    </row>
    <row r="1409">
      <c r="A1409" s="4" t="s">
        <v>20591</v>
      </c>
      <c r="B1409" s="4" t="s">
        <v>2808</v>
      </c>
      <c r="C1409" s="16" t="str">
        <f>IFERROR(__xludf.DUMMYFUNCTION(""""""""" &amp; REGEXEXTRACT(B1409, ""/detail/([^/?]+)"") &amp; """""","""),"""hlpleilenpafkhjjfoncggfjgimfplhg"",")</f>
        <v>"hlpleilenpafkhjjfoncggfjgimfplhg",</v>
      </c>
    </row>
    <row r="1410">
      <c r="A1410" s="4" t="s">
        <v>20592</v>
      </c>
      <c r="B1410" s="4" t="s">
        <v>2810</v>
      </c>
      <c r="C1410" s="16" t="str">
        <f>IFERROR(__xludf.DUMMYFUNCTION(""""""""" &amp; REGEXEXTRACT(B1410, ""/detail/([^/?]+)"") &amp; """""","""),"""hlppincnifijeogfbjgekmkckcmlkonn"",")</f>
        <v>"hlppincnifijeogfbjgekmkckcmlkonn",</v>
      </c>
    </row>
    <row r="1411">
      <c r="A1411" s="4" t="s">
        <v>20593</v>
      </c>
      <c r="B1411" s="4" t="s">
        <v>2812</v>
      </c>
      <c r="C1411" s="16" t="str">
        <f>IFERROR(__xludf.DUMMYFUNCTION(""""""""" &amp; REGEXEXTRACT(B1411, ""/detail/([^/?]+)"") &amp; """""","""),"""hmafjphdklmdjfcnljjeonfpgafanjjc"",")</f>
        <v>"hmafjphdklmdjfcnljjeonfpgafanjjc",</v>
      </c>
    </row>
    <row r="1412">
      <c r="A1412" s="4" t="s">
        <v>20594</v>
      </c>
      <c r="B1412" s="4" t="s">
        <v>2814</v>
      </c>
      <c r="C1412" s="16" t="str">
        <f>IFERROR(__xludf.DUMMYFUNCTION(""""""""" &amp; REGEXEXTRACT(B1412, ""/detail/([^/?]+)"") &amp; """""","""),"""hmlhdgjmjlkeffphmlpfbbhmnlmdcnha"",")</f>
        <v>"hmlhdgjmjlkeffphmlpfbbhmnlmdcnha",</v>
      </c>
    </row>
    <row r="1413">
      <c r="A1413" s="4" t="s">
        <v>20595</v>
      </c>
      <c r="B1413" s="4" t="s">
        <v>2816</v>
      </c>
      <c r="C1413" s="16" t="str">
        <f>IFERROR(__xludf.DUMMYFUNCTION(""""""""" &amp; REGEXEXTRACT(B1413, ""/detail/([^/?]+)"") &amp; """""","""),"""hnikdbjffkapiacedidjkigkpglncnlk"",")</f>
        <v>"hnikdbjffkapiacedidjkigkpglncnlk",</v>
      </c>
    </row>
    <row r="1414">
      <c r="A1414" s="4" t="s">
        <v>20596</v>
      </c>
      <c r="B1414" s="4" t="s">
        <v>2818</v>
      </c>
      <c r="C1414" s="16" t="str">
        <f>IFERROR(__xludf.DUMMYFUNCTION(""""""""" &amp; REGEXEXTRACT(B1414, ""/detail/([^/?]+)"") &amp; """""","""),"""hpcipbhehomfgjbgnajdhiahhdeeffbg"",")</f>
        <v>"hpcipbhehomfgjbgnajdhiahhdeeffbg",</v>
      </c>
    </row>
    <row r="1415">
      <c r="A1415" s="4" t="s">
        <v>20597</v>
      </c>
      <c r="B1415" s="4" t="s">
        <v>2820</v>
      </c>
      <c r="C1415" s="16" t="str">
        <f>IFERROR(__xludf.DUMMYFUNCTION(""""""""" &amp; REGEXEXTRACT(B1415, ""/detail/([^/?]+)"") &amp; """""","""),"""hpihdokfdmmghaclaojfpmbckkhjgebc"",")</f>
        <v>"hpihdokfdmmghaclaojfpmbckkhjgebc",</v>
      </c>
    </row>
    <row r="1416">
      <c r="A1416" s="4" t="s">
        <v>20598</v>
      </c>
      <c r="B1416" s="4" t="s">
        <v>2822</v>
      </c>
      <c r="C1416" s="16" t="str">
        <f>IFERROR(__xludf.DUMMYFUNCTION(""""""""" &amp; REGEXEXTRACT(B1416, ""/detail/([^/?]+)"") &amp; """""","""),"""iaalpfgpbocpdfblpnhhgllgbdbchmia"",")</f>
        <v>"iaalpfgpbocpdfblpnhhgllgbdbchmia",</v>
      </c>
    </row>
    <row r="1417">
      <c r="A1417" s="4" t="s">
        <v>20599</v>
      </c>
      <c r="B1417" s="4" t="s">
        <v>2824</v>
      </c>
      <c r="C1417" s="16" t="str">
        <f>IFERROR(__xludf.DUMMYFUNCTION(""""""""" &amp; REGEXEXTRACT(B1417, ""/detail/([^/?]+)"") &amp; """""","""),"""iaanigfbldakklgdfcnbjonbehpbpecl"",")</f>
        <v>"iaanigfbldakklgdfcnbjonbehpbpecl",</v>
      </c>
    </row>
    <row r="1418">
      <c r="A1418" s="4" t="s">
        <v>20600</v>
      </c>
      <c r="B1418" s="4" t="s">
        <v>2826</v>
      </c>
      <c r="C1418" s="16" t="str">
        <f>IFERROR(__xludf.DUMMYFUNCTION(""""""""" &amp; REGEXEXTRACT(B1418, ""/detail/([^/?]+)"") &amp; """""","""),"""iabnnjcfonfnjhpmdgapgemfmgjlbjem"",")</f>
        <v>"iabnnjcfonfnjhpmdgapgemfmgjlbjem",</v>
      </c>
    </row>
    <row r="1419">
      <c r="A1419" s="4" t="s">
        <v>20601</v>
      </c>
      <c r="B1419" s="4" t="s">
        <v>2828</v>
      </c>
      <c r="C1419" s="16" t="str">
        <f>IFERROR(__xludf.DUMMYFUNCTION(""""""""" &amp; REGEXEXTRACT(B1419, ""/detail/([^/?]+)"") &amp; """""","""),"""iaddbcgfmhnpdmpaocehjdjkcddjojel"",")</f>
        <v>"iaddbcgfmhnpdmpaocehjdjkcddjojel",</v>
      </c>
    </row>
    <row r="1420">
      <c r="A1420" s="4" t="s">
        <v>20602</v>
      </c>
      <c r="B1420" s="4" t="s">
        <v>2830</v>
      </c>
      <c r="C1420" s="16" t="str">
        <f>IFERROR(__xludf.DUMMYFUNCTION(""""""""" &amp; REGEXEXTRACT(B1420, ""/detail/([^/?]+)"") &amp; """""","""),"""iadhcoaabobddcebhmheikmbcjcigjhc"",")</f>
        <v>"iadhcoaabobddcebhmheikmbcjcigjhc",</v>
      </c>
    </row>
    <row r="1421">
      <c r="A1421" s="4" t="s">
        <v>20603</v>
      </c>
      <c r="B1421" s="4" t="s">
        <v>2832</v>
      </c>
      <c r="C1421" s="16" t="str">
        <f>IFERROR(__xludf.DUMMYFUNCTION(""""""""" &amp; REGEXEXTRACT(B1421, ""/detail/([^/?]+)"") &amp; """""","""),"""iapjjopjejpelnfdonefbffahmcndfbm"",")</f>
        <v>"iapjjopjejpelnfdonefbffahmcndfbm",</v>
      </c>
    </row>
    <row r="1422">
      <c r="A1422" s="4" t="s">
        <v>20604</v>
      </c>
      <c r="B1422" s="4" t="s">
        <v>2834</v>
      </c>
      <c r="C1422" s="16" t="str">
        <f>IFERROR(__xludf.DUMMYFUNCTION(""""""""" &amp; REGEXEXTRACT(B1422, ""/detail/([^/?]+)"") &amp; """""","""),"""ibcdapcpgpofknnfbggcaikbggahcdfi"",")</f>
        <v>"ibcdapcpgpofknnfbggcaikbggahcdfi",</v>
      </c>
    </row>
    <row r="1423">
      <c r="A1423" s="4" t="s">
        <v>20605</v>
      </c>
      <c r="B1423" s="4" t="s">
        <v>2836</v>
      </c>
      <c r="C1423" s="16" t="str">
        <f>IFERROR(__xludf.DUMMYFUNCTION(""""""""" &amp; REGEXEXTRACT(B1423, ""/detail/([^/?]+)"") &amp; """""","""),"""ibenjnichpcnealnjfifbidmpgodkfnn"",")</f>
        <v>"ibenjnichpcnealnjfifbidmpgodkfnn",</v>
      </c>
    </row>
    <row r="1424">
      <c r="A1424" s="4" t="s">
        <v>20606</v>
      </c>
      <c r="B1424" s="4" t="s">
        <v>2838</v>
      </c>
      <c r="C1424" s="16" t="str">
        <f>IFERROR(__xludf.DUMMYFUNCTION(""""""""" &amp; REGEXEXTRACT(B1424, ""/detail/([^/?]+)"") &amp; """""","""),"""ibfjkeafbnhjoedpihdjgaapmhnkhape"",")</f>
        <v>"ibfjkeafbnhjoedpihdjgaapmhnkhape",</v>
      </c>
    </row>
    <row r="1425">
      <c r="A1425" s="4" t="s">
        <v>20607</v>
      </c>
      <c r="B1425" s="4" t="s">
        <v>2840</v>
      </c>
      <c r="C1425" s="16" t="str">
        <f>IFERROR(__xludf.DUMMYFUNCTION(""""""""" &amp; REGEXEXTRACT(B1425, ""/detail/([^/?]+)"") &amp; """""","""),"""ibgkfepjabgnmpjojcnbcjfgeoklfdfk"",")</f>
        <v>"ibgkfepjabgnmpjojcnbcjfgeoklfdfk",</v>
      </c>
    </row>
    <row r="1426">
      <c r="A1426" s="4" t="s">
        <v>20608</v>
      </c>
      <c r="B1426" s="4" t="s">
        <v>2842</v>
      </c>
      <c r="C1426" s="16" t="str">
        <f>IFERROR(__xludf.DUMMYFUNCTION(""""""""" &amp; REGEXEXTRACT(B1426, ""/detail/([^/?]+)"") &amp; """""","""),"""ibkkdnfblcekolaagnljieekcaccfpjo"",")</f>
        <v>"ibkkdnfblcekolaagnljieekcaccfpjo",</v>
      </c>
    </row>
    <row r="1427">
      <c r="A1427" s="4" t="s">
        <v>20609</v>
      </c>
      <c r="B1427" s="4" t="s">
        <v>2844</v>
      </c>
      <c r="C1427" s="16" t="str">
        <f>IFERROR(__xludf.DUMMYFUNCTION(""""""""" &amp; REGEXEXTRACT(B1427, ""/detail/([^/?]+)"") &amp; """""","""),"""ibpdcnicnlmnknjnjhelkigdpapfjcbn"",")</f>
        <v>"ibpdcnicnlmnknjnjhelkigdpapfjcbn",</v>
      </c>
    </row>
    <row r="1428">
      <c r="A1428" s="4" t="s">
        <v>20610</v>
      </c>
      <c r="B1428" s="4" t="s">
        <v>2846</v>
      </c>
      <c r="C1428" s="16" t="str">
        <f>IFERROR(__xludf.DUMMYFUNCTION(""""""""" &amp; REGEXEXTRACT(B1428, ""/detail/([^/?]+)"") &amp; """""","""),"""icagkiolfkmndbggheneeamfbnobcdma"",")</f>
        <v>"icagkiolfkmndbggheneeamfbnobcdma",</v>
      </c>
    </row>
    <row r="1429">
      <c r="A1429" s="4" t="s">
        <v>20611</v>
      </c>
      <c r="B1429" s="4" t="s">
        <v>2848</v>
      </c>
      <c r="C1429" s="16" t="str">
        <f>IFERROR(__xludf.DUMMYFUNCTION(""""""""" &amp; REGEXEXTRACT(B1429, ""/detail/([^/?]+)"") &amp; """""","""),"""iccmimianhoklepafpckijcpclgcfblm"",")</f>
        <v>"iccmimianhoklepafpckijcpclgcfblm",</v>
      </c>
    </row>
    <row r="1430">
      <c r="A1430" s="4" t="s">
        <v>20612</v>
      </c>
      <c r="B1430" s="4" t="s">
        <v>2850</v>
      </c>
      <c r="C1430" s="16" t="str">
        <f>IFERROR(__xludf.DUMMYFUNCTION(""""""""" &amp; REGEXEXTRACT(B1430, ""/detail/([^/?]+)"") &amp; """""","""),"""idbejgmlldkhoiogoknpihhhbimbikdo"",")</f>
        <v>"idbejgmlldkhoiogoknpihhhbimbikdo",</v>
      </c>
    </row>
    <row r="1431">
      <c r="A1431" s="4" t="s">
        <v>20613</v>
      </c>
      <c r="B1431" s="4" t="s">
        <v>2852</v>
      </c>
      <c r="C1431" s="16" t="str">
        <f>IFERROR(__xludf.DUMMYFUNCTION(""""""""" &amp; REGEXEXTRACT(B1431, ""/detail/([^/?]+)"") &amp; """""","""),"""idmefaajmbkeajdiafefcleiaihkahnm"",")</f>
        <v>"idmefaajmbkeajdiafefcleiaihkahnm",</v>
      </c>
    </row>
    <row r="1432">
      <c r="A1432" s="4" t="s">
        <v>20614</v>
      </c>
      <c r="B1432" s="4" t="s">
        <v>2854</v>
      </c>
      <c r="C1432" s="16" t="str">
        <f>IFERROR(__xludf.DUMMYFUNCTION(""""""""" &amp; REGEXEXTRACT(B1432, ""/detail/([^/?]+)"") &amp; """""","""),"""idolchmmfhdnihfikidaobnplmkalkbd"",")</f>
        <v>"idolchmmfhdnihfikidaobnplmkalkbd",</v>
      </c>
    </row>
    <row r="1433">
      <c r="A1433" s="4" t="s">
        <v>20615</v>
      </c>
      <c r="B1433" s="4" t="s">
        <v>2856</v>
      </c>
      <c r="C1433" s="16" t="str">
        <f>IFERROR(__xludf.DUMMYFUNCTION(""""""""" &amp; REGEXEXTRACT(B1433, ""/detail/([^/?]+)"") &amp; """""","""),"""iedeabfpifpbmbjpbmijmagjenkmkkmi"",")</f>
        <v>"iedeabfpifpbmbjpbmijmagjenkmkkmi",</v>
      </c>
    </row>
    <row r="1434">
      <c r="A1434" s="4" t="s">
        <v>20616</v>
      </c>
      <c r="B1434" s="4" t="s">
        <v>2858</v>
      </c>
      <c r="C1434" s="16" t="str">
        <f>IFERROR(__xludf.DUMMYFUNCTION(""""""""" &amp; REGEXEXTRACT(B1434, ""/detail/([^/?]+)"") &amp; """""","""),"""ieelbggiidmnfbkjcjceknbhjgnhkjnf"",")</f>
        <v>"ieelbggiidmnfbkjcjceknbhjgnhkjnf",</v>
      </c>
    </row>
    <row r="1435">
      <c r="A1435" s="4" t="s">
        <v>20617</v>
      </c>
      <c r="B1435" s="4" t="s">
        <v>2860</v>
      </c>
      <c r="C1435" s="16" t="str">
        <f>IFERROR(__xludf.DUMMYFUNCTION(""""""""" &amp; REGEXEXTRACT(B1435, ""/detail/([^/?]+)"") &amp; """""","""),"""ieembbfomodpbmahphkjgippbjeackga"",")</f>
        <v>"ieembbfomodpbmahphkjgippbjeackga",</v>
      </c>
    </row>
    <row r="1436">
      <c r="A1436" s="4" t="s">
        <v>20618</v>
      </c>
      <c r="B1436" s="4" t="s">
        <v>2862</v>
      </c>
      <c r="C1436" s="16" t="str">
        <f>IFERROR(__xludf.DUMMYFUNCTION(""""""""" &amp; REGEXEXTRACT(B1436, ""/detail/([^/?]+)"") &amp; """""","""),"""iefhhfhadhcgefikmjdpclgpmmlaodfc"",")</f>
        <v>"iefhhfhadhcgefikmjdpclgpmmlaodfc",</v>
      </c>
    </row>
    <row r="1437">
      <c r="A1437" s="4" t="s">
        <v>20619</v>
      </c>
      <c r="B1437" s="4" t="s">
        <v>2864</v>
      </c>
      <c r="C1437" s="16" t="str">
        <f>IFERROR(__xludf.DUMMYFUNCTION(""""""""" &amp; REGEXEXTRACT(B1437, ""/detail/([^/?]+)"") &amp; """""","""),"""ifbchccfedjkkhlnffjckaghjdpchhmo"",")</f>
        <v>"ifbchccfedjkkhlnffjckaghjdpchhmo",</v>
      </c>
    </row>
    <row r="1438">
      <c r="A1438" s="4" t="s">
        <v>20620</v>
      </c>
      <c r="B1438" s="4" t="s">
        <v>2866</v>
      </c>
      <c r="C1438" s="16" t="str">
        <f>IFERROR(__xludf.DUMMYFUNCTION(""""""""" &amp; REGEXEXTRACT(B1438, ""/detail/([^/?]+)"") &amp; """""","""),"""ifbdckgghfmehefajfoichlhcdiibkoc"",")</f>
        <v>"ifbdckgghfmehefajfoichlhcdiibkoc",</v>
      </c>
    </row>
    <row r="1439">
      <c r="A1439" s="4" t="s">
        <v>20621</v>
      </c>
      <c r="B1439" s="4" t="s">
        <v>2868</v>
      </c>
      <c r="C1439" s="16" t="str">
        <f>IFERROR(__xludf.DUMMYFUNCTION(""""""""" &amp; REGEXEXTRACT(B1439, ""/detail/([^/?]+)"") &amp; """""","""),"""ifekbbngjjcachfekcpeejphmkeckged"",")</f>
        <v>"ifekbbngjjcachfekcpeejphmkeckged",</v>
      </c>
    </row>
    <row r="1440">
      <c r="A1440" s="4" t="s">
        <v>20622</v>
      </c>
      <c r="B1440" s="4" t="s">
        <v>2870</v>
      </c>
      <c r="C1440" s="16" t="str">
        <f>IFERROR(__xludf.DUMMYFUNCTION(""""""""" &amp; REGEXEXTRACT(B1440, ""/detail/([^/?]+)"") &amp; """""","""),"""iffmfknpimppjfoionhiffohdljiedai"",")</f>
        <v>"iffmfknpimppjfoionhiffohdljiedai",</v>
      </c>
    </row>
    <row r="1441">
      <c r="A1441" s="4" t="s">
        <v>20623</v>
      </c>
      <c r="B1441" s="4" t="s">
        <v>2871</v>
      </c>
      <c r="C1441" s="16" t="str">
        <f>IFERROR(__xludf.DUMMYFUNCTION(""""""""" &amp; REGEXEXTRACT(B1441, ""/detail/([^/?]+)"") &amp; """""","""),"""ifgkgjaofnkgalclccdmlenkfffdgcdb"",")</f>
        <v>"ifgkgjaofnkgalclccdmlenkfffdgcdb",</v>
      </c>
    </row>
    <row r="1442">
      <c r="A1442" s="4" t="s">
        <v>20624</v>
      </c>
      <c r="B1442" s="4" t="s">
        <v>2873</v>
      </c>
      <c r="C1442" s="16" t="str">
        <f>IFERROR(__xludf.DUMMYFUNCTION(""""""""" &amp; REGEXEXTRACT(B1442, ""/detail/([^/?]+)"") &amp; """""","""),"""igjeajmonjofckmiheidpmebpmdbbiam"",")</f>
        <v>"igjeajmonjofckmiheidpmebpmdbbiam",</v>
      </c>
    </row>
    <row r="1443">
      <c r="A1443" s="4" t="s">
        <v>20625</v>
      </c>
      <c r="B1443" s="4" t="s">
        <v>2875</v>
      </c>
      <c r="C1443" s="16" t="str">
        <f>IFERROR(__xludf.DUMMYFUNCTION(""""""""" &amp; REGEXEXTRACT(B1443, ""/detail/([^/?]+)"") &amp; """""","""),"""igmilfmbmkmpkjjgoabaagaoohhhbjde"",")</f>
        <v>"igmilfmbmkmpkjjgoabaagaoohhhbjde",</v>
      </c>
    </row>
    <row r="1444">
      <c r="A1444" s="4" t="s">
        <v>20626</v>
      </c>
      <c r="B1444" s="4" t="s">
        <v>2877</v>
      </c>
      <c r="C1444" s="16" t="str">
        <f>IFERROR(__xludf.DUMMYFUNCTION(""""""""" &amp; REGEXEXTRACT(B1444, ""/detail/([^/?]+)"") &amp; """""","""),"""ihoeijmddigankehfpepcfopnoegkjpb"",")</f>
        <v>"ihoeijmddigankehfpepcfopnoegkjpb",</v>
      </c>
    </row>
    <row r="1445">
      <c r="A1445" s="4" t="s">
        <v>20627</v>
      </c>
      <c r="B1445" s="4" t="s">
        <v>2879</v>
      </c>
      <c r="C1445" s="16" t="str">
        <f>IFERROR(__xludf.DUMMYFUNCTION(""""""""" &amp; REGEXEXTRACT(B1445, ""/detail/([^/?]+)"") &amp; """""","""),"""iiihoahkpncaheicjfemhjkkfamcahcd"",")</f>
        <v>"iiihoahkpncaheicjfemhjkkfamcahcd",</v>
      </c>
    </row>
    <row r="1446">
      <c r="A1446" s="4" t="s">
        <v>20628</v>
      </c>
      <c r="B1446" s="4" t="s">
        <v>2881</v>
      </c>
      <c r="C1446" s="16" t="str">
        <f>IFERROR(__xludf.DUMMYFUNCTION(""""""""" &amp; REGEXEXTRACT(B1446, ""/detail/([^/?]+)"") &amp; """""","""),"""iijdllfdmhbmlmnbcohgbfagfibpbgba"",")</f>
        <v>"iijdllfdmhbmlmnbcohgbfagfibpbgba",</v>
      </c>
    </row>
    <row r="1447">
      <c r="A1447" s="4" t="s">
        <v>20629</v>
      </c>
      <c r="B1447" s="4" t="s">
        <v>2883</v>
      </c>
      <c r="C1447" s="16" t="str">
        <f>IFERROR(__xludf.DUMMYFUNCTION(""""""""" &amp; REGEXEXTRACT(B1447, ""/detail/([^/?]+)"") &amp; """""","""),"""ijfolchflbmnfopmpmodilcelmdakbfl"",")</f>
        <v>"ijfolchflbmnfopmpmodilcelmdakbfl",</v>
      </c>
    </row>
    <row r="1448">
      <c r="A1448" s="4" t="s">
        <v>20630</v>
      </c>
      <c r="B1448" s="4" t="s">
        <v>2885</v>
      </c>
      <c r="C1448" s="16" t="str">
        <f>IFERROR(__xludf.DUMMYFUNCTION(""""""""" &amp; REGEXEXTRACT(B1448, ""/detail/([^/?]+)"") &amp; """""","""),"""ijppgifnllaehojnpbphigenojfjnhml"",")</f>
        <v>"ijppgifnllaehojnpbphigenojfjnhml",</v>
      </c>
    </row>
    <row r="1449">
      <c r="A1449" s="4" t="s">
        <v>20631</v>
      </c>
      <c r="B1449" s="4" t="s">
        <v>2887</v>
      </c>
      <c r="C1449" s="16" t="str">
        <f>IFERROR(__xludf.DUMMYFUNCTION(""""""""" &amp; REGEXEXTRACT(B1449, ""/detail/([^/?]+)"") &amp; """""","""),"""ikkeapgomkpbcpaiompapjdlhmafgkpg"",")</f>
        <v>"ikkeapgomkpbcpaiompapjdlhmafgkpg",</v>
      </c>
    </row>
    <row r="1450">
      <c r="A1450" s="4" t="s">
        <v>20632</v>
      </c>
      <c r="B1450" s="4" t="s">
        <v>2889</v>
      </c>
      <c r="C1450" s="16" t="str">
        <f>IFERROR(__xludf.DUMMYFUNCTION(""""""""" &amp; REGEXEXTRACT(B1450, ""/detail/([^/?]+)"") &amp; """""","""),"""ikkpgihagilojnkmkkfcbhlainmnkicp"",")</f>
        <v>"ikkpgihagilojnkmkkfcbhlainmnkicp",</v>
      </c>
    </row>
    <row r="1451">
      <c r="A1451" s="4" t="s">
        <v>20633</v>
      </c>
      <c r="B1451" s="4" t="s">
        <v>2891</v>
      </c>
      <c r="C1451" s="16" t="str">
        <f>IFERROR(__xludf.DUMMYFUNCTION(""""""""" &amp; REGEXEXTRACT(B1451, ""/detail/([^/?]+)"") &amp; """""","""),"""iknjhcclpcildaklifghhjblmbjpkole"",")</f>
        <v>"iknjhcclpcildaklifghhjblmbjpkole",</v>
      </c>
    </row>
    <row r="1452">
      <c r="A1452" s="4" t="s">
        <v>20634</v>
      </c>
      <c r="B1452" s="4" t="s">
        <v>2893</v>
      </c>
      <c r="C1452" s="16" t="str">
        <f>IFERROR(__xludf.DUMMYFUNCTION(""""""""" &amp; REGEXEXTRACT(B1452, ""/detail/([^/?]+)"") &amp; """""","""),"""ilbhikianmkphlgecmpjhjkdneknehap"",")</f>
        <v>"ilbhikianmkphlgecmpjhjkdneknehap",</v>
      </c>
    </row>
    <row r="1453">
      <c r="A1453" s="4" t="s">
        <v>20635</v>
      </c>
      <c r="B1453" s="4" t="s">
        <v>2895</v>
      </c>
      <c r="C1453" s="16" t="str">
        <f>IFERROR(__xludf.DUMMYFUNCTION(""""""""" &amp; REGEXEXTRACT(B1453, ""/detail/([^/?]+)"") &amp; """""","""),"""ilcoelkkcokgeeijnopjnolmmighnppp"",")</f>
        <v>"ilcoelkkcokgeeijnopjnolmmighnppp",</v>
      </c>
    </row>
    <row r="1454">
      <c r="A1454" s="4" t="s">
        <v>20636</v>
      </c>
      <c r="B1454" s="4" t="s">
        <v>2897</v>
      </c>
      <c r="C1454" s="16" t="str">
        <f>IFERROR(__xludf.DUMMYFUNCTION(""""""""" &amp; REGEXEXTRACT(B1454, ""/detail/([^/?]+)"") &amp; """""","""),"""iljnangbjcpnopeaebpckiljkapfcakl"",")</f>
        <v>"iljnangbjcpnopeaebpckiljkapfcakl",</v>
      </c>
    </row>
    <row r="1455">
      <c r="A1455" s="4" t="s">
        <v>20637</v>
      </c>
      <c r="B1455" s="4" t="s">
        <v>2899</v>
      </c>
      <c r="C1455" s="16" t="str">
        <f>IFERROR(__xludf.DUMMYFUNCTION(""""""""" &amp; REGEXEXTRACT(B1455, ""/detail/([^/?]+)"") &amp; """""","""),"""ilkkiealjmbagkfjepkicpdgeclkeold"",")</f>
        <v>"ilkkiealjmbagkfjepkicpdgeclkeold",</v>
      </c>
    </row>
    <row r="1456">
      <c r="A1456" s="4" t="s">
        <v>20638</v>
      </c>
      <c r="B1456" s="4" t="s">
        <v>2900</v>
      </c>
      <c r="C1456" s="16" t="str">
        <f>IFERROR(__xludf.DUMMYFUNCTION(""""""""" &amp; REGEXEXTRACT(B1456, ""/detail/([^/?]+)"") &amp; """""","""),"""imcjibojeokeogfofjgaajlobobagbeg"",")</f>
        <v>"imcjibojeokeogfofjgaajlobobagbeg",</v>
      </c>
    </row>
    <row r="1457">
      <c r="A1457" s="4" t="s">
        <v>20639</v>
      </c>
      <c r="B1457" s="4" t="s">
        <v>2902</v>
      </c>
      <c r="C1457" s="16" t="str">
        <f>IFERROR(__xludf.DUMMYFUNCTION(""""""""" &amp; REGEXEXTRACT(B1457, ""/detail/([^/?]+)"") &amp; """""","""),"""imimolldggofidcmfdkcffpjcgaggoaf"",")</f>
        <v>"imimolldggofidcmfdkcffpjcgaggoaf",</v>
      </c>
    </row>
    <row r="1458">
      <c r="A1458" s="4" t="s">
        <v>20640</v>
      </c>
      <c r="B1458" s="4" t="s">
        <v>2904</v>
      </c>
      <c r="C1458" s="16" t="str">
        <f>IFERROR(__xludf.DUMMYFUNCTION(""""""""" &amp; REGEXEXTRACT(B1458, ""/detail/([^/?]+)"") &amp; """""","""),"""imldfcloildiapnfjoocfpdmoajnjelf"",")</f>
        <v>"imldfcloildiapnfjoocfpdmoajnjelf",</v>
      </c>
    </row>
    <row r="1459">
      <c r="A1459" s="4" t="s">
        <v>20641</v>
      </c>
      <c r="B1459" s="4" t="s">
        <v>2906</v>
      </c>
      <c r="C1459" s="16" t="str">
        <f>IFERROR(__xludf.DUMMYFUNCTION(""""""""" &amp; REGEXEXTRACT(B1459, ""/detail/([^/?]+)"") &amp; """""","""),"""impiikfnffjblkkefnplfonianmboaam"",")</f>
        <v>"impiikfnffjblkkefnplfonianmboaam",</v>
      </c>
    </row>
    <row r="1460">
      <c r="A1460" s="4" t="s">
        <v>20642</v>
      </c>
      <c r="B1460" s="4" t="s">
        <v>2908</v>
      </c>
      <c r="C1460" s="16" t="str">
        <f>IFERROR(__xludf.DUMMYFUNCTION(""""""""" &amp; REGEXEXTRACT(B1460, ""/detail/([^/?]+)"") &amp; """""","""),"""inaaldjpdbkaodlmdcplgpoibohcmmlj"",")</f>
        <v>"inaaldjpdbkaodlmdcplgpoibohcmmlj",</v>
      </c>
    </row>
    <row r="1461">
      <c r="A1461" s="4" t="s">
        <v>20643</v>
      </c>
      <c r="B1461" s="4" t="s">
        <v>2910</v>
      </c>
      <c r="C1461" s="16" t="str">
        <f>IFERROR(__xludf.DUMMYFUNCTION(""""""""" &amp; REGEXEXTRACT(B1461, ""/detail/([^/?]+)"") &amp; """""","""),"""ingbigompaecaefaoihaicmkgepkmkeg"",")</f>
        <v>"ingbigompaecaefaoihaicmkgepkmkeg",</v>
      </c>
    </row>
    <row r="1462">
      <c r="A1462" s="4" t="s">
        <v>20644</v>
      </c>
      <c r="B1462" s="4" t="s">
        <v>2912</v>
      </c>
      <c r="C1462" s="16" t="str">
        <f>IFERROR(__xludf.DUMMYFUNCTION(""""""""" &amp; REGEXEXTRACT(B1462, ""/detail/([^/?]+)"") &amp; """""","""),"""inmkmihphgjhmeabggdcokmkjhbnmdml"",")</f>
        <v>"inmkmihphgjhmeabggdcokmkjhbnmdml",</v>
      </c>
    </row>
    <row r="1463">
      <c r="A1463" s="4" t="s">
        <v>20645</v>
      </c>
      <c r="B1463" s="4" t="s">
        <v>2914</v>
      </c>
      <c r="C1463" s="16" t="str">
        <f>IFERROR(__xludf.DUMMYFUNCTION(""""""""" &amp; REGEXEXTRACT(B1463, ""/detail/([^/?]+)"") &amp; """""","""),"""ioiijepglemgcpdkjjefkchhdcofebpl"",")</f>
        <v>"ioiijepglemgcpdkjjefkchhdcofebpl",</v>
      </c>
    </row>
    <row r="1464">
      <c r="A1464" s="4" t="s">
        <v>20646</v>
      </c>
      <c r="B1464" s="4" t="s">
        <v>2916</v>
      </c>
      <c r="C1464" s="16" t="str">
        <f>IFERROR(__xludf.DUMMYFUNCTION(""""""""" &amp; REGEXEXTRACT(B1464, ""/detail/([^/?]+)"") &amp; """""","""),"""ioncgheockjakdmpighekmfhdljboimf"",")</f>
        <v>"ioncgheockjakdmpighekmfhdljboimf",</v>
      </c>
    </row>
    <row r="1465">
      <c r="A1465" s="4" t="s">
        <v>20647</v>
      </c>
      <c r="B1465" s="4" t="s">
        <v>2918</v>
      </c>
      <c r="C1465" s="16" t="str">
        <f>IFERROR(__xludf.DUMMYFUNCTION(""""""""" &amp; REGEXEXTRACT(B1465, ""/detail/([^/?]+)"") &amp; """""","""),"""ipbhneeanpgkaleihlknhjiaamobkceh"",")</f>
        <v>"ipbhneeanpgkaleihlknhjiaamobkceh",</v>
      </c>
    </row>
    <row r="1466">
      <c r="A1466" s="4" t="s">
        <v>20648</v>
      </c>
      <c r="B1466" s="4" t="s">
        <v>2920</v>
      </c>
      <c r="C1466" s="16" t="str">
        <f>IFERROR(__xludf.DUMMYFUNCTION(""""""""" &amp; REGEXEXTRACT(B1466, ""/detail/([^/?]+)"") &amp; """""","""),"""ipfcebkfhpkjeikaammlkcnalknjahmh"",")</f>
        <v>"ipfcebkfhpkjeikaammlkcnalknjahmh",</v>
      </c>
    </row>
    <row r="1467">
      <c r="A1467" s="4" t="s">
        <v>20649</v>
      </c>
      <c r="B1467" s="4" t="s">
        <v>2922</v>
      </c>
      <c r="C1467" s="16" t="str">
        <f>IFERROR(__xludf.DUMMYFUNCTION(""""""""" &amp; REGEXEXTRACT(B1467, ""/detail/([^/?]+)"") &amp; """""","""),"""ipldiafffkbheamaoepjlncolocdlojd"",")</f>
        <v>"ipldiafffkbheamaoepjlncolocdlojd",</v>
      </c>
    </row>
    <row r="1468">
      <c r="A1468" s="4" t="s">
        <v>20650</v>
      </c>
      <c r="B1468" s="4" t="s">
        <v>2924</v>
      </c>
      <c r="C1468" s="16" t="str">
        <f>IFERROR(__xludf.DUMMYFUNCTION(""""""""" &amp; REGEXEXTRACT(B1468, ""/detail/([^/?]+)"") &amp; """""","""),"""ipmfkhoihjbbohnfecpmhekhippaplnh"",")</f>
        <v>"ipmfkhoihjbbohnfecpmhekhippaplnh",</v>
      </c>
    </row>
    <row r="1469">
      <c r="A1469" s="4" t="s">
        <v>20651</v>
      </c>
      <c r="B1469" s="4" t="s">
        <v>2926</v>
      </c>
      <c r="C1469" s="16" t="str">
        <f>IFERROR(__xludf.DUMMYFUNCTION(""""""""" &amp; REGEXEXTRACT(B1469, ""/detail/([^/?]+)"") &amp; """""","""),"""ipocdfgahhjaigldllakopnkofpcpahn"",")</f>
        <v>"ipocdfgahhjaigldllakopnkofpcpahn",</v>
      </c>
    </row>
    <row r="1470">
      <c r="A1470" s="4" t="s">
        <v>20652</v>
      </c>
      <c r="B1470" s="4" t="s">
        <v>2928</v>
      </c>
      <c r="C1470" s="16" t="str">
        <f>IFERROR(__xludf.DUMMYFUNCTION(""""""""" &amp; REGEXEXTRACT(B1470, ""/detail/([^/?]+)"") &amp; """""","""),"""ippnbhhbamibfpljlfmgogaondodicgi"",")</f>
        <v>"ippnbhhbamibfpljlfmgogaondodicgi",</v>
      </c>
    </row>
    <row r="1471">
      <c r="A1471" s="4" t="s">
        <v>20653</v>
      </c>
      <c r="B1471" s="4" t="s">
        <v>2930</v>
      </c>
      <c r="C1471" s="16" t="str">
        <f>IFERROR(__xludf.DUMMYFUNCTION(""""""""" &amp; REGEXEXTRACT(B1471, ""/detail/([^/?]+)"") &amp; """""","""),"""jaicfjhjlblbkhejmkfimkafjchdnafm"",")</f>
        <v>"jaicfjhjlblbkhejmkfimkafjchdnafm",</v>
      </c>
    </row>
    <row r="1472">
      <c r="A1472" s="4" t="s">
        <v>20654</v>
      </c>
      <c r="B1472" s="4" t="s">
        <v>2932</v>
      </c>
      <c r="C1472" s="16" t="str">
        <f>IFERROR(__xludf.DUMMYFUNCTION(""""""""" &amp; REGEXEXTRACT(B1472, ""/detail/([^/?]+)"") &amp; """""","""),"""jajoopnifcliapcngocgiidifkmboemc"",")</f>
        <v>"jajoopnifcliapcngocgiidifkmboemc",</v>
      </c>
    </row>
    <row r="1473">
      <c r="A1473" s="4" t="s">
        <v>20655</v>
      </c>
      <c r="B1473" s="4" t="s">
        <v>2934</v>
      </c>
      <c r="C1473" s="16" t="str">
        <f>IFERROR(__xludf.DUMMYFUNCTION(""""""""" &amp; REGEXEXTRACT(B1473, ""/detail/([^/?]+)"") &amp; """""","""),"""jaknphafiecgijhicofjhlgmpkcfmgdo"",")</f>
        <v>"jaknphafiecgijhicofjhlgmpkcfmgdo",</v>
      </c>
    </row>
    <row r="1474">
      <c r="A1474" s="4" t="s">
        <v>20656</v>
      </c>
      <c r="B1474" s="4" t="s">
        <v>2936</v>
      </c>
      <c r="C1474" s="16" t="str">
        <f>IFERROR(__xludf.DUMMYFUNCTION(""""""""" &amp; REGEXEXTRACT(B1474, ""/detail/([^/?]+)"") &amp; """""","""),"""jamhfhbppcmkgghlkeieococonlbppjg"",")</f>
        <v>"jamhfhbppcmkgghlkeieococonlbppjg",</v>
      </c>
    </row>
    <row r="1475">
      <c r="A1475" s="4" t="s">
        <v>20657</v>
      </c>
      <c r="B1475" s="4" t="s">
        <v>2938</v>
      </c>
      <c r="C1475" s="16" t="str">
        <f>IFERROR(__xludf.DUMMYFUNCTION(""""""""" &amp; REGEXEXTRACT(B1475, ""/detail/([^/?]+)"") &amp; """""","""),"""jamphegminpokpnalkjiecfoobdnlmfb"",")</f>
        <v>"jamphegminpokpnalkjiecfoobdnlmfb",</v>
      </c>
    </row>
    <row r="1476">
      <c r="A1476" s="4" t="s">
        <v>20658</v>
      </c>
      <c r="B1476" s="4" t="s">
        <v>2940</v>
      </c>
      <c r="C1476" s="16" t="str">
        <f>IFERROR(__xludf.DUMMYFUNCTION(""""""""" &amp; REGEXEXTRACT(B1476, ""/detail/([^/?]+)"") &amp; """""","""),"""jbbbdkjinkiabcimkipdcmaggnkkjoid"",")</f>
        <v>"jbbbdkjinkiabcimkipdcmaggnkkjoid",</v>
      </c>
    </row>
    <row r="1477">
      <c r="A1477" s="4" t="s">
        <v>20659</v>
      </c>
      <c r="B1477" s="4" t="s">
        <v>2942</v>
      </c>
      <c r="C1477" s="16" t="str">
        <f>IFERROR(__xludf.DUMMYFUNCTION(""""""""" &amp; REGEXEXTRACT(B1477, ""/detail/([^/?]+)"") &amp; """""","""),"""jbcicjicbelpcebckoppnkoomhkndfhb"",")</f>
        <v>"jbcicjicbelpcebckoppnkoomhkndfhb",</v>
      </c>
    </row>
    <row r="1478">
      <c r="A1478" s="4" t="s">
        <v>20660</v>
      </c>
      <c r="B1478" s="4" t="s">
        <v>2944</v>
      </c>
      <c r="C1478" s="16" t="str">
        <f>IFERROR(__xludf.DUMMYFUNCTION(""""""""" &amp; REGEXEXTRACT(B1478, ""/detail/([^/?]+)"") &amp; """""","""),"""jbckknmhjbidbilcinjpllehfjeggcch"",")</f>
        <v>"jbckknmhjbidbilcinjpllehfjeggcch",</v>
      </c>
    </row>
    <row r="1479">
      <c r="A1479" s="4" t="s">
        <v>20661</v>
      </c>
      <c r="B1479" s="4" t="s">
        <v>2946</v>
      </c>
      <c r="C1479" s="16" t="str">
        <f>IFERROR(__xludf.DUMMYFUNCTION(""""""""" &amp; REGEXEXTRACT(B1479, ""/detail/([^/?]+)"") &amp; """""","""),"""jbfnadandganeodogcmcigfmmpkamhif"",")</f>
        <v>"jbfnadandganeodogcmcigfmmpkamhif",</v>
      </c>
    </row>
    <row r="1480">
      <c r="A1480" s="4" t="s">
        <v>20662</v>
      </c>
      <c r="B1480" s="4" t="s">
        <v>2948</v>
      </c>
      <c r="C1480" s="16" t="str">
        <f>IFERROR(__xludf.DUMMYFUNCTION(""""""""" &amp; REGEXEXTRACT(B1480, ""/detail/([^/?]+)"") &amp; """""","""),"""jblojdkgpamepmiammlgkkhknojnlmai"",")</f>
        <v>"jblojdkgpamepmiammlgkkhknojnlmai",</v>
      </c>
    </row>
    <row r="1481">
      <c r="A1481" s="4" t="s">
        <v>20663</v>
      </c>
      <c r="B1481" s="4" t="s">
        <v>2950</v>
      </c>
      <c r="C1481" s="16" t="str">
        <f>IFERROR(__xludf.DUMMYFUNCTION(""""""""" &amp; REGEXEXTRACT(B1481, ""/detail/([^/?]+)"") &amp; """""","""),"""jchjhafjjekdocejbpeiopmngbbpcfoh"",")</f>
        <v>"jchjhafjjekdocejbpeiopmngbbpcfoh",</v>
      </c>
    </row>
    <row r="1482">
      <c r="A1482" s="4" t="s">
        <v>20664</v>
      </c>
      <c r="B1482" s="4" t="s">
        <v>2952</v>
      </c>
      <c r="C1482" s="16" t="str">
        <f>IFERROR(__xludf.DUMMYFUNCTION(""""""""" &amp; REGEXEXTRACT(B1482, ""/detail/([^/?]+)"") &amp; """""","""),"""jdolgjncmhmboklhmacpknglmiibbldg"",")</f>
        <v>"jdolgjncmhmboklhmacpknglmiibbldg",</v>
      </c>
    </row>
    <row r="1483">
      <c r="A1483" s="4" t="s">
        <v>20665</v>
      </c>
      <c r="B1483" s="4" t="s">
        <v>2954</v>
      </c>
      <c r="C1483" s="16" t="str">
        <f>IFERROR(__xludf.DUMMYFUNCTION(""""""""" &amp; REGEXEXTRACT(B1483, ""/detail/([^/?]+)"") &amp; """""","""),"""jebhapofoimonkedeijcmgpcgecnapaa"",")</f>
        <v>"jebhapofoimonkedeijcmgpcgecnapaa",</v>
      </c>
    </row>
    <row r="1484">
      <c r="A1484" s="4" t="s">
        <v>20666</v>
      </c>
      <c r="B1484" s="4" t="s">
        <v>2956</v>
      </c>
      <c r="C1484" s="16" t="str">
        <f>IFERROR(__xludf.DUMMYFUNCTION(""""""""" &amp; REGEXEXTRACT(B1484, ""/detail/([^/?]+)"") &amp; """""","""),"""jebmdjgdkkijogdnalmimaofgpdmhigh"",")</f>
        <v>"jebmdjgdkkijogdnalmimaofgpdmhigh",</v>
      </c>
    </row>
    <row r="1485">
      <c r="A1485" s="4" t="s">
        <v>20667</v>
      </c>
      <c r="B1485" s="4" t="s">
        <v>2958</v>
      </c>
      <c r="C1485" s="16" t="str">
        <f>IFERROR(__xludf.DUMMYFUNCTION(""""""""" &amp; REGEXEXTRACT(B1485, ""/detail/([^/?]+)"") &amp; """""","""),"""jfbklmjfigbohkochoomiljpcddghibm"",")</f>
        <v>"jfbklmjfigbohkochoomiljpcddghibm",</v>
      </c>
    </row>
    <row r="1486">
      <c r="A1486" s="4" t="s">
        <v>20668</v>
      </c>
      <c r="B1486" s="4" t="s">
        <v>2960</v>
      </c>
      <c r="C1486" s="16" t="str">
        <f>IFERROR(__xludf.DUMMYFUNCTION(""""""""" &amp; REGEXEXTRACT(B1486, ""/detail/([^/?]+)"") &amp; """""","""),"""jfemlmedfkiadfaihdcdkcoooleihhfn"",")</f>
        <v>"jfemlmedfkiadfaihdcdkcoooleihhfn",</v>
      </c>
    </row>
    <row r="1487">
      <c r="A1487" s="4" t="s">
        <v>20669</v>
      </c>
      <c r="B1487" s="4" t="s">
        <v>2962</v>
      </c>
      <c r="C1487" s="16" t="str">
        <f>IFERROR(__xludf.DUMMYFUNCTION(""""""""" &amp; REGEXEXTRACT(B1487, ""/detail/([^/?]+)"") &amp; """""","""),"""jfiabcklnnhkmkcdjjpmgghiimjkaeio"",")</f>
        <v>"jfiabcklnnhkmkcdjjpmgghiimjkaeio",</v>
      </c>
    </row>
    <row r="1488">
      <c r="A1488" s="4" t="s">
        <v>20670</v>
      </c>
      <c r="B1488" s="4" t="s">
        <v>2964</v>
      </c>
      <c r="C1488" s="16" t="str">
        <f>IFERROR(__xludf.DUMMYFUNCTION(""""""""" &amp; REGEXEXTRACT(B1488, ""/detail/([^/?]+)"") &amp; """""","""),"""jfiakckbklmccchjegnnojbalafebakb"",")</f>
        <v>"jfiakckbklmccchjegnnojbalafebakb",</v>
      </c>
    </row>
    <row r="1489">
      <c r="A1489" s="4" t="s">
        <v>20671</v>
      </c>
      <c r="B1489" s="4" t="s">
        <v>2966</v>
      </c>
      <c r="C1489" s="16" t="str">
        <f>IFERROR(__xludf.DUMMYFUNCTION(""""""""" &amp; REGEXEXTRACT(B1489, ""/detail/([^/?]+)"") &amp; """""","""),"""jgbfpjledahoajcppakbgilmojkaghgm"",")</f>
        <v>"jgbfpjledahoajcppakbgilmojkaghgm",</v>
      </c>
    </row>
    <row r="1490">
      <c r="A1490" s="4" t="s">
        <v>20672</v>
      </c>
      <c r="B1490" s="4" t="s">
        <v>2968</v>
      </c>
      <c r="C1490" s="16" t="str">
        <f>IFERROR(__xludf.DUMMYFUNCTION(""""""""" &amp; REGEXEXTRACT(B1490, ""/detail/([^/?]+)"") &amp; """""","""),"""jgbkfdjdcbohgenpccfgldadaofnfknl"",")</f>
        <v>"jgbkfdjdcbohgenpccfgldadaofnfknl",</v>
      </c>
    </row>
    <row r="1491">
      <c r="A1491" s="4" t="s">
        <v>20673</v>
      </c>
      <c r="B1491" s="4" t="s">
        <v>2970</v>
      </c>
      <c r="C1491" s="16" t="str">
        <f>IFERROR(__xludf.DUMMYFUNCTION(""""""""" &amp; REGEXEXTRACT(B1491, ""/detail/([^/?]+)"") &amp; """""","""),"""jgikoaeeblnfkapogeidnehipojlbkoe"",")</f>
        <v>"jgikoaeeblnfkapogeidnehipojlbkoe",</v>
      </c>
    </row>
    <row r="1492">
      <c r="A1492" s="4" t="s">
        <v>20674</v>
      </c>
      <c r="B1492" s="4" t="s">
        <v>2972</v>
      </c>
      <c r="C1492" s="16" t="str">
        <f>IFERROR(__xludf.DUMMYFUNCTION(""""""""" &amp; REGEXEXTRACT(B1492, ""/detail/([^/?]+)"") &amp; """""","""),"""jhdoobfdaejmldnpihidjemjcbpfmbkm"",")</f>
        <v>"jhdoobfdaejmldnpihidjemjcbpfmbkm",</v>
      </c>
    </row>
    <row r="1493">
      <c r="A1493" s="4" t="s">
        <v>20675</v>
      </c>
      <c r="B1493" s="4" t="s">
        <v>2974</v>
      </c>
      <c r="C1493" s="16" t="str">
        <f>IFERROR(__xludf.DUMMYFUNCTION(""""""""" &amp; REGEXEXTRACT(B1493, ""/detail/([^/?]+)"") &amp; """""","""),"""jhggpmcfjkkaeonckilhekpkfcalgank"",")</f>
        <v>"jhggpmcfjkkaeonckilhekpkfcalgank",</v>
      </c>
    </row>
    <row r="1494">
      <c r="A1494" s="4" t="s">
        <v>20676</v>
      </c>
      <c r="B1494" s="4" t="s">
        <v>2976</v>
      </c>
      <c r="C1494" s="16" t="str">
        <f>IFERROR(__xludf.DUMMYFUNCTION(""""""""" &amp; REGEXEXTRACT(B1494, ""/detail/([^/?]+)"") &amp; """""","""),"""jhninijcbcniklnjbohdmoglogfjbglh"",")</f>
        <v>"jhninijcbcniklnjbohdmoglogfjbglh",</v>
      </c>
    </row>
    <row r="1495">
      <c r="A1495" s="4" t="s">
        <v>20677</v>
      </c>
      <c r="B1495" s="4" t="s">
        <v>2978</v>
      </c>
      <c r="C1495" s="16" t="str">
        <f>IFERROR(__xludf.DUMMYFUNCTION(""""""""" &amp; REGEXEXTRACT(B1495, ""/detail/([^/?]+)"") &amp; """""","""),"""jhphiidjkooiaollfiknkokgodbaddcj"",")</f>
        <v>"jhphiidjkooiaollfiknkokgodbaddcj",</v>
      </c>
    </row>
    <row r="1496">
      <c r="A1496" s="4" t="s">
        <v>20678</v>
      </c>
      <c r="B1496" s="4" t="s">
        <v>2980</v>
      </c>
      <c r="C1496" s="16" t="str">
        <f>IFERROR(__xludf.DUMMYFUNCTION(""""""""" &amp; REGEXEXTRACT(B1496, ""/detail/([^/?]+)"") &amp; """""","""),"""jjdpdpackpoaaccjmnkmgloibjgpklmm"",")</f>
        <v>"jjdpdpackpoaaccjmnkmgloibjgpklmm",</v>
      </c>
    </row>
    <row r="1497">
      <c r="A1497" s="4" t="s">
        <v>20679</v>
      </c>
      <c r="B1497" s="4" t="s">
        <v>2982</v>
      </c>
      <c r="C1497" s="16" t="str">
        <f>IFERROR(__xludf.DUMMYFUNCTION(""""""""" &amp; REGEXEXTRACT(B1497, ""/detail/([^/?]+)"") &amp; """""","""),"""jjfknbejnpjndceceeefmofphphjiamb"",")</f>
        <v>"jjfknbejnpjndceceeefmofphphjiamb",</v>
      </c>
    </row>
    <row r="1498">
      <c r="A1498" s="4" t="s">
        <v>20680</v>
      </c>
      <c r="B1498" s="4" t="s">
        <v>2984</v>
      </c>
      <c r="C1498" s="16" t="str">
        <f>IFERROR(__xludf.DUMMYFUNCTION(""""""""" &amp; REGEXEXTRACT(B1498, ""/detail/([^/?]+)"") &amp; """""","""),"""jjpdebaihkangkfpbgefmnnlafkahebn"",")</f>
        <v>"jjpdebaihkangkfpbgefmnnlafkahebn",</v>
      </c>
    </row>
    <row r="1499">
      <c r="A1499" s="4" t="s">
        <v>20681</v>
      </c>
      <c r="B1499" s="4" t="s">
        <v>2986</v>
      </c>
      <c r="C1499" s="16" t="str">
        <f>IFERROR(__xludf.DUMMYFUNCTION(""""""""" &amp; REGEXEXTRACT(B1499, ""/detail/([^/?]+)"") &amp; """""","""),"""jkaoodobipmplhdhbdckclkmhpiekaee"",")</f>
        <v>"jkaoodobipmplhdhbdckclkmhpiekaee",</v>
      </c>
    </row>
    <row r="1500">
      <c r="A1500" s="4" t="s">
        <v>20682</v>
      </c>
      <c r="B1500" s="4" t="s">
        <v>2988</v>
      </c>
      <c r="C1500" s="16" t="str">
        <f>IFERROR(__xludf.DUMMYFUNCTION(""""""""" &amp; REGEXEXTRACT(B1500, ""/detail/([^/?]+)"") &amp; """""","""),"""jkeciloajjlchlmbjjogifpdkljppbei"",")</f>
        <v>"jkeciloajjlchlmbjjogifpdkljppbei",</v>
      </c>
    </row>
    <row r="1501">
      <c r="A1501" s="4" t="s">
        <v>20683</v>
      </c>
      <c r="B1501" s="4" t="s">
        <v>2990</v>
      </c>
      <c r="C1501" s="16" t="str">
        <f>IFERROR(__xludf.DUMMYFUNCTION(""""""""" &amp; REGEXEXTRACT(B1501, ""/detail/([^/?]+)"") &amp; """""","""),"""jkiblcnjkgohckbbjpedihcfjanbfoif"",")</f>
        <v>"jkiblcnjkgohckbbjpedihcfjanbfoif",</v>
      </c>
    </row>
    <row r="1502">
      <c r="A1502" s="4" t="s">
        <v>20684</v>
      </c>
      <c r="B1502" s="4" t="s">
        <v>2991</v>
      </c>
      <c r="C1502" s="16" t="str">
        <f>IFERROR(__xludf.DUMMYFUNCTION(""""""""" &amp; REGEXEXTRACT(B1502, ""/detail/([^/?]+)"") &amp; """""","""),"""jknaiemmajopmpcpmmheafgjbhpjnedk"",")</f>
        <v>"jknaiemmajopmpcpmmheafgjbhpjnedk",</v>
      </c>
    </row>
    <row r="1503">
      <c r="A1503" s="4" t="s">
        <v>20685</v>
      </c>
      <c r="B1503" s="4" t="s">
        <v>2993</v>
      </c>
      <c r="C1503" s="16" t="str">
        <f>IFERROR(__xludf.DUMMYFUNCTION(""""""""" &amp; REGEXEXTRACT(B1503, ""/detail/([^/?]+)"") &amp; """""","""),"""jknhnffcaenjjlneglfcihapfklmefob"",")</f>
        <v>"jknhnffcaenjjlneglfcihapfklmefob",</v>
      </c>
    </row>
    <row r="1504">
      <c r="A1504" s="4" t="s">
        <v>20686</v>
      </c>
      <c r="B1504" s="4" t="s">
        <v>2995</v>
      </c>
      <c r="C1504" s="16" t="str">
        <f>IFERROR(__xludf.DUMMYFUNCTION(""""""""" &amp; REGEXEXTRACT(B1504, ""/detail/([^/?]+)"") &amp; """""","""),"""jkpglfaifjkpnbfephoenfbaejdgnjii"",")</f>
        <v>"jkpglfaifjkpnbfephoenfbaejdgnjii",</v>
      </c>
    </row>
    <row r="1505">
      <c r="A1505" s="4" t="s">
        <v>20687</v>
      </c>
      <c r="B1505" s="4" t="s">
        <v>2997</v>
      </c>
      <c r="C1505" s="16" t="str">
        <f>IFERROR(__xludf.DUMMYFUNCTION(""""""""" &amp; REGEXEXTRACT(B1505, ""/detail/([^/?]+)"") &amp; """""","""),"""jlgejeheelddbpdieihdpmnlodbpljnc"",")</f>
        <v>"jlgejeheelddbpdieihdpmnlodbpljnc",</v>
      </c>
    </row>
    <row r="1506">
      <c r="A1506" s="4" t="s">
        <v>20688</v>
      </c>
      <c r="B1506" s="4" t="s">
        <v>2999</v>
      </c>
      <c r="C1506" s="16" t="str">
        <f>IFERROR(__xludf.DUMMYFUNCTION(""""""""" &amp; REGEXEXTRACT(B1506, ""/detail/([^/?]+)"") &amp; """""","""),"""jmdcpkpoebniclenaegfhbmlaadkgdhm"",")</f>
        <v>"jmdcpkpoebniclenaegfhbmlaadkgdhm",</v>
      </c>
    </row>
    <row r="1507">
      <c r="A1507" s="4" t="s">
        <v>20689</v>
      </c>
      <c r="B1507" s="4" t="s">
        <v>3001</v>
      </c>
      <c r="C1507" s="16" t="str">
        <f>IFERROR(__xludf.DUMMYFUNCTION(""""""""" &amp; REGEXEXTRACT(B1507, ""/detail/([^/?]+)"") &amp; """""","""),"""jmdookpkgalopfpehgmddjcodfeocffl"",")</f>
        <v>"jmdookpkgalopfpehgmddjcodfeocffl",</v>
      </c>
    </row>
    <row r="1508">
      <c r="A1508" s="4" t="s">
        <v>20690</v>
      </c>
      <c r="B1508" s="4" t="s">
        <v>3003</v>
      </c>
      <c r="C1508" s="16" t="str">
        <f>IFERROR(__xludf.DUMMYFUNCTION(""""""""" &amp; REGEXEXTRACT(B1508, ""/detail/([^/?]+)"") &amp; """""","""),"""jmjbmlfmmendpkpiggcfpjcpbbpedhha"",")</f>
        <v>"jmjbmlfmmendpkpiggcfpjcpbbpedhha",</v>
      </c>
    </row>
    <row r="1509">
      <c r="A1509" s="4" t="s">
        <v>20691</v>
      </c>
      <c r="B1509" s="4" t="s">
        <v>3005</v>
      </c>
      <c r="C1509" s="16" t="str">
        <f>IFERROR(__xludf.DUMMYFUNCTION(""""""""" &amp; REGEXEXTRACT(B1509, ""/detail/([^/?]+)"") &amp; """""","""),"""jobnchpmiiemlgonhemhkeilihimaghg"",")</f>
        <v>"jobnchpmiiemlgonhemhkeilihimaghg",</v>
      </c>
    </row>
    <row r="1510">
      <c r="A1510" s="4" t="s">
        <v>20692</v>
      </c>
      <c r="B1510" s="4" t="s">
        <v>3007</v>
      </c>
      <c r="C1510" s="16" t="str">
        <f>IFERROR(__xludf.DUMMYFUNCTION(""""""""" &amp; REGEXEXTRACT(B1510, ""/detail/([^/?]+)"") &amp; """""","""),"""johjcheghocokbkhacbfbhojoangkpcb"",")</f>
        <v>"johjcheghocokbkhacbfbhojoangkpcb",</v>
      </c>
    </row>
    <row r="1511">
      <c r="A1511" s="4" t="s">
        <v>20693</v>
      </c>
      <c r="B1511" s="4" t="s">
        <v>3009</v>
      </c>
      <c r="C1511" s="16" t="str">
        <f>IFERROR(__xludf.DUMMYFUNCTION(""""""""" &amp; REGEXEXTRACT(B1511, ""/detail/([^/?]+)"") &amp; """""","""),"""jojbobbpjflbaekncckdbanjoakgpbbc"",")</f>
        <v>"jojbobbpjflbaekncckdbanjoakgpbbc",</v>
      </c>
    </row>
    <row r="1512">
      <c r="A1512" s="4" t="s">
        <v>20694</v>
      </c>
      <c r="B1512" s="4" t="s">
        <v>3011</v>
      </c>
      <c r="C1512" s="16" t="str">
        <f>IFERROR(__xludf.DUMMYFUNCTION(""""""""" &amp; REGEXEXTRACT(B1512, ""/detail/([^/?]+)"") &amp; """""","""),"""joldejophkhmeajgjenfnfdpfjkalckn"",")</f>
        <v>"joldejophkhmeajgjenfnfdpfjkalckn",</v>
      </c>
    </row>
    <row r="1513">
      <c r="A1513" s="4" t="s">
        <v>20695</v>
      </c>
      <c r="B1513" s="4" t="s">
        <v>3013</v>
      </c>
      <c r="C1513" s="16" t="str">
        <f>IFERROR(__xludf.DUMMYFUNCTION(""""""""" &amp; REGEXEXTRACT(B1513, ""/detail/([^/?]+)"") &amp; """""","""),"""jpakadanffilpnjijlmmkljogkfaognd"",")</f>
        <v>"jpakadanffilpnjijlmmkljogkfaognd",</v>
      </c>
    </row>
    <row r="1514">
      <c r="A1514" s="4" t="s">
        <v>20696</v>
      </c>
      <c r="B1514" s="4" t="s">
        <v>3015</v>
      </c>
      <c r="C1514" s="16" t="str">
        <f>IFERROR(__xludf.DUMMYFUNCTION(""""""""" &amp; REGEXEXTRACT(B1514, ""/detail/([^/?]+)"") &amp; """""","""),"""jpjkaekegnficmcdgicgdbnpnjiaeldi"",")</f>
        <v>"jpjkaekegnficmcdgicgdbnpnjiaeldi",</v>
      </c>
    </row>
    <row r="1515">
      <c r="A1515" s="4" t="s">
        <v>20697</v>
      </c>
      <c r="B1515" s="4" t="s">
        <v>3017</v>
      </c>
      <c r="C1515" s="16" t="str">
        <f>IFERROR(__xludf.DUMMYFUNCTION(""""""""" &amp; REGEXEXTRACT(B1515, ""/detail/([^/?]+)"") &amp; """""","""),"""kbbbldgkhcpkmmjbjelmkjkchibeklng"",")</f>
        <v>"kbbbldgkhcpkmmjbjelmkjkchibeklng",</v>
      </c>
    </row>
    <row r="1516">
      <c r="A1516" s="4" t="s">
        <v>20698</v>
      </c>
      <c r="B1516" s="4" t="s">
        <v>3019</v>
      </c>
      <c r="C1516" s="16" t="str">
        <f>IFERROR(__xludf.DUMMYFUNCTION(""""""""" &amp; REGEXEXTRACT(B1516, ""/detail/([^/?]+)"") &amp; """""","""),"""kbkglbhikjonodlofbcomogfcbfjipog"",")</f>
        <v>"kbkglbhikjonodlofbcomogfcbfjipog",</v>
      </c>
    </row>
    <row r="1517">
      <c r="A1517" s="4" t="s">
        <v>20699</v>
      </c>
      <c r="B1517" s="4" t="s">
        <v>3021</v>
      </c>
      <c r="C1517" s="16" t="str">
        <f>IFERROR(__xludf.DUMMYFUNCTION(""""""""" &amp; REGEXEXTRACT(B1517, ""/detail/([^/?]+)"") &amp; """""","""),"""kcijjmomofpdcpeiagibojhjifhegepj"",")</f>
        <v>"kcijjmomofpdcpeiagibojhjifhegepj",</v>
      </c>
    </row>
    <row r="1518">
      <c r="A1518" s="4" t="s">
        <v>20700</v>
      </c>
      <c r="B1518" s="4" t="s">
        <v>3023</v>
      </c>
      <c r="C1518" s="16" t="str">
        <f>IFERROR(__xludf.DUMMYFUNCTION(""""""""" &amp; REGEXEXTRACT(B1518, ""/detail/([^/?]+)"") &amp; """""","""),"""kcpnkledgcbobhkgimpbmejgockkplob"",")</f>
        <v>"kcpnkledgcbobhkgimpbmejgockkplob",</v>
      </c>
    </row>
    <row r="1519">
      <c r="A1519" s="4" t="s">
        <v>20701</v>
      </c>
      <c r="B1519" s="4" t="s">
        <v>3025</v>
      </c>
      <c r="C1519" s="16" t="str">
        <f>IFERROR(__xludf.DUMMYFUNCTION(""""""""" &amp; REGEXEXTRACT(B1519, ""/detail/([^/?]+)"") &amp; """""","""),"""kdapmdimgdebpgolimjnmcdlkbkddoif"",")</f>
        <v>"kdapmdimgdebpgolimjnmcdlkbkddoif",</v>
      </c>
    </row>
    <row r="1520">
      <c r="A1520" s="4" t="s">
        <v>20702</v>
      </c>
      <c r="B1520" s="4" t="s">
        <v>3027</v>
      </c>
      <c r="C1520" s="16" t="str">
        <f>IFERROR(__xludf.DUMMYFUNCTION(""""""""" &amp; REGEXEXTRACT(B1520, ""/detail/([^/?]+)"") &amp; """""","""),"""kdebapklkojiiipmkbhcnbbhbanopdfk"",")</f>
        <v>"kdebapklkojiiipmkbhcnbbhbanopdfk",</v>
      </c>
    </row>
    <row r="1521">
      <c r="A1521" s="4" t="s">
        <v>20703</v>
      </c>
      <c r="B1521" s="4" t="s">
        <v>3029</v>
      </c>
      <c r="C1521" s="16" t="str">
        <f>IFERROR(__xludf.DUMMYFUNCTION(""""""""" &amp; REGEXEXTRACT(B1521, ""/detail/([^/?]+)"") &amp; """""","""),"""kdejdkdjdoabfihpcjmgjebcpfbhepmh"",")</f>
        <v>"kdejdkdjdoabfihpcjmgjebcpfbhepmh",</v>
      </c>
    </row>
    <row r="1522">
      <c r="A1522" s="4" t="s">
        <v>20704</v>
      </c>
      <c r="B1522" s="4" t="s">
        <v>3031</v>
      </c>
      <c r="C1522" s="16" t="str">
        <f>IFERROR(__xludf.DUMMYFUNCTION(""""""""" &amp; REGEXEXTRACT(B1522, ""/detail/([^/?]+)"") &amp; """""","""),"""kdmchalhobbejlbnkgkldeblaeijamhb"",")</f>
        <v>"kdmchalhobbejlbnkgkldeblaeijamhb",</v>
      </c>
    </row>
    <row r="1523">
      <c r="A1523" s="4" t="s">
        <v>20705</v>
      </c>
      <c r="B1523" s="4" t="s">
        <v>3033</v>
      </c>
      <c r="C1523" s="16" t="str">
        <f>IFERROR(__xludf.DUMMYFUNCTION(""""""""" &amp; REGEXEXTRACT(B1523, ""/detail/([^/?]+)"") &amp; """""","""),"""kekdllcidamgebonidegjekidhdihdli"",")</f>
        <v>"kekdllcidamgebonidegjekidhdihdli",</v>
      </c>
    </row>
    <row r="1524">
      <c r="A1524" s="4" t="s">
        <v>20706</v>
      </c>
      <c r="B1524" s="4" t="s">
        <v>3035</v>
      </c>
      <c r="C1524" s="16" t="str">
        <f>IFERROR(__xludf.DUMMYFUNCTION(""""""""" &amp; REGEXEXTRACT(B1524, ""/detail/([^/?]+)"") &amp; """""","""),"""kemkenbgbgodoglfkkejbdcpojnodnkg"",")</f>
        <v>"kemkenbgbgodoglfkkejbdcpojnodnkg",</v>
      </c>
    </row>
    <row r="1525">
      <c r="A1525" s="4" t="s">
        <v>20707</v>
      </c>
      <c r="B1525" s="4" t="s">
        <v>3037</v>
      </c>
      <c r="C1525" s="16" t="str">
        <f>IFERROR(__xludf.DUMMYFUNCTION(""""""""" &amp; REGEXEXTRACT(B1525, ""/detail/([^/?]+)"") &amp; """""","""),"""kfbocdnicmioodheiciijiegbmfoliim"",")</f>
        <v>"kfbocdnicmioodheiciijiegbmfoliim",</v>
      </c>
    </row>
    <row r="1526">
      <c r="A1526" s="4" t="s">
        <v>20708</v>
      </c>
      <c r="B1526" s="4" t="s">
        <v>3039</v>
      </c>
      <c r="C1526" s="16" t="str">
        <f>IFERROR(__xludf.DUMMYFUNCTION(""""""""" &amp; REGEXEXTRACT(B1526, ""/detail/([^/?]+)"") &amp; """""","""),"""kfdghhdnlfeencnfpbpddbceglaamobk"",")</f>
        <v>"kfdghhdnlfeencnfpbpddbceglaamobk",</v>
      </c>
    </row>
    <row r="1527">
      <c r="A1527" s="4" t="s">
        <v>20709</v>
      </c>
      <c r="B1527" s="4" t="s">
        <v>3041</v>
      </c>
      <c r="C1527" s="16" t="str">
        <f>IFERROR(__xludf.DUMMYFUNCTION(""""""""" &amp; REGEXEXTRACT(B1527, ""/detail/([^/?]+)"") &amp; """""","""),"""kfdocpnoiimdgjglhkbbbfholbibhgmh"",")</f>
        <v>"kfdocpnoiimdgjglhkbbbfholbibhgmh",</v>
      </c>
    </row>
    <row r="1528">
      <c r="A1528" s="4" t="s">
        <v>20710</v>
      </c>
      <c r="B1528" s="4" t="s">
        <v>3043</v>
      </c>
      <c r="C1528" s="16" t="str">
        <f>IFERROR(__xludf.DUMMYFUNCTION(""""""""" &amp; REGEXEXTRACT(B1528, ""/detail/([^/?]+)"") &amp; """""","""),"""kfieapkahkkhclonobinbonddbfkpbck"",")</f>
        <v>"kfieapkahkkhclonobinbonddbfkpbck",</v>
      </c>
    </row>
    <row r="1529">
      <c r="A1529" s="4" t="s">
        <v>20711</v>
      </c>
      <c r="B1529" s="4" t="s">
        <v>3045</v>
      </c>
      <c r="C1529" s="16" t="str">
        <f>IFERROR(__xludf.DUMMYFUNCTION(""""""""" &amp; REGEXEXTRACT(B1529, ""/detail/([^/?]+)"") &amp; """""","""),"""kfnogdokhemdbbclknmmjpcnmjmpjknc"",")</f>
        <v>"kfnogdokhemdbbclknmmjpcnmjmpjknc",</v>
      </c>
    </row>
    <row r="1530">
      <c r="A1530" s="4" t="s">
        <v>20712</v>
      </c>
      <c r="B1530" s="4" t="s">
        <v>3047</v>
      </c>
      <c r="C1530" s="16" t="str">
        <f>IFERROR(__xludf.DUMMYFUNCTION(""""""""" &amp; REGEXEXTRACT(B1530, ""/detail/([^/?]+)"") &amp; """""","""),"""khglpdagpjepfkjnnjcpiciekjoailhf"",")</f>
        <v>"khglpdagpjepfkjnnjcpiciekjoailhf",</v>
      </c>
    </row>
    <row r="1531">
      <c r="A1531" s="4" t="s">
        <v>20713</v>
      </c>
      <c r="B1531" s="4" t="s">
        <v>3049</v>
      </c>
      <c r="C1531" s="16" t="str">
        <f>IFERROR(__xludf.DUMMYFUNCTION(""""""""" &amp; REGEXEXTRACT(B1531, ""/detail/([^/?]+)"") &amp; """""","""),"""khigmghadjljgjpamimgjjmpmlbgmekj"",")</f>
        <v>"khigmghadjljgjpamimgjjmpmlbgmekj",</v>
      </c>
    </row>
    <row r="1532">
      <c r="A1532" s="4" t="s">
        <v>20714</v>
      </c>
      <c r="B1532" s="4" t="s">
        <v>3051</v>
      </c>
      <c r="C1532" s="16" t="str">
        <f>IFERROR(__xludf.DUMMYFUNCTION(""""""""" &amp; REGEXEXTRACT(B1532, ""/detail/([^/?]+)"") &amp; """""","""),"""khpbaggebmegoocfoapahhdgjepfinok"",")</f>
        <v>"khpbaggebmegoocfoapahhdgjepfinok",</v>
      </c>
    </row>
    <row r="1533">
      <c r="A1533" s="4" t="s">
        <v>20715</v>
      </c>
      <c r="B1533" s="4" t="s">
        <v>3053</v>
      </c>
      <c r="C1533" s="16" t="str">
        <f>IFERROR(__xludf.DUMMYFUNCTION(""""""""" &amp; REGEXEXTRACT(B1533, ""/detail/([^/?]+)"") &amp; """""","""),"""kinkgmlnfafflibopbljlhihdjmbahha"",")</f>
        <v>"kinkgmlnfafflibopbljlhihdjmbahha",</v>
      </c>
    </row>
    <row r="1534">
      <c r="A1534" s="4" t="s">
        <v>20716</v>
      </c>
      <c r="B1534" s="4" t="s">
        <v>3055</v>
      </c>
      <c r="C1534" s="16" t="str">
        <f>IFERROR(__xludf.DUMMYFUNCTION(""""""""" &amp; REGEXEXTRACT(B1534, ""/detail/([^/?]+)"") &amp; """""","""),"""kjdggbneannapcpmgobggobbnhecfpbh"",")</f>
        <v>"kjdggbneannapcpmgobggobbnhecfpbh",</v>
      </c>
    </row>
    <row r="1535">
      <c r="A1535" s="4" t="s">
        <v>20717</v>
      </c>
      <c r="B1535" s="4" t="s">
        <v>3057</v>
      </c>
      <c r="C1535" s="16" t="str">
        <f>IFERROR(__xludf.DUMMYFUNCTION(""""""""" &amp; REGEXEXTRACT(B1535, ""/detail/([^/?]+)"") &amp; """""","""),"""kjdgohfkopafhjmmlbojhaabfpndllgk"",")</f>
        <v>"kjdgohfkopafhjmmlbojhaabfpndllgk",</v>
      </c>
    </row>
    <row r="1536">
      <c r="A1536" s="4" t="s">
        <v>20718</v>
      </c>
      <c r="B1536" s="4" t="s">
        <v>3059</v>
      </c>
      <c r="C1536" s="16" t="str">
        <f>IFERROR(__xludf.DUMMYFUNCTION(""""""""" &amp; REGEXEXTRACT(B1536, ""/detail/([^/?]+)"") &amp; """""","""),"""kjhjcgclphafojaeeickcokfbhlegecd"",")</f>
        <v>"kjhjcgclphafojaeeickcokfbhlegecd",</v>
      </c>
    </row>
    <row r="1537">
      <c r="A1537" s="4" t="s">
        <v>20719</v>
      </c>
      <c r="B1537" s="4" t="s">
        <v>3061</v>
      </c>
      <c r="C1537" s="16" t="str">
        <f>IFERROR(__xludf.DUMMYFUNCTION(""""""""" &amp; REGEXEXTRACT(B1537, ""/detail/([^/?]+)"") &amp; """""","""),"""kkdihlopcnkjinfjhbeopjfmnfpcoaop"",")</f>
        <v>"kkdihlopcnkjinfjhbeopjfmnfpcoaop",</v>
      </c>
    </row>
    <row r="1538">
      <c r="A1538" s="4" t="s">
        <v>20720</v>
      </c>
      <c r="B1538" s="4" t="s">
        <v>3063</v>
      </c>
      <c r="C1538" s="16" t="str">
        <f>IFERROR(__xludf.DUMMYFUNCTION(""""""""" &amp; REGEXEXTRACT(B1538, ""/detail/([^/?]+)"") &amp; """""","""),"""kkfnfemdemphdadfolkmoimpeibeiadc"",")</f>
        <v>"kkfnfemdemphdadfolkmoimpeibeiadc",</v>
      </c>
    </row>
    <row r="1539">
      <c r="A1539" s="4" t="s">
        <v>20721</v>
      </c>
      <c r="B1539" s="4" t="s">
        <v>3065</v>
      </c>
      <c r="C1539" s="16" t="str">
        <f>IFERROR(__xludf.DUMMYFUNCTION(""""""""" &amp; REGEXEXTRACT(B1539, ""/detail/([^/?]+)"") &amp; """""","""),"""kkhffehjpbmdlibbcideiaidmdcfgglc"",")</f>
        <v>"kkhffehjpbmdlibbcideiaidmdcfgglc",</v>
      </c>
    </row>
    <row r="1540">
      <c r="A1540" s="4" t="s">
        <v>20722</v>
      </c>
      <c r="B1540" s="4" t="s">
        <v>3067</v>
      </c>
      <c r="C1540" s="16" t="str">
        <f>IFERROR(__xludf.DUMMYFUNCTION(""""""""" &amp; REGEXEXTRACT(B1540, ""/detail/([^/?]+)"") &amp; """""","""),"""kklpgonjnnbbhogmboejgklhlmakfmpm"",")</f>
        <v>"kklpgonjnnbbhogmboejgklhlmakfmpm",</v>
      </c>
    </row>
    <row r="1541">
      <c r="A1541" s="4" t="s">
        <v>20723</v>
      </c>
      <c r="B1541" s="4" t="s">
        <v>3069</v>
      </c>
      <c r="C1541" s="16" t="str">
        <f>IFERROR(__xludf.DUMMYFUNCTION(""""""""" &amp; REGEXEXTRACT(B1541, ""/detail/([^/?]+)"") &amp; """""","""),"""klmjghhmchlbcjechkhmgcjhkbbbjglb"",")</f>
        <v>"klmjghhmchlbcjechkhmgcjhkbbbjglb",</v>
      </c>
    </row>
    <row r="1542">
      <c r="A1542" s="4" t="s">
        <v>20724</v>
      </c>
      <c r="B1542" s="4" t="s">
        <v>3071</v>
      </c>
      <c r="C1542" s="16" t="str">
        <f>IFERROR(__xludf.DUMMYFUNCTION(""""""""" &amp; REGEXEXTRACT(B1542, ""/detail/([^/?]+)"") &amp; """""","""),"""kmgagnlkckiamnenbpigfaljmanlbbhh"",")</f>
        <v>"kmgagnlkckiamnenbpigfaljmanlbbhh",</v>
      </c>
    </row>
    <row r="1543">
      <c r="A1543" s="4" t="s">
        <v>20725</v>
      </c>
      <c r="B1543" s="4" t="s">
        <v>3073</v>
      </c>
      <c r="C1543" s="16" t="str">
        <f>IFERROR(__xludf.DUMMYFUNCTION(""""""""" &amp; REGEXEXTRACT(B1543, ""/detail/([^/?]+)"") &amp; """""","""),"""kmjcmncjhdnaealenhoohllicfkdojpb"",")</f>
        <v>"kmjcmncjhdnaealenhoohllicfkdojpb",</v>
      </c>
    </row>
    <row r="1544">
      <c r="A1544" s="4" t="s">
        <v>20726</v>
      </c>
      <c r="B1544" s="4" t="s">
        <v>3075</v>
      </c>
      <c r="C1544" s="16" t="str">
        <f>IFERROR(__xludf.DUMMYFUNCTION(""""""""" &amp; REGEXEXTRACT(B1544, ""/detail/([^/?]+)"") &amp; """""","""),"""kmmbfbgimpbcaaeibgnijiflciagmiha"",")</f>
        <v>"kmmbfbgimpbcaaeibgnijiflciagmiha",</v>
      </c>
    </row>
    <row r="1545">
      <c r="A1545" s="4" t="s">
        <v>20727</v>
      </c>
      <c r="B1545" s="4" t="s">
        <v>3077</v>
      </c>
      <c r="C1545" s="16" t="str">
        <f>IFERROR(__xludf.DUMMYFUNCTION(""""""""" &amp; REGEXEXTRACT(B1545, ""/detail/([^/?]+)"") &amp; """""","""),"""kmpienmlhgboooblifeplelmpaaccafc"",")</f>
        <v>"kmpienmlhgboooblifeplelmpaaccafc",</v>
      </c>
    </row>
    <row r="1546">
      <c r="A1546" s="4" t="s">
        <v>20728</v>
      </c>
      <c r="B1546" s="4" t="s">
        <v>3079</v>
      </c>
      <c r="C1546" s="16" t="str">
        <f>IFERROR(__xludf.DUMMYFUNCTION(""""""""" &amp; REGEXEXTRACT(B1546, ""/detail/([^/?]+)"") &amp; """""","""),"""knaddinhblejecfcgajdpbebicfpejem"",")</f>
        <v>"knaddinhblejecfcgajdpbebicfpejem",</v>
      </c>
    </row>
    <row r="1547">
      <c r="A1547" s="4" t="s">
        <v>20729</v>
      </c>
      <c r="B1547" s="4" t="s">
        <v>3081</v>
      </c>
      <c r="C1547" s="16" t="str">
        <f>IFERROR(__xludf.DUMMYFUNCTION(""""""""" &amp; REGEXEXTRACT(B1547, ""/detail/([^/?]+)"") &amp; """""","""),"""knahjdfbilnkfipggnnhojmjpjcgjkmg"",")</f>
        <v>"knahjdfbilnkfipggnnhojmjpjcgjkmg",</v>
      </c>
    </row>
    <row r="1548">
      <c r="A1548" s="4" t="s">
        <v>20730</v>
      </c>
      <c r="B1548" s="4" t="s">
        <v>3083</v>
      </c>
      <c r="C1548" s="16" t="str">
        <f>IFERROR(__xludf.DUMMYFUNCTION(""""""""" &amp; REGEXEXTRACT(B1548, ""/detail/([^/?]+)"") &amp; """""","""),"""kncchdigobghenbbaddojjnnaogfppfj"",")</f>
        <v>"kncchdigobghenbbaddojjnnaogfppfj",</v>
      </c>
    </row>
    <row r="1549">
      <c r="A1549" s="4" t="s">
        <v>20731</v>
      </c>
      <c r="B1549" s="4" t="s">
        <v>3085</v>
      </c>
      <c r="C1549" s="16" t="str">
        <f>IFERROR(__xludf.DUMMYFUNCTION(""""""""" &amp; REGEXEXTRACT(B1549, ""/detail/([^/?]+)"") &amp; """""","""),"""knjpopecjigkkaddmoahjcfpbgedkibf"",")</f>
        <v>"knjpopecjigkkaddmoahjcfpbgedkibf",</v>
      </c>
    </row>
    <row r="1550">
      <c r="A1550" s="4" t="s">
        <v>20732</v>
      </c>
      <c r="B1550" s="4" t="s">
        <v>3087</v>
      </c>
      <c r="C1550" s="16" t="str">
        <f>IFERROR(__xludf.DUMMYFUNCTION(""""""""" &amp; REGEXEXTRACT(B1550, ""/detail/([^/?]+)"") &amp; """""","""),"""knmghooehbjicekkmaolodoaapmjmcog"",")</f>
        <v>"knmghooehbjicekkmaolodoaapmjmcog",</v>
      </c>
    </row>
    <row r="1551">
      <c r="A1551" s="4" t="s">
        <v>20733</v>
      </c>
      <c r="B1551" s="4" t="s">
        <v>3089</v>
      </c>
      <c r="C1551" s="16" t="str">
        <f>IFERROR(__xludf.DUMMYFUNCTION(""""""""" &amp; REGEXEXTRACT(B1551, ""/detail/([^/?]+)"") &amp; """""","""),"""kobncijmigkffnhcopokahlmpionoplk"",")</f>
        <v>"kobncijmigkffnhcopokahlmpionoplk",</v>
      </c>
    </row>
    <row r="1552">
      <c r="A1552" s="4" t="s">
        <v>20734</v>
      </c>
      <c r="B1552" s="4" t="s">
        <v>3091</v>
      </c>
      <c r="C1552" s="16" t="str">
        <f>IFERROR(__xludf.DUMMYFUNCTION(""""""""" &amp; REGEXEXTRACT(B1552, ""/detail/([^/?]+)"") &amp; """""","""),"""kpcibgnngaaabebmcabmkocdokepdaki"",")</f>
        <v>"kpcibgnngaaabebmcabmkocdokepdaki",</v>
      </c>
    </row>
    <row r="1553">
      <c r="A1553" s="4" t="s">
        <v>20735</v>
      </c>
      <c r="B1553" s="4" t="s">
        <v>3093</v>
      </c>
      <c r="C1553" s="16" t="str">
        <f>IFERROR(__xludf.DUMMYFUNCTION(""""""""" &amp; REGEXEXTRACT(B1553, ""/detail/([^/?]+)"") &amp; """""","""),"""kpejegeplfmfcdaelkmmjlnijkejigpg"",")</f>
        <v>"kpejegeplfmfcdaelkmmjlnijkejigpg",</v>
      </c>
    </row>
    <row r="1554">
      <c r="A1554" s="4" t="s">
        <v>20736</v>
      </c>
      <c r="B1554" s="4" t="s">
        <v>3095</v>
      </c>
      <c r="C1554" s="16" t="str">
        <f>IFERROR(__xludf.DUMMYFUNCTION(""""""""" &amp; REGEXEXTRACT(B1554, ""/detail/([^/?]+)"") &amp; """""","""),"""kpipjgdapccmpkgipfikeajoopjbcgam"",")</f>
        <v>"kpipjgdapccmpkgipfikeajoopjbcgam",</v>
      </c>
    </row>
    <row r="1555">
      <c r="A1555" s="4" t="s">
        <v>20737</v>
      </c>
      <c r="B1555" s="4" t="s">
        <v>3097</v>
      </c>
      <c r="C1555" s="16" t="str">
        <f>IFERROR(__xludf.DUMMYFUNCTION(""""""""" &amp; REGEXEXTRACT(B1555, ""/detail/([^/?]+)"") &amp; """""","""),"""kpkeghonflnkockcnaegmphgdldfnden"",")</f>
        <v>"kpkeghonflnkockcnaegmphgdldfnden",</v>
      </c>
    </row>
    <row r="1556">
      <c r="A1556" s="4" t="s">
        <v>20738</v>
      </c>
      <c r="B1556" s="4" t="s">
        <v>3099</v>
      </c>
      <c r="C1556" s="16" t="str">
        <f>IFERROR(__xludf.DUMMYFUNCTION(""""""""" &amp; REGEXEXTRACT(B1556, ""/detail/([^/?]+)"") &amp; """""","""),"""ladomjdmipndjikefjafgemmlnhkhagc"",")</f>
        <v>"ladomjdmipndjikefjafgemmlnhkhagc",</v>
      </c>
    </row>
    <row r="1557">
      <c r="A1557" s="4" t="s">
        <v>20739</v>
      </c>
      <c r="B1557" s="4" t="s">
        <v>3101</v>
      </c>
      <c r="C1557" s="16" t="str">
        <f>IFERROR(__xludf.DUMMYFUNCTION(""""""""" &amp; REGEXEXTRACT(B1557, ""/detail/([^/?]+)"") &amp; """""","""),"""lajmdphbfjlbhgibfifhjcblodepejnj"",")</f>
        <v>"lajmdphbfjlbhgibfifhjcblodepejnj",</v>
      </c>
    </row>
    <row r="1558">
      <c r="A1558" s="4" t="s">
        <v>20740</v>
      </c>
      <c r="B1558" s="4" t="s">
        <v>3103</v>
      </c>
      <c r="C1558" s="16" t="str">
        <f>IFERROR(__xludf.DUMMYFUNCTION(""""""""" &amp; REGEXEXTRACT(B1558, ""/detail/([^/?]+)"") &amp; """""","""),"""laoeehanpnodehnejiknhgghinngkhha"",")</f>
        <v>"laoeehanpnodehnejiknhgghinngkhha",</v>
      </c>
    </row>
    <row r="1559">
      <c r="A1559" s="4" t="s">
        <v>20741</v>
      </c>
      <c r="B1559" s="4" t="s">
        <v>3105</v>
      </c>
      <c r="C1559" s="16" t="str">
        <f>IFERROR(__xludf.DUMMYFUNCTION(""""""""" &amp; REGEXEXTRACT(B1559, ""/detail/([^/?]+)"") &amp; """""","""),"""laohhcnmipbidhjomikgbmdgckopbgnb"",")</f>
        <v>"laohhcnmipbidhjomikgbmdgckopbgnb",</v>
      </c>
    </row>
    <row r="1560">
      <c r="A1560" s="4" t="s">
        <v>20742</v>
      </c>
      <c r="B1560" s="4" t="s">
        <v>3107</v>
      </c>
      <c r="C1560" s="16" t="str">
        <f>IFERROR(__xludf.DUMMYFUNCTION(""""""""" &amp; REGEXEXTRACT(B1560, ""/detail/([^/?]+)"") &amp; """""","""),"""lbadmllalinlpflkajgkkmjohckpnahm"",")</f>
        <v>"lbadmllalinlpflkajgkkmjohckpnahm",</v>
      </c>
    </row>
    <row r="1561">
      <c r="A1561" s="4" t="s">
        <v>20743</v>
      </c>
      <c r="B1561" s="4" t="s">
        <v>3109</v>
      </c>
      <c r="C1561" s="16" t="str">
        <f>IFERROR(__xludf.DUMMYFUNCTION(""""""""" &amp; REGEXEXTRACT(B1561, ""/detail/([^/?]+)"") &amp; """""","""),"""lbcabedlbpobhpongobnfkbfceedgdjk"",")</f>
        <v>"lbcabedlbpobhpongobnfkbfceedgdjk",</v>
      </c>
    </row>
    <row r="1562">
      <c r="A1562" s="4" t="s">
        <v>20744</v>
      </c>
      <c r="B1562" s="4" t="s">
        <v>3111</v>
      </c>
      <c r="C1562" s="16" t="str">
        <f>IFERROR(__xludf.DUMMYFUNCTION(""""""""" &amp; REGEXEXTRACT(B1562, ""/detail/([^/?]+)"") &amp; """""","""),"""lbgoadondhcaigdkciejdegkgambbkne"",")</f>
        <v>"lbgoadondhcaigdkciejdegkgambbkne",</v>
      </c>
    </row>
    <row r="1563">
      <c r="A1563" s="4" t="s">
        <v>20745</v>
      </c>
      <c r="B1563" s="4" t="s">
        <v>3113</v>
      </c>
      <c r="C1563" s="16" t="str">
        <f>IFERROR(__xludf.DUMMYFUNCTION(""""""""" &amp; REGEXEXTRACT(B1563, ""/detail/([^/?]+)"") &amp; """""","""),"""lboblnfejcmcaplhnbkkfcienhlhpnni"",")</f>
        <v>"lboblnfejcmcaplhnbkkfcienhlhpnni",</v>
      </c>
    </row>
    <row r="1564">
      <c r="A1564" s="4" t="s">
        <v>20746</v>
      </c>
      <c r="B1564" s="4" t="s">
        <v>3115</v>
      </c>
      <c r="C1564" s="16" t="str">
        <f>IFERROR(__xludf.DUMMYFUNCTION(""""""""" &amp; REGEXEXTRACT(B1564, ""/detail/([^/?]+)"") &amp; """""","""),"""lcdbjchkmflblionihdahffmfpbomdgn"",")</f>
        <v>"lcdbjchkmflblionihdahffmfpbomdgn",</v>
      </c>
    </row>
    <row r="1565">
      <c r="A1565" s="4" t="s">
        <v>20747</v>
      </c>
      <c r="B1565" s="4" t="s">
        <v>3117</v>
      </c>
      <c r="C1565" s="16" t="str">
        <f>IFERROR(__xludf.DUMMYFUNCTION(""""""""" &amp; REGEXEXTRACT(B1565, ""/detail/([^/?]+)"") &amp; """""","""),"""lcfphdldglgaodelggpckakfficpeefj"",")</f>
        <v>"lcfphdldglgaodelggpckakfficpeefj",</v>
      </c>
    </row>
    <row r="1566">
      <c r="A1566" s="4" t="s">
        <v>20748</v>
      </c>
      <c r="B1566" s="4" t="s">
        <v>3119</v>
      </c>
      <c r="C1566" s="16" t="str">
        <f>IFERROR(__xludf.DUMMYFUNCTION(""""""""" &amp; REGEXEXTRACT(B1566, ""/detail/([^/?]+)"") &amp; """""","""),"""lcmgcbgahjfokkiniknnafmeoaolkfab"",")</f>
        <v>"lcmgcbgahjfokkiniknnafmeoaolkfab",</v>
      </c>
    </row>
    <row r="1567">
      <c r="A1567" s="4" t="s">
        <v>20749</v>
      </c>
      <c r="B1567" s="4" t="s">
        <v>3121</v>
      </c>
      <c r="C1567" s="16" t="str">
        <f>IFERROR(__xludf.DUMMYFUNCTION(""""""""" &amp; REGEXEXTRACT(B1567, ""/detail/([^/?]+)"") &amp; """""","""),"""ldegpcdakhgalgehkaegdcmmgnneiekh"",")</f>
        <v>"ldegpcdakhgalgehkaegdcmmgnneiekh",</v>
      </c>
    </row>
    <row r="1568">
      <c r="A1568" s="4" t="s">
        <v>20750</v>
      </c>
      <c r="B1568" s="4" t="s">
        <v>3123</v>
      </c>
      <c r="C1568" s="16" t="str">
        <f>IFERROR(__xludf.DUMMYFUNCTION(""""""""" &amp; REGEXEXTRACT(B1568, ""/detail/([^/?]+)"") &amp; """""","""),"""ldibmiofagdkgiphkcokpooepankmacl"",")</f>
        <v>"ldibmiofagdkgiphkcokpooepankmacl",</v>
      </c>
    </row>
    <row r="1569">
      <c r="A1569" s="4" t="s">
        <v>20751</v>
      </c>
      <c r="B1569" s="4" t="s">
        <v>3125</v>
      </c>
      <c r="C1569" s="16" t="str">
        <f>IFERROR(__xludf.DUMMYFUNCTION(""""""""" &amp; REGEXEXTRACT(B1569, ""/detail/([^/?]+)"") &amp; """""","""),"""lebddibgdgkjheglmfpannlomiobdbhm"",")</f>
        <v>"lebddibgdgkjheglmfpannlomiobdbhm",</v>
      </c>
    </row>
    <row r="1570">
      <c r="A1570" s="4" t="s">
        <v>20752</v>
      </c>
      <c r="B1570" s="4" t="s">
        <v>3127</v>
      </c>
      <c r="C1570" s="16" t="str">
        <f>IFERROR(__xludf.DUMMYFUNCTION(""""""""" &amp; REGEXEXTRACT(B1570, ""/detail/([^/?]+)"") &amp; """""","""),"""lflgnjghielcddlkdjdcjalabpakebng"",")</f>
        <v>"lflgnjghielcddlkdjdcjalabpakebng",</v>
      </c>
    </row>
    <row r="1571">
      <c r="A1571" s="4" t="s">
        <v>20753</v>
      </c>
      <c r="B1571" s="4" t="s">
        <v>3129</v>
      </c>
      <c r="C1571" s="16" t="str">
        <f>IFERROR(__xludf.DUMMYFUNCTION(""""""""" &amp; REGEXEXTRACT(B1571, ""/detail/([^/?]+)"") &amp; """""","""),"""lfmanfkmmgfigbnjibfemdnnfjboficn"",")</f>
        <v>"lfmanfkmmgfigbnjibfemdnnfjboficn",</v>
      </c>
    </row>
    <row r="1572">
      <c r="A1572" s="4" t="s">
        <v>20754</v>
      </c>
      <c r="B1572" s="4" t="s">
        <v>3131</v>
      </c>
      <c r="C1572" s="16" t="str">
        <f>IFERROR(__xludf.DUMMYFUNCTION(""""""""" &amp; REGEXEXTRACT(B1572, ""/detail/([^/?]+)"") &amp; """""","""),"""lgblkllcjgihfnlefhnnpppndbbjallh"",")</f>
        <v>"lgblkllcjgihfnlefhnnpppndbbjallh",</v>
      </c>
    </row>
    <row r="1573">
      <c r="A1573" s="4" t="s">
        <v>20755</v>
      </c>
      <c r="B1573" s="4" t="s">
        <v>3133</v>
      </c>
      <c r="C1573" s="16" t="str">
        <f>IFERROR(__xludf.DUMMYFUNCTION(""""""""" &amp; REGEXEXTRACT(B1573, ""/detail/([^/?]+)"") &amp; """""","""),"""lggmmceliiaoddfnbaccgpfnpoifilic"",")</f>
        <v>"lggmmceliiaoddfnbaccgpfnpoifilic",</v>
      </c>
    </row>
    <row r="1574">
      <c r="A1574" s="4" t="s">
        <v>20756</v>
      </c>
      <c r="B1574" s="4" t="s">
        <v>3135</v>
      </c>
      <c r="C1574" s="16" t="str">
        <f>IFERROR(__xludf.DUMMYFUNCTION(""""""""" &amp; REGEXEXTRACT(B1574, ""/detail/([^/?]+)"") &amp; """""","""),"""lhjanpmhcanjknkcfjiikkjdecjkmngn"",")</f>
        <v>"lhjanpmhcanjknkcfjiikkjdecjkmngn",</v>
      </c>
    </row>
    <row r="1575">
      <c r="A1575" s="4" t="s">
        <v>20757</v>
      </c>
      <c r="B1575" s="4" t="s">
        <v>3137</v>
      </c>
      <c r="C1575" s="16" t="str">
        <f>IFERROR(__xludf.DUMMYFUNCTION(""""""""" &amp; REGEXEXTRACT(B1575, ""/detail/([^/?]+)"") &amp; """""","""),"""lhkeofanobfbjmfbfjjmibanddfkgobc"",")</f>
        <v>"lhkeofanobfbjmfbfjjmibanddfkgobc",</v>
      </c>
    </row>
    <row r="1576">
      <c r="A1576" s="4" t="s">
        <v>20758</v>
      </c>
      <c r="B1576" s="4" t="s">
        <v>3139</v>
      </c>
      <c r="C1576" s="16" t="str">
        <f>IFERROR(__xludf.DUMMYFUNCTION(""""""""" &amp; REGEXEXTRACT(B1576, ""/detail/([^/?]+)"") &amp; """""","""),"""liiikhhbkpmpomjmdofandjmdgapiahi"",")</f>
        <v>"liiikhhbkpmpomjmdofandjmdgapiahi",</v>
      </c>
    </row>
    <row r="1577">
      <c r="A1577" s="4" t="s">
        <v>20759</v>
      </c>
      <c r="B1577" s="4" t="s">
        <v>3141</v>
      </c>
      <c r="C1577" s="16" t="str">
        <f>IFERROR(__xludf.DUMMYFUNCTION(""""""""" &amp; REGEXEXTRACT(B1577, ""/detail/([^/?]+)"") &amp; """""","""),"""ljbpakpmiimdmblcjjhhbfabbkmcgmdp"",")</f>
        <v>"ljbpakpmiimdmblcjjhhbfabbkmcgmdp",</v>
      </c>
    </row>
    <row r="1578">
      <c r="A1578" s="4" t="s">
        <v>20760</v>
      </c>
      <c r="B1578" s="4" t="s">
        <v>3143</v>
      </c>
      <c r="C1578" s="16" t="str">
        <f>IFERROR(__xludf.DUMMYFUNCTION(""""""""" &amp; REGEXEXTRACT(B1578, ""/detail/([^/?]+)"") &amp; """""","""),"""ljkhgacfcnhpfafpcdpaadgklajibdak"",")</f>
        <v>"ljkhgacfcnhpfafpcdpaadgklajibdak",</v>
      </c>
    </row>
    <row r="1579">
      <c r="A1579" s="4" t="s">
        <v>20761</v>
      </c>
      <c r="B1579" s="4" t="s">
        <v>3145</v>
      </c>
      <c r="C1579" s="16" t="str">
        <f>IFERROR(__xludf.DUMMYFUNCTION(""""""""" &amp; REGEXEXTRACT(B1579, ""/detail/([^/?]+)"") &amp; """""","""),"""lkgmjkgknefdgjjclddkhndgljlbgmhc"",")</f>
        <v>"lkgmjkgknefdgjjclddkhndgljlbgmhc",</v>
      </c>
    </row>
    <row r="1580">
      <c r="A1580" s="4" t="s">
        <v>20762</v>
      </c>
      <c r="B1580" s="4" t="s">
        <v>3147</v>
      </c>
      <c r="C1580" s="16" t="str">
        <f>IFERROR(__xludf.DUMMYFUNCTION(""""""""" &amp; REGEXEXTRACT(B1580, ""/detail/([^/?]+)"") &amp; """""","""),"""lkkpfhgjmocgneajknedjhodkjkkclod"",")</f>
        <v>"lkkpfhgjmocgneajknedjhodkjkkclod",</v>
      </c>
    </row>
    <row r="1581">
      <c r="A1581" s="4" t="s">
        <v>20763</v>
      </c>
      <c r="B1581" s="4" t="s">
        <v>3149</v>
      </c>
      <c r="C1581" s="16" t="str">
        <f>IFERROR(__xludf.DUMMYFUNCTION(""""""""" &amp; REGEXEXTRACT(B1581, ""/detail/([^/?]+)"") &amp; """""","""),"""llbdoljkknpjgfcnbnoiehjcgancpjmd"",")</f>
        <v>"llbdoljkknpjgfcnbnoiehjcgancpjmd",</v>
      </c>
    </row>
    <row r="1582">
      <c r="A1582" s="4" t="s">
        <v>20764</v>
      </c>
      <c r="B1582" s="4" t="s">
        <v>3151</v>
      </c>
      <c r="C1582" s="16" t="str">
        <f>IFERROR(__xludf.DUMMYFUNCTION(""""""""" &amp; REGEXEXTRACT(B1582, ""/detail/([^/?]+)"") &amp; """""","""),"""lljpgahbeilaecaaiecghpmfajfeclge"",")</f>
        <v>"lljpgahbeilaecaaiecghpmfajfeclge",</v>
      </c>
    </row>
    <row r="1583">
      <c r="A1583" s="4" t="s">
        <v>20765</v>
      </c>
      <c r="B1583" s="4" t="s">
        <v>3153</v>
      </c>
      <c r="C1583" s="16" t="str">
        <f>IFERROR(__xludf.DUMMYFUNCTION(""""""""" &amp; REGEXEXTRACT(B1583, ""/detail/([^/?]+)"") &amp; """""","""),"""llpepekkleeoeiloijhcafgpjdnhhcbl"",")</f>
        <v>"llpepekkleeoeiloijhcafgpjdnhhcbl",</v>
      </c>
    </row>
    <row r="1584">
      <c r="A1584" s="4" t="s">
        <v>20766</v>
      </c>
      <c r="B1584" s="4" t="s">
        <v>3155</v>
      </c>
      <c r="C1584" s="16" t="str">
        <f>IFERROR(__xludf.DUMMYFUNCTION(""""""""" &amp; REGEXEXTRACT(B1584, ""/detail/([^/?]+)"") &amp; """""","""),"""lmcaacacgcdhhodchambiananlcdpbai"",")</f>
        <v>"lmcaacacgcdhhodchambiananlcdpbai",</v>
      </c>
    </row>
    <row r="1585">
      <c r="A1585" s="4" t="s">
        <v>20767</v>
      </c>
      <c r="B1585" s="4" t="s">
        <v>3157</v>
      </c>
      <c r="C1585" s="16" t="str">
        <f>IFERROR(__xludf.DUMMYFUNCTION(""""""""" &amp; REGEXEXTRACT(B1585, ""/detail/([^/?]+)"") &amp; """""","""),"""lmcaegdggcafolpgdikbahmnbbpdccgm"",")</f>
        <v>"lmcaegdggcafolpgdikbahmnbbpdccgm",</v>
      </c>
    </row>
    <row r="1586">
      <c r="A1586" s="4" t="s">
        <v>20768</v>
      </c>
      <c r="B1586" s="4" t="s">
        <v>3159</v>
      </c>
      <c r="C1586" s="16" t="str">
        <f>IFERROR(__xludf.DUMMYFUNCTION(""""""""" &amp; REGEXEXTRACT(B1586, ""/detail/([^/?]+)"") &amp; """""","""),"""lmhacemfmaapnkiehojbhmclmdnhjhfn"",")</f>
        <v>"lmhacemfmaapnkiehojbhmclmdnhjhfn",</v>
      </c>
    </row>
    <row r="1587">
      <c r="A1587" s="4" t="s">
        <v>20769</v>
      </c>
      <c r="B1587" s="4" t="s">
        <v>3161</v>
      </c>
      <c r="C1587" s="16" t="str">
        <f>IFERROR(__xludf.DUMMYFUNCTION(""""""""" &amp; REGEXEXTRACT(B1587, ""/detail/([^/?]+)"") &amp; """""","""),"""lmheddkblpkjlenfibgjpfheabbjemgd"",")</f>
        <v>"lmheddkblpkjlenfibgjpfheabbjemgd",</v>
      </c>
    </row>
    <row r="1588">
      <c r="A1588" s="4" t="s">
        <v>20770</v>
      </c>
      <c r="B1588" s="4" t="s">
        <v>3163</v>
      </c>
      <c r="C1588" s="16" t="str">
        <f>IFERROR(__xludf.DUMMYFUNCTION(""""""""" &amp; REGEXEXTRACT(B1588, ""/detail/([^/?]+)"") &amp; """""","""),"""lncoipkfcckgfhbmkjmfkfenoonmnjcd"",")</f>
        <v>"lncoipkfcckgfhbmkjmfkfenoonmnjcd",</v>
      </c>
    </row>
    <row r="1589">
      <c r="A1589" s="4" t="s">
        <v>20771</v>
      </c>
      <c r="B1589" s="4" t="s">
        <v>3165</v>
      </c>
      <c r="C1589" s="16" t="str">
        <f>IFERROR(__xludf.DUMMYFUNCTION(""""""""" &amp; REGEXEXTRACT(B1589, ""/detail/([^/?]+)"") &amp; """""","""),"""lofpffjefackjdfaacfkjdbfhfnkdgfl"",")</f>
        <v>"lofpffjefackjdfaacfkjdbfhfnkdgfl",</v>
      </c>
    </row>
    <row r="1590">
      <c r="A1590" s="4" t="s">
        <v>20772</v>
      </c>
      <c r="B1590" s="4" t="s">
        <v>3167</v>
      </c>
      <c r="C1590" s="16" t="str">
        <f>IFERROR(__xludf.DUMMYFUNCTION(""""""""" &amp; REGEXEXTRACT(B1590, ""/detail/([^/?]+)"") &amp; """""","""),"""lonbpbajbkhgnpdmiooklflmcnmlmbna"",")</f>
        <v>"lonbpbajbkhgnpdmiooklflmcnmlmbna",</v>
      </c>
    </row>
    <row r="1591">
      <c r="A1591" s="4" t="s">
        <v>20773</v>
      </c>
      <c r="B1591" s="4" t="s">
        <v>3169</v>
      </c>
      <c r="C1591" s="16" t="str">
        <f>IFERROR(__xludf.DUMMYFUNCTION(""""""""" &amp; REGEXEXTRACT(B1591, ""/detail/([^/?]+)"") &amp; """""","""),"""loojjnjjfmnmaefhinlahhaegaffjahc"",")</f>
        <v>"loojjnjjfmnmaefhinlahhaegaffjahc",</v>
      </c>
    </row>
    <row r="1592">
      <c r="A1592" s="4" t="s">
        <v>20774</v>
      </c>
      <c r="B1592" s="4" t="s">
        <v>3171</v>
      </c>
      <c r="C1592" s="16" t="str">
        <f>IFERROR(__xludf.DUMMYFUNCTION(""""""""" &amp; REGEXEXTRACT(B1592, ""/detail/([^/?]+)"") &amp; """""","""),"""mbfjokpccbakbnnpklkcginkalkijkan"",")</f>
        <v>"mbfjokpccbakbnnpklkcginkalkijkan",</v>
      </c>
    </row>
    <row r="1593">
      <c r="A1593" s="4" t="s">
        <v>20775</v>
      </c>
      <c r="B1593" s="4" t="s">
        <v>3173</v>
      </c>
      <c r="C1593" s="16" t="str">
        <f>IFERROR(__xludf.DUMMYFUNCTION(""""""""" &amp; REGEXEXTRACT(B1593, ""/detail/([^/?]+)"") &amp; """""","""),"""mbhbddecpoendcifccfckjkigbinefkg"",")</f>
        <v>"mbhbddecpoendcifccfckjkigbinefkg",</v>
      </c>
    </row>
    <row r="1594">
      <c r="A1594" s="4" t="s">
        <v>20776</v>
      </c>
      <c r="B1594" s="4" t="s">
        <v>3175</v>
      </c>
      <c r="C1594" s="16" t="str">
        <f>IFERROR(__xludf.DUMMYFUNCTION(""""""""" &amp; REGEXEXTRACT(B1594, ""/detail/([^/?]+)"") &amp; """""","""),"""mbhnoblcplfcookpoennihpndjobapeo"",")</f>
        <v>"mbhnoblcplfcookpoennihpndjobapeo",</v>
      </c>
    </row>
    <row r="1595">
      <c r="A1595" s="4" t="s">
        <v>20777</v>
      </c>
      <c r="B1595" s="4" t="s">
        <v>3177</v>
      </c>
      <c r="C1595" s="16" t="str">
        <f>IFERROR(__xludf.DUMMYFUNCTION(""""""""" &amp; REGEXEXTRACT(B1595, ""/detail/([^/?]+)"") &amp; """""","""),"""mblmpdpfppogibmoobibfannckeeleag"",")</f>
        <v>"mblmpdpfppogibmoobibfannckeeleag",</v>
      </c>
    </row>
    <row r="1596">
      <c r="A1596" s="4" t="s">
        <v>20778</v>
      </c>
      <c r="B1596" s="4" t="s">
        <v>3179</v>
      </c>
      <c r="C1596" s="16" t="str">
        <f>IFERROR(__xludf.DUMMYFUNCTION(""""""""" &amp; REGEXEXTRACT(B1596, ""/detail/([^/?]+)"") &amp; """""","""),"""mcdkcbdmgpgehifficmblllmkhdnmobc"",")</f>
        <v>"mcdkcbdmgpgehifficmblllmkhdnmobc",</v>
      </c>
    </row>
    <row r="1597">
      <c r="A1597" s="4" t="s">
        <v>20779</v>
      </c>
      <c r="B1597" s="4" t="s">
        <v>3181</v>
      </c>
      <c r="C1597" s="16" t="str">
        <f>IFERROR(__xludf.DUMMYFUNCTION(""""""""" &amp; REGEXEXTRACT(B1597, ""/detail/([^/?]+)"") &amp; """""","""),"""mdmgnnmlhdfofojkdoajglgmhaicejkk"",")</f>
        <v>"mdmgnnmlhdfofojkdoajglgmhaicejkk",</v>
      </c>
    </row>
    <row r="1598">
      <c r="A1598" s="4" t="s">
        <v>20780</v>
      </c>
      <c r="B1598" s="4" t="s">
        <v>3183</v>
      </c>
      <c r="C1598" s="16" t="str">
        <f>IFERROR(__xludf.DUMMYFUNCTION(""""""""" &amp; REGEXEXTRACT(B1598, ""/detail/([^/?]+)"") &amp; """""","""),"""mdmlhchldhfnfnkfmljgeinlffmdgkjo"",")</f>
        <v>"mdmlhchldhfnfnkfmljgeinlffmdgkjo",</v>
      </c>
    </row>
    <row r="1599">
      <c r="A1599" s="4" t="s">
        <v>20781</v>
      </c>
      <c r="B1599" s="4" t="s">
        <v>3185</v>
      </c>
      <c r="C1599" s="16" t="str">
        <f>IFERROR(__xludf.DUMMYFUNCTION(""""""""" &amp; REGEXEXTRACT(B1599, ""/detail/([^/?]+)"") &amp; """""","""),"""medgbgefdakphipekbmojjjhpmibhjif"",")</f>
        <v>"medgbgefdakphipekbmojjjhpmibhjif",</v>
      </c>
    </row>
    <row r="1600">
      <c r="A1600" s="4" t="s">
        <v>20782</v>
      </c>
      <c r="B1600" s="4" t="s">
        <v>3187</v>
      </c>
      <c r="C1600" s="16" t="str">
        <f>IFERROR(__xludf.DUMMYFUNCTION(""""""""" &amp; REGEXEXTRACT(B1600, ""/detail/([^/?]+)"") &amp; """""","""),"""medpfcealkejgpagldhgadbfaejjacaa"",")</f>
        <v>"medpfcealkejgpagldhgadbfaejjacaa",</v>
      </c>
    </row>
    <row r="1601">
      <c r="A1601" s="4" t="s">
        <v>20783</v>
      </c>
      <c r="B1601" s="4" t="s">
        <v>3189</v>
      </c>
      <c r="C1601" s="16" t="str">
        <f>IFERROR(__xludf.DUMMYFUNCTION(""""""""" &amp; REGEXEXTRACT(B1601, ""/detail/([^/?]+)"") &amp; """""","""),"""mefkaeaddmfcaobcbofpfkohmdaeihbd"",")</f>
        <v>"mefkaeaddmfcaobcbofpfkohmdaeihbd",</v>
      </c>
    </row>
    <row r="1602">
      <c r="A1602" s="4" t="s">
        <v>20784</v>
      </c>
      <c r="B1602" s="4" t="s">
        <v>3191</v>
      </c>
      <c r="C1602" s="16" t="str">
        <f>IFERROR(__xludf.DUMMYFUNCTION(""""""""" &amp; REGEXEXTRACT(B1602, ""/detail/([^/?]+)"") &amp; """""","""),"""megplcpdkmjjoondippkedoaidkeikcm"",")</f>
        <v>"megplcpdkmjjoondippkedoaidkeikcm",</v>
      </c>
    </row>
    <row r="1603">
      <c r="A1603" s="4" t="s">
        <v>20785</v>
      </c>
      <c r="B1603" s="4" t="s">
        <v>3193</v>
      </c>
      <c r="C1603" s="16" t="str">
        <f>IFERROR(__xludf.DUMMYFUNCTION(""""""""" &amp; REGEXEXTRACT(B1603, ""/detail/([^/?]+)"") &amp; """""","""),"""mfekcpndbpdgjjfahekhncdfegkhbghg"",")</f>
        <v>"mfekcpndbpdgjjfahekhncdfegkhbghg",</v>
      </c>
    </row>
    <row r="1604">
      <c r="A1604" s="4" t="s">
        <v>20786</v>
      </c>
      <c r="B1604" s="4" t="s">
        <v>3195</v>
      </c>
      <c r="C1604" s="16" t="str">
        <f>IFERROR(__xludf.DUMMYFUNCTION(""""""""" &amp; REGEXEXTRACT(B1604, ""/detail/([^/?]+)"") &amp; """""","""),"""mfoaclfeiefiehgaojbmncmefhdnikeg"",")</f>
        <v>"mfoaclfeiefiehgaojbmncmefhdnikeg",</v>
      </c>
    </row>
    <row r="1605">
      <c r="A1605" s="4" t="s">
        <v>20787</v>
      </c>
      <c r="B1605" s="4" t="s">
        <v>3197</v>
      </c>
      <c r="C1605" s="16" t="str">
        <f>IFERROR(__xludf.DUMMYFUNCTION(""""""""" &amp; REGEXEXTRACT(B1605, ""/detail/([^/?]+)"") &amp; """""","""),"""mgaecjklgnbkkdfnfpncgnogplnjjcdh"",")</f>
        <v>"mgaecjklgnbkkdfnfpncgnogplnjjcdh",</v>
      </c>
    </row>
    <row r="1606">
      <c r="A1606" s="4" t="s">
        <v>20788</v>
      </c>
      <c r="B1606" s="4" t="s">
        <v>3199</v>
      </c>
      <c r="C1606" s="16" t="str">
        <f>IFERROR(__xludf.DUMMYFUNCTION(""""""""" &amp; REGEXEXTRACT(B1606, ""/detail/([^/?]+)"") &amp; """""","""),"""mgbpliiilnmkgnjdfoneablfpmflghip"",")</f>
        <v>"mgbpliiilnmkgnjdfoneablfpmflghip",</v>
      </c>
    </row>
    <row r="1607">
      <c r="A1607" s="4" t="s">
        <v>20789</v>
      </c>
      <c r="B1607" s="4" t="s">
        <v>3201</v>
      </c>
      <c r="C1607" s="16" t="str">
        <f>IFERROR(__xludf.DUMMYFUNCTION(""""""""" &amp; REGEXEXTRACT(B1607, ""/detail/([^/?]+)"") &amp; """""","""),"""mgpbkhkpghgmihmcfbndejmkaibbnljo"",")</f>
        <v>"mgpbkhkpghgmihmcfbndejmkaibbnljo",</v>
      </c>
    </row>
    <row r="1608">
      <c r="A1608" s="4" t="s">
        <v>20790</v>
      </c>
      <c r="B1608" s="4" t="s">
        <v>3203</v>
      </c>
      <c r="C1608" s="16" t="str">
        <f>IFERROR(__xludf.DUMMYFUNCTION(""""""""" &amp; REGEXEXTRACT(B1608, ""/detail/([^/?]+)"") &amp; """""","""),"""mhabjpofjblpelkgmllkpcnlhgjpebko"",")</f>
        <v>"mhabjpofjblpelkgmllkpcnlhgjpebko",</v>
      </c>
    </row>
    <row r="1609">
      <c r="A1609" s="4" t="s">
        <v>20791</v>
      </c>
      <c r="B1609" s="4" t="s">
        <v>3205</v>
      </c>
      <c r="C1609" s="16" t="str">
        <f>IFERROR(__xludf.DUMMYFUNCTION(""""""""" &amp; REGEXEXTRACT(B1609, ""/detail/([^/?]+)"") &amp; """""","""),"""mhfjedhbggbodliofccpefegbmaoohin"",")</f>
        <v>"mhfjedhbggbodliofccpefegbmaoohin",</v>
      </c>
    </row>
    <row r="1610">
      <c r="A1610" s="4" t="s">
        <v>20792</v>
      </c>
      <c r="B1610" s="4" t="s">
        <v>3207</v>
      </c>
      <c r="C1610" s="16" t="str">
        <f>IFERROR(__xludf.DUMMYFUNCTION(""""""""" &amp; REGEXEXTRACT(B1610, ""/detail/([^/?]+)"") &amp; """""","""),"""mhhidgiahbopjapanmbflpkcecpciffa"",")</f>
        <v>"mhhidgiahbopjapanmbflpkcecpciffa",</v>
      </c>
    </row>
    <row r="1611">
      <c r="A1611" s="4" t="s">
        <v>20793</v>
      </c>
      <c r="B1611" s="4" t="s">
        <v>3209</v>
      </c>
      <c r="C1611" s="16" t="str">
        <f>IFERROR(__xludf.DUMMYFUNCTION(""""""""" &amp; REGEXEXTRACT(B1611, ""/detail/([^/?]+)"") &amp; """""","""),"""mhkbaognlahkdimlfcfhbeihldmjofgg"",")</f>
        <v>"mhkbaognlahkdimlfcfhbeihldmjofgg",</v>
      </c>
    </row>
    <row r="1612">
      <c r="A1612" s="4" t="s">
        <v>20794</v>
      </c>
      <c r="B1612" s="4" t="s">
        <v>3211</v>
      </c>
      <c r="C1612" s="16" t="str">
        <f>IFERROR(__xludf.DUMMYFUNCTION(""""""""" &amp; REGEXEXTRACT(B1612, ""/detail/([^/?]+)"") &amp; """""","""),"""mioddjnagbibapbehcccdfibbpjkadjd"",")</f>
        <v>"mioddjnagbibapbehcccdfibbpjkadjd",</v>
      </c>
    </row>
    <row r="1613">
      <c r="A1613" s="4" t="s">
        <v>20795</v>
      </c>
      <c r="B1613" s="4" t="s">
        <v>3213</v>
      </c>
      <c r="C1613" s="16" t="str">
        <f>IFERROR(__xludf.DUMMYFUNCTION(""""""""" &amp; REGEXEXTRACT(B1613, ""/detail/([^/?]+)"") &amp; """""","""),"""mjdgifdhhligineaimmgbikndpifdgml"",")</f>
        <v>"mjdgifdhhligineaimmgbikndpifdgml",</v>
      </c>
    </row>
    <row r="1614">
      <c r="A1614" s="4" t="s">
        <v>20796</v>
      </c>
      <c r="B1614" s="4" t="s">
        <v>3215</v>
      </c>
      <c r="C1614" s="16" t="str">
        <f>IFERROR(__xludf.DUMMYFUNCTION(""""""""" &amp; REGEXEXTRACT(B1614, ""/detail/([^/?]+)"") &amp; """""","""),"""mkhbghdfcdepfhgeklhdhlmdldiiaajp"",")</f>
        <v>"mkhbghdfcdepfhgeklhdhlmdldiiaajp",</v>
      </c>
    </row>
    <row r="1615">
      <c r="A1615" s="4" t="s">
        <v>20797</v>
      </c>
      <c r="B1615" s="4" t="s">
        <v>3217</v>
      </c>
      <c r="C1615" s="16" t="str">
        <f>IFERROR(__xludf.DUMMYFUNCTION(""""""""" &amp; REGEXEXTRACT(B1615, ""/detail/([^/?]+)"") &amp; """""","""),"""mkngillhpfbfoecjendeiengbehmfimp"",")</f>
        <v>"mkngillhpfbfoecjendeiengbehmfimp",</v>
      </c>
    </row>
    <row r="1616">
      <c r="A1616" s="4" t="s">
        <v>20798</v>
      </c>
      <c r="B1616" s="4" t="s">
        <v>3219</v>
      </c>
      <c r="C1616" s="16" t="str">
        <f>IFERROR(__xludf.DUMMYFUNCTION(""""""""" &amp; REGEXEXTRACT(B1616, ""/detail/([^/?]+)"") &amp; """""","""),"""mmkdibnjnmdebbhnddmpknnedpcokonh"",")</f>
        <v>"mmkdibnjnmdebbhnddmpknnedpcokonh",</v>
      </c>
    </row>
    <row r="1617">
      <c r="A1617" s="4" t="s">
        <v>20799</v>
      </c>
      <c r="B1617" s="4" t="s">
        <v>3221</v>
      </c>
      <c r="C1617" s="16" t="str">
        <f>IFERROR(__xludf.DUMMYFUNCTION(""""""""" &amp; REGEXEXTRACT(B1617, ""/detail/([^/?]+)"") &amp; """""","""),"""mmmhadpnjmokjbmgamifipkjddhlfkhi"",")</f>
        <v>"mmmhadpnjmokjbmgamifipkjddhlfkhi",</v>
      </c>
    </row>
    <row r="1618">
      <c r="A1618" s="4" t="s">
        <v>20800</v>
      </c>
      <c r="B1618" s="4" t="s">
        <v>3223</v>
      </c>
      <c r="C1618" s="16" t="str">
        <f>IFERROR(__xludf.DUMMYFUNCTION(""""""""" &amp; REGEXEXTRACT(B1618, ""/detail/([^/?]+)"") &amp; """""","""),"""mnheacjogifmodmiamnlekeapplcihbm"",")</f>
        <v>"mnheacjogifmodmiamnlekeapplcihbm",</v>
      </c>
    </row>
    <row r="1619">
      <c r="A1619" s="4" t="s">
        <v>20801</v>
      </c>
      <c r="B1619" s="4" t="s">
        <v>3225</v>
      </c>
      <c r="C1619" s="16" t="str">
        <f>IFERROR(__xludf.DUMMYFUNCTION(""""""""" &amp; REGEXEXTRACT(B1619, ""/detail/([^/?]+)"") &amp; """""","""),"""mnmlmkmjjhpbfemhmhpcpfkdlgadbigf"",")</f>
        <v>"mnmlmkmjjhpbfemhmhpcpfkdlgadbigf",</v>
      </c>
    </row>
    <row r="1620">
      <c r="A1620" s="4" t="s">
        <v>20802</v>
      </c>
      <c r="B1620" s="4" t="s">
        <v>3227</v>
      </c>
      <c r="C1620" s="16" t="str">
        <f>IFERROR(__xludf.DUMMYFUNCTION(""""""""" &amp; REGEXEXTRACT(B1620, ""/detail/([^/?]+)"") &amp; """""","""),"""mnphkaomgkbegpgndpmjfoljlkipenli"",")</f>
        <v>"mnphkaomgkbegpgndpmjfoljlkipenli",</v>
      </c>
    </row>
    <row r="1621">
      <c r="A1621" s="4" t="s">
        <v>20803</v>
      </c>
      <c r="B1621" s="4" t="s">
        <v>3229</v>
      </c>
      <c r="C1621" s="16" t="str">
        <f>IFERROR(__xludf.DUMMYFUNCTION(""""""""" &amp; REGEXEXTRACT(B1621, ""/detail/([^/?]+)"") &amp; """""","""),"""mnplmcgaklbhpennjinecnkjpedmfejc"",")</f>
        <v>"mnplmcgaklbhpennjinecnkjpedmfejc",</v>
      </c>
    </row>
    <row r="1622">
      <c r="A1622" s="4" t="s">
        <v>20804</v>
      </c>
      <c r="B1622" s="4" t="s">
        <v>3231</v>
      </c>
      <c r="C1622" s="16" t="str">
        <f>IFERROR(__xludf.DUMMYFUNCTION(""""""""" &amp; REGEXEXTRACT(B1622, ""/detail/([^/?]+)"") &amp; """""","""),"""moiloihigegdbekeabannnkibekfnekf"",")</f>
        <v>"moiloihigegdbekeabannnkibekfnekf",</v>
      </c>
    </row>
    <row r="1623">
      <c r="A1623" s="4" t="s">
        <v>20805</v>
      </c>
      <c r="B1623" s="4" t="s">
        <v>3233</v>
      </c>
      <c r="C1623" s="16" t="str">
        <f>IFERROR(__xludf.DUMMYFUNCTION(""""""""" &amp; REGEXEXTRACT(B1623, ""/detail/([^/?]+)"") &amp; """""","""),"""mokmnbikneoaenmckfmgjgjimphfojkd"",")</f>
        <v>"mokmnbikneoaenmckfmgjgjimphfojkd",</v>
      </c>
    </row>
    <row r="1624">
      <c r="A1624" s="4" t="s">
        <v>20806</v>
      </c>
      <c r="B1624" s="4" t="s">
        <v>3235</v>
      </c>
      <c r="C1624" s="16" t="str">
        <f>IFERROR(__xludf.DUMMYFUNCTION(""""""""" &amp; REGEXEXTRACT(B1624, ""/detail/([^/?]+)"") &amp; """""","""),"""mpnkdjpgbhnnpaegmejjbgoelicncdmg"",")</f>
        <v>"mpnkdjpgbhnnpaegmejjbgoelicncdmg",</v>
      </c>
    </row>
    <row r="1625">
      <c r="A1625" s="4" t="s">
        <v>20807</v>
      </c>
      <c r="B1625" s="4" t="s">
        <v>3237</v>
      </c>
      <c r="C1625" s="16" t="str">
        <f>IFERROR(__xludf.DUMMYFUNCTION(""""""""" &amp; REGEXEXTRACT(B1625, ""/detail/([^/?]+)"") &amp; """""","""),"""nabjlccebfffbgmmoadelclcoaflbhnn"",")</f>
        <v>"nabjlccebfffbgmmoadelclcoaflbhnn",</v>
      </c>
    </row>
    <row r="1626">
      <c r="A1626" s="4" t="s">
        <v>20808</v>
      </c>
      <c r="B1626" s="4" t="s">
        <v>3239</v>
      </c>
      <c r="C1626" s="16" t="str">
        <f>IFERROR(__xludf.DUMMYFUNCTION(""""""""" &amp; REGEXEXTRACT(B1626, ""/detail/([^/?]+)"") &amp; """""","""),"""nalaeminfbmmidadoaegigajbapfajgi"",")</f>
        <v>"nalaeminfbmmidadoaegigajbapfajgi",</v>
      </c>
    </row>
    <row r="1627">
      <c r="A1627" s="4" t="s">
        <v>20809</v>
      </c>
      <c r="B1627" s="4" t="s">
        <v>3241</v>
      </c>
      <c r="C1627" s="16" t="str">
        <f>IFERROR(__xludf.DUMMYFUNCTION(""""""""" &amp; REGEXEXTRACT(B1627, ""/detail/([^/?]+)"") &amp; """""","""),"""nalpbalegehinpooppmmgjidgiebblad"",")</f>
        <v>"nalpbalegehinpooppmmgjidgiebblad",</v>
      </c>
    </row>
    <row r="1628">
      <c r="A1628" s="4" t="s">
        <v>20810</v>
      </c>
      <c r="B1628" s="4" t="s">
        <v>3243</v>
      </c>
      <c r="C1628" s="16" t="str">
        <f>IFERROR(__xludf.DUMMYFUNCTION(""""""""" &amp; REGEXEXTRACT(B1628, ""/detail/([^/?]+)"") &amp; """""","""),"""nanfbkacbckngfcklahdgfagjlghfbgm"",")</f>
        <v>"nanfbkacbckngfcklahdgfagjlghfbgm",</v>
      </c>
    </row>
    <row r="1629">
      <c r="A1629" s="4" t="s">
        <v>20811</v>
      </c>
      <c r="B1629" s="4" t="s">
        <v>3245</v>
      </c>
      <c r="C1629" s="16" t="str">
        <f>IFERROR(__xludf.DUMMYFUNCTION(""""""""" &amp; REGEXEXTRACT(B1629, ""/detail/([^/?]+)"") &amp; """""","""),"""napbejkndjhcciibiglkimmgdlfjcbnp"",")</f>
        <v>"napbejkndjhcciibiglkimmgdlfjcbnp",</v>
      </c>
    </row>
    <row r="1630">
      <c r="A1630" s="4" t="s">
        <v>20812</v>
      </c>
      <c r="B1630" s="4" t="s">
        <v>3247</v>
      </c>
      <c r="C1630" s="16" t="str">
        <f>IFERROR(__xludf.DUMMYFUNCTION(""""""""" &amp; REGEXEXTRACT(B1630, ""/detail/([^/?]+)"") &amp; """""","""),"""napnlheijpokljocbmigochahnlakhbp"",")</f>
        <v>"napnlheijpokljocbmigochahnlakhbp",</v>
      </c>
    </row>
    <row r="1631">
      <c r="A1631" s="4" t="s">
        <v>20813</v>
      </c>
      <c r="B1631" s="4" t="s">
        <v>3249</v>
      </c>
      <c r="C1631" s="16" t="str">
        <f>IFERROR(__xludf.DUMMYFUNCTION(""""""""" &amp; REGEXEXTRACT(B1631, ""/detail/([^/?]+)"") &amp; """""","""),"""nbdlmbalmemeafnibbnjbddkclefkkkn"",")</f>
        <v>"nbdlmbalmemeafnibbnjbddkclefkkkn",</v>
      </c>
    </row>
    <row r="1632">
      <c r="A1632" s="4" t="s">
        <v>20814</v>
      </c>
      <c r="B1632" s="4" t="s">
        <v>3251</v>
      </c>
      <c r="C1632" s="16" t="str">
        <f>IFERROR(__xludf.DUMMYFUNCTION(""""""""" &amp; REGEXEXTRACT(B1632, ""/detail/([^/?]+)"") &amp; """""","""),"""nbfccmdfpollpgjnbghmnkmgimliookh"",")</f>
        <v>"nbfccmdfpollpgjnbghmnkmgimliookh",</v>
      </c>
    </row>
    <row r="1633">
      <c r="A1633" s="4" t="s">
        <v>20815</v>
      </c>
      <c r="B1633" s="4" t="s">
        <v>3253</v>
      </c>
      <c r="C1633" s="16" t="str">
        <f>IFERROR(__xludf.DUMMYFUNCTION(""""""""" &amp; REGEXEXTRACT(B1633, ""/detail/([^/?]+)"") &amp; """""","""),"""nbljknjnnkmlpccdnlkkgmnmonhinbnh"",")</f>
        <v>"nbljknjnnkmlpccdnlkkgmnmonhinbnh",</v>
      </c>
    </row>
    <row r="1634">
      <c r="A1634" s="4" t="s">
        <v>20816</v>
      </c>
      <c r="B1634" s="4" t="s">
        <v>3255</v>
      </c>
      <c r="C1634" s="16" t="str">
        <f>IFERROR(__xludf.DUMMYFUNCTION(""""""""" &amp; REGEXEXTRACT(B1634, ""/detail/([^/?]+)"") &amp; """""","""),"""ncdhendbhjlcnboihkbjjldcndoebhan"",")</f>
        <v>"ncdhendbhjlcnboihkbjjldcndoebhan",</v>
      </c>
    </row>
    <row r="1635">
      <c r="A1635" s="4" t="s">
        <v>20817</v>
      </c>
      <c r="B1635" s="4" t="s">
        <v>3257</v>
      </c>
      <c r="C1635" s="16" t="str">
        <f>IFERROR(__xludf.DUMMYFUNCTION(""""""""" &amp; REGEXEXTRACT(B1635, ""/detail/([^/?]+)"") &amp; """""","""),"""ncjkkfbddfkkemiejpfdgjcifjmbcloc"",")</f>
        <v>"ncjkkfbddfkkemiejpfdgjcifjmbcloc",</v>
      </c>
    </row>
    <row r="1636">
      <c r="A1636" s="4" t="s">
        <v>20818</v>
      </c>
      <c r="B1636" s="4" t="s">
        <v>3259</v>
      </c>
      <c r="C1636" s="16" t="str">
        <f>IFERROR(__xludf.DUMMYFUNCTION(""""""""" &amp; REGEXEXTRACT(B1636, ""/detail/([^/?]+)"") &amp; """""","""),"""ncmnhiijmdhplkmkpejmmbpjiojchefe"",")</f>
        <v>"ncmnhiijmdhplkmkpejmmbpjiojchefe",</v>
      </c>
    </row>
    <row r="1637">
      <c r="A1637" s="4" t="s">
        <v>20819</v>
      </c>
      <c r="B1637" s="4" t="s">
        <v>3261</v>
      </c>
      <c r="C1637" s="16" t="str">
        <f>IFERROR(__xludf.DUMMYFUNCTION(""""""""" &amp; REGEXEXTRACT(B1637, ""/detail/([^/?]+)"") &amp; """""","""),"""ndabmaflbdfldmdlccmpccenpkgklhln"",")</f>
        <v>"ndabmaflbdfldmdlccmpccenpkgklhln",</v>
      </c>
    </row>
    <row r="1638">
      <c r="A1638" s="4" t="s">
        <v>20820</v>
      </c>
      <c r="B1638" s="4" t="s">
        <v>3263</v>
      </c>
      <c r="C1638" s="16" t="str">
        <f>IFERROR(__xludf.DUMMYFUNCTION(""""""""" &amp; REGEXEXTRACT(B1638, ""/detail/([^/?]+)"") &amp; """""","""),"""ndnijgilgcbhfnklfeookcddkgcecofk"",")</f>
        <v>"ndnijgilgcbhfnklfeookcddkgcecofk",</v>
      </c>
    </row>
    <row r="1639">
      <c r="A1639" s="4" t="s">
        <v>20821</v>
      </c>
      <c r="B1639" s="4" t="s">
        <v>3265</v>
      </c>
      <c r="C1639" s="16" t="str">
        <f>IFERROR(__xludf.DUMMYFUNCTION(""""""""" &amp; REGEXEXTRACT(B1639, ""/detail/([^/?]+)"") &amp; """""","""),"""ndpmhjnlfkgfalaieeneneenijondgag"",")</f>
        <v>"ndpmhjnlfkgfalaieeneneenijondgag",</v>
      </c>
    </row>
    <row r="1640">
      <c r="A1640" s="4" t="s">
        <v>20822</v>
      </c>
      <c r="B1640" s="4" t="s">
        <v>3267</v>
      </c>
      <c r="C1640" s="16" t="str">
        <f>IFERROR(__xludf.DUMMYFUNCTION(""""""""" &amp; REGEXEXTRACT(B1640, ""/detail/([^/?]+)"") &amp; """""","""),"""nekjmidjbalppbmbahlicbomdngafneo"",")</f>
        <v>"nekjmidjbalppbmbahlicbomdngafneo",</v>
      </c>
    </row>
    <row r="1641">
      <c r="A1641" s="4" t="s">
        <v>20823</v>
      </c>
      <c r="B1641" s="4" t="s">
        <v>3269</v>
      </c>
      <c r="C1641" s="16" t="str">
        <f>IFERROR(__xludf.DUMMYFUNCTION(""""""""" &amp; REGEXEXTRACT(B1641, ""/detail/([^/?]+)"") &amp; """""","""),"""nemahdoihakfniciobefoebllhlobdok"",")</f>
        <v>"nemahdoihakfniciobefoebllhlobdok",</v>
      </c>
    </row>
    <row r="1642">
      <c r="A1642" s="4" t="s">
        <v>20824</v>
      </c>
      <c r="B1642" s="4" t="s">
        <v>3271</v>
      </c>
      <c r="C1642" s="16" t="str">
        <f>IFERROR(__xludf.DUMMYFUNCTION(""""""""" &amp; REGEXEXTRACT(B1642, ""/detail/([^/?]+)"") &amp; """""","""),"""nenndldnbcncjmeacmnondmkkfedmgmp"",")</f>
        <v>"nenndldnbcncjmeacmnondmkkfedmgmp",</v>
      </c>
    </row>
    <row r="1643">
      <c r="A1643" s="4" t="s">
        <v>20825</v>
      </c>
      <c r="B1643" s="4" t="s">
        <v>3273</v>
      </c>
      <c r="C1643" s="16" t="str">
        <f>IFERROR(__xludf.DUMMYFUNCTION(""""""""" &amp; REGEXEXTRACT(B1643, ""/detail/([^/?]+)"") &amp; """""","""),"""nfbbahbhaadfdhedpoifbamfdcfnflei"",")</f>
        <v>"nfbbahbhaadfdhedpoifbamfdcfnflei",</v>
      </c>
    </row>
    <row r="1644">
      <c r="A1644" s="4" t="s">
        <v>20826</v>
      </c>
      <c r="B1644" s="4" t="s">
        <v>3275</v>
      </c>
      <c r="C1644" s="16" t="str">
        <f>IFERROR(__xludf.DUMMYFUNCTION(""""""""" &amp; REGEXEXTRACT(B1644, ""/detail/([^/?]+)"") &amp; """""","""),"""nfbcfginnecenjncdjhaminfcienmehn"",")</f>
        <v>"nfbcfginnecenjncdjhaminfcienmehn",</v>
      </c>
    </row>
    <row r="1645">
      <c r="A1645" s="4" t="s">
        <v>20827</v>
      </c>
      <c r="B1645" s="4" t="s">
        <v>3277</v>
      </c>
      <c r="C1645" s="16" t="str">
        <f>IFERROR(__xludf.DUMMYFUNCTION(""""""""" &amp; REGEXEXTRACT(B1645, ""/detail/([^/?]+)"") &amp; """""","""),"""nfhdjopbhlggibjlimhdbogflgmbiahc"",")</f>
        <v>"nfhdjopbhlggibjlimhdbogflgmbiahc",</v>
      </c>
    </row>
    <row r="1646">
      <c r="A1646" s="4" t="s">
        <v>20828</v>
      </c>
      <c r="B1646" s="4" t="s">
        <v>3279</v>
      </c>
      <c r="C1646" s="16" t="str">
        <f>IFERROR(__xludf.DUMMYFUNCTION(""""""""" &amp; REGEXEXTRACT(B1646, ""/detail/([^/?]+)"") &amp; """""","""),"""nfjhhclkicfofjcjdpdkapbkmmmbnbpf"",")</f>
        <v>"nfjhhclkicfofjcjdpdkapbkmmmbnbpf",</v>
      </c>
    </row>
    <row r="1647">
      <c r="A1647" s="4" t="s">
        <v>20829</v>
      </c>
      <c r="B1647" s="4" t="s">
        <v>3281</v>
      </c>
      <c r="C1647" s="16" t="str">
        <f>IFERROR(__xludf.DUMMYFUNCTION(""""""""" &amp; REGEXEXTRACT(B1647, ""/detail/([^/?]+)"") &amp; """""","""),"""nfkicldpnflkchmbaliabnplahdhipip"",")</f>
        <v>"nfkicldpnflkchmbaliabnplahdhipip",</v>
      </c>
    </row>
    <row r="1648">
      <c r="A1648" s="4" t="s">
        <v>20830</v>
      </c>
      <c r="B1648" s="4" t="s">
        <v>3283</v>
      </c>
      <c r="C1648" s="16" t="str">
        <f>IFERROR(__xludf.DUMMYFUNCTION(""""""""" &amp; REGEXEXTRACT(B1648, ""/detail/([^/?]+)"") &amp; """""","""),"""nfmdeemncclfiaeppedpkaekjhceffka"",")</f>
        <v>"nfmdeemncclfiaeppedpkaekjhceffka",</v>
      </c>
    </row>
    <row r="1649">
      <c r="A1649" s="4" t="s">
        <v>20831</v>
      </c>
      <c r="B1649" s="4" t="s">
        <v>3285</v>
      </c>
      <c r="C1649" s="16" t="str">
        <f>IFERROR(__xludf.DUMMYFUNCTION(""""""""" &amp; REGEXEXTRACT(B1649, ""/detail/([^/?]+)"") &amp; """""","""),"""ngeipjajooddgpedkfobklklflllhppn"",")</f>
        <v>"ngeipjajooddgpedkfobklklflllhppn",</v>
      </c>
    </row>
    <row r="1650">
      <c r="A1650" s="4" t="s">
        <v>20832</v>
      </c>
      <c r="B1650" s="4" t="s">
        <v>3287</v>
      </c>
      <c r="C1650" s="16" t="str">
        <f>IFERROR(__xludf.DUMMYFUNCTION(""""""""" &amp; REGEXEXTRACT(B1650, ""/detail/([^/?]+)"") &amp; """""","""),"""nghndfiaocgpmcbeafglhknklfgddebe"",")</f>
        <v>"nghndfiaocgpmcbeafglhknklfgddebe",</v>
      </c>
    </row>
    <row r="1651">
      <c r="A1651" s="4" t="s">
        <v>20833</v>
      </c>
      <c r="B1651" s="4" t="s">
        <v>3289</v>
      </c>
      <c r="C1651" s="16" t="str">
        <f>IFERROR(__xludf.DUMMYFUNCTION(""""""""" &amp; REGEXEXTRACT(B1651, ""/detail/([^/?]+)"") &amp; """""","""),"""ngjdhjgbagpeimgpgloofkfoipgpdgdb"",")</f>
        <v>"ngjdhjgbagpeimgpgloofkfoipgpdgdb",</v>
      </c>
    </row>
    <row r="1652">
      <c r="A1652" s="4" t="s">
        <v>20834</v>
      </c>
      <c r="B1652" s="4" t="s">
        <v>3291</v>
      </c>
      <c r="C1652" s="16" t="str">
        <f>IFERROR(__xludf.DUMMYFUNCTION(""""""""" &amp; REGEXEXTRACT(B1652, ""/detail/([^/?]+)"") &amp; """""","""),"""nglaklhklhcoonedhgnpgddginnjdadi"",")</f>
        <v>"nglaklhklhcoonedhgnpgddginnjdadi",</v>
      </c>
    </row>
    <row r="1653">
      <c r="A1653" s="4" t="s">
        <v>20835</v>
      </c>
      <c r="B1653" s="4" t="s">
        <v>3293</v>
      </c>
      <c r="C1653" s="16" t="str">
        <f>IFERROR(__xludf.DUMMYFUNCTION(""""""""" &amp; REGEXEXTRACT(B1653, ""/detail/([^/?]+)"") &amp; """""","""),"""nhdkmikakepiiabdfjjgogcaielndmlj"",")</f>
        <v>"nhdkmikakepiiabdfjjgogcaielndmlj",</v>
      </c>
    </row>
    <row r="1654">
      <c r="A1654" s="4" t="s">
        <v>20836</v>
      </c>
      <c r="B1654" s="4" t="s">
        <v>3295</v>
      </c>
      <c r="C1654" s="16" t="str">
        <f>IFERROR(__xludf.DUMMYFUNCTION(""""""""" &amp; REGEXEXTRACT(B1654, ""/detail/([^/?]+)"") &amp; """""","""),"""nhmhmcocmfkdpdbhkdalnkjpbhdnljhl"",")</f>
        <v>"nhmhmcocmfkdpdbhkdalnkjpbhdnljhl",</v>
      </c>
    </row>
    <row r="1655">
      <c r="A1655" s="4" t="s">
        <v>20837</v>
      </c>
      <c r="B1655" s="4" t="s">
        <v>3297</v>
      </c>
      <c r="C1655" s="16" t="str">
        <f>IFERROR(__xludf.DUMMYFUNCTION(""""""""" &amp; REGEXEXTRACT(B1655, ""/detail/([^/?]+)"") &amp; """""","""),"""nibkffljoplhfjjnompgibnkoehbjmmo"",")</f>
        <v>"nibkffljoplhfjjnompgibnkoehbjmmo",</v>
      </c>
    </row>
    <row r="1656">
      <c r="A1656" s="4" t="s">
        <v>20838</v>
      </c>
      <c r="B1656" s="4" t="s">
        <v>3299</v>
      </c>
      <c r="C1656" s="16" t="str">
        <f>IFERROR(__xludf.DUMMYFUNCTION(""""""""" &amp; REGEXEXTRACT(B1656, ""/detail/([^/?]+)"") &amp; """""","""),"""niepjjjfafhadmfdminbckmciijcaagc"",")</f>
        <v>"niepjjjfafhadmfdminbckmciijcaagc",</v>
      </c>
    </row>
    <row r="1657">
      <c r="A1657" s="4" t="s">
        <v>20839</v>
      </c>
      <c r="B1657" s="4" t="s">
        <v>3301</v>
      </c>
      <c r="C1657" s="16" t="str">
        <f>IFERROR(__xludf.DUMMYFUNCTION(""""""""" &amp; REGEXEXTRACT(B1657, ""/detail/([^/?]+)"") &amp; """""","""),"""nihpfpbibfgpgnfpbfedkdokihggapoi"",")</f>
        <v>"nihpfpbibfgpgnfpbfedkdokihggapoi",</v>
      </c>
    </row>
    <row r="1658">
      <c r="A1658" s="4" t="s">
        <v>20840</v>
      </c>
      <c r="B1658" s="4" t="s">
        <v>3303</v>
      </c>
      <c r="C1658" s="16" t="str">
        <f>IFERROR(__xludf.DUMMYFUNCTION(""""""""" &amp; REGEXEXTRACT(B1658, ""/detail/([^/?]+)"") &amp; """""","""),"""njgopmododdceghkcgbmgfffamnjbjno"",")</f>
        <v>"njgopmododdceghkcgbmgfffamnjbjno",</v>
      </c>
    </row>
    <row r="1659">
      <c r="A1659" s="4" t="s">
        <v>20841</v>
      </c>
      <c r="B1659" s="4" t="s">
        <v>3305</v>
      </c>
      <c r="C1659" s="16" t="str">
        <f>IFERROR(__xludf.DUMMYFUNCTION(""""""""" &amp; REGEXEXTRACT(B1659, ""/detail/([^/?]+)"") &amp; """""","""),"""njmflagahgdhopbcdilgahjlfiecakpe"",")</f>
        <v>"njmflagahgdhopbcdilgahjlfiecakpe",</v>
      </c>
    </row>
    <row r="1660">
      <c r="A1660" s="4" t="s">
        <v>20842</v>
      </c>
      <c r="B1660" s="4" t="s">
        <v>3307</v>
      </c>
      <c r="C1660" s="16" t="str">
        <f>IFERROR(__xludf.DUMMYFUNCTION(""""""""" &amp; REGEXEXTRACT(B1660, ""/detail/([^/?]+)"") &amp; """""","""),"""nkaliaagdnbgadcpnkdbmnigkalbihlb"",")</f>
        <v>"nkaliaagdnbgadcpnkdbmnigkalbihlb",</v>
      </c>
    </row>
    <row r="1661">
      <c r="A1661" s="4" t="s">
        <v>20843</v>
      </c>
      <c r="B1661" s="4" t="s">
        <v>3309</v>
      </c>
      <c r="C1661" s="16" t="str">
        <f>IFERROR(__xludf.DUMMYFUNCTION(""""""""" &amp; REGEXEXTRACT(B1661, ""/detail/([^/?]+)"") &amp; """""","""),"""nkfgheamjehkhbjkidlbegfmkgndhdle"",")</f>
        <v>"nkfgheamjehkhbjkidlbegfmkgndhdle",</v>
      </c>
    </row>
    <row r="1662">
      <c r="A1662" s="4" t="s">
        <v>20844</v>
      </c>
      <c r="B1662" s="4" t="s">
        <v>3311</v>
      </c>
      <c r="C1662" s="16" t="str">
        <f>IFERROR(__xludf.DUMMYFUNCTION(""""""""" &amp; REGEXEXTRACT(B1662, ""/detail/([^/?]+)"") &amp; """""","""),"""nkfpegmmhcipdkgoiimdegfaicbdnndh"",")</f>
        <v>"nkfpegmmhcipdkgoiimdegfaicbdnndh",</v>
      </c>
    </row>
    <row r="1663">
      <c r="A1663" s="4" t="s">
        <v>20845</v>
      </c>
      <c r="B1663" s="4" t="s">
        <v>3313</v>
      </c>
      <c r="C1663" s="16" t="str">
        <f>IFERROR(__xludf.DUMMYFUNCTION(""""""""" &amp; REGEXEXTRACT(B1663, ""/detail/([^/?]+)"") &amp; """""","""),"""nkgldikaifljadeeogdbanlckplpbffj"",")</f>
        <v>"nkgldikaifljadeeogdbanlckplpbffj",</v>
      </c>
    </row>
    <row r="1664">
      <c r="A1664" s="4" t="s">
        <v>20846</v>
      </c>
      <c r="B1664" s="4" t="s">
        <v>3315</v>
      </c>
      <c r="C1664" s="16" t="str">
        <f>IFERROR(__xludf.DUMMYFUNCTION(""""""""" &amp; REGEXEXTRACT(B1664, ""/detail/([^/?]+)"") &amp; """""","""),"""nklechikgnfoonbfmcalddjcpmcmgapf"",")</f>
        <v>"nklechikgnfoonbfmcalddjcpmcmgapf",</v>
      </c>
    </row>
    <row r="1665">
      <c r="A1665" s="4" t="s">
        <v>20847</v>
      </c>
      <c r="B1665" s="4" t="s">
        <v>3317</v>
      </c>
      <c r="C1665" s="16" t="str">
        <f>IFERROR(__xludf.DUMMYFUNCTION(""""""""" &amp; REGEXEXTRACT(B1665, ""/detail/([^/?]+)"") &amp; """""","""),"""nknonnojlmhnmjhpeokdbeineeajcemh"",")</f>
        <v>"nknonnojlmhnmjhpeokdbeineeajcemh",</v>
      </c>
    </row>
    <row r="1666">
      <c r="A1666" s="4" t="s">
        <v>20848</v>
      </c>
      <c r="B1666" s="4" t="s">
        <v>3319</v>
      </c>
      <c r="C1666" s="16" t="str">
        <f>IFERROR(__xludf.DUMMYFUNCTION(""""""""" &amp; REGEXEXTRACT(B1666, ""/detail/([^/?]+)"") &amp; """""","""),"""nlclhmcmfjpmmngpopdgapiccfddfagi"",")</f>
        <v>"nlclhmcmfjpmmngpopdgapiccfddfagi",</v>
      </c>
    </row>
    <row r="1667">
      <c r="A1667" s="4" t="s">
        <v>20849</v>
      </c>
      <c r="B1667" s="4" t="s">
        <v>3321</v>
      </c>
      <c r="C1667" s="16" t="str">
        <f>IFERROR(__xludf.DUMMYFUNCTION(""""""""" &amp; REGEXEXTRACT(B1667, ""/detail/([^/?]+)"") &amp; """""","""),"""nldhhcppalplgopagbhfehfmpmpefkim"",")</f>
        <v>"nldhhcppalplgopagbhfehfmpmpefkim",</v>
      </c>
    </row>
    <row r="1668">
      <c r="A1668" s="4" t="s">
        <v>20850</v>
      </c>
      <c r="B1668" s="4" t="s">
        <v>3323</v>
      </c>
      <c r="C1668" s="16" t="str">
        <f>IFERROR(__xludf.DUMMYFUNCTION(""""""""" &amp; REGEXEXTRACT(B1668, ""/detail/([^/?]+)"") &amp; """""","""),"""nldojjdlhkfalipikhhnhhidfhgoopig"",")</f>
        <v>"nldojjdlhkfalipikhhnhhidfhgoopig",</v>
      </c>
    </row>
    <row r="1669">
      <c r="A1669" s="4" t="s">
        <v>20851</v>
      </c>
      <c r="B1669" s="4" t="s">
        <v>3325</v>
      </c>
      <c r="C1669" s="16" t="str">
        <f>IFERROR(__xludf.DUMMYFUNCTION(""""""""" &amp; REGEXEXTRACT(B1669, ""/detail/([^/?]+)"") &amp; """""","""),"""nleehhpkbdfkfijnboebfaijhjabfjeb"",")</f>
        <v>"nleehhpkbdfkfijnboebfaijhjabfjeb",</v>
      </c>
    </row>
    <row r="1670">
      <c r="A1670" s="4" t="s">
        <v>20852</v>
      </c>
      <c r="B1670" s="4" t="s">
        <v>3327</v>
      </c>
      <c r="C1670" s="16" t="str">
        <f>IFERROR(__xludf.DUMMYFUNCTION(""""""""" &amp; REGEXEXTRACT(B1670, ""/detail/([^/?]+)"") &amp; """""","""),"""nlikaonifbagdlcjoepofomefchkahab"",")</f>
        <v>"nlikaonifbagdlcjoepofomefchkahab",</v>
      </c>
    </row>
    <row r="1671">
      <c r="A1671" s="4" t="s">
        <v>20853</v>
      </c>
      <c r="B1671" s="4" t="s">
        <v>3329</v>
      </c>
      <c r="C1671" s="16" t="str">
        <f>IFERROR(__xludf.DUMMYFUNCTION(""""""""" &amp; REGEXEXTRACT(B1671, ""/detail/([^/?]+)"") &amp; """""","""),"""nlldbplhbaopldicmcoogopmkonpebjm"",")</f>
        <v>"nlldbplhbaopldicmcoogopmkonpebjm",</v>
      </c>
    </row>
    <row r="1672">
      <c r="A1672" s="4" t="s">
        <v>20854</v>
      </c>
      <c r="B1672" s="4" t="s">
        <v>3331</v>
      </c>
      <c r="C1672" s="16" t="str">
        <f>IFERROR(__xludf.DUMMYFUNCTION(""""""""" &amp; REGEXEXTRACT(B1672, ""/detail/([^/?]+)"") &amp; """""","""),"""nnbcadknhdmeinlkfomapcbmeiplkhjj"",")</f>
        <v>"nnbcadknhdmeinlkfomapcbmeiplkhjj",</v>
      </c>
    </row>
    <row r="1673">
      <c r="A1673" s="4" t="s">
        <v>20855</v>
      </c>
      <c r="B1673" s="4" t="s">
        <v>3333</v>
      </c>
      <c r="C1673" s="16" t="str">
        <f>IFERROR(__xludf.DUMMYFUNCTION(""""""""" &amp; REGEXEXTRACT(B1673, ""/detail/([^/?]+)"") &amp; """""","""),"""nnhkopilnkhffhfakmeaafimgbcgjlii"",")</f>
        <v>"nnhkopilnkhffhfakmeaafimgbcgjlii",</v>
      </c>
    </row>
    <row r="1674">
      <c r="A1674" s="4" t="s">
        <v>20856</v>
      </c>
      <c r="B1674" s="4" t="s">
        <v>3335</v>
      </c>
      <c r="C1674" s="16" t="str">
        <f>IFERROR(__xludf.DUMMYFUNCTION(""""""""" &amp; REGEXEXTRACT(B1674, ""/detail/([^/?]+)"") &amp; """""","""),"""noeilkljmfafbfcdoieialchglebbcea"",")</f>
        <v>"noeilkljmfafbfcdoieialchglebbcea",</v>
      </c>
    </row>
    <row r="1675">
      <c r="A1675" s="4" t="s">
        <v>20857</v>
      </c>
      <c r="B1675" s="4" t="s">
        <v>3337</v>
      </c>
      <c r="C1675" s="16" t="str">
        <f>IFERROR(__xludf.DUMMYFUNCTION(""""""""" &amp; REGEXEXTRACT(B1675, ""/detail/([^/?]+)"") &amp; """""","""),"""noncaeikjgpbdeoocblijjgegnobogib"",")</f>
        <v>"noncaeikjgpbdeoocblijjgegnobogib",</v>
      </c>
    </row>
    <row r="1676">
      <c r="A1676" s="4" t="s">
        <v>20858</v>
      </c>
      <c r="B1676" s="4" t="s">
        <v>3339</v>
      </c>
      <c r="C1676" s="16" t="str">
        <f>IFERROR(__xludf.DUMMYFUNCTION(""""""""" &amp; REGEXEXTRACT(B1676, ""/detail/([^/?]+)"") &amp; """""","""),"""npbojjhacophkgfmllhoikaaiapdgacb"",")</f>
        <v>"npbojjhacophkgfmllhoikaaiapdgacb",</v>
      </c>
    </row>
    <row r="1677">
      <c r="A1677" s="4" t="s">
        <v>20859</v>
      </c>
      <c r="B1677" s="4" t="s">
        <v>3341</v>
      </c>
      <c r="C1677" s="16" t="str">
        <f>IFERROR(__xludf.DUMMYFUNCTION(""""""""" &amp; REGEXEXTRACT(B1677, ""/detail/([^/?]+)"") &amp; """""","""),"""nplngmgdacdfncdkpdomipkehfnbinfa"",")</f>
        <v>"nplngmgdacdfncdkpdomipkehfnbinfa",</v>
      </c>
    </row>
    <row r="1678">
      <c r="A1678" s="4" t="s">
        <v>20860</v>
      </c>
      <c r="B1678" s="4" t="s">
        <v>3343</v>
      </c>
      <c r="C1678" s="16" t="str">
        <f>IFERROR(__xludf.DUMMYFUNCTION(""""""""" &amp; REGEXEXTRACT(B1678, ""/detail/([^/?]+)"") &amp; """""","""),"""oafehcpjkmcajaddkiokiolhebnfhcmg"",")</f>
        <v>"oafehcpjkmcajaddkiokiolhebnfhcmg",</v>
      </c>
    </row>
    <row r="1679">
      <c r="A1679" s="4" t="s">
        <v>20861</v>
      </c>
      <c r="B1679" s="4" t="s">
        <v>3345</v>
      </c>
      <c r="C1679" s="16" t="str">
        <f>IFERROR(__xludf.DUMMYFUNCTION(""""""""" &amp; REGEXEXTRACT(B1679, ""/detail/([^/?]+)"") &amp; """""","""),"""oafgjlmmngifdapmamnfcfppjnjebkif"",")</f>
        <v>"oafgjlmmngifdapmamnfcfppjnjebkif",</v>
      </c>
    </row>
    <row r="1680">
      <c r="A1680" s="4" t="s">
        <v>20862</v>
      </c>
      <c r="B1680" s="4" t="s">
        <v>3347</v>
      </c>
      <c r="C1680" s="16" t="str">
        <f>IFERROR(__xludf.DUMMYFUNCTION(""""""""" &amp; REGEXEXTRACT(B1680, ""/detail/([^/?]+)"") &amp; """""","""),"""oahammdeiaankgiieafmgdpdoefadehl"",")</f>
        <v>"oahammdeiaankgiieafmgdpdoefadehl",</v>
      </c>
    </row>
    <row r="1681">
      <c r="A1681" s="4" t="s">
        <v>20863</v>
      </c>
      <c r="B1681" s="4" t="s">
        <v>3349</v>
      </c>
      <c r="C1681" s="16" t="str">
        <f>IFERROR(__xludf.DUMMYFUNCTION(""""""""" &amp; REGEXEXTRACT(B1681, ""/detail/([^/?]+)"") &amp; """""","""),"""oahidkobkdbfbknbloljgpjbeaefgapa"",")</f>
        <v>"oahidkobkdbfbknbloljgpjbeaefgapa",</v>
      </c>
    </row>
    <row r="1682">
      <c r="A1682" s="4" t="s">
        <v>20864</v>
      </c>
      <c r="B1682" s="4" t="s">
        <v>3351</v>
      </c>
      <c r="C1682" s="16" t="str">
        <f>IFERROR(__xludf.DUMMYFUNCTION(""""""""" &amp; REGEXEXTRACT(B1682, ""/detail/([^/?]+)"") &amp; """""","""),"""oaocieklgnankpgmdbbepdkjpfheohgi"",")</f>
        <v>"oaocieklgnankpgmdbbepdkjpfheohgi",</v>
      </c>
    </row>
    <row r="1683">
      <c r="A1683" s="4" t="s">
        <v>20865</v>
      </c>
      <c r="B1683" s="4" t="s">
        <v>3353</v>
      </c>
      <c r="C1683" s="16" t="str">
        <f>IFERROR(__xludf.DUMMYFUNCTION(""""""""" &amp; REGEXEXTRACT(B1683, ""/detail/([^/?]+)"") &amp; """""","""),"""oapompiieilbchpdikbnngomijbkehmn"",")</f>
        <v>"oapompiieilbchpdikbnngomijbkehmn",</v>
      </c>
    </row>
    <row r="1684">
      <c r="A1684" s="4" t="s">
        <v>20866</v>
      </c>
      <c r="B1684" s="4" t="s">
        <v>3355</v>
      </c>
      <c r="C1684" s="16" t="str">
        <f>IFERROR(__xludf.DUMMYFUNCTION(""""""""" &amp; REGEXEXTRACT(B1684, ""/detail/([^/?]+)"") &amp; """""","""),"""obbeehkplijogilkjkpkicnanojdckoi"",")</f>
        <v>"obbeehkplijogilkjkpkicnanojdckoi",</v>
      </c>
    </row>
    <row r="1685">
      <c r="A1685" s="4" t="s">
        <v>20867</v>
      </c>
      <c r="B1685" s="4" t="s">
        <v>3357</v>
      </c>
      <c r="C1685" s="16" t="str">
        <f>IFERROR(__xludf.DUMMYFUNCTION(""""""""" &amp; REGEXEXTRACT(B1685, ""/detail/([^/?]+)"") &amp; """""","""),"""obldlamadkihjlkdjblncejeblbogmnb"",")</f>
        <v>"obldlamadkihjlkdjblncejeblbogmnb",</v>
      </c>
    </row>
    <row r="1686">
      <c r="A1686" s="4" t="s">
        <v>20868</v>
      </c>
      <c r="B1686" s="4" t="s">
        <v>3359</v>
      </c>
      <c r="C1686" s="16" t="str">
        <f>IFERROR(__xludf.DUMMYFUNCTION(""""""""" &amp; REGEXEXTRACT(B1686, ""/detail/([^/?]+)"") &amp; """""","""),"""ocabfdicbcamoonfhalkdojedklfcjmf"",")</f>
        <v>"ocabfdicbcamoonfhalkdojedklfcjmf",</v>
      </c>
    </row>
    <row r="1687">
      <c r="A1687" s="4" t="s">
        <v>20869</v>
      </c>
      <c r="B1687" s="4" t="s">
        <v>3361</v>
      </c>
      <c r="C1687" s="16" t="str">
        <f>IFERROR(__xludf.DUMMYFUNCTION(""""""""" &amp; REGEXEXTRACT(B1687, ""/detail/([^/?]+)"") &amp; """""","""),"""ocfjjjjhkpapocigimmppepjgfdecjkb"",")</f>
        <v>"ocfjjjjhkpapocigimmppepjgfdecjkb",</v>
      </c>
    </row>
    <row r="1688">
      <c r="A1688" s="4" t="s">
        <v>20870</v>
      </c>
      <c r="B1688" s="4" t="s">
        <v>3363</v>
      </c>
      <c r="C1688" s="16" t="str">
        <f>IFERROR(__xludf.DUMMYFUNCTION(""""""""" &amp; REGEXEXTRACT(B1688, ""/detail/([^/?]+)"") &amp; """""","""),"""ocifbglmlbpgpbflnkfpclkmckoollbn"",")</f>
        <v>"ocifbglmlbpgpbflnkfpclkmckoollbn",</v>
      </c>
    </row>
    <row r="1689">
      <c r="A1689" s="4" t="s">
        <v>20871</v>
      </c>
      <c r="B1689" s="4" t="s">
        <v>3365</v>
      </c>
      <c r="C1689" s="16" t="str">
        <f>IFERROR(__xludf.DUMMYFUNCTION(""""""""" &amp; REGEXEXTRACT(B1689, ""/detail/([^/?]+)"") &amp; """""","""),"""ocmandagmgmkcplckgnfgaokpgkfenmp"",")</f>
        <v>"ocmandagmgmkcplckgnfgaokpgkfenmp",</v>
      </c>
    </row>
    <row r="1690">
      <c r="A1690" s="4" t="s">
        <v>20872</v>
      </c>
      <c r="B1690" s="4" t="s">
        <v>3367</v>
      </c>
      <c r="C1690" s="16" t="str">
        <f>IFERROR(__xludf.DUMMYFUNCTION(""""""""" &amp; REGEXEXTRACT(B1690, ""/detail/([^/?]+)"") &amp; """""","""),"""ocnplnjcbicbpbnlmpljfgicnpibidgj"",")</f>
        <v>"ocnplnjcbicbpbnlmpljfgicnpibidgj",</v>
      </c>
    </row>
    <row r="1691">
      <c r="A1691" s="4" t="s">
        <v>20873</v>
      </c>
      <c r="B1691" s="4" t="s">
        <v>3369</v>
      </c>
      <c r="C1691" s="16" t="str">
        <f>IFERROR(__xludf.DUMMYFUNCTION(""""""""" &amp; REGEXEXTRACT(B1691, ""/detail/([^/?]+)"") &amp; """""","""),"""odafagokkafdbbeojliiojjmimakacil"",")</f>
        <v>"odafagokkafdbbeojliiojjmimakacil",</v>
      </c>
    </row>
    <row r="1692">
      <c r="A1692" s="4" t="s">
        <v>20874</v>
      </c>
      <c r="B1692" s="4" t="s">
        <v>3371</v>
      </c>
      <c r="C1692" s="16" t="str">
        <f>IFERROR(__xludf.DUMMYFUNCTION(""""""""" &amp; REGEXEXTRACT(B1692, ""/detail/([^/?]+)"") &amp; """""","""),"""odkemkdbjdjlpipmdmnidmcbjnchpghm"",")</f>
        <v>"odkemkdbjdjlpipmdmnidmcbjnchpghm",</v>
      </c>
    </row>
    <row r="1693">
      <c r="A1693" s="4" t="s">
        <v>20875</v>
      </c>
      <c r="B1693" s="4" t="s">
        <v>3373</v>
      </c>
      <c r="C1693" s="16" t="str">
        <f>IFERROR(__xludf.DUMMYFUNCTION(""""""""" &amp; REGEXEXTRACT(B1693, ""/detail/([^/?]+)"") &amp; """""","""),"""oedcflfijnmdnkllbeoacabinnlgplmb"",")</f>
        <v>"oedcflfijnmdnkllbeoacabinnlgplmb",</v>
      </c>
    </row>
    <row r="1694">
      <c r="A1694" s="4" t="s">
        <v>20876</v>
      </c>
      <c r="B1694" s="4" t="s">
        <v>3375</v>
      </c>
      <c r="C1694" s="16" t="str">
        <f>IFERROR(__xludf.DUMMYFUNCTION(""""""""" &amp; REGEXEXTRACT(B1694, ""/detail/([^/?]+)"") &amp; """""","""),"""oedodeocfdeegliepeeoieemhdgoijod"",")</f>
        <v>"oedodeocfdeegliepeeoieemhdgoijod",</v>
      </c>
    </row>
    <row r="1695">
      <c r="A1695" s="4" t="s">
        <v>20877</v>
      </c>
      <c r="B1695" s="4" t="s">
        <v>3377</v>
      </c>
      <c r="C1695" s="16" t="str">
        <f>IFERROR(__xludf.DUMMYFUNCTION(""""""""" &amp; REGEXEXTRACT(B1695, ""/detail/([^/?]+)"") &amp; """""","""),"""oenijhondngbjobcpjdjjehcifkmhnib"",")</f>
        <v>"oenijhondngbjobcpjdjjehcifkmhnib",</v>
      </c>
    </row>
    <row r="1696">
      <c r="A1696" s="4" t="s">
        <v>20878</v>
      </c>
      <c r="B1696" s="4" t="s">
        <v>3379</v>
      </c>
      <c r="C1696" s="16" t="str">
        <f>IFERROR(__xludf.DUMMYFUNCTION(""""""""" &amp; REGEXEXTRACT(B1696, ""/detail/([^/?]+)"") &amp; """""","""),"""ofhimkkaomaoilmnmfhmdoekoaeclkoa"",")</f>
        <v>"ofhimkkaomaoilmnmfhmdoekoaeclkoa",</v>
      </c>
    </row>
    <row r="1697">
      <c r="A1697" s="4" t="s">
        <v>20879</v>
      </c>
      <c r="B1697" s="4" t="s">
        <v>3381</v>
      </c>
      <c r="C1697" s="16" t="str">
        <f>IFERROR(__xludf.DUMMYFUNCTION(""""""""" &amp; REGEXEXTRACT(B1697, ""/detail/([^/?]+)"") &amp; """""","""),"""ofjjanaennfbgpccfpbghnmblpdblbef"",")</f>
        <v>"ofjjanaennfbgpccfpbghnmblpdblbef",</v>
      </c>
    </row>
    <row r="1698">
      <c r="A1698" s="4" t="s">
        <v>20880</v>
      </c>
      <c r="B1698" s="4" t="s">
        <v>3383</v>
      </c>
      <c r="C1698" s="16" t="str">
        <f>IFERROR(__xludf.DUMMYFUNCTION(""""""""" &amp; REGEXEXTRACT(B1698, ""/detail/([^/?]+)"") &amp; """""","""),"""ofpglhlcdbjdhlacgbljnildhajfmlei"",")</f>
        <v>"ofpglhlcdbjdhlacgbljnildhajfmlei",</v>
      </c>
    </row>
    <row r="1699">
      <c r="A1699" s="4" t="s">
        <v>20881</v>
      </c>
      <c r="B1699" s="4" t="s">
        <v>3385</v>
      </c>
      <c r="C1699" s="16" t="str">
        <f>IFERROR(__xludf.DUMMYFUNCTION(""""""""" &amp; REGEXEXTRACT(B1699, ""/detail/([^/?]+)"") &amp; """""","""),"""ogdhdnpiclkaeicicamopfohidjokoom"",")</f>
        <v>"ogdhdnpiclkaeicicamopfohidjokoom",</v>
      </c>
    </row>
    <row r="1700">
      <c r="A1700" s="4" t="s">
        <v>20882</v>
      </c>
      <c r="B1700" s="4" t="s">
        <v>3387</v>
      </c>
      <c r="C1700" s="16" t="str">
        <f>IFERROR(__xludf.DUMMYFUNCTION(""""""""" &amp; REGEXEXTRACT(B1700, ""/detail/([^/?]+)"") &amp; """""","""),"""ogkjfglelpailehmjlkaodhoiageienh"",")</f>
        <v>"ogkjfglelpailehmjlkaodhoiageienh",</v>
      </c>
    </row>
    <row r="1701">
      <c r="A1701" s="4" t="s">
        <v>20883</v>
      </c>
      <c r="B1701" s="4" t="s">
        <v>3389</v>
      </c>
      <c r="C1701" s="16" t="str">
        <f>IFERROR(__xludf.DUMMYFUNCTION(""""""""" &amp; REGEXEXTRACT(B1701, ""/detail/([^/?]+)"") &amp; """""","""),"""ohndojpkopphmijlemjgnpbbpefpaang"",")</f>
        <v>"ohndojpkopphmijlemjgnpbbpefpaang",</v>
      </c>
    </row>
    <row r="1702">
      <c r="A1702" s="4" t="s">
        <v>20884</v>
      </c>
      <c r="B1702" s="4" t="s">
        <v>3391</v>
      </c>
      <c r="C1702" s="16" t="str">
        <f>IFERROR(__xludf.DUMMYFUNCTION(""""""""" &amp; REGEXEXTRACT(B1702, ""/detail/([^/?]+)"") &amp; """""","""),"""oiajbaepngjfcgimlkaedfkdjkklkfhh"",")</f>
        <v>"oiajbaepngjfcgimlkaedfkdjkklkfhh",</v>
      </c>
    </row>
    <row r="1703">
      <c r="A1703" s="4" t="s">
        <v>20885</v>
      </c>
      <c r="B1703" s="4" t="s">
        <v>3393</v>
      </c>
      <c r="C1703" s="16" t="str">
        <f>IFERROR(__xludf.DUMMYFUNCTION(""""""""" &amp; REGEXEXTRACT(B1703, ""/detail/([^/?]+)"") &amp; """""","""),"""oiapacjhgpaojehgcndepionkjphanoe"",")</f>
        <v>"oiapacjhgpaojehgcndepionkjphanoe",</v>
      </c>
    </row>
    <row r="1704">
      <c r="A1704" s="4" t="s">
        <v>20886</v>
      </c>
      <c r="B1704" s="4" t="s">
        <v>3395</v>
      </c>
      <c r="C1704" s="16" t="str">
        <f>IFERROR(__xludf.DUMMYFUNCTION(""""""""" &amp; REGEXEXTRACT(B1704, ""/detail/([^/?]+)"") &amp; """""","""),"""oiembdaoobijmdmeobkalaehgifealpl"",")</f>
        <v>"oiembdaoobijmdmeobkalaehgifealpl",</v>
      </c>
    </row>
    <row r="1705">
      <c r="A1705" s="4" t="s">
        <v>20887</v>
      </c>
      <c r="B1705" s="4" t="s">
        <v>3397</v>
      </c>
      <c r="C1705" s="16" t="str">
        <f>IFERROR(__xludf.DUMMYFUNCTION(""""""""" &amp; REGEXEXTRACT(B1705, ""/detail/([^/?]+)"") &amp; """""","""),"""ojiioomnfggllljmdbcnmnieffmonohl"",")</f>
        <v>"ojiioomnfggllljmdbcnmnieffmonohl",</v>
      </c>
    </row>
    <row r="1706">
      <c r="A1706" s="4" t="s">
        <v>20888</v>
      </c>
      <c r="B1706" s="4" t="s">
        <v>3399</v>
      </c>
      <c r="C1706" s="16" t="str">
        <f>IFERROR(__xludf.DUMMYFUNCTION(""""""""" &amp; REGEXEXTRACT(B1706, ""/detail/([^/?]+)"") &amp; """""","""),"""ojoecolejmnhkgafjnieigpjhgmpllnn"",")</f>
        <v>"ojoecolejmnhkgafjnieigpjhgmpllnn",</v>
      </c>
    </row>
    <row r="1707">
      <c r="A1707" s="4" t="s">
        <v>20889</v>
      </c>
      <c r="B1707" s="4" t="s">
        <v>3401</v>
      </c>
      <c r="C1707" s="16" t="str">
        <f>IFERROR(__xludf.DUMMYFUNCTION(""""""""" &amp; REGEXEXTRACT(B1707, ""/detail/([^/?]+)"") &amp; """""","""),"""okdhadoplaoehmeldlpakhpekjcpljmb"",")</f>
        <v>"okdhadoplaoehmeldlpakhpekjcpljmb",</v>
      </c>
    </row>
    <row r="1708">
      <c r="A1708" s="4" t="s">
        <v>20890</v>
      </c>
      <c r="B1708" s="4" t="s">
        <v>3403</v>
      </c>
      <c r="C1708" s="16" t="str">
        <f>IFERROR(__xludf.DUMMYFUNCTION(""""""""" &amp; REGEXEXTRACT(B1708, ""/detail/([^/?]+)"") &amp; """""","""),"""okmghoejoecikkidlpdmkkamoheeckan"",")</f>
        <v>"okmghoejoecikkidlpdmkkamoheeckan",</v>
      </c>
    </row>
    <row r="1709">
      <c r="A1709" s="4" t="s">
        <v>20891</v>
      </c>
      <c r="B1709" s="4" t="s">
        <v>3405</v>
      </c>
      <c r="C1709" s="16" t="str">
        <f>IFERROR(__xludf.DUMMYFUNCTION(""""""""" &amp; REGEXEXTRACT(B1709, ""/detail/([^/?]+)"") &amp; """""","""),"""olcpkmmoifipcklgnphbhdhbpfniijmb"",")</f>
        <v>"olcpkmmoifipcklgnphbhdhbpfniijmb",</v>
      </c>
    </row>
    <row r="1710">
      <c r="A1710" s="4" t="s">
        <v>20892</v>
      </c>
      <c r="B1710" s="4" t="s">
        <v>3407</v>
      </c>
      <c r="C1710" s="16" t="str">
        <f>IFERROR(__xludf.DUMMYFUNCTION(""""""""" &amp; REGEXEXTRACT(B1710, ""/detail/([^/?]+)"") &amp; """""","""),"""olhclbnmebbgkgodadbepmoifpfmbncm"",")</f>
        <v>"olhclbnmebbgkgodadbepmoifpfmbncm",</v>
      </c>
    </row>
    <row r="1711">
      <c r="A1711" s="4" t="s">
        <v>20893</v>
      </c>
      <c r="B1711" s="4" t="s">
        <v>3409</v>
      </c>
      <c r="C1711" s="16" t="str">
        <f>IFERROR(__xludf.DUMMYFUNCTION(""""""""" &amp; REGEXEXTRACT(B1711, ""/detail/([^/?]+)"") &amp; """""","""),"""oljgjlecbglpcabgaihhnfonkfibinmp"",")</f>
        <v>"oljgjlecbglpcabgaihhnfonkfibinmp",</v>
      </c>
    </row>
    <row r="1712">
      <c r="A1712" s="4" t="s">
        <v>20894</v>
      </c>
      <c r="B1712" s="4" t="s">
        <v>3411</v>
      </c>
      <c r="C1712" s="16" t="str">
        <f>IFERROR(__xludf.DUMMYFUNCTION(""""""""" &amp; REGEXEXTRACT(B1712, ""/detail/([^/?]+)"") &amp; """""","""),"""olobjnglnkpmiljkdlghinhnjcdoeicl"",")</f>
        <v>"olobjnglnkpmiljkdlghinhnjcdoeicl",</v>
      </c>
    </row>
    <row r="1713">
      <c r="A1713" s="4" t="s">
        <v>20895</v>
      </c>
      <c r="B1713" s="4" t="s">
        <v>3413</v>
      </c>
      <c r="C1713" s="16" t="str">
        <f>IFERROR(__xludf.DUMMYFUNCTION(""""""""" &amp; REGEXEXTRACT(B1713, ""/detail/([^/?]+)"") &amp; """""","""),"""omnlepdmccckgbfjimmgniphhfjdgepl"",")</f>
        <v>"omnlepdmccckgbfjimmgniphhfjdgepl",</v>
      </c>
    </row>
    <row r="1714">
      <c r="A1714" s="4" t="s">
        <v>20896</v>
      </c>
      <c r="B1714" s="4" t="s">
        <v>3415</v>
      </c>
      <c r="C1714" s="16" t="str">
        <f>IFERROR(__xludf.DUMMYFUNCTION(""""""""" &amp; REGEXEXTRACT(B1714, ""/detail/([^/?]+)"") &amp; """""","""),"""oohpklfcenaffjconedjebkaclkachmi"",")</f>
        <v>"oohpklfcenaffjconedjebkaclkachmi",</v>
      </c>
    </row>
    <row r="1715">
      <c r="A1715" s="4" t="s">
        <v>20897</v>
      </c>
      <c r="B1715" s="4" t="s">
        <v>3417</v>
      </c>
      <c r="C1715" s="16" t="str">
        <f>IFERROR(__xludf.DUMMYFUNCTION(""""""""" &amp; REGEXEXTRACT(B1715, ""/detail/([^/?]+)"") &amp; """""","""),"""opadloaiiilnjibkfkopaokgfkhggjgb"",")</f>
        <v>"opadloaiiilnjibkfkopaokgfkhggjgb",</v>
      </c>
    </row>
    <row r="1716">
      <c r="A1716" s="4" t="s">
        <v>20898</v>
      </c>
      <c r="B1716" s="4" t="s">
        <v>3419</v>
      </c>
      <c r="C1716" s="16" t="str">
        <f>IFERROR(__xludf.DUMMYFUNCTION(""""""""" &amp; REGEXEXTRACT(B1716, ""/detail/([^/?]+)"") &amp; """""","""),"""opcciggnjillmifigagdpfpjdebfpgbh"",")</f>
        <v>"opcciggnjillmifigagdpfpjdebfpgbh",</v>
      </c>
    </row>
    <row r="1717">
      <c r="A1717" s="4" t="s">
        <v>20899</v>
      </c>
      <c r="B1717" s="4" t="s">
        <v>3421</v>
      </c>
      <c r="C1717" s="16" t="str">
        <f>IFERROR(__xludf.DUMMYFUNCTION(""""""""" &amp; REGEXEXTRACT(B1717, ""/detail/([^/?]+)"") &amp; """""","""),"""opjfknmcemmpibekaeofpaiamibpbafj"",")</f>
        <v>"opjfknmcemmpibekaeofpaiamibpbafj",</v>
      </c>
    </row>
    <row r="1718">
      <c r="A1718" s="4" t="s">
        <v>20900</v>
      </c>
      <c r="B1718" s="4" t="s">
        <v>3423</v>
      </c>
      <c r="C1718" s="16" t="str">
        <f>IFERROR(__xludf.DUMMYFUNCTION(""""""""" &amp; REGEXEXTRACT(B1718, ""/detail/([^/?]+)"") &amp; """""","""),"""palndlbcjfipldkacepinepefaoimefb"",")</f>
        <v>"palndlbcjfipldkacepinepefaoimefb",</v>
      </c>
    </row>
    <row r="1719">
      <c r="A1719" s="4" t="s">
        <v>20901</v>
      </c>
      <c r="B1719" s="4" t="s">
        <v>3425</v>
      </c>
      <c r="C1719" s="16" t="str">
        <f>IFERROR(__xludf.DUMMYFUNCTION(""""""""" &amp; REGEXEXTRACT(B1719, ""/detail/([^/?]+)"") &amp; """""","""),"""panhbjhhhpldcicghpekhonnmfnpgibd"",")</f>
        <v>"panhbjhhhpldcicghpekhonnmfnpgibd",</v>
      </c>
    </row>
    <row r="1720">
      <c r="A1720" s="4" t="s">
        <v>20902</v>
      </c>
      <c r="B1720" s="4" t="s">
        <v>3427</v>
      </c>
      <c r="C1720" s="16" t="str">
        <f>IFERROR(__xludf.DUMMYFUNCTION(""""""""" &amp; REGEXEXTRACT(B1720, ""/detail/([^/?]+)"") &amp; """""","""),"""paphcfdffjnbcgkokihcdjliihicmbpd"",")</f>
        <v>"paphcfdffjnbcgkokihcdjliihicmbpd",</v>
      </c>
    </row>
    <row r="1721">
      <c r="A1721" s="4" t="s">
        <v>20903</v>
      </c>
      <c r="B1721" s="4" t="s">
        <v>3429</v>
      </c>
      <c r="C1721" s="16" t="str">
        <f>IFERROR(__xludf.DUMMYFUNCTION(""""""""" &amp; REGEXEXTRACT(B1721, ""/detail/([^/?]+)"") &amp; """""","""),"""pbnfoocjojdfnhnalpocedblfgcfgmij"",")</f>
        <v>"pbnfoocjojdfnhnalpocedblfgcfgmij",</v>
      </c>
    </row>
    <row r="1722">
      <c r="A1722" s="4" t="s">
        <v>20904</v>
      </c>
      <c r="B1722" s="4" t="s">
        <v>3431</v>
      </c>
      <c r="C1722" s="16" t="str">
        <f>IFERROR(__xludf.DUMMYFUNCTION(""""""""" &amp; REGEXEXTRACT(B1722, ""/detail/([^/?]+)"") &amp; """""","""),"""pdnaboncdpkapafcfbajadgknpfjegod"",")</f>
        <v>"pdnaboncdpkapafcfbajadgknpfjegod",</v>
      </c>
    </row>
    <row r="1723">
      <c r="A1723" s="4" t="s">
        <v>20905</v>
      </c>
      <c r="B1723" s="4" t="s">
        <v>3433</v>
      </c>
      <c r="C1723" s="16" t="str">
        <f>IFERROR(__xludf.DUMMYFUNCTION(""""""""" &amp; REGEXEXTRACT(B1723, ""/detail/([^/?]+)"") &amp; """""","""),"""pehaalcefcjfccdpbckoablngfkfgfgj"",")</f>
        <v>"pehaalcefcjfccdpbckoablngfkfgfgj",</v>
      </c>
    </row>
    <row r="1724">
      <c r="A1724" s="4" t="s">
        <v>20906</v>
      </c>
      <c r="B1724" s="4" t="s">
        <v>3435</v>
      </c>
      <c r="C1724" s="16" t="str">
        <f>IFERROR(__xludf.DUMMYFUNCTION(""""""""" &amp; REGEXEXTRACT(B1724, ""/detail/([^/?]+)"") &amp; """""","""),"""pekljbkpgnpphbkgjbfgiiclemodfpen"",")</f>
        <v>"pekljbkpgnpphbkgjbfgiiclemodfpen",</v>
      </c>
    </row>
    <row r="1725">
      <c r="A1725" s="4" t="s">
        <v>20907</v>
      </c>
      <c r="B1725" s="4" t="s">
        <v>3437</v>
      </c>
      <c r="C1725" s="16" t="str">
        <f>IFERROR(__xludf.DUMMYFUNCTION(""""""""" &amp; REGEXEXTRACT(B1725, ""/detail/([^/?]+)"") &amp; """""","""),"""peldkgicldgmbampajgepnigbpkhomoh"",")</f>
        <v>"peldkgicldgmbampajgepnigbpkhomoh",</v>
      </c>
    </row>
    <row r="1726">
      <c r="A1726" s="4" t="s">
        <v>20908</v>
      </c>
      <c r="B1726" s="4" t="s">
        <v>3439</v>
      </c>
      <c r="C1726" s="16" t="str">
        <f>IFERROR(__xludf.DUMMYFUNCTION(""""""""" &amp; REGEXEXTRACT(B1726, ""/detail/([^/?]+)"") &amp; """""","""),"""pepfkgggdijnfhjcipialphagjhflbni"",")</f>
        <v>"pepfkgggdijnfhjcipialphagjhflbni",</v>
      </c>
    </row>
    <row r="1727">
      <c r="A1727" s="4" t="s">
        <v>20909</v>
      </c>
      <c r="B1727" s="4" t="s">
        <v>3441</v>
      </c>
      <c r="C1727" s="16" t="str">
        <f>IFERROR(__xludf.DUMMYFUNCTION(""""""""" &amp; REGEXEXTRACT(B1727, ""/detail/([^/?]+)"") &amp; """""","""),"""pfbdkpjnibjpkebckajcinnjlkdeilej"",")</f>
        <v>"pfbdkpjnibjpkebckajcinnjlkdeilej",</v>
      </c>
    </row>
    <row r="1728">
      <c r="A1728" s="4" t="s">
        <v>20910</v>
      </c>
      <c r="B1728" s="4" t="s">
        <v>3443</v>
      </c>
      <c r="C1728" s="16" t="str">
        <f>IFERROR(__xludf.DUMMYFUNCTION(""""""""" &amp; REGEXEXTRACT(B1728, ""/detail/([^/?]+)"") &amp; """""","""),"""pfcombngcgnehkbdoafkhdcfdmklboai"",")</f>
        <v>"pfcombngcgnehkbdoafkhdcfdmklboai",</v>
      </c>
    </row>
    <row r="1729">
      <c r="A1729" s="4" t="s">
        <v>20911</v>
      </c>
      <c r="B1729" s="4" t="s">
        <v>3445</v>
      </c>
      <c r="C1729" s="16" t="str">
        <f>IFERROR(__xludf.DUMMYFUNCTION(""""""""" &amp; REGEXEXTRACT(B1729, ""/detail/([^/?]+)"") &amp; """""","""),"""pfkkfbfdhomeagojoahjmkojeeepcolc"",")</f>
        <v>"pfkkfbfdhomeagojoahjmkojeeepcolc",</v>
      </c>
    </row>
    <row r="1730">
      <c r="A1730" s="4" t="s">
        <v>20912</v>
      </c>
      <c r="B1730" s="4" t="s">
        <v>3447</v>
      </c>
      <c r="C1730" s="16" t="str">
        <f>IFERROR(__xludf.DUMMYFUNCTION(""""""""" &amp; REGEXEXTRACT(B1730, ""/detail/([^/?]+)"") &amp; """""","""),"""pfkmomjanfdkaffoiamhcdgfbogpggok"",")</f>
        <v>"pfkmomjanfdkaffoiamhcdgfbogpggok",</v>
      </c>
    </row>
    <row r="1731">
      <c r="A1731" s="4" t="s">
        <v>20913</v>
      </c>
      <c r="B1731" s="4" t="s">
        <v>3449</v>
      </c>
      <c r="C1731" s="16" t="str">
        <f>IFERROR(__xludf.DUMMYFUNCTION(""""""""" &amp; REGEXEXTRACT(B1731, ""/detail/([^/?]+)"") &amp; """""","""),"""pfmjnmeipppmcebplngmhfkleiinphhp"",")</f>
        <v>"pfmjnmeipppmcebplngmhfkleiinphhp",</v>
      </c>
    </row>
    <row r="1732">
      <c r="A1732" s="4" t="s">
        <v>20914</v>
      </c>
      <c r="B1732" s="4" t="s">
        <v>3451</v>
      </c>
      <c r="C1732" s="16" t="str">
        <f>IFERROR(__xludf.DUMMYFUNCTION(""""""""" &amp; REGEXEXTRACT(B1732, ""/detail/([^/?]+)"") &amp; """""","""),"""pgbfbligipdmjpgnpacnojdmndgnihih"",")</f>
        <v>"pgbfbligipdmjpgnpacnojdmndgnihih",</v>
      </c>
    </row>
    <row r="1733">
      <c r="A1733" s="4" t="s">
        <v>20915</v>
      </c>
      <c r="B1733" s="4" t="s">
        <v>3453</v>
      </c>
      <c r="C1733" s="16" t="str">
        <f>IFERROR(__xludf.DUMMYFUNCTION(""""""""" &amp; REGEXEXTRACT(B1733, ""/detail/([^/?]+)"") &amp; """""","""),"""pgeenmhdlnjmaaeneackfkkiggpefmeg"",")</f>
        <v>"pgeenmhdlnjmaaeneackfkkiggpefmeg",</v>
      </c>
    </row>
    <row r="1734">
      <c r="A1734" s="4" t="s">
        <v>20916</v>
      </c>
      <c r="B1734" s="4" t="s">
        <v>3455</v>
      </c>
      <c r="C1734" s="16" t="str">
        <f>IFERROR(__xludf.DUMMYFUNCTION(""""""""" &amp; REGEXEXTRACT(B1734, ""/detail/([^/?]+)"") &amp; """""","""),"""pgmaidhfoodebfiocgananbdfnankehm"",")</f>
        <v>"pgmaidhfoodebfiocgananbdfnankehm",</v>
      </c>
    </row>
    <row r="1735">
      <c r="A1735" s="4" t="s">
        <v>20917</v>
      </c>
      <c r="B1735" s="4" t="s">
        <v>3457</v>
      </c>
      <c r="C1735" s="16" t="str">
        <f>IFERROR(__xludf.DUMMYFUNCTION(""""""""" &amp; REGEXEXTRACT(B1735, ""/detail/([^/?]+)"") &amp; """""","""),"""pgmgkfgcnigcopcjhilfabbdgmjmkogj"",")</f>
        <v>"pgmgkfgcnigcopcjhilfabbdgmjmkogj",</v>
      </c>
    </row>
    <row r="1736">
      <c r="A1736" s="4" t="s">
        <v>20918</v>
      </c>
      <c r="B1736" s="4" t="s">
        <v>3459</v>
      </c>
      <c r="C1736" s="16" t="str">
        <f>IFERROR(__xludf.DUMMYFUNCTION(""""""""" &amp; REGEXEXTRACT(B1736, ""/detail/([^/?]+)"") &amp; """""","""),"""phacniajokfchdcamjhonkbhlcipplno"",")</f>
        <v>"phacniajokfchdcamjhonkbhlcipplno",</v>
      </c>
    </row>
    <row r="1737">
      <c r="A1737" s="4" t="s">
        <v>20919</v>
      </c>
      <c r="B1737" s="4" t="s">
        <v>3461</v>
      </c>
      <c r="C1737" s="16" t="str">
        <f>IFERROR(__xludf.DUMMYFUNCTION(""""""""" &amp; REGEXEXTRACT(B1737, ""/detail/([^/?]+)"") &amp; """""","""),"""phiedfcbjfjagnjikfbobmldbpmdcpfk"",")</f>
        <v>"phiedfcbjfjagnjikfbobmldbpmdcpfk",</v>
      </c>
    </row>
    <row r="1738">
      <c r="A1738" s="4" t="s">
        <v>20920</v>
      </c>
      <c r="B1738" s="4" t="s">
        <v>3463</v>
      </c>
      <c r="C1738" s="16" t="str">
        <f>IFERROR(__xludf.DUMMYFUNCTION(""""""""" &amp; REGEXEXTRACT(B1738, ""/detail/([^/?]+)"") &amp; """""","""),"""phkenomnahhgjnmpignadbeandfanbil"",")</f>
        <v>"phkenomnahhgjnmpignadbeandfanbil",</v>
      </c>
    </row>
    <row r="1739">
      <c r="A1739" s="4" t="s">
        <v>20921</v>
      </c>
      <c r="B1739" s="4" t="s">
        <v>3465</v>
      </c>
      <c r="C1739" s="16" t="str">
        <f>IFERROR(__xludf.DUMMYFUNCTION(""""""""" &amp; REGEXEXTRACT(B1739, ""/detail/([^/?]+)"") &amp; """""","""),"""phmlcmkdgeapcedlahdlfgodngoenbmh"",")</f>
        <v>"phmlcmkdgeapcedlahdlfgodngoenbmh",</v>
      </c>
    </row>
    <row r="1740">
      <c r="A1740" s="4" t="s">
        <v>20922</v>
      </c>
      <c r="B1740" s="4" t="s">
        <v>3467</v>
      </c>
      <c r="C1740" s="16" t="str">
        <f>IFERROR(__xludf.DUMMYFUNCTION(""""""""" &amp; REGEXEXTRACT(B1740, ""/detail/([^/?]+)"") &amp; """""","""),"""pieacoaichghpileamnhephkedchnlba"",")</f>
        <v>"pieacoaichghpileamnhephkedchnlba",</v>
      </c>
    </row>
    <row r="1741">
      <c r="A1741" s="4" t="s">
        <v>20923</v>
      </c>
      <c r="B1741" s="4" t="s">
        <v>3469</v>
      </c>
      <c r="C1741" s="16" t="str">
        <f>IFERROR(__xludf.DUMMYFUNCTION(""""""""" &amp; REGEXEXTRACT(B1741, ""/detail/([^/?]+)"") &amp; """""","""),"""pjemnpgdmnlkkcpaddlnlegmdfpohnep"",")</f>
        <v>"pjemnpgdmnlkkcpaddlnlegmdfpohnep",</v>
      </c>
    </row>
    <row r="1742">
      <c r="A1742" s="4" t="s">
        <v>20924</v>
      </c>
      <c r="B1742" s="4" t="s">
        <v>3471</v>
      </c>
      <c r="C1742" s="16" t="str">
        <f>IFERROR(__xludf.DUMMYFUNCTION(""""""""" &amp; REGEXEXTRACT(B1742, ""/detail/([^/?]+)"") &amp; """""","""),"""pjpbfdjmmlnelgbkffopkgpggeeaildc"",")</f>
        <v>"pjpbfdjmmlnelgbkffopkgpggeeaildc",</v>
      </c>
    </row>
    <row r="1743">
      <c r="A1743" s="4" t="s">
        <v>20925</v>
      </c>
      <c r="B1743" s="4" t="s">
        <v>3473</v>
      </c>
      <c r="C1743" s="16" t="str">
        <f>IFERROR(__xludf.DUMMYFUNCTION(""""""""" &amp; REGEXEXTRACT(B1743, ""/detail/([^/?]+)"") &amp; """""","""),"""pkkcbddohfehjhknimeckglogkcdonff"",")</f>
        <v>"pkkcbddohfehjhknimeckglogkcdonff",</v>
      </c>
    </row>
    <row r="1744">
      <c r="A1744" s="4" t="s">
        <v>20926</v>
      </c>
      <c r="B1744" s="4" t="s">
        <v>3475</v>
      </c>
      <c r="C1744" s="16" t="str">
        <f>IFERROR(__xludf.DUMMYFUNCTION(""""""""" &amp; REGEXEXTRACT(B1744, ""/detail/([^/?]+)"") &amp; """""","""),"""pldlfgnilfdheajekfphjkjeooignhkc"",")</f>
        <v>"pldlfgnilfdheajekfphjkjeooignhkc",</v>
      </c>
    </row>
    <row r="1745">
      <c r="A1745" s="4" t="s">
        <v>20927</v>
      </c>
      <c r="B1745" s="4" t="s">
        <v>3477</v>
      </c>
      <c r="C1745" s="16" t="str">
        <f>IFERROR(__xludf.DUMMYFUNCTION(""""""""" &amp; REGEXEXTRACT(B1745, ""/detail/([^/?]+)"") &amp; """""","""),"""pmaionhboofajejhmkheilkoifkmigfe"",")</f>
        <v>"pmaionhboofajejhmkheilkoifkmigfe",</v>
      </c>
    </row>
    <row r="1746">
      <c r="A1746" s="4" t="s">
        <v>20928</v>
      </c>
      <c r="B1746" s="4" t="s">
        <v>3479</v>
      </c>
      <c r="C1746" s="16" t="str">
        <f>IFERROR(__xludf.DUMMYFUNCTION(""""""""" &amp; REGEXEXTRACT(B1746, ""/detail/([^/?]+)"") &amp; """""","""),"""pnhdmfiakolonplgblabffnpfhfplmbh"",")</f>
        <v>"pnhdmfiakolonplgblabffnpfhfplmbh",</v>
      </c>
    </row>
    <row r="1747">
      <c r="A1747" s="4" t="s">
        <v>20929</v>
      </c>
      <c r="B1747" s="4" t="s">
        <v>3481</v>
      </c>
      <c r="C1747" s="16" t="str">
        <f>IFERROR(__xludf.DUMMYFUNCTION(""""""""" &amp; REGEXEXTRACT(B1747, ""/detail/([^/?]+)"") &amp; """""","""),"""pnhnfjbdadnnicpliempeidfminbflon"",")</f>
        <v>"pnhnfjbdadnnicpliempeidfminbflon",</v>
      </c>
    </row>
    <row r="1748">
      <c r="A1748" s="4" t="s">
        <v>20930</v>
      </c>
      <c r="B1748" s="4" t="s">
        <v>3483</v>
      </c>
      <c r="C1748" s="16" t="str">
        <f>IFERROR(__xludf.DUMMYFUNCTION(""""""""" &amp; REGEXEXTRACT(B1748, ""/detail/([^/?]+)"") &amp; """""","""),"""pnifeididimfpaomnnellcfjnjmgoepk"",")</f>
        <v>"pnifeididimfpaomnnellcfjnjmgoepk",</v>
      </c>
    </row>
    <row r="1749">
      <c r="A1749" s="4" t="s">
        <v>20931</v>
      </c>
      <c r="B1749" s="4" t="s">
        <v>3485</v>
      </c>
      <c r="C1749" s="16" t="str">
        <f>IFERROR(__xludf.DUMMYFUNCTION(""""""""" &amp; REGEXEXTRACT(B1749, ""/detail/([^/?]+)"") &amp; """""","""),"""pnnbnklagfdokfbdfphhojhifjppjmmc"",")</f>
        <v>"pnnbnklagfdokfbdfphhojhifjppjmmc",</v>
      </c>
    </row>
    <row r="1750">
      <c r="A1750" s="4" t="s">
        <v>20932</v>
      </c>
      <c r="B1750" s="4" t="s">
        <v>3487</v>
      </c>
      <c r="C1750" s="16" t="str">
        <f>IFERROR(__xludf.DUMMYFUNCTION(""""""""" &amp; REGEXEXTRACT(B1750, ""/detail/([^/?]+)"") &amp; """""","""),"""poaolllddjlbbomnohpahbpdlcklkffi"",")</f>
        <v>"poaolllddjlbbomnohpahbpdlcklkffi",</v>
      </c>
    </row>
    <row r="1751">
      <c r="A1751" s="4" t="s">
        <v>20933</v>
      </c>
      <c r="B1751" s="4" t="s">
        <v>3489</v>
      </c>
      <c r="C1751" s="16" t="str">
        <f>IFERROR(__xludf.DUMMYFUNCTION(""""""""" &amp; REGEXEXTRACT(B1751, ""/detail/([^/?]+)"") &amp; """""","""),"""ppajhpdaingbnajnkoidgmkoblgpfiok"",")</f>
        <v>"ppajhpdaingbnajnkoidgmkoblgpfiok",</v>
      </c>
    </row>
    <row r="1752">
      <c r="A1752" s="4" t="s">
        <v>20934</v>
      </c>
      <c r="B1752" s="4" t="s">
        <v>3491</v>
      </c>
      <c r="C1752" s="16" t="str">
        <f>IFERROR(__xludf.DUMMYFUNCTION(""""""""" &amp; REGEXEXTRACT(B1752, ""/detail/([^/?]+)"") &amp; """""","""),"""ppbdklaincgliegpfolkjjfncpgobneb"",")</f>
        <v>"ppbdklaincgliegpfolkjjfncpgobneb",</v>
      </c>
    </row>
    <row r="1753">
      <c r="A1753" s="4" t="s">
        <v>20935</v>
      </c>
      <c r="B1753" s="4" t="s">
        <v>3493</v>
      </c>
      <c r="C1753" s="16" t="str">
        <f>IFERROR(__xludf.DUMMYFUNCTION(""""""""" &amp; REGEXEXTRACT(B1753, ""/detail/([^/?]+)"") &amp; """""","""),"""ppgndohgacfggdpbcdlgibdkdknimfmn"",")</f>
        <v>"ppgndohgacfggdpbcdlgibdkdknimfmn",</v>
      </c>
    </row>
    <row r="1754">
      <c r="A1754" s="4" t="s">
        <v>20936</v>
      </c>
      <c r="B1754" s="4" t="s">
        <v>3495</v>
      </c>
      <c r="C1754" s="16" t="str">
        <f>IFERROR(__xludf.DUMMYFUNCTION(""""""""" &amp; REGEXEXTRACT(B1754, ""/detail/([^/?]+)"") &amp; """""","""),"""pphhglinlapdiefcikbkhcpkhbkfoahl"",")</f>
        <v>"pphhglinlapdiefcikbkhcpkhbkfoahl",</v>
      </c>
    </row>
    <row r="1755">
      <c r="A1755" s="4" t="s">
        <v>20937</v>
      </c>
      <c r="B1755" s="4" t="s">
        <v>3499</v>
      </c>
      <c r="C1755" s="16" t="str">
        <f>IFERROR(__xludf.DUMMYFUNCTION(""""""""" &amp; REGEXEXTRACT(B1755, ""/detail/([^/?]+)"") &amp; """""","""),"""fcchghcgfeadhdmkmpkedplecikkajnp"",")</f>
        <v>"fcchghcgfeadhdmkmpkedplecikkajnp",</v>
      </c>
    </row>
    <row r="1756">
      <c r="A1756" s="4" t="s">
        <v>20938</v>
      </c>
      <c r="B1756" s="4" t="s">
        <v>3501</v>
      </c>
      <c r="C1756" s="16" t="str">
        <f>IFERROR(__xludf.DUMMYFUNCTION(""""""""" &amp; REGEXEXTRACT(B1756, ""/detail/([^/?]+)"") &amp; """""","""),"""acmfklpkefjlldbkdgmjoiknfgidadoh"",")</f>
        <v>"acmfklpkefjlldbkdgmjoiknfgidadoh",</v>
      </c>
    </row>
    <row r="1757">
      <c r="A1757" s="4" t="s">
        <v>20939</v>
      </c>
      <c r="B1757" s="4" t="s">
        <v>3503</v>
      </c>
      <c r="C1757" s="16" t="str">
        <f>IFERROR(__xludf.DUMMYFUNCTION(""""""""" &amp; REGEXEXTRACT(B1757, ""/detail/([^/?]+)"") &amp; """""","""),"""acpchjgielgmkgkplljakcibfbjjppbk"",")</f>
        <v>"acpchjgielgmkgkplljakcibfbjjppbk",</v>
      </c>
    </row>
    <row r="1758">
      <c r="A1758" s="4" t="s">
        <v>20940</v>
      </c>
      <c r="B1758" s="4" t="s">
        <v>3505</v>
      </c>
      <c r="C1758" s="16" t="str">
        <f>IFERROR(__xludf.DUMMYFUNCTION(""""""""" &amp; REGEXEXTRACT(B1758, ""/detail/([^/?]+)"") &amp; """""","""),"""ademeajfjdhnjabjbamofoppjoefikbl"",")</f>
        <v>"ademeajfjdhnjabjbamofoppjoefikbl",</v>
      </c>
    </row>
    <row r="1759">
      <c r="A1759" s="4" t="s">
        <v>20941</v>
      </c>
      <c r="B1759" s="4" t="s">
        <v>3507</v>
      </c>
      <c r="C1759" s="16" t="str">
        <f>IFERROR(__xludf.DUMMYFUNCTION(""""""""" &amp; REGEXEXTRACT(B1759, ""/detail/([^/?]+)"") &amp; """""","""),"""adeniimnihmbpgpbljmnohjpoolmgabj"",")</f>
        <v>"adeniimnihmbpgpbljmnohjpoolmgabj",</v>
      </c>
    </row>
    <row r="1760">
      <c r="A1760" s="4" t="s">
        <v>20942</v>
      </c>
      <c r="B1760" s="4" t="s">
        <v>3509</v>
      </c>
      <c r="C1760" s="16" t="str">
        <f>IFERROR(__xludf.DUMMYFUNCTION(""""""""" &amp; REGEXEXTRACT(B1760, ""/detail/([^/?]+)"") &amp; """""","""),"""aeajloomjeoncelkceelhhpkgbcgafek"",")</f>
        <v>"aeajloomjeoncelkceelhhpkgbcgafek",</v>
      </c>
    </row>
    <row r="1761">
      <c r="A1761" s="4" t="s">
        <v>20943</v>
      </c>
      <c r="B1761" s="4" t="s">
        <v>3511</v>
      </c>
      <c r="C1761" s="16" t="str">
        <f>IFERROR(__xludf.DUMMYFUNCTION(""""""""" &amp; REGEXEXTRACT(B1761, ""/detail/([^/?]+)"") &amp; """""","""),"""afokdhhgekbckelmkfegdggbeohdbnge"",")</f>
        <v>"afokdhhgekbckelmkfegdggbeohdbnge",</v>
      </c>
    </row>
    <row r="1762">
      <c r="A1762" s="4" t="s">
        <v>20944</v>
      </c>
      <c r="B1762" s="4" t="s">
        <v>3513</v>
      </c>
      <c r="C1762" s="16" t="str">
        <f>IFERROR(__xludf.DUMMYFUNCTION(""""""""" &amp; REGEXEXTRACT(B1762, ""/detail/([^/?]+)"") &amp; """""","""),"""ahedbaplpdhdlekpbgcghkoknfiffgaa"",")</f>
        <v>"ahedbaplpdhdlekpbgcghkoknfiffgaa",</v>
      </c>
    </row>
    <row r="1763">
      <c r="A1763" s="4" t="s">
        <v>20945</v>
      </c>
      <c r="B1763" s="4" t="s">
        <v>3515</v>
      </c>
      <c r="C1763" s="16" t="str">
        <f>IFERROR(__xludf.DUMMYFUNCTION(""""""""" &amp; REGEXEXTRACT(B1763, ""/detail/([^/?]+)"") &amp; """""","""),"""ahfioiamcnpgmfecmmnecajookbmgcdp"",")</f>
        <v>"ahfioiamcnpgmfecmmnecajookbmgcdp",</v>
      </c>
    </row>
    <row r="1764">
      <c r="A1764" s="4" t="s">
        <v>20946</v>
      </c>
      <c r="B1764" s="4" t="s">
        <v>3517</v>
      </c>
      <c r="C1764" s="16" t="str">
        <f>IFERROR(__xludf.DUMMYFUNCTION(""""""""" &amp; REGEXEXTRACT(B1764, ""/detail/([^/?]+)"") &amp; """""","""),"""amhhdbdhoghppijbjfdkiaconkmfbbpa"",")</f>
        <v>"amhhdbdhoghppijbjfdkiaconkmfbbpa",</v>
      </c>
    </row>
    <row r="1765">
      <c r="A1765" s="4" t="s">
        <v>20947</v>
      </c>
      <c r="B1765" s="4" t="s">
        <v>3519</v>
      </c>
      <c r="C1765" s="16" t="str">
        <f>IFERROR(__xludf.DUMMYFUNCTION(""""""""" &amp; REGEXEXTRACT(B1765, ""/detail/([^/?]+)"") &amp; """""","""),"""ancooclifmcdfafbgjmgpmcembfaknka"",")</f>
        <v>"ancooclifmcdfafbgjmgpmcembfaknka",</v>
      </c>
    </row>
    <row r="1766">
      <c r="A1766" s="4" t="s">
        <v>20948</v>
      </c>
      <c r="B1766" s="4" t="s">
        <v>3521</v>
      </c>
      <c r="C1766" s="16" t="str">
        <f>IFERROR(__xludf.DUMMYFUNCTION(""""""""" &amp; REGEXEXTRACT(B1766, ""/detail/([^/?]+)"") &amp; """""","""),"""aolcffalbhpnojekmimmelebjchjmmgn"",")</f>
        <v>"aolcffalbhpnojekmimmelebjchjmmgn",</v>
      </c>
    </row>
    <row r="1767">
      <c r="A1767" s="4" t="s">
        <v>20949</v>
      </c>
      <c r="B1767" s="4" t="s">
        <v>3523</v>
      </c>
      <c r="C1767" s="16" t="str">
        <f>IFERROR(__xludf.DUMMYFUNCTION(""""""""" &amp; REGEXEXTRACT(B1767, ""/detail/([^/?]+)"") &amp; """""","""),"""babgchcegnkbiojmdpnoilficladccfm"",")</f>
        <v>"babgchcegnkbiojmdpnoilficladccfm",</v>
      </c>
    </row>
    <row r="1768">
      <c r="A1768" s="4" t="s">
        <v>20950</v>
      </c>
      <c r="B1768" s="4" t="s">
        <v>3525</v>
      </c>
      <c r="C1768" s="16" t="str">
        <f>IFERROR(__xludf.DUMMYFUNCTION(""""""""" &amp; REGEXEXTRACT(B1768, ""/detail/([^/?]+)"") &amp; """""","""),"""bbihhbmcpmmbidebeomhomjelncfghcl"",")</f>
        <v>"bbihhbmcpmmbidebeomhomjelncfghcl",</v>
      </c>
    </row>
    <row r="1769">
      <c r="A1769" s="4" t="s">
        <v>20951</v>
      </c>
      <c r="B1769" s="4" t="s">
        <v>3527</v>
      </c>
      <c r="C1769" s="16" t="str">
        <f>IFERROR(__xludf.DUMMYFUNCTION(""""""""" &amp; REGEXEXTRACT(B1769, ""/detail/([^/?]+)"") &amp; """""","""),"""bfjiilkifhalkihddbplganidlpiggcp"",")</f>
        <v>"bfjiilkifhalkihddbplganidlpiggcp",</v>
      </c>
    </row>
    <row r="1770">
      <c r="A1770" s="4" t="s">
        <v>20952</v>
      </c>
      <c r="B1770" s="4" t="s">
        <v>3529</v>
      </c>
      <c r="C1770" s="16" t="str">
        <f>IFERROR(__xludf.DUMMYFUNCTION(""""""""" &amp; REGEXEXTRACT(B1770, ""/detail/([^/?]+)"") &amp; """""","""),"""bgddejjmhilkdllbakkgddjodommlimc"",")</f>
        <v>"bgddejjmhilkdllbakkgddjodommlimc",</v>
      </c>
    </row>
    <row r="1771">
      <c r="A1771" s="4" t="s">
        <v>20953</v>
      </c>
      <c r="B1771" s="4" t="s">
        <v>3531</v>
      </c>
      <c r="C1771" s="16" t="str">
        <f>IFERROR(__xludf.DUMMYFUNCTION(""""""""" &amp; REGEXEXTRACT(B1771, ""/detail/([^/?]+)"") &amp; """""","""),"""bimclhojllkneajakbnefcmiefgeiljo"",")</f>
        <v>"bimclhojllkneajakbnefcmiefgeiljo",</v>
      </c>
    </row>
    <row r="1772">
      <c r="A1772" s="4" t="s">
        <v>20954</v>
      </c>
      <c r="B1772" s="4" t="s">
        <v>3533</v>
      </c>
      <c r="C1772" s="16" t="str">
        <f>IFERROR(__xludf.DUMMYFUNCTION(""""""""" &amp; REGEXEXTRACT(B1772, ""/detail/([^/?]+)"") &amp; """""","""),"""bimhgdngikcnelkhjindmdghndfmdcde"",")</f>
        <v>"bimhgdngikcnelkhjindmdghndfmdcde",</v>
      </c>
    </row>
    <row r="1773">
      <c r="A1773" s="4" t="s">
        <v>20955</v>
      </c>
      <c r="B1773" s="4" t="s">
        <v>3535</v>
      </c>
      <c r="C1773" s="16" t="str">
        <f>IFERROR(__xludf.DUMMYFUNCTION(""""""""" &amp; REGEXEXTRACT(B1773, ""/detail/([^/?]+)"") &amp; """""","""),"""bjclahdopnlbobebbaomknljkkcljfmp"",")</f>
        <v>"bjclahdopnlbobebbaomknljkkcljfmp",</v>
      </c>
    </row>
    <row r="1774">
      <c r="A1774" s="4" t="s">
        <v>20956</v>
      </c>
      <c r="B1774" s="4" t="s">
        <v>3537</v>
      </c>
      <c r="C1774" s="16" t="str">
        <f>IFERROR(__xludf.DUMMYFUNCTION(""""""""" &amp; REGEXEXTRACT(B1774, ""/detail/([^/?]+)"") &amp; """""","""),"""bkobppjlgldgglhfbofllmmmnjnelohf"",")</f>
        <v>"bkobppjlgldgglhfbofllmmmnjnelohf",</v>
      </c>
    </row>
    <row r="1775">
      <c r="A1775" s="4" t="s">
        <v>20957</v>
      </c>
      <c r="B1775" s="4" t="s">
        <v>3539</v>
      </c>
      <c r="C1775" s="16" t="str">
        <f>IFERROR(__xludf.DUMMYFUNCTION(""""""""" &amp; REGEXEXTRACT(B1775, ""/detail/([^/?]+)"") &amp; """""","""),"""caginmipmmelcmijagfppgdljepiioak"",")</f>
        <v>"caginmipmmelcmijagfppgdljepiioak",</v>
      </c>
    </row>
    <row r="1776">
      <c r="A1776" s="4" t="s">
        <v>20958</v>
      </c>
      <c r="B1776" s="4" t="s">
        <v>3541</v>
      </c>
      <c r="C1776" s="16" t="str">
        <f>IFERROR(__xludf.DUMMYFUNCTION(""""""""" &amp; REGEXEXTRACT(B1776, ""/detail/([^/?]+)"") &amp; """""","""),"""cailnmbnfboealffnempgplnfcjoibgb"",")</f>
        <v>"cailnmbnfboealffnempgplnfcjoibgb",</v>
      </c>
    </row>
    <row r="1777">
      <c r="A1777" s="4" t="s">
        <v>20959</v>
      </c>
      <c r="B1777" s="4" t="s">
        <v>3543</v>
      </c>
      <c r="C1777" s="16" t="str">
        <f>IFERROR(__xludf.DUMMYFUNCTION(""""""""" &amp; REGEXEXTRACT(B1777, ""/detail/([^/?]+)"") &amp; """""","""),"""cbjkifnpmcklidaeagdmomenomblnjkg"",")</f>
        <v>"cbjkifnpmcklidaeagdmomenomblnjkg",</v>
      </c>
    </row>
    <row r="1778">
      <c r="A1778" s="4" t="s">
        <v>20960</v>
      </c>
      <c r="B1778" s="4" t="s">
        <v>3545</v>
      </c>
      <c r="C1778" s="16" t="str">
        <f>IFERROR(__xludf.DUMMYFUNCTION(""""""""" &amp; REGEXEXTRACT(B1778, ""/detail/([^/?]+)"") &amp; """""","""),"""cdnnpklbhipmnknojapkdiocjgmplpcc"",")</f>
        <v>"cdnnpklbhipmnknojapkdiocjgmplpcc",</v>
      </c>
    </row>
    <row r="1779">
      <c r="A1779" s="4" t="s">
        <v>20961</v>
      </c>
      <c r="B1779" s="4" t="s">
        <v>3547</v>
      </c>
      <c r="C1779" s="16" t="str">
        <f>IFERROR(__xludf.DUMMYFUNCTION(""""""""" &amp; REGEXEXTRACT(B1779, ""/detail/([^/?]+)"") &amp; """""","""),"""cefkgjbbpagcilodnhboolbppdjlplip"",")</f>
        <v>"cefkgjbbpagcilodnhboolbppdjlplip",</v>
      </c>
    </row>
    <row r="1780">
      <c r="A1780" s="4" t="s">
        <v>20962</v>
      </c>
      <c r="B1780" s="4" t="s">
        <v>3549</v>
      </c>
      <c r="C1780" s="16" t="str">
        <f>IFERROR(__xludf.DUMMYFUNCTION(""""""""" &amp; REGEXEXTRACT(B1780, ""/detail/([^/?]+)"") &amp; """""","""),"""chaoejepfhlcelgpicelfccoiojpiofn"",")</f>
        <v>"chaoejepfhlcelgpicelfccoiojpiofn",</v>
      </c>
    </row>
    <row r="1781">
      <c r="A1781" s="4" t="s">
        <v>20963</v>
      </c>
      <c r="B1781" s="4" t="s">
        <v>3551</v>
      </c>
      <c r="C1781" s="16" t="str">
        <f>IFERROR(__xludf.DUMMYFUNCTION(""""""""" &amp; REGEXEXTRACT(B1781, ""/detail/([^/?]+)"") &amp; """""","""),"""chcdkemhhpmgoadkkpaacmidejeaegji"",")</f>
        <v>"chcdkemhhpmgoadkkpaacmidejeaegji",</v>
      </c>
    </row>
    <row r="1782">
      <c r="A1782" s="4" t="s">
        <v>20964</v>
      </c>
      <c r="B1782" s="4" t="s">
        <v>3553</v>
      </c>
      <c r="C1782" s="16" t="str">
        <f>IFERROR(__xludf.DUMMYFUNCTION(""""""""" &amp; REGEXEXTRACT(B1782, ""/detail/([^/?]+)"") &amp; """""","""),"""cjhhoaiagdpfhnmdcdefeffiaejndild"",")</f>
        <v>"cjhhoaiagdpfhnmdcdefeffiaejndild",</v>
      </c>
    </row>
    <row r="1783">
      <c r="A1783" s="4" t="s">
        <v>20965</v>
      </c>
      <c r="B1783" s="4" t="s">
        <v>3555</v>
      </c>
      <c r="C1783" s="16" t="str">
        <f>IFERROR(__xludf.DUMMYFUNCTION(""""""""" &amp; REGEXEXTRACT(B1783, ""/detail/([^/?]+)"") &amp; """""","""),"""cklhieaaomjcmlaeopmeidpfdjjogjaf"",")</f>
        <v>"cklhieaaomjcmlaeopmeidpfdjjogjaf",</v>
      </c>
    </row>
    <row r="1784">
      <c r="A1784" s="4" t="s">
        <v>20966</v>
      </c>
      <c r="B1784" s="4" t="s">
        <v>3557</v>
      </c>
      <c r="C1784" s="16" t="str">
        <f>IFERROR(__xludf.DUMMYFUNCTION(""""""""" &amp; REGEXEXTRACT(B1784, ""/detail/([^/?]+)"") &amp; """""","""),"""cnmdgbpgnlocnjnoiiphaoepebfijidi"",")</f>
        <v>"cnmdgbpgnlocnjnoiiphaoepebfijidi",</v>
      </c>
    </row>
    <row r="1785">
      <c r="A1785" s="4" t="s">
        <v>20967</v>
      </c>
      <c r="B1785" s="4" t="s">
        <v>3559</v>
      </c>
      <c r="C1785" s="16" t="str">
        <f>IFERROR(__xludf.DUMMYFUNCTION(""""""""" &amp; REGEXEXTRACT(B1785, ""/detail/([^/?]+)"") &amp; """""","""),"""cnppaiifcooegmendcabeagbgnhhjoea"",")</f>
        <v>"cnppaiifcooegmendcabeagbgnhhjoea",</v>
      </c>
    </row>
    <row r="1786">
      <c r="A1786" s="4" t="s">
        <v>20968</v>
      </c>
      <c r="B1786" s="4" t="s">
        <v>3561</v>
      </c>
      <c r="C1786" s="16" t="str">
        <f>IFERROR(__xludf.DUMMYFUNCTION(""""""""" &amp; REGEXEXTRACT(B1786, ""/detail/([^/?]+)"") &amp; """""","""),"""cogjmeckpkinhnidokapabgaoelhkbcl"",")</f>
        <v>"cogjmeckpkinhnidokapabgaoelhkbcl",</v>
      </c>
    </row>
    <row r="1787">
      <c r="A1787" s="4" t="s">
        <v>20969</v>
      </c>
      <c r="B1787" s="4" t="s">
        <v>3563</v>
      </c>
      <c r="C1787" s="16" t="str">
        <f>IFERROR(__xludf.DUMMYFUNCTION(""""""""" &amp; REGEXEXTRACT(B1787, ""/detail/([^/?]+)"") &amp; """""","""),"""cpkeapbdnodhgecbnilbbigldpmgobln"",")</f>
        <v>"cpkeapbdnodhgecbnilbbigldpmgobln",</v>
      </c>
    </row>
    <row r="1788">
      <c r="A1788" s="4" t="s">
        <v>20970</v>
      </c>
      <c r="B1788" s="4" t="s">
        <v>3565</v>
      </c>
      <c r="C1788" s="16" t="str">
        <f>IFERROR(__xludf.DUMMYFUNCTION(""""""""" &amp; REGEXEXTRACT(B1788, ""/detail/([^/?]+)"") &amp; """""","""),"""dbmemgfhdlfokgdgimeejfkbcdaiable"",")</f>
        <v>"dbmemgfhdlfokgdgimeejfkbcdaiable",</v>
      </c>
    </row>
    <row r="1789">
      <c r="A1789" s="4" t="s">
        <v>20971</v>
      </c>
      <c r="B1789" s="4" t="s">
        <v>3567</v>
      </c>
      <c r="C1789" s="16" t="str">
        <f>IFERROR(__xludf.DUMMYFUNCTION(""""""""" &amp; REGEXEXTRACT(B1789, ""/detail/([^/?]+)"") &amp; """""","""),"""dcnjhgnfnmijfkmcddcmffeamphmmeed"",")</f>
        <v>"dcnjhgnfnmijfkmcddcmffeamphmmeed",</v>
      </c>
    </row>
    <row r="1790">
      <c r="A1790" s="4" t="s">
        <v>20972</v>
      </c>
      <c r="B1790" s="4" t="s">
        <v>3569</v>
      </c>
      <c r="C1790" s="16" t="str">
        <f>IFERROR(__xludf.DUMMYFUNCTION(""""""""" &amp; REGEXEXTRACT(B1790, ""/detail/([^/?]+)"") &amp; """""","""),"""dgafcidlgmbcehokgdeghmfnbpbfhihh"",")</f>
        <v>"dgafcidlgmbcehokgdeghmfnbpbfhihh",</v>
      </c>
    </row>
    <row r="1791">
      <c r="A1791" s="4" t="s">
        <v>20973</v>
      </c>
      <c r="B1791" s="4" t="s">
        <v>3571</v>
      </c>
      <c r="C1791" s="16" t="str">
        <f>IFERROR(__xludf.DUMMYFUNCTION(""""""""" &amp; REGEXEXTRACT(B1791, ""/detail/([^/?]+)"") &amp; """""","""),"""dnhodapkogdjinogphlafimejpmahoam"",")</f>
        <v>"dnhodapkogdjinogphlafimejpmahoam",</v>
      </c>
    </row>
    <row r="1792">
      <c r="A1792" s="4" t="s">
        <v>20974</v>
      </c>
      <c r="B1792" s="4" t="s">
        <v>3573</v>
      </c>
      <c r="C1792" s="16" t="str">
        <f>IFERROR(__xludf.DUMMYFUNCTION(""""""""" &amp; REGEXEXTRACT(B1792, ""/detail/([^/?]+)"") &amp; """""","""),"""dokaikblnjlonmiahdahfpjjdcohblig"",")</f>
        <v>"dokaikblnjlonmiahdahfpjjdcohblig",</v>
      </c>
    </row>
    <row r="1793">
      <c r="A1793" s="4" t="s">
        <v>20975</v>
      </c>
      <c r="B1793" s="4" t="s">
        <v>3575</v>
      </c>
      <c r="C1793" s="16" t="str">
        <f>IFERROR(__xludf.DUMMYFUNCTION(""""""""" &amp; REGEXEXTRACT(B1793, ""/detail/([^/?]+)"") &amp; """""","""),"""dpckcijgfoooohnnijhjcakkibbcmlje"",")</f>
        <v>"dpckcijgfoooohnnijhjcakkibbcmlje",</v>
      </c>
    </row>
    <row r="1794">
      <c r="A1794" s="4" t="s">
        <v>20976</v>
      </c>
      <c r="B1794" s="4" t="s">
        <v>3577</v>
      </c>
      <c r="C1794" s="16" t="str">
        <f>IFERROR(__xludf.DUMMYFUNCTION(""""""""" &amp; REGEXEXTRACT(B1794, ""/detail/([^/?]+)"") &amp; """""","""),"""dpdhegjlajgbiiceamhfgdgpogbfbppc"",")</f>
        <v>"dpdhegjlajgbiiceamhfgdgpogbfbppc",</v>
      </c>
    </row>
    <row r="1795">
      <c r="A1795" s="4" t="s">
        <v>20977</v>
      </c>
      <c r="B1795" s="4" t="s">
        <v>3579</v>
      </c>
      <c r="C1795" s="16" t="str">
        <f>IFERROR(__xludf.DUMMYFUNCTION(""""""""" &amp; REGEXEXTRACT(B1795, ""/detail/([^/?]+)"") &amp; """""","""),"""edjaedpifkihpjkcgknfokmibkoafhme"",")</f>
        <v>"edjaedpifkihpjkcgknfokmibkoafhme",</v>
      </c>
    </row>
    <row r="1796">
      <c r="A1796" s="4" t="s">
        <v>20978</v>
      </c>
      <c r="B1796" s="4" t="s">
        <v>3581</v>
      </c>
      <c r="C1796" s="16" t="str">
        <f>IFERROR(__xludf.DUMMYFUNCTION(""""""""" &amp; REGEXEXTRACT(B1796, ""/detail/([^/?]+)"") &amp; """""","""),"""edkhpdceeinkcacjdgebjehipmnbomce"",")</f>
        <v>"edkhpdceeinkcacjdgebjehipmnbomce",</v>
      </c>
    </row>
    <row r="1797">
      <c r="A1797" s="4" t="s">
        <v>20979</v>
      </c>
      <c r="B1797" s="4" t="s">
        <v>3583</v>
      </c>
      <c r="C1797" s="16" t="str">
        <f>IFERROR(__xludf.DUMMYFUNCTION(""""""""" &amp; REGEXEXTRACT(B1797, ""/detail/([^/?]+)"") &amp; """""","""),"""egaicdjagfbejjeihijpnelohejdhhjd"",")</f>
        <v>"egaicdjagfbejjeihijpnelohejdhhjd",</v>
      </c>
    </row>
    <row r="1798">
      <c r="A1798" s="4" t="s">
        <v>20980</v>
      </c>
      <c r="B1798" s="4" t="s">
        <v>3585</v>
      </c>
      <c r="C1798" s="16" t="str">
        <f>IFERROR(__xludf.DUMMYFUNCTION(""""""""" &amp; REGEXEXTRACT(B1798, ""/detail/([^/?]+)"") &amp; """""","""),"""ehahhhffddaohggfoijpnnagkkeagmmb"",")</f>
        <v>"ehahhhffddaohggfoijpnnagkkeagmmb",</v>
      </c>
    </row>
    <row r="1799">
      <c r="A1799" s="4" t="s">
        <v>20981</v>
      </c>
      <c r="B1799" s="4" t="s">
        <v>3587</v>
      </c>
      <c r="C1799" s="16" t="str">
        <f>IFERROR(__xludf.DUMMYFUNCTION(""""""""" &amp; REGEXEXTRACT(B1799, ""/detail/([^/?]+)"") &amp; """""","""),"""elaooojnffbbffleipfpidefmgonlflo"",")</f>
        <v>"elaooojnffbbffleipfpidefmgonlflo",</v>
      </c>
    </row>
    <row r="1800">
      <c r="A1800" s="4" t="s">
        <v>20982</v>
      </c>
      <c r="B1800" s="4" t="s">
        <v>3589</v>
      </c>
      <c r="C1800" s="16" t="str">
        <f>IFERROR(__xludf.DUMMYFUNCTION(""""""""" &amp; REGEXEXTRACT(B1800, ""/detail/([^/?]+)"") &amp; """""","""),"""elkkomimknapgodalnkjeddkjnjkfmfp"",")</f>
        <v>"elkkomimknapgodalnkjeddkjnjkfmfp",</v>
      </c>
    </row>
    <row r="1801">
      <c r="A1801" s="4" t="s">
        <v>20983</v>
      </c>
      <c r="B1801" s="4" t="s">
        <v>3591</v>
      </c>
      <c r="C1801" s="16" t="str">
        <f>IFERROR(__xludf.DUMMYFUNCTION(""""""""" &amp; REGEXEXTRACT(B1801, ""/detail/([^/?]+)"") &amp; """""","""),"""emkgicniaaleakbicedgkimdegnjgbkd"",")</f>
        <v>"emkgicniaaleakbicedgkimdegnjgbkd",</v>
      </c>
    </row>
    <row r="1802">
      <c r="A1802" s="4" t="s">
        <v>20984</v>
      </c>
      <c r="B1802" s="4" t="s">
        <v>3593</v>
      </c>
      <c r="C1802" s="16" t="str">
        <f>IFERROR(__xludf.DUMMYFUNCTION(""""""""" &amp; REGEXEXTRACT(B1802, ""/detail/([^/?]+)"") &amp; """""","""),"""enpgegaockimafpdjomphligajfkcaeo"",")</f>
        <v>"enpgegaockimafpdjomphligajfkcaeo",</v>
      </c>
    </row>
    <row r="1803">
      <c r="A1803" s="4" t="s">
        <v>20985</v>
      </c>
      <c r="B1803" s="4" t="s">
        <v>3595</v>
      </c>
      <c r="C1803" s="16" t="str">
        <f>IFERROR(__xludf.DUMMYFUNCTION(""""""""" &amp; REGEXEXTRACT(B1803, ""/detail/([^/?]+)"") &amp; """""","""),"""eoofekhejnklbbihkfjflikoijminged"",")</f>
        <v>"eoofekhejnklbbihkfjflikoijminged",</v>
      </c>
    </row>
    <row r="1804">
      <c r="A1804" s="4" t="s">
        <v>20986</v>
      </c>
      <c r="B1804" s="4" t="s">
        <v>3597</v>
      </c>
      <c r="C1804" s="16" t="str">
        <f>IFERROR(__xludf.DUMMYFUNCTION(""""""""" &amp; REGEXEXTRACT(B1804, ""/detail/([^/?]+)"") &amp; """""","""),"""faebneelfchccdlcndkegjjfffbfmcch"",")</f>
        <v>"faebneelfchccdlcndkegjjfffbfmcch",</v>
      </c>
    </row>
    <row r="1805">
      <c r="A1805" s="4" t="s">
        <v>20987</v>
      </c>
      <c r="B1805" s="4" t="s">
        <v>3599</v>
      </c>
      <c r="C1805" s="16" t="str">
        <f>IFERROR(__xludf.DUMMYFUNCTION(""""""""" &amp; REGEXEXTRACT(B1805, ""/detail/([^/?]+)"") &amp; """""","""),"""fflgkfikdainjeckdabnmcaabkgfolpf"",")</f>
        <v>"fflgkfikdainjeckdabnmcaabkgfolpf",</v>
      </c>
    </row>
    <row r="1806">
      <c r="A1806" s="4" t="s">
        <v>20988</v>
      </c>
      <c r="B1806" s="4" t="s">
        <v>3601</v>
      </c>
      <c r="C1806" s="16" t="str">
        <f>IFERROR(__xludf.DUMMYFUNCTION(""""""""" &amp; REGEXEXTRACT(B1806, ""/detail/([^/?]+)"") &amp; """""","""),"""fjjopahebfkmlmkekebhacaklbhiefbn"",")</f>
        <v>"fjjopahebfkmlmkekebhacaklbhiefbn",</v>
      </c>
    </row>
    <row r="1807">
      <c r="A1807" s="4" t="s">
        <v>20989</v>
      </c>
      <c r="B1807" s="4" t="s">
        <v>3603</v>
      </c>
      <c r="C1807" s="16" t="str">
        <f>IFERROR(__xludf.DUMMYFUNCTION(""""""""" &amp; REGEXEXTRACT(B1807, ""/detail/([^/?]+)"") &amp; """""","""),"""fkhjifjohobgjbmmlgoieigpdaglpfci"",")</f>
        <v>"fkhjifjohobgjbmmlgoieigpdaglpfci",</v>
      </c>
    </row>
    <row r="1808">
      <c r="A1808" s="4" t="s">
        <v>20990</v>
      </c>
      <c r="B1808" s="4" t="s">
        <v>3605</v>
      </c>
      <c r="C1808" s="16" t="str">
        <f>IFERROR(__xludf.DUMMYFUNCTION(""""""""" &amp; REGEXEXTRACT(B1808, ""/detail/([^/?]+)"") &amp; """""","""),"""fmfgcipfpihnkblbbemdagfdhjjeilli"",")</f>
        <v>"fmfgcipfpihnkblbbemdagfdhjjeilli",</v>
      </c>
    </row>
    <row r="1809">
      <c r="A1809" s="4" t="s">
        <v>20991</v>
      </c>
      <c r="B1809" s="4" t="s">
        <v>3607</v>
      </c>
      <c r="C1809" s="16" t="str">
        <f>IFERROR(__xludf.DUMMYFUNCTION(""""""""" &amp; REGEXEXTRACT(B1809, ""/detail/([^/?]+)"") &amp; """""","""),"""foakpniabhngjaebkipgllinnnbmemee"",")</f>
        <v>"foakpniabhngjaebkipgllinnnbmemee",</v>
      </c>
    </row>
    <row r="1810">
      <c r="A1810" s="4" t="s">
        <v>20992</v>
      </c>
      <c r="B1810" s="4" t="s">
        <v>3609</v>
      </c>
      <c r="C1810" s="16" t="str">
        <f>IFERROR(__xludf.DUMMYFUNCTION(""""""""" &amp; REGEXEXTRACT(B1810, ""/detail/([^/?]+)"") &amp; """""","""),"""foklmnihmhdobgonljkdamiiohnobkff"",")</f>
        <v>"foklmnihmhdobgonljkdamiiohnobkff",</v>
      </c>
    </row>
    <row r="1811">
      <c r="A1811" s="4" t="s">
        <v>20993</v>
      </c>
      <c r="B1811" s="4" t="s">
        <v>3611</v>
      </c>
      <c r="C1811" s="16" t="str">
        <f>IFERROR(__xludf.DUMMYFUNCTION(""""""""" &amp; REGEXEXTRACT(B1811, ""/detail/([^/?]+)"") &amp; """""","""),"""gadafnnkijfmbbmeielphlapddbmgbgo"",")</f>
        <v>"gadafnnkijfmbbmeielphlapddbmgbgo",</v>
      </c>
    </row>
    <row r="1812">
      <c r="A1812" s="4" t="s">
        <v>20994</v>
      </c>
      <c r="B1812" s="4" t="s">
        <v>3613</v>
      </c>
      <c r="C1812" s="16" t="str">
        <f>IFERROR(__xludf.DUMMYFUNCTION(""""""""" &amp; REGEXEXTRACT(B1812, ""/detail/([^/?]+)"") &amp; """""","""),"""gdkkmimldhefhmmmlalioafomdlahcog"",")</f>
        <v>"gdkkmimldhefhmmmlalioafomdlahcog",</v>
      </c>
    </row>
    <row r="1813">
      <c r="A1813" s="4" t="s">
        <v>20995</v>
      </c>
      <c r="B1813" s="4" t="s">
        <v>3615</v>
      </c>
      <c r="C1813" s="16" t="str">
        <f>IFERROR(__xludf.DUMMYFUNCTION(""""""""" &amp; REGEXEXTRACT(B1813, ""/detail/([^/?]+)"") &amp; """""","""),"""gebekalhaofndolblbmajhoppodkljfn"",")</f>
        <v>"gebekalhaofndolblbmajhoppodkljfn",</v>
      </c>
    </row>
    <row r="1814">
      <c r="A1814" s="4" t="s">
        <v>20996</v>
      </c>
      <c r="B1814" s="4" t="s">
        <v>3617</v>
      </c>
      <c r="C1814" s="16" t="str">
        <f>IFERROR(__xludf.DUMMYFUNCTION(""""""""" &amp; REGEXEXTRACT(B1814, ""/detail/([^/?]+)"") &amp; """""","""),"""genlpoidbjlaieaginkdbndpbejibdlm"",")</f>
        <v>"genlpoidbjlaieaginkdbndpbejibdlm",</v>
      </c>
    </row>
    <row r="1815">
      <c r="A1815" s="4" t="s">
        <v>20997</v>
      </c>
      <c r="B1815" s="4" t="s">
        <v>3619</v>
      </c>
      <c r="C1815" s="16" t="str">
        <f>IFERROR(__xludf.DUMMYFUNCTION(""""""""" &amp; REGEXEXTRACT(B1815, ""/detail/([^/?]+)"") &amp; """""","""),"""gkakfimgbmogkpmjokgnbbanmmemcdij"",")</f>
        <v>"gkakfimgbmogkpmjokgnbbanmmemcdij",</v>
      </c>
    </row>
    <row r="1816">
      <c r="A1816" s="4" t="s">
        <v>20998</v>
      </c>
      <c r="B1816" s="4" t="s">
        <v>3621</v>
      </c>
      <c r="C1816" s="16" t="str">
        <f>IFERROR(__xludf.DUMMYFUNCTION(""""""""" &amp; REGEXEXTRACT(B1816, ""/detail/([^/?]+)"") &amp; """""","""),"""glbompdcoknijlagjdallgimohbcopem"",")</f>
        <v>"glbompdcoknijlagjdallgimohbcopem",</v>
      </c>
    </row>
    <row r="1817">
      <c r="A1817" s="4" t="s">
        <v>20999</v>
      </c>
      <c r="B1817" s="4" t="s">
        <v>3623</v>
      </c>
      <c r="C1817" s="16" t="str">
        <f>IFERROR(__xludf.DUMMYFUNCTION(""""""""" &amp; REGEXEXTRACT(B1817, ""/detail/([^/?]+)"") &amp; """""","""),"""gogbdmmlnloojdafblpkmkhgigcidnmn"",")</f>
        <v>"gogbdmmlnloojdafblpkmkhgigcidnmn",</v>
      </c>
    </row>
    <row r="1818">
      <c r="A1818" s="4" t="s">
        <v>21000</v>
      </c>
      <c r="B1818" s="4" t="s">
        <v>3625</v>
      </c>
      <c r="C1818" s="16" t="str">
        <f>IFERROR(__xludf.DUMMYFUNCTION(""""""""" &amp; REGEXEXTRACT(B1818, ""/detail/([^/?]+)"") &amp; """""","""),"""hcghlfjkhaigchnbbkbcgadlnckobaei"",")</f>
        <v>"hcghlfjkhaigchnbbkbcgadlnckobaei",</v>
      </c>
    </row>
    <row r="1819">
      <c r="A1819" s="4" t="s">
        <v>21001</v>
      </c>
      <c r="B1819" s="4" t="s">
        <v>3627</v>
      </c>
      <c r="C1819" s="16" t="str">
        <f>IFERROR(__xludf.DUMMYFUNCTION(""""""""" &amp; REGEXEXTRACT(B1819, ""/detail/([^/?]+)"") &amp; """""","""),"""hdeikpphnbclpacdjdjjkpmbcacopnog"",")</f>
        <v>"hdeikpphnbclpacdjdjjkpmbcacopnog",</v>
      </c>
    </row>
    <row r="1820">
      <c r="A1820" s="4" t="s">
        <v>21002</v>
      </c>
      <c r="B1820" s="4" t="s">
        <v>3629</v>
      </c>
      <c r="C1820" s="16" t="str">
        <f>IFERROR(__xludf.DUMMYFUNCTION(""""""""" &amp; REGEXEXTRACT(B1820, ""/detail/([^/?]+)"") &amp; """""","""),"""hdokhoidbfbodcgoeacbddacldjgnkjc"",")</f>
        <v>"hdokhoidbfbodcgoeacbddacldjgnkjc",</v>
      </c>
    </row>
    <row r="1821">
      <c r="A1821" s="4" t="s">
        <v>21003</v>
      </c>
      <c r="B1821" s="4" t="s">
        <v>3631</v>
      </c>
      <c r="C1821" s="16" t="str">
        <f>IFERROR(__xludf.DUMMYFUNCTION(""""""""" &amp; REGEXEXTRACT(B1821, ""/detail/([^/?]+)"") &amp; """""","""),"""hegmfehonmphmimjobfogcoppmgepcjj"",")</f>
        <v>"hegmfehonmphmimjobfogcoppmgepcjj",</v>
      </c>
    </row>
    <row r="1822">
      <c r="A1822" s="4" t="s">
        <v>21004</v>
      </c>
      <c r="B1822" s="4" t="s">
        <v>3633</v>
      </c>
      <c r="C1822" s="16" t="str">
        <f>IFERROR(__xludf.DUMMYFUNCTION(""""""""" &amp; REGEXEXTRACT(B1822, ""/detail/([^/?]+)"") &amp; """""","""),"""hfmdbddgjlicmflejkkoafbkdgnfggbg"",")</f>
        <v>"hfmdbddgjlicmflejkkoafbkdgnfggbg",</v>
      </c>
    </row>
    <row r="1823">
      <c r="A1823" s="4" t="s">
        <v>21005</v>
      </c>
      <c r="B1823" s="4" t="s">
        <v>3635</v>
      </c>
      <c r="C1823" s="16" t="str">
        <f>IFERROR(__xludf.DUMMYFUNCTION(""""""""" &amp; REGEXEXTRACT(B1823, ""/detail/([^/?]+)"") &amp; """""","""),"""hhpjefokaphndbbidpehikcjhldaklje"",")</f>
        <v>"hhpjefokaphndbbidpehikcjhldaklje",</v>
      </c>
    </row>
    <row r="1824">
      <c r="A1824" s="4" t="s">
        <v>21006</v>
      </c>
      <c r="B1824" s="4" t="s">
        <v>3637</v>
      </c>
      <c r="C1824" s="16" t="str">
        <f>IFERROR(__xludf.DUMMYFUNCTION(""""""""" &amp; REGEXEXTRACT(B1824, ""/detail/([^/?]+)"") &amp; """""","""),"""hknjhjdeboiedcilijpcjhaiacpflkdf"",")</f>
        <v>"hknjhjdeboiedcilijpcjhaiacpflkdf",</v>
      </c>
    </row>
    <row r="1825">
      <c r="A1825" s="4" t="s">
        <v>21007</v>
      </c>
      <c r="B1825" s="4" t="s">
        <v>3639</v>
      </c>
      <c r="C1825" s="16" t="str">
        <f>IFERROR(__xludf.DUMMYFUNCTION(""""""""" &amp; REGEXEXTRACT(B1825, ""/detail/([^/?]+)"") &amp; """""","""),"""hknjpaididhfgeocegbacehlnkofjoni"",")</f>
        <v>"hknjpaididhfgeocegbacehlnkofjoni",</v>
      </c>
    </row>
    <row r="1826">
      <c r="A1826" s="4" t="s">
        <v>21008</v>
      </c>
      <c r="B1826" s="4" t="s">
        <v>3641</v>
      </c>
      <c r="C1826" s="16" t="str">
        <f>IFERROR(__xludf.DUMMYFUNCTION(""""""""" &amp; REGEXEXTRACT(B1826, ""/detail/([^/?]+)"") &amp; """""","""),"""homcnjdjgbccodplgdpdjfijjjdecbln"",")</f>
        <v>"homcnjdjgbccodplgdpdjfijjjdecbln",</v>
      </c>
    </row>
    <row r="1827">
      <c r="A1827" s="4" t="s">
        <v>21009</v>
      </c>
      <c r="B1827" s="4" t="s">
        <v>3643</v>
      </c>
      <c r="C1827" s="16" t="str">
        <f>IFERROR(__xludf.DUMMYFUNCTION(""""""""" &amp; REGEXEXTRACT(B1827, ""/detail/([^/?]+)"") &amp; """""","""),"""hphjpfmagbhbdfhdndglcccmhdjhjjce"",")</f>
        <v>"hphjpfmagbhbdfhdndglcccmhdjhjjce",</v>
      </c>
    </row>
    <row r="1828">
      <c r="A1828" s="4" t="s">
        <v>21010</v>
      </c>
      <c r="B1828" s="4" t="s">
        <v>3645</v>
      </c>
      <c r="C1828" s="16" t="str">
        <f>IFERROR(__xludf.DUMMYFUNCTION(""""""""" &amp; REGEXEXTRACT(B1828, ""/detail/([^/?]+)"") &amp; """""","""),"""hpnffeaopnnigkjacmoekfkpijmmkiec"",")</f>
        <v>"hpnffeaopnnigkjacmoekfkpijmmkiec",</v>
      </c>
    </row>
    <row r="1829">
      <c r="A1829" s="4" t="s">
        <v>21011</v>
      </c>
      <c r="B1829" s="4" t="s">
        <v>3647</v>
      </c>
      <c r="C1829" s="16" t="str">
        <f>IFERROR(__xludf.DUMMYFUNCTION(""""""""" &amp; REGEXEXTRACT(B1829, ""/detail/([^/?]+)"") &amp; """""","""),"""ibpddbdepndjfcccdmoogflacnflpoka"",")</f>
        <v>"ibpddbdepndjfcccdmoogflacnflpoka",</v>
      </c>
    </row>
    <row r="1830">
      <c r="A1830" s="4" t="s">
        <v>21012</v>
      </c>
      <c r="B1830" s="4" t="s">
        <v>3649</v>
      </c>
      <c r="C1830" s="16" t="str">
        <f>IFERROR(__xludf.DUMMYFUNCTION(""""""""" &amp; REGEXEXTRACT(B1830, ""/detail/([^/?]+)"") &amp; """""","""),"""ichmdelihgokllcnibkcpciljnggojkj"",")</f>
        <v>"ichmdelihgokllcnibkcpciljnggojkj",</v>
      </c>
    </row>
    <row r="1831">
      <c r="A1831" s="4" t="s">
        <v>21013</v>
      </c>
      <c r="B1831" s="4" t="s">
        <v>3651</v>
      </c>
      <c r="C1831" s="16" t="str">
        <f>IFERROR(__xludf.DUMMYFUNCTION(""""""""" &amp; REGEXEXTRACT(B1831, ""/detail/([^/?]+)"") &amp; """""","""),"""ikhahkidgnljlniknmendeflkdlfhonj"",")</f>
        <v>"ikhahkidgnljlniknmendeflkdlfhonj",</v>
      </c>
    </row>
    <row r="1832">
      <c r="A1832" s="4" t="s">
        <v>21014</v>
      </c>
      <c r="B1832" s="4" t="s">
        <v>3653</v>
      </c>
      <c r="C1832" s="16" t="str">
        <f>IFERROR(__xludf.DUMMYFUNCTION(""""""""" &amp; REGEXEXTRACT(B1832, ""/detail/([^/?]+)"") &amp; """""","""),"""ilcajpmogmhpliinlbcdebhbcanbghmd"",")</f>
        <v>"ilcajpmogmhpliinlbcdebhbcanbghmd",</v>
      </c>
    </row>
    <row r="1833">
      <c r="A1833" s="4" t="s">
        <v>21015</v>
      </c>
      <c r="B1833" s="4" t="s">
        <v>3655</v>
      </c>
      <c r="C1833" s="16" t="str">
        <f>IFERROR(__xludf.DUMMYFUNCTION(""""""""" &amp; REGEXEXTRACT(B1833, ""/detail/([^/?]+)"") &amp; """""","""),"""jbnopeoocgbmnochaadfnhiiimfpbpmf"",")</f>
        <v>"jbnopeoocgbmnochaadfnhiiimfpbpmf",</v>
      </c>
    </row>
    <row r="1834">
      <c r="A1834" s="4" t="s">
        <v>21016</v>
      </c>
      <c r="B1834" s="4" t="s">
        <v>3657</v>
      </c>
      <c r="C1834" s="16" t="str">
        <f>IFERROR(__xludf.DUMMYFUNCTION(""""""""" &amp; REGEXEXTRACT(B1834, ""/detail/([^/?]+)"") &amp; """""","""),"""jcgacckndmapfdcccebjlhglchkbfkjk"",")</f>
        <v>"jcgacckndmapfdcccebjlhglchkbfkjk",</v>
      </c>
    </row>
    <row r="1835">
      <c r="A1835" s="4" t="s">
        <v>21017</v>
      </c>
      <c r="B1835" s="4" t="s">
        <v>3659</v>
      </c>
      <c r="C1835" s="16" t="str">
        <f>IFERROR(__xludf.DUMMYFUNCTION(""""""""" &amp; REGEXEXTRACT(B1835, ""/detail/([^/?]+)"") &amp; """""","""),"""jhcdplpmjpchlfjfihdpimbakifjnnda"",")</f>
        <v>"jhcdplpmjpchlfjfihdpimbakifjnnda",</v>
      </c>
    </row>
    <row r="1836">
      <c r="A1836" s="4" t="s">
        <v>21018</v>
      </c>
      <c r="B1836" s="4" t="s">
        <v>3661</v>
      </c>
      <c r="C1836" s="16" t="str">
        <f>IFERROR(__xludf.DUMMYFUNCTION(""""""""" &amp; REGEXEXTRACT(B1836, ""/detail/([^/?]+)"") &amp; """""","""),"""jingcebjicjghaknapndgnlhbcmnlbfn"",")</f>
        <v>"jingcebjicjghaknapndgnlhbcmnlbfn",</v>
      </c>
    </row>
    <row r="1837">
      <c r="A1837" s="4" t="s">
        <v>21019</v>
      </c>
      <c r="B1837" s="4" t="s">
        <v>3663</v>
      </c>
      <c r="C1837" s="16" t="str">
        <f>IFERROR(__xludf.DUMMYFUNCTION(""""""""" &amp; REGEXEXTRACT(B1837, ""/detail/([^/?]+)"") &amp; """""","""),"""jlhbhbahobaobjodhbjebfkildibombl"",")</f>
        <v>"jlhbhbahobaobjodhbjebfkildibombl",</v>
      </c>
    </row>
    <row r="1838">
      <c r="A1838" s="4" t="s">
        <v>21020</v>
      </c>
      <c r="B1838" s="4" t="s">
        <v>3665</v>
      </c>
      <c r="C1838" s="16" t="str">
        <f>IFERROR(__xludf.DUMMYFUNCTION(""""""""" &amp; REGEXEXTRACT(B1838, ""/detail/([^/?]+)"") &amp; """""","""),"""kahmhmlnbgnkcdkedieeokmfgifjgaap"",")</f>
        <v>"kahmhmlnbgnkcdkedieeokmfgifjgaap",</v>
      </c>
    </row>
    <row r="1839">
      <c r="A1839" s="4" t="s">
        <v>21021</v>
      </c>
      <c r="B1839" s="4" t="s">
        <v>3667</v>
      </c>
      <c r="C1839" s="16" t="str">
        <f>IFERROR(__xludf.DUMMYFUNCTION(""""""""" &amp; REGEXEXTRACT(B1839, ""/detail/([^/?]+)"") &amp; """""","""),"""kbabipfneinkpdahbehjmdgfbjcfpgja"",")</f>
        <v>"kbabipfneinkpdahbehjmdgfbjcfpgja",</v>
      </c>
    </row>
    <row r="1840">
      <c r="A1840" s="4" t="s">
        <v>21022</v>
      </c>
      <c r="B1840" s="4" t="s">
        <v>3669</v>
      </c>
      <c r="C1840" s="16" t="str">
        <f>IFERROR(__xludf.DUMMYFUNCTION(""""""""" &amp; REGEXEXTRACT(B1840, ""/detail/([^/?]+)"") &amp; """""","""),"""khjpgjjkndhlnokfmfpfphpigeoinnim"",")</f>
        <v>"khjpgjjkndhlnokfmfpfphpigeoinnim",</v>
      </c>
    </row>
    <row r="1841">
      <c r="A1841" s="4" t="s">
        <v>21023</v>
      </c>
      <c r="B1841" s="4" t="s">
        <v>3671</v>
      </c>
      <c r="C1841" s="16" t="str">
        <f>IFERROR(__xludf.DUMMYFUNCTION(""""""""" &amp; REGEXEXTRACT(B1841, ""/detail/([^/?]+)"") &amp; """""","""),"""kjcdcbhfpjkcjinohfaaihpcmpnpmpie"",")</f>
        <v>"kjcdcbhfpjkcjinohfaaihpcmpnpmpie",</v>
      </c>
    </row>
    <row r="1842">
      <c r="A1842" s="4" t="s">
        <v>21024</v>
      </c>
      <c r="B1842" s="4" t="s">
        <v>3673</v>
      </c>
      <c r="C1842" s="16" t="str">
        <f>IFERROR(__xludf.DUMMYFUNCTION(""""""""" &amp; REGEXEXTRACT(B1842, ""/detail/([^/?]+)"") &amp; """""","""),"""koffnfmgjmoopfgelgbbkjmdnppadlae"",")</f>
        <v>"koffnfmgjmoopfgelgbbkjmdnppadlae",</v>
      </c>
    </row>
    <row r="1843">
      <c r="A1843" s="4" t="s">
        <v>21025</v>
      </c>
      <c r="B1843" s="4" t="s">
        <v>3675</v>
      </c>
      <c r="C1843" s="16" t="str">
        <f>IFERROR(__xludf.DUMMYFUNCTION(""""""""" &amp; REGEXEXTRACT(B1843, ""/detail/([^/?]+)"") &amp; """""","""),"""leallakffbiflfgpmamdgcojddnbfdgo"",")</f>
        <v>"leallakffbiflfgpmamdgcojddnbfdgo",</v>
      </c>
    </row>
    <row r="1844">
      <c r="A1844" s="4" t="s">
        <v>21026</v>
      </c>
      <c r="B1844" s="4" t="s">
        <v>3677</v>
      </c>
      <c r="C1844" s="16" t="str">
        <f>IFERROR(__xludf.DUMMYFUNCTION(""""""""" &amp; REGEXEXTRACT(B1844, ""/detail/([^/?]+)"") &amp; """""","""),"""lhcmjfihagpmejhbbhkiapppaacgneoi"",")</f>
        <v>"lhcmjfihagpmejhbbhkiapppaacgneoi",</v>
      </c>
    </row>
    <row r="1845">
      <c r="A1845" s="4" t="s">
        <v>21027</v>
      </c>
      <c r="B1845" s="4" t="s">
        <v>3679</v>
      </c>
      <c r="C1845" s="16" t="str">
        <f>IFERROR(__xludf.DUMMYFUNCTION(""""""""" &amp; REGEXEXTRACT(B1845, ""/detail/([^/?]+)"") &amp; """""","""),"""lifhekgaodigcpmnakfhaaaboididbdn"",")</f>
        <v>"lifhekgaodigcpmnakfhaaaboididbdn",</v>
      </c>
    </row>
    <row r="1846">
      <c r="A1846" s="4" t="s">
        <v>21028</v>
      </c>
      <c r="B1846" s="4" t="s">
        <v>3681</v>
      </c>
      <c r="C1846" s="16" t="str">
        <f>IFERROR(__xludf.DUMMYFUNCTION(""""""""" &amp; REGEXEXTRACT(B1846, ""/detail/([^/?]+)"") &amp; """""","""),"""lljncgccioajcnjlkkigiecjekggdcco"",")</f>
        <v>"lljncgccioajcnjlkkigiecjekggdcco",</v>
      </c>
    </row>
    <row r="1847">
      <c r="A1847" s="4" t="s">
        <v>21029</v>
      </c>
      <c r="B1847" s="4" t="s">
        <v>3683</v>
      </c>
      <c r="C1847" s="16" t="str">
        <f>IFERROR(__xludf.DUMMYFUNCTION(""""""""" &amp; REGEXEXTRACT(B1847, ""/detail/([^/?]+)"") &amp; """""","""),"""lnnmjmalakahagblkkcnjkoaihlfglon"",")</f>
        <v>"lnnmjmalakahagblkkcnjkoaihlfglon",</v>
      </c>
    </row>
    <row r="1848">
      <c r="A1848" s="4" t="s">
        <v>21030</v>
      </c>
      <c r="B1848" s="4" t="s">
        <v>3685</v>
      </c>
      <c r="C1848" s="16" t="str">
        <f>IFERROR(__xludf.DUMMYFUNCTION(""""""""" &amp; REGEXEXTRACT(B1848, ""/detail/([^/?]+)"") &amp; """""","""),"""lpkjdakjlliooohonkdfofmeifdccbfp"",")</f>
        <v>"lpkjdakjlliooohonkdfofmeifdccbfp",</v>
      </c>
    </row>
    <row r="1849">
      <c r="A1849" s="4" t="s">
        <v>21031</v>
      </c>
      <c r="B1849" s="4" t="s">
        <v>3687</v>
      </c>
      <c r="C1849" s="16" t="str">
        <f>IFERROR(__xludf.DUMMYFUNCTION(""""""""" &amp; REGEXEXTRACT(B1849, ""/detail/([^/?]+)"") &amp; """""","""),"""mcoimieglmhdjdoplhpcmifgplkbfibp"",")</f>
        <v>"mcoimieglmhdjdoplhpcmifgplkbfibp",</v>
      </c>
    </row>
    <row r="1850">
      <c r="A1850" s="4" t="s">
        <v>21032</v>
      </c>
      <c r="B1850" s="4" t="s">
        <v>3689</v>
      </c>
      <c r="C1850" s="16" t="str">
        <f>IFERROR(__xludf.DUMMYFUNCTION(""""""""" &amp; REGEXEXTRACT(B1850, ""/detail/([^/?]+)"") &amp; """""","""),"""mglbjmlapcmlbkhebomcmmnkfcnallkf"",")</f>
        <v>"mglbjmlapcmlbkhebomcmmnkfcnallkf",</v>
      </c>
    </row>
    <row r="1851">
      <c r="A1851" s="4" t="s">
        <v>21033</v>
      </c>
      <c r="B1851" s="4" t="s">
        <v>3691</v>
      </c>
      <c r="C1851" s="16" t="str">
        <f>IFERROR(__xludf.DUMMYFUNCTION(""""""""" &amp; REGEXEXTRACT(B1851, ""/detail/([^/?]+)"") &amp; """""","""),"""mhgjlbolkmcookadjpolimbddngjgbol"",")</f>
        <v>"mhgjlbolkmcookadjpolimbddngjgbol",</v>
      </c>
    </row>
    <row r="1852">
      <c r="A1852" s="4" t="s">
        <v>21034</v>
      </c>
      <c r="B1852" s="4" t="s">
        <v>3693</v>
      </c>
      <c r="C1852" s="16" t="str">
        <f>IFERROR(__xludf.DUMMYFUNCTION(""""""""" &amp; REGEXEXTRACT(B1852, ""/detail/([^/?]+)"") &amp; """""","""),"""mnjmegebbljjhpljjfjmkhgmokpmdbpo"",")</f>
        <v>"mnjmegebbljjhpljjfjmkhgmokpmdbpo",</v>
      </c>
    </row>
    <row r="1853">
      <c r="A1853" s="4" t="s">
        <v>21035</v>
      </c>
      <c r="B1853" s="4" t="s">
        <v>3695</v>
      </c>
      <c r="C1853" s="16" t="str">
        <f>IFERROR(__xludf.DUMMYFUNCTION(""""""""" &amp; REGEXEXTRACT(B1853, ""/detail/([^/?]+)"") &amp; """""","""),"""mohfpbpkclhhcofcekmaomibblmlhgig"",")</f>
        <v>"mohfpbpkclhhcofcekmaomibblmlhgig",</v>
      </c>
    </row>
    <row r="1854">
      <c r="A1854" s="4" t="s">
        <v>21036</v>
      </c>
      <c r="B1854" s="4" t="s">
        <v>3697</v>
      </c>
      <c r="C1854" s="16" t="str">
        <f>IFERROR(__xludf.DUMMYFUNCTION(""""""""" &amp; REGEXEXTRACT(B1854, ""/detail/([^/?]+)"") &amp; """""","""),"""mohhillnhaheggkkjjmblipbehejpoba"",")</f>
        <v>"mohhillnhaheggkkjjmblipbehejpoba",</v>
      </c>
    </row>
    <row r="1855">
      <c r="A1855" s="4" t="s">
        <v>21037</v>
      </c>
      <c r="B1855" s="4" t="s">
        <v>3699</v>
      </c>
      <c r="C1855" s="16" t="str">
        <f>IFERROR(__xludf.DUMMYFUNCTION(""""""""" &amp; REGEXEXTRACT(B1855, ""/detail/([^/?]+)"") &amp; """""","""),"""mpfdlhhpbhgghplbambikplcfpbjiail"",")</f>
        <v>"mpfdlhhpbhgghplbambikplcfpbjiail",</v>
      </c>
    </row>
    <row r="1856">
      <c r="A1856" s="4" t="s">
        <v>21038</v>
      </c>
      <c r="B1856" s="4" t="s">
        <v>3701</v>
      </c>
      <c r="C1856" s="16" t="str">
        <f>IFERROR(__xludf.DUMMYFUNCTION(""""""""" &amp; REGEXEXTRACT(B1856, ""/detail/([^/?]+)"") &amp; """""","""),"""nafmgkhgdblkabfjfegmafagpccaobfg"",")</f>
        <v>"nafmgkhgdblkabfjfegmafagpccaobfg",</v>
      </c>
    </row>
    <row r="1857">
      <c r="A1857" s="4" t="s">
        <v>21039</v>
      </c>
      <c r="B1857" s="4" t="s">
        <v>3703</v>
      </c>
      <c r="C1857" s="16" t="str">
        <f>IFERROR(__xludf.DUMMYFUNCTION(""""""""" &amp; REGEXEXTRACT(B1857, ""/detail/([^/?]+)"") &amp; """""","""),"""napgiiljdfdiklcipgdkhpgfgjkjamfo"",")</f>
        <v>"napgiiljdfdiklcipgdkhpgfgjkjamfo",</v>
      </c>
    </row>
    <row r="1858">
      <c r="A1858" s="4" t="s">
        <v>21040</v>
      </c>
      <c r="B1858" s="4" t="s">
        <v>3705</v>
      </c>
      <c r="C1858" s="16" t="str">
        <f>IFERROR(__xludf.DUMMYFUNCTION(""""""""" &amp; REGEXEXTRACT(B1858, ""/detail/([^/?]+)"") &amp; """""","""),"""nddhfphijlfdfjlcfaimogfpjcbbafep"",")</f>
        <v>"nddhfphijlfdfjlcfaimogfpjcbbafep",</v>
      </c>
    </row>
    <row r="1859">
      <c r="A1859" s="4" t="s">
        <v>21041</v>
      </c>
      <c r="B1859" s="4" t="s">
        <v>3707</v>
      </c>
      <c r="C1859" s="16" t="str">
        <f>IFERROR(__xludf.DUMMYFUNCTION(""""""""" &amp; REGEXEXTRACT(B1859, ""/detail/([^/?]+)"") &amp; """""","""),"""ndmhmkfeeagmjnbgcpbaipeiojeekgcg"",")</f>
        <v>"ndmhmkfeeagmjnbgcpbaipeiojeekgcg",</v>
      </c>
    </row>
    <row r="1860">
      <c r="A1860" s="4" t="s">
        <v>21042</v>
      </c>
      <c r="B1860" s="4" t="s">
        <v>3709</v>
      </c>
      <c r="C1860" s="16" t="str">
        <f>IFERROR(__xludf.DUMMYFUNCTION(""""""""" &amp; REGEXEXTRACT(B1860, ""/detail/([^/?]+)"") &amp; """""","""),"""nejhljchonjbbppnbeggcndiekjhangd"",")</f>
        <v>"nejhljchonjbbppnbeggcndiekjhangd",</v>
      </c>
    </row>
    <row r="1861">
      <c r="A1861" s="4" t="s">
        <v>21043</v>
      </c>
      <c r="B1861" s="4" t="s">
        <v>3711</v>
      </c>
      <c r="C1861" s="16" t="str">
        <f>IFERROR(__xludf.DUMMYFUNCTION(""""""""" &amp; REGEXEXTRACT(B1861, ""/detail/([^/?]+)"") &amp; """""","""),"""nfhlbmjiiogoelaflfclodlkncbdiefo"",")</f>
        <v>"nfhlbmjiiogoelaflfclodlkncbdiefo",</v>
      </c>
    </row>
    <row r="1862">
      <c r="A1862" s="4" t="s">
        <v>21044</v>
      </c>
      <c r="B1862" s="4" t="s">
        <v>3713</v>
      </c>
      <c r="C1862" s="16" t="str">
        <f>IFERROR(__xludf.DUMMYFUNCTION(""""""""" &amp; REGEXEXTRACT(B1862, ""/detail/([^/?]+)"") &amp; """""","""),"""nhpmkadfmieicpkanpcdmhbgbanflbpa"",")</f>
        <v>"nhpmkadfmieicpkanpcdmhbgbanflbpa",</v>
      </c>
    </row>
    <row r="1863">
      <c r="A1863" s="4" t="s">
        <v>21045</v>
      </c>
      <c r="B1863" s="4" t="s">
        <v>3715</v>
      </c>
      <c r="C1863" s="16" t="str">
        <f>IFERROR(__xludf.DUMMYFUNCTION(""""""""" &amp; REGEXEXTRACT(B1863, ""/detail/([^/?]+)"") &amp; """""","""),"""niemgccefhbiambnhhlpcpfcfbkmoobi"",")</f>
        <v>"niemgccefhbiambnhhlpcpfcfbkmoobi",</v>
      </c>
    </row>
    <row r="1864">
      <c r="A1864" s="4" t="s">
        <v>21046</v>
      </c>
      <c r="B1864" s="4" t="s">
        <v>3717</v>
      </c>
      <c r="C1864" s="16" t="str">
        <f>IFERROR(__xludf.DUMMYFUNCTION(""""""""" &amp; REGEXEXTRACT(B1864, ""/detail/([^/?]+)"") &amp; """""","""),"""nigigpmchbpkjjgncmpiggfnikllldlh"",")</f>
        <v>"nigigpmchbpkjjgncmpiggfnikllldlh",</v>
      </c>
    </row>
    <row r="1865">
      <c r="A1865" s="4" t="s">
        <v>21047</v>
      </c>
      <c r="B1865" s="4" t="s">
        <v>3719</v>
      </c>
      <c r="C1865" s="16" t="str">
        <f>IFERROR(__xludf.DUMMYFUNCTION(""""""""" &amp; REGEXEXTRACT(B1865, ""/detail/([^/?]+)"") &amp; """""","""),"""ninlcpgbcnldebbfkclejmfdcaonfnng"",")</f>
        <v>"ninlcpgbcnldebbfkclejmfdcaonfnng",</v>
      </c>
    </row>
    <row r="1866">
      <c r="A1866" s="4" t="s">
        <v>21048</v>
      </c>
      <c r="B1866" s="4" t="s">
        <v>3720</v>
      </c>
      <c r="C1866" s="16" t="str">
        <f>IFERROR(__xludf.DUMMYFUNCTION(""""""""" &amp; REGEXEXTRACT(B1866, ""/detail/([^/?]+)"") &amp; """""","""),"""nkndmgfhohbehjfgkcapcahcnglbeipo"",")</f>
        <v>"nkndmgfhohbehjfgkcapcahcnglbeipo",</v>
      </c>
    </row>
    <row r="1867">
      <c r="A1867" s="4" t="s">
        <v>21049</v>
      </c>
      <c r="B1867" s="4" t="s">
        <v>3722</v>
      </c>
      <c r="C1867" s="16" t="str">
        <f>IFERROR(__xludf.DUMMYFUNCTION(""""""""" &amp; REGEXEXTRACT(B1867, ""/detail/([^/?]+)"") &amp; """""","""),"""nlnkcinjjeoojlhdiedbbolilahmnldj"",")</f>
        <v>"nlnkcinjjeoojlhdiedbbolilahmnldj",</v>
      </c>
    </row>
    <row r="1868">
      <c r="A1868" s="4" t="s">
        <v>21050</v>
      </c>
      <c r="B1868" s="4" t="s">
        <v>3724</v>
      </c>
      <c r="C1868" s="16" t="str">
        <f>IFERROR(__xludf.DUMMYFUNCTION(""""""""" &amp; REGEXEXTRACT(B1868, ""/detail/([^/?]+)"") &amp; """""","""),"""nnedppabchbjaplcbjpbkcjhpmfdhpin"",")</f>
        <v>"nnedppabchbjaplcbjpbkcjhpmfdhpin",</v>
      </c>
    </row>
    <row r="1869">
      <c r="A1869" s="4" t="s">
        <v>21051</v>
      </c>
      <c r="B1869" s="4" t="s">
        <v>3726</v>
      </c>
      <c r="C1869" s="16" t="str">
        <f>IFERROR(__xludf.DUMMYFUNCTION(""""""""" &amp; REGEXEXTRACT(B1869, ""/detail/([^/?]+)"") &amp; """""","""),"""npdhjdikbnmbjamabeigljgbokepmkce"",")</f>
        <v>"npdhjdikbnmbjamabeigljgbokepmkce",</v>
      </c>
    </row>
    <row r="1870">
      <c r="A1870" s="4" t="s">
        <v>21052</v>
      </c>
      <c r="B1870" s="4" t="s">
        <v>3728</v>
      </c>
      <c r="C1870" s="16" t="str">
        <f>IFERROR(__xludf.DUMMYFUNCTION(""""""""" &amp; REGEXEXTRACT(B1870, ""/detail/([^/?]+)"") &amp; """""","""),"""oepnndnpjiahgkljgbohnnccmokgcoln"",")</f>
        <v>"oepnndnpjiahgkljgbohnnccmokgcoln",</v>
      </c>
    </row>
    <row r="1871">
      <c r="A1871" s="4" t="s">
        <v>21053</v>
      </c>
      <c r="B1871" s="4" t="s">
        <v>3730</v>
      </c>
      <c r="C1871" s="16" t="str">
        <f>IFERROR(__xludf.DUMMYFUNCTION(""""""""" &amp; REGEXEXTRACT(B1871, ""/detail/([^/?]+)"") &amp; """""","""),"""ojnijeelknkboepginhdnepplmfjhppl"",")</f>
        <v>"ojnijeelknkboepginhdnepplmfjhppl",</v>
      </c>
    </row>
    <row r="1872">
      <c r="A1872" s="4" t="s">
        <v>21054</v>
      </c>
      <c r="B1872" s="4" t="s">
        <v>3732</v>
      </c>
      <c r="C1872" s="16" t="str">
        <f>IFERROR(__xludf.DUMMYFUNCTION(""""""""" &amp; REGEXEXTRACT(B1872, ""/detail/([^/?]+)"") &amp; """""","""),"""olhcajgllkpacioibcjiniefblpmpech"",")</f>
        <v>"olhcajgllkpacioibcjiniefblpmpech",</v>
      </c>
    </row>
    <row r="1873">
      <c r="A1873" s="4" t="s">
        <v>21055</v>
      </c>
      <c r="B1873" s="4" t="s">
        <v>3734</v>
      </c>
      <c r="C1873" s="16" t="str">
        <f>IFERROR(__xludf.DUMMYFUNCTION(""""""""" &amp; REGEXEXTRACT(B1873, ""/detail/([^/?]+)"") &amp; """""","""),"""omoffjbdckolacanfbappkfdaacmbjnd"",")</f>
        <v>"omoffjbdckolacanfbappkfdaacmbjnd",</v>
      </c>
    </row>
    <row r="1874">
      <c r="A1874" s="4" t="s">
        <v>21056</v>
      </c>
      <c r="B1874" s="4" t="s">
        <v>3736</v>
      </c>
      <c r="C1874" s="16" t="str">
        <f>IFERROR(__xludf.DUMMYFUNCTION(""""""""" &amp; REGEXEXTRACT(B1874, ""/detail/([^/?]+)"") &amp; """""","""),"""ooilajigbnoajdapojdpglknkpedmcbj"",")</f>
        <v>"ooilajigbnoajdapojdpglknkpedmcbj",</v>
      </c>
    </row>
    <row r="1875">
      <c r="A1875" s="4" t="s">
        <v>21057</v>
      </c>
      <c r="B1875" s="4" t="s">
        <v>3738</v>
      </c>
      <c r="C1875" s="16" t="str">
        <f>IFERROR(__xludf.DUMMYFUNCTION(""""""""" &amp; REGEXEXTRACT(B1875, ""/detail/([^/?]+)"") &amp; """""","""),"""pgnlhifdmcpfbaacmmlljgjinbfkjfpd"",")</f>
        <v>"pgnlhifdmcpfbaacmmlljgjinbfkjfpd",</v>
      </c>
    </row>
    <row r="1876">
      <c r="A1876" s="4" t="s">
        <v>21058</v>
      </c>
      <c r="B1876" s="4" t="s">
        <v>3740</v>
      </c>
      <c r="C1876" s="16" t="str">
        <f>IFERROR(__xludf.DUMMYFUNCTION(""""""""" &amp; REGEXEXTRACT(B1876, ""/detail/([^/?]+)"") &amp; """""","""),"""pkckbkheblnpnlnmkldeikhkfddhnkah"",")</f>
        <v>"pkckbkheblnpnlnmkldeikhkfddhnkah",</v>
      </c>
    </row>
    <row r="1877">
      <c r="A1877" s="4" t="s">
        <v>21059</v>
      </c>
      <c r="B1877" s="4" t="s">
        <v>3742</v>
      </c>
      <c r="C1877" s="16" t="str">
        <f>IFERROR(__xludf.DUMMYFUNCTION(""""""""" &amp; REGEXEXTRACT(B1877, ""/detail/([^/?]+)"") &amp; """""","""),"""pmdllfjnhmnohbhidhdnbaanbnmopfcn"",")</f>
        <v>"pmdllfjnhmnohbhidhdnbaanbnmopfcn",</v>
      </c>
    </row>
    <row r="1878">
      <c r="A1878" s="4" t="s">
        <v>21060</v>
      </c>
      <c r="B1878" s="4" t="s">
        <v>3744</v>
      </c>
      <c r="C1878" s="16" t="str">
        <f>IFERROR(__xludf.DUMMYFUNCTION(""""""""" &amp; REGEXEXTRACT(B1878, ""/detail/([^/?]+)"") &amp; """""","""),"""pocpeokkkifomeaaobopeacnnepnaldl"",")</f>
        <v>"pocpeokkkifomeaaobopeacnnepnaldl",</v>
      </c>
    </row>
    <row r="1879">
      <c r="A1879" s="4" t="s">
        <v>21061</v>
      </c>
      <c r="B1879" s="4" t="s">
        <v>3746</v>
      </c>
      <c r="C1879" s="16" t="str">
        <f>IFERROR(__xludf.DUMMYFUNCTION(""""""""" &amp; REGEXEXTRACT(B1879, ""/detail/([^/?]+)"") &amp; """""","""),"""pofajmcclajdhoakabdmenapbdkgejam"",")</f>
        <v>"pofajmcclajdhoakabdmenapbdkgejam",</v>
      </c>
    </row>
    <row r="1880">
      <c r="A1880" s="4" t="s">
        <v>21062</v>
      </c>
      <c r="B1880" s="4" t="s">
        <v>3748</v>
      </c>
      <c r="C1880" s="16" t="str">
        <f>IFERROR(__xludf.DUMMYFUNCTION(""""""""" &amp; REGEXEXTRACT(B1880, ""/detail/([^/?]+)"") &amp; """""","""),"""jhiocdmmaannaccoofjfmjpbfkogmnap"",")</f>
        <v>"jhiocdmmaannaccoofjfmjpbfkogmnap",</v>
      </c>
    </row>
    <row r="1881">
      <c r="A1881" s="4" t="s">
        <v>21063</v>
      </c>
      <c r="B1881" s="4" t="s">
        <v>3750</v>
      </c>
      <c r="C1881" s="16" t="str">
        <f>IFERROR(__xludf.DUMMYFUNCTION(""""""""" &amp; REGEXEXTRACT(B1881, ""/detail/([^/?]+)"") &amp; """""","""),"""gekpdemielcmiiiackmeoppdgaggjgda"",")</f>
        <v>"gekpdemielcmiiiackmeoppdgaggjgda",</v>
      </c>
    </row>
    <row r="1882">
      <c r="A1882" s="4" t="s">
        <v>21064</v>
      </c>
      <c r="B1882" s="4" t="s">
        <v>3752</v>
      </c>
      <c r="C1882" s="16" t="str">
        <f>IFERROR(__xludf.DUMMYFUNCTION(""""""""" &amp; REGEXEXTRACT(B1882, ""/detail/([^/?]+)"") &amp; """""","""),"""acdpiemklcfaoglpjmidpjdbhkgdoede"",")</f>
        <v>"acdpiemklcfaoglpjmidpjdbhkgdoede",</v>
      </c>
    </row>
    <row r="1883">
      <c r="A1883" s="4" t="s">
        <v>21065</v>
      </c>
      <c r="B1883" s="4" t="s">
        <v>3754</v>
      </c>
      <c r="C1883" s="16" t="str">
        <f>IFERROR(__xludf.DUMMYFUNCTION(""""""""" &amp; REGEXEXTRACT(B1883, ""/detail/([^/?]+)"") &amp; """""","""),"""acpjkkfchioajabmoedekiboendgaccf"",")</f>
        <v>"acpjkkfchioajabmoedekiboendgaccf",</v>
      </c>
    </row>
    <row r="1884">
      <c r="A1884" s="4" t="s">
        <v>21066</v>
      </c>
      <c r="B1884" s="4" t="s">
        <v>3756</v>
      </c>
      <c r="C1884" s="16" t="str">
        <f>IFERROR(__xludf.DUMMYFUNCTION(""""""""" &amp; REGEXEXTRACT(B1884, ""/detail/([^/?]+)"") &amp; """""","""),"""afcbjmdkfcdfbamemeadbpmabohjehcl"",")</f>
        <v>"afcbjmdkfcdfbamemeadbpmabohjehcl",</v>
      </c>
    </row>
    <row r="1885">
      <c r="A1885" s="4" t="s">
        <v>21067</v>
      </c>
      <c r="B1885" s="4" t="s">
        <v>3758</v>
      </c>
      <c r="C1885" s="16" t="str">
        <f>IFERROR(__xludf.DUMMYFUNCTION(""""""""" &amp; REGEXEXTRACT(B1885, ""/detail/([^/?]+)"") &amp; """""","""),"""affccikominfmpcchecefmibpdenookk"",")</f>
        <v>"affccikominfmpcchecefmibpdenookk",</v>
      </c>
    </row>
    <row r="1886">
      <c r="A1886" s="4" t="s">
        <v>21068</v>
      </c>
      <c r="B1886" s="4" t="s">
        <v>3760</v>
      </c>
      <c r="C1886" s="16" t="str">
        <f>IFERROR(__xludf.DUMMYFUNCTION(""""""""" &amp; REGEXEXTRACT(B1886, ""/detail/([^/?]+)"") &amp; """""","""),"""aibdjehbnedbkkojmjohamkloglhlonb"",")</f>
        <v>"aibdjehbnedbkkojmjohamkloglhlonb",</v>
      </c>
    </row>
    <row r="1887">
      <c r="A1887" s="4" t="s">
        <v>21069</v>
      </c>
      <c r="B1887" s="4" t="s">
        <v>3762</v>
      </c>
      <c r="C1887" s="16" t="str">
        <f>IFERROR(__xludf.DUMMYFUNCTION(""""""""" &amp; REGEXEXTRACT(B1887, ""/detail/([^/?]+)"") &amp; """""","""),"""aikbdokcmcbbeaadpdbhlcdcgghdkhja"",")</f>
        <v>"aikbdokcmcbbeaadpdbhlcdcgghdkhja",</v>
      </c>
    </row>
    <row r="1888">
      <c r="A1888" s="4" t="s">
        <v>21070</v>
      </c>
      <c r="B1888" s="4" t="s">
        <v>3763</v>
      </c>
      <c r="C1888" s="16" t="str">
        <f>IFERROR(__xludf.DUMMYFUNCTION(""""""""" &amp; REGEXEXTRACT(B1888, ""/detail/([^/?]+)"") &amp; """""","""),"""alpjieidnmmkljnceakgpeajlngabnee"",")</f>
        <v>"alpjieidnmmkljnceakgpeajlngabnee",</v>
      </c>
    </row>
    <row r="1889">
      <c r="A1889" s="4" t="s">
        <v>21071</v>
      </c>
      <c r="B1889" s="4" t="s">
        <v>3765</v>
      </c>
      <c r="C1889" s="16" t="str">
        <f>IFERROR(__xludf.DUMMYFUNCTION(""""""""" &amp; REGEXEXTRACT(B1889, ""/detail/([^/?]+)"") &amp; """""","""),"""alpodanjbjmlakmolfdlioidgfbfmaep"",")</f>
        <v>"alpodanjbjmlakmolfdlioidgfbfmaep",</v>
      </c>
    </row>
    <row r="1890">
      <c r="A1890" s="4" t="s">
        <v>21072</v>
      </c>
      <c r="B1890" s="4" t="s">
        <v>3767</v>
      </c>
      <c r="C1890" s="16" t="str">
        <f>IFERROR(__xludf.DUMMYFUNCTION(""""""""" &amp; REGEXEXTRACT(B1890, ""/detail/([^/?]+)"") &amp; """""","""),"""alpojkkkfdmdljbffepiabcjfhnnmako"",")</f>
        <v>"alpojkkkfdmdljbffepiabcjfhnnmako",</v>
      </c>
    </row>
    <row r="1891">
      <c r="A1891" s="4" t="s">
        <v>21073</v>
      </c>
      <c r="B1891" s="4" t="s">
        <v>3769</v>
      </c>
      <c r="C1891" s="16" t="str">
        <f>IFERROR(__xludf.DUMMYFUNCTION(""""""""" &amp; REGEXEXTRACT(B1891, ""/detail/([^/?]+)"") &amp; """""","""),"""ambpfppfbpeepjlpgekhpdfmmgikfjjd"",")</f>
        <v>"ambpfppfbpeepjlpgekhpdfmmgikfjjd",</v>
      </c>
    </row>
    <row r="1892">
      <c r="A1892" s="4" t="s">
        <v>21074</v>
      </c>
      <c r="B1892" s="4" t="s">
        <v>3771</v>
      </c>
      <c r="C1892" s="16" t="str">
        <f>IFERROR(__xludf.DUMMYFUNCTION(""""""""" &amp; REGEXEXTRACT(B1892, ""/detail/([^/?]+)"") &amp; """""","""),"""aocppmckdocdjkphmofnklcjhdidgmga"",")</f>
        <v>"aocppmckdocdjkphmofnklcjhdidgmga",</v>
      </c>
    </row>
    <row r="1893">
      <c r="A1893" s="4" t="s">
        <v>21075</v>
      </c>
      <c r="B1893" s="4" t="s">
        <v>3773</v>
      </c>
      <c r="C1893" s="16" t="str">
        <f>IFERROR(__xludf.DUMMYFUNCTION(""""""""" &amp; REGEXEXTRACT(B1893, ""/detail/([^/?]+)"") &amp; """""","""),"""aofadimegphfgllgjblddapiaojbglhf"",")</f>
        <v>"aofadimegphfgllgjblddapiaojbglhf",</v>
      </c>
    </row>
    <row r="1894">
      <c r="A1894" s="4" t="s">
        <v>21076</v>
      </c>
      <c r="B1894" s="4" t="s">
        <v>3775</v>
      </c>
      <c r="C1894" s="16" t="str">
        <f>IFERROR(__xludf.DUMMYFUNCTION(""""""""" &amp; REGEXEXTRACT(B1894, ""/detail/([^/?]+)"") &amp; """""","""),"""bafhdnhjnlcdbjcdcnafhdcphhnfnhjc"",")</f>
        <v>"bafhdnhjnlcdbjcdcnafhdcphhnfnhjc",</v>
      </c>
    </row>
    <row r="1895">
      <c r="A1895" s="4" t="s">
        <v>21077</v>
      </c>
      <c r="B1895" s="4" t="s">
        <v>3777</v>
      </c>
      <c r="C1895" s="16" t="str">
        <f>IFERROR(__xludf.DUMMYFUNCTION(""""""""" &amp; REGEXEXTRACT(B1895, ""/detail/([^/?]+)"") &amp; """""","""),"""bckfpnenhimfckndcceonmkhheinmkob"",")</f>
        <v>"bckfpnenhimfckndcceonmkhheinmkob",</v>
      </c>
    </row>
    <row r="1896">
      <c r="A1896" s="4" t="s">
        <v>21078</v>
      </c>
      <c r="B1896" s="4" t="s">
        <v>3779</v>
      </c>
      <c r="C1896" s="16" t="str">
        <f>IFERROR(__xludf.DUMMYFUNCTION(""""""""" &amp; REGEXEXTRACT(B1896, ""/detail/([^/?]+)"") &amp; """""","""),"""beahjohmjaedaamelbphgpmopcigcegh"",")</f>
        <v>"beahjohmjaedaamelbphgpmopcigcegh",</v>
      </c>
    </row>
    <row r="1897">
      <c r="A1897" s="4" t="s">
        <v>21079</v>
      </c>
      <c r="B1897" s="4" t="s">
        <v>3781</v>
      </c>
      <c r="C1897" s="16" t="str">
        <f>IFERROR(__xludf.DUMMYFUNCTION(""""""""" &amp; REGEXEXTRACT(B1897, ""/detail/([^/?]+)"") &amp; """""","""),"""bfcjfegkgdoomgmofhcidoiampnpbdao"",")</f>
        <v>"bfcjfegkgdoomgmofhcidoiampnpbdao",</v>
      </c>
    </row>
    <row r="1898">
      <c r="A1898" s="4" t="s">
        <v>21080</v>
      </c>
      <c r="B1898" s="4" t="s">
        <v>3783</v>
      </c>
      <c r="C1898" s="16" t="str">
        <f>IFERROR(__xludf.DUMMYFUNCTION(""""""""" &amp; REGEXEXTRACT(B1898, ""/detail/([^/?]+)"") &amp; """""","""),"""bfhimedecdiighdpopjohlmkfmglkmob"",")</f>
        <v>"bfhimedecdiighdpopjohlmkfmglkmob",</v>
      </c>
    </row>
    <row r="1899">
      <c r="A1899" s="4" t="s">
        <v>21081</v>
      </c>
      <c r="B1899" s="4" t="s">
        <v>3785</v>
      </c>
      <c r="C1899" s="16" t="str">
        <f>IFERROR(__xludf.DUMMYFUNCTION(""""""""" &amp; REGEXEXTRACT(B1899, ""/detail/([^/?]+)"") &amp; """""","""),"""bfjihladgnccpchokgeeicpjcakdmkbe"",")</f>
        <v>"bfjihladgnccpchokgeeicpjcakdmkbe",</v>
      </c>
    </row>
    <row r="1900">
      <c r="A1900" s="4" t="s">
        <v>21082</v>
      </c>
      <c r="B1900" s="4" t="s">
        <v>3787</v>
      </c>
      <c r="C1900" s="16" t="str">
        <f>IFERROR(__xludf.DUMMYFUNCTION(""""""""" &amp; REGEXEXTRACT(B1900, ""/detail/([^/?]+)"") &amp; """""","""),"""bfpceoikbdofmalhfgldnjbdmkclmfdg"",")</f>
        <v>"bfpceoikbdofmalhfgldnjbdmkclmfdg",</v>
      </c>
    </row>
    <row r="1901">
      <c r="A1901" s="4" t="s">
        <v>21083</v>
      </c>
      <c r="B1901" s="4" t="s">
        <v>3789</v>
      </c>
      <c r="C1901" s="16" t="str">
        <f>IFERROR(__xludf.DUMMYFUNCTION(""""""""" &amp; REGEXEXTRACT(B1901, ""/detail/([^/?]+)"") &amp; """""","""),"""bikfkbocgddjlkgibgbbjccnbkbgapch"",")</f>
        <v>"bikfkbocgddjlkgibgbbjccnbkbgapch",</v>
      </c>
    </row>
    <row r="1902">
      <c r="A1902" s="4" t="s">
        <v>21084</v>
      </c>
      <c r="B1902" s="4" t="s">
        <v>3791</v>
      </c>
      <c r="C1902" s="16" t="str">
        <f>IFERROR(__xludf.DUMMYFUNCTION(""""""""" &amp; REGEXEXTRACT(B1902, ""/detail/([^/?]+)"") &amp; """""","""),"""biojnaikodbeknbdfdchnndkeoafkbnh"",")</f>
        <v>"biojnaikodbeknbdfdchnndkeoafkbnh",</v>
      </c>
    </row>
    <row r="1903">
      <c r="A1903" s="4" t="s">
        <v>21085</v>
      </c>
      <c r="B1903" s="4" t="s">
        <v>3793</v>
      </c>
      <c r="C1903" s="16" t="str">
        <f>IFERROR(__xludf.DUMMYFUNCTION(""""""""" &amp; REGEXEXTRACT(B1903, ""/detail/([^/?]+)"") &amp; """""","""),"""bjejneicjolfdccjnbclegjomjlhegbi"",")</f>
        <v>"bjejneicjolfdccjnbclegjomjlhegbi",</v>
      </c>
    </row>
    <row r="1904">
      <c r="A1904" s="4" t="s">
        <v>21086</v>
      </c>
      <c r="B1904" s="4" t="s">
        <v>3795</v>
      </c>
      <c r="C1904" s="16" t="str">
        <f>IFERROR(__xludf.DUMMYFUNCTION(""""""""" &amp; REGEXEXTRACT(B1904, ""/detail/([^/?]+)"") &amp; """""","""),"""bkcaoipeckgolimcehafhdmcegipapnm"",")</f>
        <v>"bkcaoipeckgolimcehafhdmcegipapnm",</v>
      </c>
    </row>
    <row r="1905">
      <c r="A1905" s="4" t="s">
        <v>21087</v>
      </c>
      <c r="B1905" s="4" t="s">
        <v>3797</v>
      </c>
      <c r="C1905" s="16" t="str">
        <f>IFERROR(__xludf.DUMMYFUNCTION(""""""""" &amp; REGEXEXTRACT(B1905, ""/detail/([^/?]+)"") &amp; """""","""),"""blbckhiepgpniilpmlionnkjoeehhgao"",")</f>
        <v>"blbckhiepgpniilpmlionnkjoeehhgao",</v>
      </c>
    </row>
    <row r="1906">
      <c r="A1906" s="4" t="s">
        <v>21088</v>
      </c>
      <c r="B1906" s="4" t="s">
        <v>3799</v>
      </c>
      <c r="C1906" s="16" t="str">
        <f>IFERROR(__xludf.DUMMYFUNCTION(""""""""" &amp; REGEXEXTRACT(B1906, ""/detail/([^/?]+)"") &amp; """""","""),"""bmikpgodpkclnkgmnpphehdgcimmided"",")</f>
        <v>"bmikpgodpkclnkgmnpphehdgcimmided",</v>
      </c>
    </row>
    <row r="1907">
      <c r="A1907" s="4" t="s">
        <v>21089</v>
      </c>
      <c r="B1907" s="4" t="s">
        <v>3801</v>
      </c>
      <c r="C1907" s="16" t="str">
        <f>IFERROR(__xludf.DUMMYFUNCTION(""""""""" &amp; REGEXEXTRACT(B1907, ""/detail/([^/?]+)"") &amp; """""","""),"""bncnpcfmnfndnbffpggadkdohijjejpj"",")</f>
        <v>"bncnpcfmnfndnbffpggadkdohijjejpj",</v>
      </c>
    </row>
    <row r="1908">
      <c r="A1908" s="4" t="s">
        <v>21090</v>
      </c>
      <c r="B1908" s="4" t="s">
        <v>3803</v>
      </c>
      <c r="C1908" s="16" t="str">
        <f>IFERROR(__xludf.DUMMYFUNCTION(""""""""" &amp; REGEXEXTRACT(B1908, ""/detail/([^/?]+)"") &amp; """""","""),"""boekkellfjdoiibmmhoaiimjpffndljf"",")</f>
        <v>"boekkellfjdoiibmmhoaiimjpffndljf",</v>
      </c>
    </row>
    <row r="1909">
      <c r="A1909" s="4" t="s">
        <v>21091</v>
      </c>
      <c r="B1909" s="4" t="s">
        <v>3805</v>
      </c>
      <c r="C1909" s="16" t="str">
        <f>IFERROR(__xludf.DUMMYFUNCTION(""""""""" &amp; REGEXEXTRACT(B1909, ""/detail/([^/?]+)"") &amp; """""","""),"""cbjngbfjehiofmihfpodinolkcokdojp"",")</f>
        <v>"cbjngbfjehiofmihfpodinolkcokdojp",</v>
      </c>
    </row>
    <row r="1910">
      <c r="A1910" s="4" t="s">
        <v>21092</v>
      </c>
      <c r="B1910" s="4" t="s">
        <v>3807</v>
      </c>
      <c r="C1910" s="16" t="str">
        <f>IFERROR(__xludf.DUMMYFUNCTION(""""""""" &amp; REGEXEXTRACT(B1910, ""/detail/([^/?]+)"") &amp; """""","""),"""cciemibfcmeeiijeefebhojenhnpoibc"",")</f>
        <v>"cciemibfcmeeiijeefebhojenhnpoibc",</v>
      </c>
    </row>
    <row r="1911">
      <c r="A1911" s="4" t="s">
        <v>21093</v>
      </c>
      <c r="B1911" s="4" t="s">
        <v>3809</v>
      </c>
      <c r="C1911" s="16" t="str">
        <f>IFERROR(__xludf.DUMMYFUNCTION(""""""""" &amp; REGEXEXTRACT(B1911, ""/detail/([^/?]+)"") &amp; """""","""),"""ccokehohfncgmmbmnnhbhflmfbmimdgf"",")</f>
        <v>"ccokehohfncgmmbmnnhbhflmfbmimdgf",</v>
      </c>
    </row>
    <row r="1912">
      <c r="A1912" s="4" t="s">
        <v>21094</v>
      </c>
      <c r="B1912" s="4" t="s">
        <v>3811</v>
      </c>
      <c r="C1912" s="16" t="str">
        <f>IFERROR(__xludf.DUMMYFUNCTION(""""""""" &amp; REGEXEXTRACT(B1912, ""/detail/([^/?]+)"") &amp; """""","""),"""cdpohbejnbclggljmoijjcpdhbaaijfm"",")</f>
        <v>"cdpohbejnbclggljmoijjcpdhbaaijfm",</v>
      </c>
    </row>
    <row r="1913">
      <c r="A1913" s="4" t="s">
        <v>21095</v>
      </c>
      <c r="B1913" s="4" t="s">
        <v>3813</v>
      </c>
      <c r="C1913" s="16" t="str">
        <f>IFERROR(__xludf.DUMMYFUNCTION(""""""""" &amp; REGEXEXTRACT(B1913, ""/detail/([^/?]+)"") &amp; """""","""),"""cjbfhofimhehhnllibmhammbemaboleh"",")</f>
        <v>"cjbfhofimhehhnllibmhammbemaboleh",</v>
      </c>
    </row>
    <row r="1914">
      <c r="A1914" s="4" t="s">
        <v>21096</v>
      </c>
      <c r="B1914" s="4" t="s">
        <v>3815</v>
      </c>
      <c r="C1914" s="16" t="str">
        <f>IFERROR(__xludf.DUMMYFUNCTION(""""""""" &amp; REGEXEXTRACT(B1914, ""/detail/([^/?]+)"") &amp; """""","""),"""cjnnmmjgjaaomkcjibnncokikbianjap"",")</f>
        <v>"cjnnmmjgjaaomkcjibnncokikbianjap",</v>
      </c>
    </row>
    <row r="1915">
      <c r="A1915" s="4" t="s">
        <v>21097</v>
      </c>
      <c r="B1915" s="4" t="s">
        <v>3817</v>
      </c>
      <c r="C1915" s="16" t="str">
        <f>IFERROR(__xludf.DUMMYFUNCTION(""""""""" &amp; REGEXEXTRACT(B1915, ""/detail/([^/?]+)"") &amp; """""","""),"""ckdkgoogioikcpmpmoecocgfdangpecg"",")</f>
        <v>"ckdkgoogioikcpmpmoecocgfdangpecg",</v>
      </c>
    </row>
    <row r="1916">
      <c r="A1916" s="4" t="s">
        <v>21098</v>
      </c>
      <c r="B1916" s="4" t="s">
        <v>3819</v>
      </c>
      <c r="C1916" s="16" t="str">
        <f>IFERROR(__xludf.DUMMYFUNCTION(""""""""" &amp; REGEXEXTRACT(B1916, ""/detail/([^/?]+)"") &amp; """""","""),"""ckhlfagjncfmdieecfekjbpnnaekhlhd"",")</f>
        <v>"ckhlfagjncfmdieecfekjbpnnaekhlhd",</v>
      </c>
    </row>
    <row r="1917">
      <c r="A1917" s="4" t="s">
        <v>21099</v>
      </c>
      <c r="B1917" s="4" t="s">
        <v>3821</v>
      </c>
      <c r="C1917" s="16" t="str">
        <f>IFERROR(__xludf.DUMMYFUNCTION(""""""""" &amp; REGEXEXTRACT(B1917, ""/detail/([^/?]+)"") &amp; """""","""),"""clpbjnhnklabamkibpaafmmfhodjpmhl"",")</f>
        <v>"clpbjnhnklabamkibpaafmmfhodjpmhl",</v>
      </c>
    </row>
    <row r="1918">
      <c r="A1918" s="4" t="s">
        <v>21100</v>
      </c>
      <c r="B1918" s="4" t="s">
        <v>3823</v>
      </c>
      <c r="C1918" s="16" t="str">
        <f>IFERROR(__xludf.DUMMYFUNCTION(""""""""" &amp; REGEXEXTRACT(B1918, ""/detail/([^/?]+)"") &amp; """""","""),"""cmijogogehhbcpfjnggnmclcmafhdckl"",")</f>
        <v>"cmijogogehhbcpfjnggnmclcmafhdckl",</v>
      </c>
    </row>
    <row r="1919">
      <c r="A1919" s="4" t="s">
        <v>21101</v>
      </c>
      <c r="B1919" s="4" t="s">
        <v>3825</v>
      </c>
      <c r="C1919" s="16" t="str">
        <f>IFERROR(__xludf.DUMMYFUNCTION(""""""""" &amp; REGEXEXTRACT(B1919, ""/detail/([^/?]+)"") &amp; """""","""),"""cpdnilooeakjhhmlbliacfdimhblkmnc"",")</f>
        <v>"cpdnilooeakjhhmlbliacfdimhblkmnc",</v>
      </c>
    </row>
    <row r="1920">
      <c r="A1920" s="4" t="s">
        <v>21102</v>
      </c>
      <c r="B1920" s="4" t="s">
        <v>3827</v>
      </c>
      <c r="C1920" s="16" t="str">
        <f>IFERROR(__xludf.DUMMYFUNCTION(""""""""" &amp; REGEXEXTRACT(B1920, ""/detail/([^/?]+)"") &amp; """""","""),"""ddafdejlekcmnafgnbllcfkebabhabcl"",")</f>
        <v>"ddafdejlekcmnafgnbllcfkebabhabcl",</v>
      </c>
    </row>
    <row r="1921">
      <c r="A1921" s="4" t="s">
        <v>21103</v>
      </c>
      <c r="B1921" s="4" t="s">
        <v>3829</v>
      </c>
      <c r="C1921" s="16" t="str">
        <f>IFERROR(__xludf.DUMMYFUNCTION(""""""""" &amp; REGEXEXTRACT(B1921, ""/detail/([^/?]+)"") &amp; """""","""),"""dficcobpghplfppapheaenjajahhckkj"",")</f>
        <v>"dficcobpghplfppapheaenjajahhckkj",</v>
      </c>
    </row>
    <row r="1922">
      <c r="A1922" s="4" t="s">
        <v>21104</v>
      </c>
      <c r="B1922" s="4" t="s">
        <v>3831</v>
      </c>
      <c r="C1922" s="16" t="str">
        <f>IFERROR(__xludf.DUMMYFUNCTION(""""""""" &amp; REGEXEXTRACT(B1922, ""/detail/([^/?]+)"") &amp; """""","""),"""dgeiagkojabjccafojhokcceakmehpbb"",")</f>
        <v>"dgeiagkojabjccafojhokcceakmehpbb",</v>
      </c>
    </row>
    <row r="1923">
      <c r="A1923" s="4" t="s">
        <v>21105</v>
      </c>
      <c r="B1923" s="4" t="s">
        <v>3833</v>
      </c>
      <c r="C1923" s="16" t="str">
        <f>IFERROR(__xludf.DUMMYFUNCTION(""""""""" &amp; REGEXEXTRACT(B1923, ""/detail/([^/?]+)"") &amp; """""","""),"""dgldedkigbbalaioohedddpameekglma"",")</f>
        <v>"dgldedkigbbalaioohedddpameekglma",</v>
      </c>
    </row>
    <row r="1924">
      <c r="A1924" s="4" t="s">
        <v>21106</v>
      </c>
      <c r="B1924" s="4" t="s">
        <v>3835</v>
      </c>
      <c r="C1924" s="16" t="str">
        <f>IFERROR(__xludf.DUMMYFUNCTION(""""""""" &amp; REGEXEXTRACT(B1924, ""/detail/([^/?]+)"") &amp; """""","""),"""didfpaehajfbjnamladanbocmdhahfch"",")</f>
        <v>"didfpaehajfbjnamladanbocmdhahfch",</v>
      </c>
    </row>
    <row r="1925">
      <c r="A1925" s="4" t="s">
        <v>21107</v>
      </c>
      <c r="B1925" s="4" t="s">
        <v>3837</v>
      </c>
      <c r="C1925" s="16" t="str">
        <f>IFERROR(__xludf.DUMMYFUNCTION(""""""""" &amp; REGEXEXTRACT(B1925, ""/detail/([^/?]+)"") &amp; """""","""),"""djmoeoifnlhjolebkehmpaocfnipknbh"",")</f>
        <v>"djmoeoifnlhjolebkehmpaocfnipknbh",</v>
      </c>
    </row>
    <row r="1926">
      <c r="A1926" s="4" t="s">
        <v>21108</v>
      </c>
      <c r="B1926" s="4" t="s">
        <v>3839</v>
      </c>
      <c r="C1926" s="16" t="str">
        <f>IFERROR(__xludf.DUMMYFUNCTION(""""""""" &amp; REGEXEXTRACT(B1926, ""/detail/([^/?]+)"") &amp; """""","""),"""dladanhaondcgpahgiflodhckhoeohoe"",")</f>
        <v>"dladanhaondcgpahgiflodhckhoeohoe",</v>
      </c>
    </row>
    <row r="1927">
      <c r="A1927" s="4" t="s">
        <v>21109</v>
      </c>
      <c r="B1927" s="4" t="s">
        <v>3841</v>
      </c>
      <c r="C1927" s="16" t="str">
        <f>IFERROR(__xludf.DUMMYFUNCTION(""""""""" &amp; REGEXEXTRACT(B1927, ""/detail/([^/?]+)"") &amp; """""","""),"""dnhjklgpiifbofihffldllbcopkinlod"",")</f>
        <v>"dnhjklgpiifbofihffldllbcopkinlod",</v>
      </c>
    </row>
    <row r="1928">
      <c r="A1928" s="4" t="s">
        <v>21110</v>
      </c>
      <c r="B1928" s="4" t="s">
        <v>3843</v>
      </c>
      <c r="C1928" s="16" t="str">
        <f>IFERROR(__xludf.DUMMYFUNCTION(""""""""" &amp; REGEXEXTRACT(B1928, ""/detail/([^/?]+)"") &amp; """""","""),"""dnngcfpcnpmakpjeaeapphjihhbenilk"",")</f>
        <v>"dnngcfpcnpmakpjeaeapphjihhbenilk",</v>
      </c>
    </row>
    <row r="1929">
      <c r="A1929" s="4" t="s">
        <v>21111</v>
      </c>
      <c r="B1929" s="4" t="s">
        <v>3845</v>
      </c>
      <c r="C1929" s="16" t="str">
        <f>IFERROR(__xludf.DUMMYFUNCTION(""""""""" &amp; REGEXEXTRACT(B1929, ""/detail/([^/?]+)"") &amp; """""","""),"""dobbfkjhgbkmmcooahlnllfopfmhcoln"",")</f>
        <v>"dobbfkjhgbkmmcooahlnllfopfmhcoln",</v>
      </c>
    </row>
    <row r="1930">
      <c r="A1930" s="4" t="s">
        <v>21112</v>
      </c>
      <c r="B1930" s="4" t="s">
        <v>3847</v>
      </c>
      <c r="C1930" s="16" t="str">
        <f>IFERROR(__xludf.DUMMYFUNCTION(""""""""" &amp; REGEXEXTRACT(B1930, ""/detail/([^/?]+)"") &amp; """""","""),"""domfinmkohodhgghgedfdcmonefafolm"",")</f>
        <v>"domfinmkohodhgghgedfdcmonefafolm",</v>
      </c>
    </row>
    <row r="1931">
      <c r="A1931" s="4" t="s">
        <v>21113</v>
      </c>
      <c r="B1931" s="4" t="s">
        <v>3849</v>
      </c>
      <c r="C1931" s="16" t="str">
        <f>IFERROR(__xludf.DUMMYFUNCTION(""""""""" &amp; REGEXEXTRACT(B1931, ""/detail/([^/?]+)"") &amp; """""","""),"""eafoaklfmpnpdecnhhaailihkdbhkgin"",")</f>
        <v>"eafoaklfmpnpdecnhhaailihkdbhkgin",</v>
      </c>
    </row>
    <row r="1932">
      <c r="A1932" s="4" t="s">
        <v>21114</v>
      </c>
      <c r="B1932" s="4" t="s">
        <v>3851</v>
      </c>
      <c r="C1932" s="16" t="str">
        <f>IFERROR(__xludf.DUMMYFUNCTION(""""""""" &amp; REGEXEXTRACT(B1932, ""/detail/([^/?]+)"") &amp; """""","""),"""eaheehidcidghlmmpdogfhgmibpelndm"",")</f>
        <v>"eaheehidcidghlmmpdogfhgmibpelndm",</v>
      </c>
    </row>
    <row r="1933">
      <c r="A1933" s="4" t="s">
        <v>21115</v>
      </c>
      <c r="B1933" s="4" t="s">
        <v>3853</v>
      </c>
      <c r="C1933" s="16" t="str">
        <f>IFERROR(__xludf.DUMMYFUNCTION(""""""""" &amp; REGEXEXTRACT(B1933, ""/detail/([^/?]+)"") &amp; """""","""),"""ebbilkbochjjalheallpnblfdhkfjjmp"",")</f>
        <v>"ebbilkbochjjalheallpnblfdhkfjjmp",</v>
      </c>
    </row>
    <row r="1934">
      <c r="A1934" s="4" t="s">
        <v>21116</v>
      </c>
      <c r="B1934" s="4" t="s">
        <v>3855</v>
      </c>
      <c r="C1934" s="16" t="str">
        <f>IFERROR(__xludf.DUMMYFUNCTION(""""""""" &amp; REGEXEXTRACT(B1934, ""/detail/([^/?]+)"") &amp; """""","""),"""ebfhfdmncghemmnbecpblnbfejfpclcf"",")</f>
        <v>"ebfhfdmncghemmnbecpblnbfejfpclcf",</v>
      </c>
    </row>
    <row r="1935">
      <c r="A1935" s="4" t="s">
        <v>21117</v>
      </c>
      <c r="B1935" s="4" t="s">
        <v>3857</v>
      </c>
      <c r="C1935" s="16" t="str">
        <f>IFERROR(__xludf.DUMMYFUNCTION(""""""""" &amp; REGEXEXTRACT(B1935, ""/detail/([^/?]+)"") &amp; """""","""),"""eckknmnfoohbeklmjlidmfdlakndcfkm"",")</f>
        <v>"eckknmnfoohbeklmjlidmfdlakndcfkm",</v>
      </c>
    </row>
    <row r="1936">
      <c r="A1936" s="4" t="s">
        <v>21118</v>
      </c>
      <c r="B1936" s="4" t="s">
        <v>3859</v>
      </c>
      <c r="C1936" s="16" t="str">
        <f>IFERROR(__xludf.DUMMYFUNCTION(""""""""" &amp; REGEXEXTRACT(B1936, ""/detail/([^/?]+)"") &amp; """""","""),"""edoplhfbihpnlmnckkodifklpkkdgcoj"",")</f>
        <v>"edoplhfbihpnlmnckkodifklpkkdgcoj",</v>
      </c>
    </row>
    <row r="1937">
      <c r="A1937" s="4" t="s">
        <v>21119</v>
      </c>
      <c r="B1937" s="4" t="s">
        <v>3861</v>
      </c>
      <c r="C1937" s="16" t="str">
        <f>IFERROR(__xludf.DUMMYFUNCTION(""""""""" &amp; REGEXEXTRACT(B1937, ""/detail/([^/?]+)"") &amp; """""","""),"""eehlmkfpnagoieibahhcghphdbjcdmen"",")</f>
        <v>"eehlmkfpnagoieibahhcghphdbjcdmen",</v>
      </c>
    </row>
    <row r="1938">
      <c r="A1938" s="4" t="s">
        <v>21120</v>
      </c>
      <c r="B1938" s="4" t="s">
        <v>3863</v>
      </c>
      <c r="C1938" s="16" t="str">
        <f>IFERROR(__xludf.DUMMYFUNCTION(""""""""" &amp; REGEXEXTRACT(B1938, ""/detail/([^/?]+)"") &amp; """""","""),"""eehnjaacbphnfgipdcfeaepafihfhnkm"",")</f>
        <v>"eehnjaacbphnfgipdcfeaepafihfhnkm",</v>
      </c>
    </row>
    <row r="1939">
      <c r="A1939" s="4" t="s">
        <v>21121</v>
      </c>
      <c r="B1939" s="4" t="s">
        <v>3865</v>
      </c>
      <c r="C1939" s="16" t="str">
        <f>IFERROR(__xludf.DUMMYFUNCTION(""""""""" &amp; REGEXEXTRACT(B1939, ""/detail/([^/?]+)"") &amp; """""","""),"""egelalffpmicecakegglddmhlbdiemlg"",")</f>
        <v>"egelalffpmicecakegglddmhlbdiemlg",</v>
      </c>
    </row>
    <row r="1940">
      <c r="A1940" s="4" t="s">
        <v>21122</v>
      </c>
      <c r="B1940" s="4" t="s">
        <v>3867</v>
      </c>
      <c r="C1940" s="16" t="str">
        <f>IFERROR(__xludf.DUMMYFUNCTION(""""""""" &amp; REGEXEXTRACT(B1940, ""/detail/([^/?]+)"") &amp; """""","""),"""ejblinjidfhnpkjbphoendgjjnhmfoee"",")</f>
        <v>"ejblinjidfhnpkjbphoendgjjnhmfoee",</v>
      </c>
    </row>
    <row r="1941">
      <c r="A1941" s="4" t="s">
        <v>21123</v>
      </c>
      <c r="B1941" s="4" t="s">
        <v>3869</v>
      </c>
      <c r="C1941" s="16" t="str">
        <f>IFERROR(__xludf.DUMMYFUNCTION(""""""""" &amp; REGEXEXTRACT(B1941, ""/detail/([^/?]+)"") &amp; """""","""),"""emaamodndfmmmcjepfigalbjjjemadom"",")</f>
        <v>"emaamodndfmmmcjepfigalbjjjemadom",</v>
      </c>
    </row>
    <row r="1942">
      <c r="A1942" s="4" t="s">
        <v>21124</v>
      </c>
      <c r="B1942" s="4" t="s">
        <v>3871</v>
      </c>
      <c r="C1942" s="16" t="str">
        <f>IFERROR(__xludf.DUMMYFUNCTION(""""""""" &amp; REGEXEXTRACT(B1942, ""/detail/([^/?]+)"") &amp; """""","""),"""enhldmjbphoeibbpdhmjkchohnidgnah"",")</f>
        <v>"enhldmjbphoeibbpdhmjkchohnidgnah",</v>
      </c>
    </row>
    <row r="1943">
      <c r="A1943" s="4" t="s">
        <v>21125</v>
      </c>
      <c r="B1943" s="4" t="s">
        <v>3873</v>
      </c>
      <c r="C1943" s="16" t="str">
        <f>IFERROR(__xludf.DUMMYFUNCTION(""""""""" &amp; REGEXEXTRACT(B1943, ""/detail/([^/?]+)"") &amp; """""","""),"""eocfcfklbhdgkilphhkcpcgaollminlf"",")</f>
        <v>"eocfcfklbhdgkilphhkcpcgaollminlf",</v>
      </c>
    </row>
    <row r="1944">
      <c r="A1944" s="4" t="s">
        <v>21126</v>
      </c>
      <c r="B1944" s="4" t="s">
        <v>3875</v>
      </c>
      <c r="C1944" s="16" t="str">
        <f>IFERROR(__xludf.DUMMYFUNCTION(""""""""" &amp; REGEXEXTRACT(B1944, ""/detail/([^/?]+)"") &amp; """""","""),"""eookkckfbbgnhdgcbfbicoahejkdoele"",")</f>
        <v>"eookkckfbbgnhdgcbfbicoahejkdoele",</v>
      </c>
    </row>
    <row r="1945">
      <c r="A1945" s="4" t="s">
        <v>21127</v>
      </c>
      <c r="B1945" s="4" t="s">
        <v>3877</v>
      </c>
      <c r="C1945" s="16" t="str">
        <f>IFERROR(__xludf.DUMMYFUNCTION(""""""""" &amp; REGEXEXTRACT(B1945, ""/detail/([^/?]+)"") &amp; """""","""),"""epmaefhielclhlnmjofcdapbeepkmggh"",")</f>
        <v>"epmaefhielclhlnmjofcdapbeepkmggh",</v>
      </c>
    </row>
    <row r="1946">
      <c r="A1946" s="4" t="s">
        <v>21128</v>
      </c>
      <c r="B1946" s="4" t="s">
        <v>3879</v>
      </c>
      <c r="C1946" s="16" t="str">
        <f>IFERROR(__xludf.DUMMYFUNCTION(""""""""" &amp; REGEXEXTRACT(B1946, ""/detail/([^/?]+)"") &amp; """""","""),"""fbkckknfepmjednmkdkmplplcggkfbbn"",")</f>
        <v>"fbkckknfepmjednmkdkmplplcggkfbbn",</v>
      </c>
    </row>
    <row r="1947">
      <c r="A1947" s="4" t="s">
        <v>21129</v>
      </c>
      <c r="B1947" s="4" t="s">
        <v>3881</v>
      </c>
      <c r="C1947" s="16" t="str">
        <f>IFERROR(__xludf.DUMMYFUNCTION(""""""""" &amp; REGEXEXTRACT(B1947, ""/detail/([^/?]+)"") &amp; """""","""),"""fcjholccjchiplkbibepfimlaapdaiih"",")</f>
        <v>"fcjholccjchiplkbibepfimlaapdaiih",</v>
      </c>
    </row>
    <row r="1948">
      <c r="A1948" s="4" t="s">
        <v>21130</v>
      </c>
      <c r="B1948" s="4" t="s">
        <v>3883</v>
      </c>
      <c r="C1948" s="16" t="str">
        <f>IFERROR(__xludf.DUMMYFUNCTION(""""""""" &amp; REGEXEXTRACT(B1948, ""/detail/([^/?]+)"") &amp; """""","""),"""fcjlmbbejgnfpcgiigpgfacipckopdkf"",")</f>
        <v>"fcjlmbbejgnfpcgiigpgfacipckopdkf",</v>
      </c>
    </row>
    <row r="1949">
      <c r="A1949" s="4" t="s">
        <v>21131</v>
      </c>
      <c r="B1949" s="4" t="s">
        <v>3885</v>
      </c>
      <c r="C1949" s="16" t="str">
        <f>IFERROR(__xludf.DUMMYFUNCTION(""""""""" &amp; REGEXEXTRACT(B1949, ""/detail/([^/?]+)"") &amp; """""","""),"""fgcikanifihhgnacepigehgmplgkkgcl"",")</f>
        <v>"fgcikanifihhgnacepigehgmplgkkgcl",</v>
      </c>
    </row>
    <row r="1950">
      <c r="A1950" s="4" t="s">
        <v>21132</v>
      </c>
      <c r="B1950" s="4" t="s">
        <v>3887</v>
      </c>
      <c r="C1950" s="16" t="str">
        <f>IFERROR(__xludf.DUMMYFUNCTION(""""""""" &amp; REGEXEXTRACT(B1950, ""/detail/([^/?]+)"") &amp; """""","""),"""fiionnfmbokfpleilfihlofncgkchjbe"",")</f>
        <v>"fiionnfmbokfpleilfihlofncgkchjbe",</v>
      </c>
    </row>
    <row r="1951">
      <c r="A1951" s="4" t="s">
        <v>21133</v>
      </c>
      <c r="B1951" s="4" t="s">
        <v>3889</v>
      </c>
      <c r="C1951" s="16" t="str">
        <f>IFERROR(__xludf.DUMMYFUNCTION(""""""""" &amp; REGEXEXTRACT(B1951, ""/detail/([^/?]+)"") &amp; """""","""),"""fnammdbpgloaalmefhleheklnlogpona"",")</f>
        <v>"fnammdbpgloaalmefhleheklnlogpona",</v>
      </c>
    </row>
    <row r="1952">
      <c r="A1952" s="4" t="s">
        <v>21134</v>
      </c>
      <c r="B1952" s="4" t="s">
        <v>3891</v>
      </c>
      <c r="C1952" s="16" t="str">
        <f>IFERROR(__xludf.DUMMYFUNCTION(""""""""" &amp; REGEXEXTRACT(B1952, ""/detail/([^/?]+)"") &amp; """""","""),"""fncgbdbkhdhdcfiohjnbdfebholmhnkh"",")</f>
        <v>"fncgbdbkhdhdcfiohjnbdfebholmhnkh",</v>
      </c>
    </row>
    <row r="1953">
      <c r="A1953" s="4" t="s">
        <v>21135</v>
      </c>
      <c r="B1953" s="4" t="s">
        <v>3893</v>
      </c>
      <c r="C1953" s="16" t="str">
        <f>IFERROR(__xludf.DUMMYFUNCTION(""""""""" &amp; REGEXEXTRACT(B1953, ""/detail/([^/?]+)"") &amp; """""","""),"""fnmnmfnfjojbginnabgiaeghcgljcimg"",")</f>
        <v>"fnmnmfnfjojbginnabgiaeghcgljcimg",</v>
      </c>
    </row>
    <row r="1954">
      <c r="A1954" s="4" t="s">
        <v>21136</v>
      </c>
      <c r="B1954" s="4" t="s">
        <v>3895</v>
      </c>
      <c r="C1954" s="16" t="str">
        <f>IFERROR(__xludf.DUMMYFUNCTION(""""""""" &amp; REGEXEXTRACT(B1954, ""/detail/([^/?]+)"") &amp; """""","""),"""foilkalbafoifklkphdkijdcnkgcjefn"",")</f>
        <v>"foilkalbafoifklkphdkijdcnkgcjefn",</v>
      </c>
    </row>
    <row r="1955">
      <c r="A1955" s="4" t="s">
        <v>21137</v>
      </c>
      <c r="B1955" s="4" t="s">
        <v>3897</v>
      </c>
      <c r="C1955" s="16" t="str">
        <f>IFERROR(__xludf.DUMMYFUNCTION(""""""""" &amp; REGEXEXTRACT(B1955, ""/detail/([^/?]+)"") &amp; """""","""),"""gahjcfmabepcnfmfanjhcobdaalgpjoh"",")</f>
        <v>"gahjcfmabepcnfmfanjhcobdaalgpjoh",</v>
      </c>
    </row>
    <row r="1956">
      <c r="A1956" s="4" t="s">
        <v>21138</v>
      </c>
      <c r="B1956" s="4" t="s">
        <v>3899</v>
      </c>
      <c r="C1956" s="16" t="str">
        <f>IFERROR(__xludf.DUMMYFUNCTION(""""""""" &amp; REGEXEXTRACT(B1956, ""/detail/([^/?]+)"") &amp; """""","""),"""gbaokejhnafeofbniplkljehipcekkbh"",")</f>
        <v>"gbaokejhnafeofbniplkljehipcekkbh",</v>
      </c>
    </row>
    <row r="1957">
      <c r="A1957" s="4" t="s">
        <v>21139</v>
      </c>
      <c r="B1957" s="4" t="s">
        <v>3901</v>
      </c>
      <c r="C1957" s="16" t="str">
        <f>IFERROR(__xludf.DUMMYFUNCTION(""""""""" &amp; REGEXEXTRACT(B1957, ""/detail/([^/?]+)"") &amp; """""","""),"""gekpeobpiilbboimdmbgfjndlmogepcj"",")</f>
        <v>"gekpeobpiilbboimdmbgfjndlmogepcj",</v>
      </c>
    </row>
    <row r="1958">
      <c r="A1958" s="4" t="s">
        <v>21140</v>
      </c>
      <c r="B1958" s="4" t="s">
        <v>3903</v>
      </c>
      <c r="C1958" s="16" t="str">
        <f>IFERROR(__xludf.DUMMYFUNCTION(""""""""" &amp; REGEXEXTRACT(B1958, ""/detail/([^/?]+)"") &amp; """""","""),"""gfpphfadinalebmmjaamocgoakipkolj"",")</f>
        <v>"gfpphfadinalebmmjaamocgoakipkolj",</v>
      </c>
    </row>
    <row r="1959">
      <c r="A1959" s="4" t="s">
        <v>21141</v>
      </c>
      <c r="B1959" s="4" t="s">
        <v>3905</v>
      </c>
      <c r="C1959" s="16" t="str">
        <f>IFERROR(__xludf.DUMMYFUNCTION(""""""""" &amp; REGEXEXTRACT(B1959, ""/detail/([^/?]+)"") &amp; """""","""),"""ghhmhdkbiodiengmhbbpjkcjodingned"",")</f>
        <v>"ghhmhdkbiodiengmhbbpjkcjodingned",</v>
      </c>
    </row>
    <row r="1960">
      <c r="A1960" s="4" t="s">
        <v>21142</v>
      </c>
      <c r="B1960" s="4" t="s">
        <v>3907</v>
      </c>
      <c r="C1960" s="16" t="str">
        <f>IFERROR(__xludf.DUMMYFUNCTION(""""""""" &amp; REGEXEXTRACT(B1960, ""/detail/([^/?]+)"") &amp; """""","""),"""gkohnhkfcjakajmcdcndpgjnghfjlkec"",")</f>
        <v>"gkohnhkfcjakajmcdcndpgjnghfjlkec",</v>
      </c>
    </row>
    <row r="1961">
      <c r="A1961" s="4" t="s">
        <v>21143</v>
      </c>
      <c r="B1961" s="4" t="s">
        <v>3909</v>
      </c>
      <c r="C1961" s="16" t="str">
        <f>IFERROR(__xludf.DUMMYFUNCTION(""""""""" &amp; REGEXEXTRACT(B1961, ""/detail/([^/?]+)"") &amp; """""","""),"""gmdbcklinofignhfmibchnmgjcocccbh"",")</f>
        <v>"gmdbcklinofignhfmibchnmgjcocccbh",</v>
      </c>
    </row>
    <row r="1962">
      <c r="A1962" s="4" t="s">
        <v>21144</v>
      </c>
      <c r="B1962" s="4" t="s">
        <v>3911</v>
      </c>
      <c r="C1962" s="16" t="str">
        <f>IFERROR(__xludf.DUMMYFUNCTION(""""""""" &amp; REGEXEXTRACT(B1962, ""/detail/([^/?]+)"") &amp; """""","""),"""gpedaoelggnhmcmpkjckffcngagcciol"",")</f>
        <v>"gpedaoelggnhmcmpkjckffcngagcciol",</v>
      </c>
    </row>
    <row r="1963">
      <c r="A1963" s="4" t="s">
        <v>21145</v>
      </c>
      <c r="B1963" s="4" t="s">
        <v>3913</v>
      </c>
      <c r="C1963" s="16" t="str">
        <f>IFERROR(__xludf.DUMMYFUNCTION(""""""""" &amp; REGEXEXTRACT(B1963, ""/detail/([^/?]+)"") &amp; """""","""),"""hbacjdnfpgfdklcfdcomhgdcaogppddc"",")</f>
        <v>"hbacjdnfpgfdklcfdcomhgdcaogppddc",</v>
      </c>
    </row>
    <row r="1964">
      <c r="A1964" s="4" t="s">
        <v>21146</v>
      </c>
      <c r="B1964" s="4" t="s">
        <v>3915</v>
      </c>
      <c r="C1964" s="16" t="str">
        <f>IFERROR(__xludf.DUMMYFUNCTION(""""""""" &amp; REGEXEXTRACT(B1964, ""/detail/([^/?]+)"") &amp; """""","""),"""hfpnjihjndnmfcbclplooodjmhcdncan"",")</f>
        <v>"hfpnjihjndnmfcbclplooodjmhcdncan",</v>
      </c>
    </row>
    <row r="1965">
      <c r="A1965" s="4" t="s">
        <v>21147</v>
      </c>
      <c r="B1965" s="4" t="s">
        <v>3917</v>
      </c>
      <c r="C1965" s="16" t="str">
        <f>IFERROR(__xludf.DUMMYFUNCTION(""""""""" &amp; REGEXEXTRACT(B1965, ""/detail/([^/?]+)"") &amp; """""","""),"""hhhfapgdnelmcieoeldcpipdjfebgcfg"",")</f>
        <v>"hhhfapgdnelmcieoeldcpipdjfebgcfg",</v>
      </c>
    </row>
    <row r="1966">
      <c r="A1966" s="4" t="s">
        <v>21148</v>
      </c>
      <c r="B1966" s="4" t="s">
        <v>3919</v>
      </c>
      <c r="C1966" s="16" t="str">
        <f>IFERROR(__xludf.DUMMYFUNCTION(""""""""" &amp; REGEXEXTRACT(B1966, ""/detail/([^/?]+)"") &amp; """""","""),"""hldgbliocaaomajmalgenbhheinjlhgm"",")</f>
        <v>"hldgbliocaaomajmalgenbhheinjlhgm",</v>
      </c>
    </row>
    <row r="1967">
      <c r="A1967" s="4" t="s">
        <v>21149</v>
      </c>
      <c r="B1967" s="4" t="s">
        <v>3921</v>
      </c>
      <c r="C1967" s="16" t="str">
        <f>IFERROR(__xludf.DUMMYFUNCTION(""""""""" &amp; REGEXEXTRACT(B1967, ""/detail/([^/?]+)"") &amp; """""","""),"""hlfhddckfmifofnpklmmiboiljmengde"",")</f>
        <v>"hlfhddckfmifofnpklmmiboiljmengde",</v>
      </c>
    </row>
    <row r="1968">
      <c r="A1968" s="4" t="s">
        <v>21150</v>
      </c>
      <c r="B1968" s="4" t="s">
        <v>3923</v>
      </c>
      <c r="C1968" s="16" t="str">
        <f>IFERROR(__xludf.DUMMYFUNCTION(""""""""" &amp; REGEXEXTRACT(B1968, ""/detail/([^/?]+)"") &amp; """""","""),"""icgipifjfgikecdbdakkfpchnjbhmdnm"",")</f>
        <v>"icgipifjfgikecdbdakkfpchnjbhmdnm",</v>
      </c>
    </row>
    <row r="1969">
      <c r="A1969" s="4" t="s">
        <v>21151</v>
      </c>
      <c r="B1969" s="4" t="s">
        <v>3925</v>
      </c>
      <c r="C1969" s="16" t="str">
        <f>IFERROR(__xludf.DUMMYFUNCTION(""""""""" &amp; REGEXEXTRACT(B1969, ""/detail/([^/?]+)"") &amp; """""","""),"""icgmmonkdbidkcojchemocfihdgpoimj"",")</f>
        <v>"icgmmonkdbidkcojchemocfihdgpoimj",</v>
      </c>
    </row>
    <row r="1970">
      <c r="A1970" s="4" t="s">
        <v>21152</v>
      </c>
      <c r="B1970" s="4" t="s">
        <v>3927</v>
      </c>
      <c r="C1970" s="16" t="str">
        <f>IFERROR(__xludf.DUMMYFUNCTION(""""""""" &amp; REGEXEXTRACT(B1970, ""/detail/([^/?]+)"") &amp; """""","""),"""iellnmonjokmoagdlggagdmfjgpiahmb"",")</f>
        <v>"iellnmonjokmoagdlggagdmfjgpiahmb",</v>
      </c>
    </row>
    <row r="1971">
      <c r="A1971" s="4" t="s">
        <v>21153</v>
      </c>
      <c r="B1971" s="4" t="s">
        <v>3929</v>
      </c>
      <c r="C1971" s="16" t="str">
        <f>IFERROR(__xludf.DUMMYFUNCTION(""""""""" &amp; REGEXEXTRACT(B1971, ""/detail/([^/?]+)"") &amp; """""","""),"""igpgcpdedfdmfnmhociacnmaefbeeekj"",")</f>
        <v>"igpgcpdedfdmfnmhociacnmaefbeeekj",</v>
      </c>
    </row>
    <row r="1972">
      <c r="A1972" s="4" t="s">
        <v>21154</v>
      </c>
      <c r="B1972" s="4" t="s">
        <v>3931</v>
      </c>
      <c r="C1972" s="16" t="str">
        <f>IFERROR(__xludf.DUMMYFUNCTION(""""""""" &amp; REGEXEXTRACT(B1972, ""/detail/([^/?]+)"") &amp; """""","""),"""ilcojnencafllbjlmjnhjkfaildljioc"",")</f>
        <v>"ilcojnencafllbjlmjnhjkfaildljioc",</v>
      </c>
    </row>
    <row r="1973">
      <c r="A1973" s="4" t="s">
        <v>21155</v>
      </c>
      <c r="B1973" s="4" t="s">
        <v>3933</v>
      </c>
      <c r="C1973" s="16" t="str">
        <f>IFERROR(__xludf.DUMMYFUNCTION(""""""""" &amp; REGEXEXTRACT(B1973, ""/detail/([^/?]+)"") &amp; """""","""),"""imfjknefmlnikonbgiogmjbidfkbbanp"",")</f>
        <v>"imfjknefmlnikonbgiogmjbidfkbbanp",</v>
      </c>
    </row>
    <row r="1974">
      <c r="A1974" s="4" t="s">
        <v>21156</v>
      </c>
      <c r="B1974" s="4" t="s">
        <v>3935</v>
      </c>
      <c r="C1974" s="16" t="str">
        <f>IFERROR(__xludf.DUMMYFUNCTION(""""""""" &amp; REGEXEXTRACT(B1974, ""/detail/([^/?]+)"") &amp; """""","""),"""iniabgbbmccaomaocmhcfioahgipigbh"",")</f>
        <v>"iniabgbbmccaomaocmhcfioahgipigbh",</v>
      </c>
    </row>
    <row r="1975">
      <c r="A1975" s="4" t="s">
        <v>21157</v>
      </c>
      <c r="B1975" s="4" t="s">
        <v>3937</v>
      </c>
      <c r="C1975" s="16" t="str">
        <f>IFERROR(__xludf.DUMMYFUNCTION(""""""""" &amp; REGEXEXTRACT(B1975, ""/detail/([^/?]+)"") &amp; """""","""),"""iojaoainolpgkpojokmeclhidjolocci"",")</f>
        <v>"iojaoainolpgkpojokmeclhidjolocci",</v>
      </c>
    </row>
    <row r="1976">
      <c r="A1976" s="4" t="s">
        <v>21158</v>
      </c>
      <c r="B1976" s="4" t="s">
        <v>3939</v>
      </c>
      <c r="C1976" s="16" t="str">
        <f>IFERROR(__xludf.DUMMYFUNCTION(""""""""" &amp; REGEXEXTRACT(B1976, ""/detail/([^/?]+)"") &amp; """""","""),"""ipiejeandmfgndimddbdoalejbbebenn"",")</f>
        <v>"ipiejeandmfgndimddbdoalejbbebenn",</v>
      </c>
    </row>
    <row r="1977">
      <c r="A1977" s="4" t="s">
        <v>21159</v>
      </c>
      <c r="B1977" s="4" t="s">
        <v>3941</v>
      </c>
      <c r="C1977" s="16" t="str">
        <f>IFERROR(__xludf.DUMMYFUNCTION(""""""""" &amp; REGEXEXTRACT(B1977, ""/detail/([^/?]+)"") &amp; """""","""),"""jadhpggafkbmpdpmpgigopmodldgfcki"",")</f>
        <v>"jadhpggafkbmpdpmpgigopmodldgfcki",</v>
      </c>
    </row>
    <row r="1978">
      <c r="A1978" s="4" t="s">
        <v>21160</v>
      </c>
      <c r="B1978" s="4" t="s">
        <v>3943</v>
      </c>
      <c r="C1978" s="16" t="str">
        <f>IFERROR(__xludf.DUMMYFUNCTION(""""""""" &amp; REGEXEXTRACT(B1978, ""/detail/([^/?]+)"") &amp; """""","""),"""jbhlmolodjapbchjnjijpeenoniollao"",")</f>
        <v>"jbhlmolodjapbchjnjijpeenoniollao",</v>
      </c>
    </row>
    <row r="1979">
      <c r="A1979" s="4" t="s">
        <v>21161</v>
      </c>
      <c r="B1979" s="4" t="s">
        <v>3945</v>
      </c>
      <c r="C1979" s="16" t="str">
        <f>IFERROR(__xludf.DUMMYFUNCTION(""""""""" &amp; REGEXEXTRACT(B1979, ""/detail/([^/?]+)"") &amp; """""","""),"""jbhnemdhjjeheieakekfknnficfdcbbn"",")</f>
        <v>"jbhnemdhjjeheieakekfknnficfdcbbn",</v>
      </c>
    </row>
    <row r="1980">
      <c r="A1980" s="4" t="s">
        <v>21162</v>
      </c>
      <c r="B1980" s="4" t="s">
        <v>3947</v>
      </c>
      <c r="C1980" s="16" t="str">
        <f>IFERROR(__xludf.DUMMYFUNCTION(""""""""" &amp; REGEXEXTRACT(B1980, ""/detail/([^/?]+)"") &amp; """""","""),"""jcjhinpbjkmdphmhkikndcdlfpkgllfo"",")</f>
        <v>"jcjhinpbjkmdphmhkikndcdlfpkgllfo",</v>
      </c>
    </row>
    <row r="1981">
      <c r="A1981" s="4" t="s">
        <v>21163</v>
      </c>
      <c r="B1981" s="4" t="s">
        <v>3949</v>
      </c>
      <c r="C1981" s="16" t="str">
        <f>IFERROR(__xludf.DUMMYFUNCTION(""""""""" &amp; REGEXEXTRACT(B1981, ""/detail/([^/?]+)"") &amp; """""","""),"""jdanmmkadklcdnmmhodecjodjljkekja"",")</f>
        <v>"jdanmmkadklcdnmmhodecjodjljkekja",</v>
      </c>
    </row>
    <row r="1982">
      <c r="A1982" s="4" t="s">
        <v>21164</v>
      </c>
      <c r="B1982" s="4" t="s">
        <v>3951</v>
      </c>
      <c r="C1982" s="16" t="str">
        <f>IFERROR(__xludf.DUMMYFUNCTION(""""""""" &amp; REGEXEXTRACT(B1982, ""/detail/([^/?]+)"") &amp; """""","""),"""jdcodafmbknbopclkbcnfkohmeaeapeg"",")</f>
        <v>"jdcodafmbknbopclkbcnfkohmeaeapeg",</v>
      </c>
    </row>
    <row r="1983">
      <c r="A1983" s="4" t="s">
        <v>21165</v>
      </c>
      <c r="B1983" s="4" t="s">
        <v>3953</v>
      </c>
      <c r="C1983" s="16" t="str">
        <f>IFERROR(__xludf.DUMMYFUNCTION(""""""""" &amp; REGEXEXTRACT(B1983, ""/detail/([^/?]+)"") &amp; """""","""),"""jfdmelgfepjcmlljpdeajbiiibkehnih"",")</f>
        <v>"jfdmelgfepjcmlljpdeajbiiibkehnih",</v>
      </c>
    </row>
    <row r="1984">
      <c r="A1984" s="4" t="s">
        <v>21166</v>
      </c>
      <c r="B1984" s="4" t="s">
        <v>3955</v>
      </c>
      <c r="C1984" s="16" t="str">
        <f>IFERROR(__xludf.DUMMYFUNCTION(""""""""" &amp; REGEXEXTRACT(B1984, ""/detail/([^/?]+)"") &amp; """""","""),"""jkhefpaaphbihngmjakkdfimkcfnbink"",")</f>
        <v>"jkhefpaaphbihngmjakkdfimkcfnbink",</v>
      </c>
    </row>
    <row r="1985">
      <c r="A1985" s="4" t="s">
        <v>21167</v>
      </c>
      <c r="B1985" s="4" t="s">
        <v>3957</v>
      </c>
      <c r="C1985" s="16" t="str">
        <f>IFERROR(__xludf.DUMMYFUNCTION(""""""""" &amp; REGEXEXTRACT(B1985, ""/detail/([^/?]+)"") &amp; """""","""),"""jlinpflaifheoeohbdffhfnnpghdnlel"",")</f>
        <v>"jlinpflaifheoeohbdffhfnnpghdnlel",</v>
      </c>
    </row>
    <row r="1986">
      <c r="A1986" s="4" t="s">
        <v>21168</v>
      </c>
      <c r="B1986" s="4" t="s">
        <v>3959</v>
      </c>
      <c r="C1986" s="16" t="str">
        <f>IFERROR(__xludf.DUMMYFUNCTION(""""""""" &amp; REGEXEXTRACT(B1986, ""/detail/([^/?]+)"") &amp; """""","""),"""jllonchimfiplfmddkdnbghgllhjlnln"",")</f>
        <v>"jllonchimfiplfmddkdnbghgllhjlnln",</v>
      </c>
    </row>
    <row r="1987">
      <c r="A1987" s="4" t="s">
        <v>21169</v>
      </c>
      <c r="B1987" s="4" t="s">
        <v>3961</v>
      </c>
      <c r="C1987" s="16" t="str">
        <f>IFERROR(__xludf.DUMMYFUNCTION(""""""""" &amp; REGEXEXTRACT(B1987, ""/detail/([^/?]+)"") &amp; """""","""),"""jmhicemblbmkcbonbhkjmflehkmkiidj"",")</f>
        <v>"jmhicemblbmkcbonbhkjmflehkmkiidj",</v>
      </c>
    </row>
    <row r="1988">
      <c r="A1988" s="4" t="s">
        <v>21170</v>
      </c>
      <c r="B1988" s="4" t="s">
        <v>3963</v>
      </c>
      <c r="C1988" s="16" t="str">
        <f>IFERROR(__xludf.DUMMYFUNCTION(""""""""" &amp; REGEXEXTRACT(B1988, ""/detail/([^/?]+)"") &amp; """""","""),"""jnhgnoijemmehpdmdcdcgjkkfhbbjnkc"",")</f>
        <v>"jnhgnoijemmehpdmdcdcgjkkfhbbjnkc",</v>
      </c>
    </row>
    <row r="1989">
      <c r="A1989" s="4" t="s">
        <v>21171</v>
      </c>
      <c r="B1989" s="4" t="s">
        <v>3965</v>
      </c>
      <c r="C1989" s="16" t="str">
        <f>IFERROR(__xludf.DUMMYFUNCTION(""""""""" &amp; REGEXEXTRACT(B1989, ""/detail/([^/?]+)"") &amp; """""","""),"""jnmipkhdnlcnfllifhlohfigomcpcmhc"",")</f>
        <v>"jnmipkhdnlcnfllifhlohfigomcpcmhc",</v>
      </c>
    </row>
    <row r="1990">
      <c r="A1990" s="4" t="s">
        <v>21172</v>
      </c>
      <c r="B1990" s="4" t="s">
        <v>3967</v>
      </c>
      <c r="C1990" s="16" t="str">
        <f>IFERROR(__xludf.DUMMYFUNCTION(""""""""" &amp; REGEXEXTRACT(B1990, ""/detail/([^/?]+)"") &amp; """""","""),"""jojicnfhgajfeddfalfahidfeicmmdgo"",")</f>
        <v>"jojicnfhgajfeddfalfahidfeicmmdgo",</v>
      </c>
    </row>
    <row r="1991">
      <c r="A1991" s="4" t="s">
        <v>21173</v>
      </c>
      <c r="B1991" s="4" t="s">
        <v>3969</v>
      </c>
      <c r="C1991" s="16" t="str">
        <f>IFERROR(__xludf.DUMMYFUNCTION(""""""""" &amp; REGEXEXTRACT(B1991, ""/detail/([^/?]+)"") &amp; """""","""),"""kacdmmlabjolkpfoapmdmjkdaheaobna"",")</f>
        <v>"kacdmmlabjolkpfoapmdmjkdaheaobna",</v>
      </c>
    </row>
    <row r="1992">
      <c r="A1992" s="4" t="s">
        <v>21174</v>
      </c>
      <c r="B1992" s="4" t="s">
        <v>3971</v>
      </c>
      <c r="C1992" s="16" t="str">
        <f>IFERROR(__xludf.DUMMYFUNCTION(""""""""" &amp; REGEXEXTRACT(B1992, ""/detail/([^/?]+)"") &amp; """""","""),"""kaiblbjjcealhldhdnjhpjmckgclnbca"",")</f>
        <v>"kaiblbjjcealhldhdnjhpjmckgclnbca",</v>
      </c>
    </row>
    <row r="1993">
      <c r="A1993" s="4" t="s">
        <v>21175</v>
      </c>
      <c r="B1993" s="4" t="s">
        <v>3973</v>
      </c>
      <c r="C1993" s="16" t="str">
        <f>IFERROR(__xludf.DUMMYFUNCTION(""""""""" &amp; REGEXEXTRACT(B1993, ""/detail/([^/?]+)"") &amp; """""","""),"""kbgmbmkhepchmmcnbdbclpkpegbgikjc"",")</f>
        <v>"kbgmbmkhepchmmcnbdbclpkpegbgikjc",</v>
      </c>
    </row>
    <row r="1994">
      <c r="A1994" s="4" t="s">
        <v>21176</v>
      </c>
      <c r="B1994" s="4" t="s">
        <v>3975</v>
      </c>
      <c r="C1994" s="16" t="str">
        <f>IFERROR(__xludf.DUMMYFUNCTION(""""""""" &amp; REGEXEXTRACT(B1994, ""/detail/([^/?]+)"") &amp; """""","""),"""kbnhlagadnlfihhgjkmcaffjadkadoap"",")</f>
        <v>"kbnhlagadnlfihhgjkmcaffjadkadoap",</v>
      </c>
    </row>
    <row r="1995">
      <c r="A1995" s="4" t="s">
        <v>21177</v>
      </c>
      <c r="B1995" s="4" t="s">
        <v>3977</v>
      </c>
      <c r="C1995" s="16" t="str">
        <f>IFERROR(__xludf.DUMMYFUNCTION(""""""""" &amp; REGEXEXTRACT(B1995, ""/detail/([^/?]+)"") &amp; """""","""),"""kefcbonbdcahbihclibfdeeddceiabjm"",")</f>
        <v>"kefcbonbdcahbihclibfdeeddceiabjm",</v>
      </c>
    </row>
    <row r="1996">
      <c r="A1996" s="4" t="s">
        <v>21178</v>
      </c>
      <c r="B1996" s="4" t="s">
        <v>3979</v>
      </c>
      <c r="C1996" s="16" t="str">
        <f>IFERROR(__xludf.DUMMYFUNCTION(""""""""" &amp; REGEXEXTRACT(B1996, ""/detail/([^/?]+)"") &amp; """""","""),"""kfgafkkfnmkbdeejdgefkpcmimbommna"",")</f>
        <v>"kfgafkkfnmkbdeejdgefkpcmimbommna",</v>
      </c>
    </row>
    <row r="1997">
      <c r="A1997" s="4" t="s">
        <v>21179</v>
      </c>
      <c r="B1997" s="4" t="s">
        <v>3981</v>
      </c>
      <c r="C1997" s="16" t="str">
        <f>IFERROR(__xludf.DUMMYFUNCTION(""""""""" &amp; REGEXEXTRACT(B1997, ""/detail/([^/?]+)"") &amp; """""","""),"""kfoghncheahclnnidbiplloogoppcagi"",")</f>
        <v>"kfoghncheahclnnidbiplloogoppcagi",</v>
      </c>
    </row>
    <row r="1998">
      <c r="A1998" s="4" t="s">
        <v>21180</v>
      </c>
      <c r="B1998" s="4" t="s">
        <v>3983</v>
      </c>
      <c r="C1998" s="16" t="str">
        <f>IFERROR(__xludf.DUMMYFUNCTION(""""""""" &amp; REGEXEXTRACT(B1998, ""/detail/([^/?]+)"") &amp; """""","""),"""kjfkmlhcgelgmepdemdhkgioggaffibj"",")</f>
        <v>"kjfkmlhcgelgmepdemdhkgioggaffibj",</v>
      </c>
    </row>
    <row r="1999">
      <c r="A1999" s="4" t="s">
        <v>21181</v>
      </c>
      <c r="B1999" s="4" t="s">
        <v>3985</v>
      </c>
      <c r="C1999" s="16" t="str">
        <f>IFERROR(__xludf.DUMMYFUNCTION(""""""""" &amp; REGEXEXTRACT(B1999, ""/detail/([^/?]+)"") &amp; """""","""),"""kjnjkjjgnclpobbpdpdplbjjhdcnaoia"",")</f>
        <v>"kjnjkjjgnclpobbpdpdplbjjhdcnaoia",</v>
      </c>
    </row>
    <row r="2000">
      <c r="A2000" s="4" t="s">
        <v>21182</v>
      </c>
      <c r="B2000" s="4" t="s">
        <v>3987</v>
      </c>
      <c r="C2000" s="16" t="str">
        <f>IFERROR(__xludf.DUMMYFUNCTION(""""""""" &amp; REGEXEXTRACT(B2000, ""/detail/([^/?]+)"") &amp; """""","""),"""kmfnnmioagmcopmmbdfpodhcpnehddbi"",")</f>
        <v>"kmfnnmioagmcopmmbdfpodhcpnehddbi",</v>
      </c>
    </row>
    <row r="2001">
      <c r="A2001" s="4" t="s">
        <v>21183</v>
      </c>
      <c r="B2001" s="4" t="s">
        <v>3989</v>
      </c>
      <c r="C2001" s="16" t="str">
        <f>IFERROR(__xludf.DUMMYFUNCTION(""""""""" &amp; REGEXEXTRACT(B2001, ""/detail/([^/?]+)"") &amp; """""","""),"""lalfbopdcggfdchjfgkhgnifhippfnco"",")</f>
        <v>"lalfbopdcggfdchjfgkhgnifhippfnco",</v>
      </c>
    </row>
    <row r="2002">
      <c r="A2002" s="4" t="s">
        <v>21184</v>
      </c>
      <c r="B2002" s="4" t="s">
        <v>3991</v>
      </c>
      <c r="C2002" s="16" t="str">
        <f>IFERROR(__xludf.DUMMYFUNCTION(""""""""" &amp; REGEXEXTRACT(B2002, ""/detail/([^/?]+)"") &amp; """""","""),"""ldpibpcjnhbdpmjfollggppibfocgefj"",")</f>
        <v>"ldpibpcjnhbdpmjfollggppibfocgefj",</v>
      </c>
    </row>
    <row r="2003">
      <c r="A2003" s="4" t="s">
        <v>21185</v>
      </c>
      <c r="B2003" s="4" t="s">
        <v>3993</v>
      </c>
      <c r="C2003" s="16" t="str">
        <f>IFERROR(__xludf.DUMMYFUNCTION(""""""""" &amp; REGEXEXTRACT(B2003, ""/detail/([^/?]+)"") &amp; """""","""),"""lejgfmmlngaigdmmikblappdafcmkndb"",")</f>
        <v>"lejgfmmlngaigdmmikblappdafcmkndb",</v>
      </c>
    </row>
    <row r="2004">
      <c r="A2004" s="4" t="s">
        <v>21186</v>
      </c>
      <c r="B2004" s="4" t="s">
        <v>3995</v>
      </c>
      <c r="C2004" s="16" t="str">
        <f>IFERROR(__xludf.DUMMYFUNCTION(""""""""" &amp; REGEXEXTRACT(B2004, ""/detail/([^/?]+)"") &amp; """""","""),"""ljeebljkookphadpedhmnlokpennimon"",")</f>
        <v>"ljeebljkookphadpedhmnlokpennimon",</v>
      </c>
    </row>
    <row r="2005">
      <c r="A2005" s="4" t="s">
        <v>21187</v>
      </c>
      <c r="B2005" s="4" t="s">
        <v>3997</v>
      </c>
      <c r="C2005" s="16" t="str">
        <f>IFERROR(__xludf.DUMMYFUNCTION(""""""""" &amp; REGEXEXTRACT(B2005, ""/detail/([^/?]+)"") &amp; """""","""),"""lkdbkiggalhffmapafobkmjadhhlopig"",")</f>
        <v>"lkdbkiggalhffmapafobkmjadhhlopig",</v>
      </c>
    </row>
    <row r="2006">
      <c r="A2006" s="4" t="s">
        <v>21188</v>
      </c>
      <c r="B2006" s="4" t="s">
        <v>3999</v>
      </c>
      <c r="C2006" s="16" t="str">
        <f>IFERROR(__xludf.DUMMYFUNCTION(""""""""" &amp; REGEXEXTRACT(B2006, ""/detail/([^/?]+)"") &amp; """""","""),"""lkgdbimigeeehofgaacanklgmfkilglm"",")</f>
        <v>"lkgdbimigeeehofgaacanklgmfkilglm",</v>
      </c>
    </row>
    <row r="2007">
      <c r="A2007" s="4" t="s">
        <v>21189</v>
      </c>
      <c r="B2007" s="4" t="s">
        <v>4001</v>
      </c>
      <c r="C2007" s="16" t="str">
        <f>IFERROR(__xludf.DUMMYFUNCTION(""""""""" &amp; REGEXEXTRACT(B2007, ""/detail/([^/?]+)"") &amp; """""","""),"""lkmakcpikbbbdpkfloniiohhifhghbhm"",")</f>
        <v>"lkmakcpikbbbdpkfloniiohhifhghbhm",</v>
      </c>
    </row>
    <row r="2008">
      <c r="A2008" s="4" t="s">
        <v>21190</v>
      </c>
      <c r="B2008" s="4" t="s">
        <v>4003</v>
      </c>
      <c r="C2008" s="16" t="str">
        <f>IFERROR(__xludf.DUMMYFUNCTION(""""""""" &amp; REGEXEXTRACT(B2008, ""/detail/([^/?]+)"") &amp; """""","""),"""loiejdbcheeiipmakhghinclmpafiiel"",")</f>
        <v>"loiejdbcheeiipmakhghinclmpafiiel",</v>
      </c>
    </row>
    <row r="2009">
      <c r="A2009" s="4" t="s">
        <v>21191</v>
      </c>
      <c r="B2009" s="4" t="s">
        <v>4005</v>
      </c>
      <c r="C2009" s="16" t="str">
        <f>IFERROR(__xludf.DUMMYFUNCTION(""""""""" &amp; REGEXEXTRACT(B2009, ""/detail/([^/?]+)"") &amp; """""","""),"""lpjpnhjhnabnoljnfhlkakkligcfpgch"",")</f>
        <v>"lpjpnhjhnabnoljnfhlkakkligcfpgch",</v>
      </c>
    </row>
    <row r="2010">
      <c r="A2010" s="10" t="s">
        <v>21192</v>
      </c>
      <c r="B2010" s="4" t="s">
        <v>4006</v>
      </c>
      <c r="C2010" s="16" t="str">
        <f>IFERROR(__xludf.DUMMYFUNCTION(""""""""" &amp; REGEXEXTRACT(B2010, ""/detail/([^/?]+)"") &amp; """""","""),"""lpkdnfkjhdkcpimadpdcgapffceacjem"",")</f>
        <v>"lpkdnfkjhdkcpimadpdcgapffceacjem",</v>
      </c>
    </row>
    <row r="2011">
      <c r="A2011" s="4" t="s">
        <v>21193</v>
      </c>
      <c r="B2011" s="4" t="s">
        <v>4008</v>
      </c>
      <c r="C2011" s="16" t="str">
        <f>IFERROR(__xludf.DUMMYFUNCTION(""""""""" &amp; REGEXEXTRACT(B2011, ""/detail/([^/?]+)"") &amp; """""","""),"""mgacpehhdickdokbochifdboemjmkbde"",")</f>
        <v>"mgacpehhdickdokbochifdboemjmkbde",</v>
      </c>
    </row>
    <row r="2012">
      <c r="A2012" s="4" t="s">
        <v>21194</v>
      </c>
      <c r="B2012" s="4" t="s">
        <v>4010</v>
      </c>
      <c r="C2012" s="16" t="str">
        <f>IFERROR(__xludf.DUMMYFUNCTION(""""""""" &amp; REGEXEXTRACT(B2012, ""/detail/([^/?]+)"") &amp; """""","""),"""miagjfhahnjmnnmhdgelhmbpjgojfnok"",")</f>
        <v>"miagjfhahnjmnnmhdgelhmbpjgojfnok",</v>
      </c>
    </row>
    <row r="2013">
      <c r="A2013" s="4" t="s">
        <v>21195</v>
      </c>
      <c r="B2013" s="4" t="s">
        <v>4012</v>
      </c>
      <c r="C2013" s="16" t="str">
        <f>IFERROR(__xludf.DUMMYFUNCTION(""""""""" &amp; REGEXEXTRACT(B2013, ""/detail/([^/?]+)"") &amp; """""","""),"""mjgebmfeoicljihlfniblbklfjiafaec"",")</f>
        <v>"mjgebmfeoicljihlfniblbklfjiafaec",</v>
      </c>
    </row>
    <row r="2014">
      <c r="A2014" s="4" t="s">
        <v>21196</v>
      </c>
      <c r="B2014" s="4" t="s">
        <v>4014</v>
      </c>
      <c r="C2014" s="16" t="str">
        <f>IFERROR(__xludf.DUMMYFUNCTION(""""""""" &amp; REGEXEXTRACT(B2014, ""/detail/([^/?]+)"") &amp; """""","""),"""mlommmdimfnldmhmfobflhhjcgjphhpm"",")</f>
        <v>"mlommmdimfnldmhmfobflhhjcgjphhpm",</v>
      </c>
    </row>
    <row r="2015">
      <c r="A2015" s="4" t="s">
        <v>21197</v>
      </c>
      <c r="B2015" s="4" t="s">
        <v>4016</v>
      </c>
      <c r="C2015" s="16" t="str">
        <f>IFERROR(__xludf.DUMMYFUNCTION(""""""""" &amp; REGEXEXTRACT(B2015, ""/detail/([^/?]+)"") &amp; """""","""),"""mmoahbbnojgkclgceahhakhnccimnplk"",")</f>
        <v>"mmoahbbnojgkclgceahhakhnccimnplk",</v>
      </c>
    </row>
    <row r="2016">
      <c r="A2016" s="4" t="s">
        <v>21198</v>
      </c>
      <c r="B2016" s="4" t="s">
        <v>4018</v>
      </c>
      <c r="C2016" s="16" t="str">
        <f>IFERROR(__xludf.DUMMYFUNCTION(""""""""" &amp; REGEXEXTRACT(B2016, ""/detail/([^/?]+)"") &amp; """""","""),"""naghkjogakhpimmejjmakpmnbdeccinm"",")</f>
        <v>"naghkjogakhpimmejjmakpmnbdeccinm",</v>
      </c>
    </row>
    <row r="2017">
      <c r="A2017" s="4" t="s">
        <v>21199</v>
      </c>
      <c r="B2017" s="4" t="s">
        <v>4020</v>
      </c>
      <c r="C2017" s="16" t="str">
        <f>IFERROR(__xludf.DUMMYFUNCTION(""""""""" &amp; REGEXEXTRACT(B2017, ""/detail/([^/?]+)"") &amp; """""","""),"""nalcmippmnicanikekphpdmmcgoojjlm"",")</f>
        <v>"nalcmippmnicanikekphpdmmcgoojjlm",</v>
      </c>
    </row>
    <row r="2018">
      <c r="A2018" s="4" t="s">
        <v>21200</v>
      </c>
      <c r="B2018" s="4" t="s">
        <v>4022</v>
      </c>
      <c r="C2018" s="16" t="str">
        <f>IFERROR(__xludf.DUMMYFUNCTION(""""""""" &amp; REGEXEXTRACT(B2018, ""/detail/([^/?]+)"") &amp; """""","""),"""ndhncndbgnmheelpkdmldlcdhmieiagm"",")</f>
        <v>"ndhncndbgnmheelpkdmldlcdhmieiagm",</v>
      </c>
    </row>
    <row r="2019">
      <c r="A2019" s="4" t="s">
        <v>21201</v>
      </c>
      <c r="B2019" s="4" t="s">
        <v>4024</v>
      </c>
      <c r="C2019" s="16" t="str">
        <f>IFERROR(__xludf.DUMMYFUNCTION(""""""""" &amp; REGEXEXTRACT(B2019, ""/detail/([^/?]+)"") &amp; """""","""),"""nfegliocdfiepinnicnnhidandnbhage"",")</f>
        <v>"nfegliocdfiepinnicnnhidandnbhage",</v>
      </c>
    </row>
    <row r="2020">
      <c r="A2020" s="4" t="s">
        <v>21202</v>
      </c>
      <c r="B2020" s="4" t="s">
        <v>4026</v>
      </c>
      <c r="C2020" s="16" t="str">
        <f>IFERROR(__xludf.DUMMYFUNCTION(""""""""" &amp; REGEXEXTRACT(B2020, ""/detail/([^/?]+)"") &amp; """""","""),"""nglbmaiijljohnphofifiodoommladkj"",")</f>
        <v>"nglbmaiijljohnphofifiodoommladkj",</v>
      </c>
    </row>
    <row r="2021">
      <c r="A2021" s="4" t="s">
        <v>21203</v>
      </c>
      <c r="B2021" s="4" t="s">
        <v>4028</v>
      </c>
      <c r="C2021" s="16" t="str">
        <f>IFERROR(__xludf.DUMMYFUNCTION(""""""""" &amp; REGEXEXTRACT(B2021, ""/detail/([^/?]+)"") &amp; """""","""),"""nlbgnehakmlibpichhhicnifdidgegbo"",")</f>
        <v>"nlbgnehakmlibpichhhicnifdidgegbo",</v>
      </c>
    </row>
    <row r="2022">
      <c r="A2022" s="4" t="s">
        <v>21204</v>
      </c>
      <c r="B2022" s="4" t="s">
        <v>4030</v>
      </c>
      <c r="C2022" s="16" t="str">
        <f>IFERROR(__xludf.DUMMYFUNCTION(""""""""" &amp; REGEXEXTRACT(B2022, ""/detail/([^/?]+)"") &amp; """""","""),"""nlddakjbmpidooplakalfoogdincflfh"",")</f>
        <v>"nlddakjbmpidooplakalfoogdincflfh",</v>
      </c>
    </row>
    <row r="2023">
      <c r="A2023" s="4" t="s">
        <v>21205</v>
      </c>
      <c r="B2023" s="4" t="s">
        <v>4032</v>
      </c>
      <c r="C2023" s="16" t="str">
        <f>IFERROR(__xludf.DUMMYFUNCTION(""""""""" &amp; REGEXEXTRACT(B2023, ""/detail/([^/?]+)"") &amp; """""","""),"""npbefkilaedbdaibnmiiedgnocbbindb"",")</f>
        <v>"npbefkilaedbdaibnmiiedgnocbbindb",</v>
      </c>
    </row>
    <row r="2024">
      <c r="A2024" s="4" t="s">
        <v>21206</v>
      </c>
      <c r="B2024" s="4" t="s">
        <v>4034</v>
      </c>
      <c r="C2024" s="16" t="str">
        <f>IFERROR(__xludf.DUMMYFUNCTION(""""""""" &amp; REGEXEXTRACT(B2024, ""/detail/([^/?]+)"") &amp; """""","""),"""oabmdoehbmfjibhoidonpdmjjgbkppbp"",")</f>
        <v>"oabmdoehbmfjibhoidonpdmjjgbkppbp",</v>
      </c>
    </row>
    <row r="2025">
      <c r="A2025" s="4" t="s">
        <v>21207</v>
      </c>
      <c r="B2025" s="4" t="s">
        <v>4036</v>
      </c>
      <c r="C2025" s="16" t="str">
        <f>IFERROR(__xludf.DUMMYFUNCTION(""""""""" &amp; REGEXEXTRACT(B2025, ""/detail/([^/?]+)"") &amp; """""","""),"""oddfihdjoneffhjjlpgdjaefeklefmdi"",")</f>
        <v>"oddfihdjoneffhjjlpgdjaefeklefmdi",</v>
      </c>
    </row>
    <row r="2026">
      <c r="A2026" s="4" t="s">
        <v>21208</v>
      </c>
      <c r="B2026" s="4" t="s">
        <v>4038</v>
      </c>
      <c r="C2026" s="16" t="str">
        <f>IFERROR(__xludf.DUMMYFUNCTION(""""""""" &amp; REGEXEXTRACT(B2026, ""/detail/([^/?]+)"") &amp; """""","""),"""odibemolpgeomdbopjcplbmhlpbkdggd"",")</f>
        <v>"odibemolpgeomdbopjcplbmhlpbkdggd",</v>
      </c>
    </row>
    <row r="2027">
      <c r="A2027" s="4" t="s">
        <v>21209</v>
      </c>
      <c r="B2027" s="4" t="s">
        <v>4040</v>
      </c>
      <c r="C2027" s="16" t="str">
        <f>IFERROR(__xludf.DUMMYFUNCTION(""""""""" &amp; REGEXEXTRACT(B2027, ""/detail/([^/?]+)"") &amp; """""","""),"""offkdfbbigofcgdokjemgjpdockaafjg"",")</f>
        <v>"offkdfbbigofcgdokjemgjpdockaafjg",</v>
      </c>
    </row>
    <row r="2028">
      <c r="A2028" s="4" t="s">
        <v>21210</v>
      </c>
      <c r="B2028" s="4" t="s">
        <v>4042</v>
      </c>
      <c r="C2028" s="16" t="str">
        <f>IFERROR(__xludf.DUMMYFUNCTION(""""""""" &amp; REGEXEXTRACT(B2028, ""/detail/([^/?]+)"") &amp; """""","""),"""ogbjfaoljhhadaijpjaojepohlnipmlp"",")</f>
        <v>"ogbjfaoljhhadaijpjaojepohlnipmlp",</v>
      </c>
    </row>
    <row r="2029">
      <c r="A2029" s="4" t="s">
        <v>21211</v>
      </c>
      <c r="B2029" s="4" t="s">
        <v>4044</v>
      </c>
      <c r="C2029" s="16" t="str">
        <f>IFERROR(__xludf.DUMMYFUNCTION(""""""""" &amp; REGEXEXTRACT(B2029, ""/detail/([^/?]+)"") &amp; """""","""),"""ohcdfkmeiinmedcnjfdpdmffmohlomjd"",")</f>
        <v>"ohcdfkmeiinmedcnjfdpdmffmohlomjd",</v>
      </c>
    </row>
    <row r="2030">
      <c r="A2030" s="4" t="s">
        <v>21212</v>
      </c>
      <c r="B2030" s="4" t="s">
        <v>4046</v>
      </c>
      <c r="C2030" s="16" t="str">
        <f>IFERROR(__xludf.DUMMYFUNCTION(""""""""" &amp; REGEXEXTRACT(B2030, ""/detail/([^/?]+)"") &amp; """""","""),"""ohcmmfphdpigpccfppacepjhamgcffjh"",")</f>
        <v>"ohcmmfphdpigpccfppacepjhamgcffjh",</v>
      </c>
    </row>
    <row r="2031">
      <c r="A2031" s="4" t="s">
        <v>21213</v>
      </c>
      <c r="B2031" s="4" t="s">
        <v>4048</v>
      </c>
      <c r="C2031" s="16" t="str">
        <f>IFERROR(__xludf.DUMMYFUNCTION(""""""""" &amp; REGEXEXTRACT(B2031, ""/detail/([^/?]+)"") &amp; """""","""),"""oheliokfcgehhjlhiiglekmbebigpbdj"",")</f>
        <v>"oheliokfcgehhjlhiiglekmbebigpbdj",</v>
      </c>
    </row>
    <row r="2032">
      <c r="A2032" s="4" t="s">
        <v>21214</v>
      </c>
      <c r="B2032" s="4" t="s">
        <v>4050</v>
      </c>
      <c r="C2032" s="16" t="str">
        <f>IFERROR(__xludf.DUMMYFUNCTION(""""""""" &amp; REGEXEXTRACT(B2032, ""/detail/([^/?]+)"") &amp; """""","""),"""ohpgmmkibgooecniliccgpjlpjhgmfoo"",")</f>
        <v>"ohpgmmkibgooecniliccgpjlpjhgmfoo",</v>
      </c>
    </row>
    <row r="2033">
      <c r="A2033" s="4" t="s">
        <v>21215</v>
      </c>
      <c r="B2033" s="4" t="s">
        <v>4052</v>
      </c>
      <c r="C2033" s="16" t="str">
        <f>IFERROR(__xludf.DUMMYFUNCTION(""""""""" &amp; REGEXEXTRACT(B2033, ""/detail/([^/?]+)"") &amp; """""","""),"""ojnlojnakahpmkbpigmjhcgibccnidpk"",")</f>
        <v>"ojnlojnakahpmkbpigmjhcgibccnidpk",</v>
      </c>
    </row>
    <row r="2034">
      <c r="A2034" s="4" t="s">
        <v>21216</v>
      </c>
      <c r="B2034" s="4" t="s">
        <v>4054</v>
      </c>
      <c r="C2034" s="16" t="str">
        <f>IFERROR(__xludf.DUMMYFUNCTION(""""""""" &amp; REGEXEXTRACT(B2034, ""/detail/([^/?]+)"") &amp; """""","""),"""olnlihilabjhneiedkofjdenhboogmeg"",")</f>
        <v>"olnlihilabjhneiedkofjdenhboogmeg",</v>
      </c>
    </row>
    <row r="2035">
      <c r="A2035" s="4" t="s">
        <v>21217</v>
      </c>
      <c r="B2035" s="4" t="s">
        <v>4056</v>
      </c>
      <c r="C2035" s="16" t="str">
        <f>IFERROR(__xludf.DUMMYFUNCTION(""""""""" &amp; REGEXEXTRACT(B2035, ""/detail/([^/?]+)"") &amp; """""","""),"""onfocbngcbpfnfdmnhleidllhleaiokn"",")</f>
        <v>"onfocbngcbpfnfdmnhleidllhleaiokn",</v>
      </c>
    </row>
    <row r="2036">
      <c r="A2036" s="4" t="s">
        <v>21218</v>
      </c>
      <c r="B2036" s="4" t="s">
        <v>4058</v>
      </c>
      <c r="C2036" s="16" t="str">
        <f>IFERROR(__xludf.DUMMYFUNCTION(""""""""" &amp; REGEXEXTRACT(B2036, ""/detail/([^/?]+)"") &amp; """""","""),"""oniljfenfhbbjpmpcphgnpjhbapcapek"",")</f>
        <v>"oniljfenfhbbjpmpcphgnpjhbapcapek",</v>
      </c>
    </row>
    <row r="2037">
      <c r="A2037" s="4" t="s">
        <v>21219</v>
      </c>
      <c r="B2037" s="4" t="s">
        <v>4060</v>
      </c>
      <c r="C2037" s="16" t="str">
        <f>IFERROR(__xludf.DUMMYFUNCTION(""""""""" &amp; REGEXEXTRACT(B2037, ""/detail/([^/?]+)"") &amp; """""","""),"""pacllhnfaalmndlofaggllkjdonlgjnc"",")</f>
        <v>"pacllhnfaalmndlofaggllkjdonlgjnc",</v>
      </c>
    </row>
    <row r="2038">
      <c r="A2038" s="4" t="s">
        <v>21220</v>
      </c>
      <c r="B2038" s="4" t="s">
        <v>4061</v>
      </c>
      <c r="C2038" s="16" t="str">
        <f>IFERROR(__xludf.DUMMYFUNCTION(""""""""" &amp; REGEXEXTRACT(B2038, ""/detail/([^/?]+)"") &amp; """""","""),"""pcdocoohpenibkkkfigkgelhpbeogimb"",")</f>
        <v>"pcdocoohpenibkkkfigkgelhpbeogimb",</v>
      </c>
    </row>
    <row r="2039">
      <c r="A2039" s="4" t="s">
        <v>21221</v>
      </c>
      <c r="B2039" s="4" t="s">
        <v>4063</v>
      </c>
      <c r="C2039" s="16" t="str">
        <f>IFERROR(__xludf.DUMMYFUNCTION(""""""""" &amp; REGEXEXTRACT(B2039, ""/detail/([^/?]+)"") &amp; """""","""),"""pgbnfimhfgoibnimmfoeacjehkecgkmk"",")</f>
        <v>"pgbnfimhfgoibnimmfoeacjehkecgkmk",</v>
      </c>
    </row>
    <row r="2040">
      <c r="A2040" s="4" t="s">
        <v>21222</v>
      </c>
      <c r="B2040" s="4" t="s">
        <v>4065</v>
      </c>
      <c r="C2040" s="16" t="str">
        <f>IFERROR(__xludf.DUMMYFUNCTION(""""""""" &amp; REGEXEXTRACT(B2040, ""/detail/([^/?]+)"") &amp; """""","""),"""pgmffgofnnjppcongjleophechoafipl"",")</f>
        <v>"pgmffgofnnjppcongjleophechoafipl",</v>
      </c>
    </row>
    <row r="2041">
      <c r="A2041" s="4" t="s">
        <v>21223</v>
      </c>
      <c r="B2041" s="4" t="s">
        <v>4067</v>
      </c>
      <c r="C2041" s="16" t="str">
        <f>IFERROR(__xludf.DUMMYFUNCTION(""""""""" &amp; REGEXEXTRACT(B2041, ""/detail/([^/?]+)"") &amp; """""","""),"""phhpajlkjeoakfmckfnogpnfeidgbhil"",")</f>
        <v>"phhpajlkjeoakfmckfnogpnfeidgbhil",</v>
      </c>
    </row>
    <row r="2042">
      <c r="A2042" s="4" t="s">
        <v>21224</v>
      </c>
      <c r="B2042" s="4" t="s">
        <v>4069</v>
      </c>
      <c r="C2042" s="16" t="str">
        <f>IFERROR(__xludf.DUMMYFUNCTION(""""""""" &amp; REGEXEXTRACT(B2042, ""/detail/([^/?]+)"") &amp; """""","""),"""pimdepbkfokgeadmhmhfpapfdbodadlg"",")</f>
        <v>"pimdepbkfokgeadmhmhfpapfdbodadlg",</v>
      </c>
    </row>
    <row r="2043">
      <c r="A2043" s="4" t="s">
        <v>21225</v>
      </c>
      <c r="B2043" s="4" t="s">
        <v>4071</v>
      </c>
      <c r="C2043" s="16" t="str">
        <f>IFERROR(__xludf.DUMMYFUNCTION(""""""""" &amp; REGEXEXTRACT(B2043, ""/detail/([^/?]+)"") &amp; """""","""),"""pkeibkoopkkbbkgdegbbkjlgmomklbpf"",")</f>
        <v>"pkeibkoopkkbbkgdegbbkjlgmomklbpf",</v>
      </c>
    </row>
    <row r="2044">
      <c r="A2044" s="4" t="s">
        <v>21226</v>
      </c>
      <c r="B2044" s="4" t="s">
        <v>4073</v>
      </c>
      <c r="C2044" s="16" t="str">
        <f>IFERROR(__xludf.DUMMYFUNCTION(""""""""" &amp; REGEXEXTRACT(B2044, ""/detail/([^/?]+)"") &amp; """""","""),"""pmcmeagblkinmogikoikkdjiligflglb"",")</f>
        <v>"pmcmeagblkinmogikoikkdjiligflglb",</v>
      </c>
    </row>
    <row r="2045">
      <c r="A2045" s="4" t="s">
        <v>21227</v>
      </c>
      <c r="B2045" s="4" t="s">
        <v>4075</v>
      </c>
      <c r="C2045" s="16" t="str">
        <f>IFERROR(__xludf.DUMMYFUNCTION(""""""""" &amp; REGEXEXTRACT(B2045, ""/detail/([^/?]+)"") &amp; """""","""),"""pnndplcbkakcplkjnolgbkdgjikjednm"",")</f>
        <v>"pnndplcbkakcplkjnolgbkdgjikjednm",</v>
      </c>
    </row>
    <row r="2046">
      <c r="A2046" s="4" t="s">
        <v>21228</v>
      </c>
      <c r="B2046" s="4" t="s">
        <v>4077</v>
      </c>
      <c r="C2046" s="16" t="str">
        <f>IFERROR(__xludf.DUMMYFUNCTION(""""""""" &amp; REGEXEXTRACT(B2046, ""/detail/([^/?]+)"") &amp; """""","""),"""pojodomdlpobompicdllljgiomnfpmho"",")</f>
        <v>"pojodomdlpobompicdllljgiomnfpmho",</v>
      </c>
    </row>
    <row r="2047">
      <c r="A2047" s="4" t="s">
        <v>21229</v>
      </c>
      <c r="B2047" s="4" t="s">
        <v>4079</v>
      </c>
      <c r="C2047" s="16" t="str">
        <f>IFERROR(__xludf.DUMMYFUNCTION(""""""""" &amp; REGEXEXTRACT(B2047, ""/detail/([^/?]+)"") &amp; """""","""),"""pomlcckbphmgddbhchkpehnfkegaenke"",")</f>
        <v>"pomlcckbphmgddbhchkpehnfkegaenke",</v>
      </c>
    </row>
    <row r="2048">
      <c r="A2048" s="4" t="s">
        <v>21230</v>
      </c>
      <c r="B2048" s="4" t="s">
        <v>4083</v>
      </c>
      <c r="C2048" s="16" t="str">
        <f>IFERROR(__xludf.DUMMYFUNCTION(""""""""" &amp; REGEXEXTRACT(B2048, ""/detail/([^/?]+)"") &amp; """""","""),"""mmcdcdolfnjmabjmkkgegfldahfignip"",")</f>
        <v>"mmcdcdolfnjmabjmkkgegfldahfignip",</v>
      </c>
    </row>
    <row r="2049">
      <c r="A2049" s="4" t="s">
        <v>21231</v>
      </c>
      <c r="B2049" s="4" t="s">
        <v>4085</v>
      </c>
      <c r="C2049" s="16" t="str">
        <f>IFERROR(__xludf.DUMMYFUNCTION(""""""""" &amp; REGEXEXTRACT(B2049, ""/detail/([^/?]+)"") &amp; """""","""),"""aaeffcfdmalohgjacccngamlobknlcbj"",")</f>
        <v>"aaeffcfdmalohgjacccngamlobknlcbj",</v>
      </c>
    </row>
    <row r="2050">
      <c r="A2050" s="4" t="s">
        <v>21232</v>
      </c>
      <c r="B2050" s="4" t="s">
        <v>4087</v>
      </c>
      <c r="C2050" s="16" t="str">
        <f>IFERROR(__xludf.DUMMYFUNCTION(""""""""" &amp; REGEXEXTRACT(B2050, ""/detail/([^/?]+)"") &amp; """""","""),"""adebmdeflhjephjfamdbbpbofjgbgmel"",")</f>
        <v>"adebmdeflhjephjfamdbbpbofjgbgmel",</v>
      </c>
    </row>
    <row r="2051">
      <c r="A2051" s="4" t="s">
        <v>21233</v>
      </c>
      <c r="B2051" s="4" t="s">
        <v>4089</v>
      </c>
      <c r="C2051" s="16" t="str">
        <f>IFERROR(__xludf.DUMMYFUNCTION(""""""""" &amp; REGEXEXTRACT(B2051, ""/detail/([^/?]+)"") &amp; """""","""),"""ageiikgnhpnpcnaifeaikpphhgealfia"",")</f>
        <v>"ageiikgnhpnpcnaifeaikpphhgealfia",</v>
      </c>
    </row>
    <row r="2052">
      <c r="A2052" s="4" t="s">
        <v>21234</v>
      </c>
      <c r="B2052" s="4" t="s">
        <v>4091</v>
      </c>
      <c r="C2052" s="16" t="str">
        <f>IFERROR(__xludf.DUMMYFUNCTION(""""""""" &amp; REGEXEXTRACT(B2052, ""/detail/([^/?]+)"") &amp; """""","""),"""aiepheblmpibmhkpldfcpcmfhjoemhmm"",")</f>
        <v>"aiepheblmpibmhkpldfcpcmfhjoemhmm",</v>
      </c>
    </row>
    <row r="2053">
      <c r="A2053" s="4" t="s">
        <v>21235</v>
      </c>
      <c r="B2053" s="4" t="s">
        <v>4093</v>
      </c>
      <c r="C2053" s="16" t="str">
        <f>IFERROR(__xludf.DUMMYFUNCTION(""""""""" &amp; REGEXEXTRACT(B2053, ""/detail/([^/?]+)"") &amp; """""","""),"""aifkmdeeiedbnckmhdcokpcmkdfplimh"",")</f>
        <v>"aifkmdeeiedbnckmhdcokpcmkdfplimh",</v>
      </c>
    </row>
    <row r="2054">
      <c r="A2054" s="4" t="s">
        <v>21236</v>
      </c>
      <c r="B2054" s="4" t="s">
        <v>4095</v>
      </c>
      <c r="C2054" s="16" t="str">
        <f>IFERROR(__xludf.DUMMYFUNCTION(""""""""" &amp; REGEXEXTRACT(B2054, ""/detail/([^/?]+)"") &amp; """""","""),"""ajelnjmnjnchimodkgnhalconepoiodf"",")</f>
        <v>"ajelnjmnjnchimodkgnhalconepoiodf",</v>
      </c>
    </row>
    <row r="2055">
      <c r="A2055" s="4" t="s">
        <v>21237</v>
      </c>
      <c r="B2055" s="4" t="s">
        <v>4097</v>
      </c>
      <c r="C2055" s="16" t="str">
        <f>IFERROR(__xludf.DUMMYFUNCTION(""""""""" &amp; REGEXEXTRACT(B2055, ""/detail/([^/?]+)"") &amp; """""","""),"""ajjnbanpedpjbfcpaopcloaaknffnjfp"",")</f>
        <v>"ajjnbanpedpjbfcpaopcloaaknffnjfp",</v>
      </c>
    </row>
    <row r="2056">
      <c r="A2056" s="4" t="s">
        <v>21238</v>
      </c>
      <c r="B2056" s="4" t="s">
        <v>4098</v>
      </c>
      <c r="C2056" s="16" t="str">
        <f>IFERROR(__xludf.DUMMYFUNCTION(""""""""" &amp; REGEXEXTRACT(B2056, ""/detail/([^/?]+)"") &amp; """""","""),"""ajnbnekhpkkfaobjalnhdoofajkghidp"",")</f>
        <v>"ajnbnekhpkkfaobjalnhdoofajkghidp",</v>
      </c>
    </row>
    <row r="2057">
      <c r="A2057" s="4" t="s">
        <v>21239</v>
      </c>
      <c r="B2057" s="4" t="s">
        <v>4100</v>
      </c>
      <c r="C2057" s="16" t="str">
        <f>IFERROR(__xludf.DUMMYFUNCTION(""""""""" &amp; REGEXEXTRACT(B2057, ""/detail/([^/?]+)"") &amp; """""","""),"""akjikdkembhkhceaegjokdpggfcefigk"",")</f>
        <v>"akjikdkembhkhceaegjokdpggfcefigk",</v>
      </c>
    </row>
    <row r="2058">
      <c r="A2058" s="4" t="s">
        <v>21240</v>
      </c>
      <c r="B2058" s="4" t="s">
        <v>4101</v>
      </c>
      <c r="C2058" s="16" t="str">
        <f>IFERROR(__xludf.DUMMYFUNCTION(""""""""" &amp; REGEXEXTRACT(B2058, ""/detail/([^/?]+)"") &amp; """""","""),"""amgpghckccldgepbpghdmpjpppflkede"",")</f>
        <v>"amgpghckccldgepbpghdmpjpppflkede",</v>
      </c>
    </row>
    <row r="2059">
      <c r="A2059" s="4" t="s">
        <v>21241</v>
      </c>
      <c r="B2059" s="4" t="s">
        <v>4103</v>
      </c>
      <c r="C2059" s="16" t="str">
        <f>IFERROR(__xludf.DUMMYFUNCTION(""""""""" &amp; REGEXEXTRACT(B2059, ""/detail/([^/?]+)"") &amp; """""","""),"""amndppkiecbdmiaihgbicalhabkkhhpk"",")</f>
        <v>"amndppkiecbdmiaihgbicalhabkkhhpk",</v>
      </c>
    </row>
    <row r="2060">
      <c r="A2060" s="4" t="s">
        <v>21242</v>
      </c>
      <c r="B2060" s="4" t="s">
        <v>4105</v>
      </c>
      <c r="C2060" s="16" t="str">
        <f>IFERROR(__xludf.DUMMYFUNCTION(""""""""" &amp; REGEXEXTRACT(B2060, ""/detail/([^/?]+)"") &amp; """""","""),"""angkglpgfocbmbfamggoogejpkbleeni"",")</f>
        <v>"angkglpgfocbmbfamggoogejpkbleeni",</v>
      </c>
    </row>
    <row r="2061">
      <c r="A2061" s="4" t="s">
        <v>21243</v>
      </c>
      <c r="B2061" s="4" t="s">
        <v>4107</v>
      </c>
      <c r="C2061" s="16" t="str">
        <f>IFERROR(__xludf.DUMMYFUNCTION(""""""""" &amp; REGEXEXTRACT(B2061, ""/detail/([^/?]+)"") &amp; """""","""),"""aogkniilndigdbhikgjhialgiileaiih"",")</f>
        <v>"aogkniilndigdbhikgjhialgiileaiih",</v>
      </c>
    </row>
    <row r="2062">
      <c r="A2062" s="4" t="s">
        <v>21244</v>
      </c>
      <c r="B2062" s="4" t="s">
        <v>4109</v>
      </c>
      <c r="C2062" s="16" t="str">
        <f>IFERROR(__xludf.DUMMYFUNCTION(""""""""" &amp; REGEXEXTRACT(B2062, ""/detail/([^/?]+)"") &amp; """""","""),"""aoicmjiknpcgkhgeobpfaljpidnnloll"",")</f>
        <v>"aoicmjiknpcgkhgeobpfaljpidnnloll",</v>
      </c>
    </row>
    <row r="2063">
      <c r="A2063" s="4" t="s">
        <v>21245</v>
      </c>
      <c r="B2063" s="4" t="s">
        <v>4111</v>
      </c>
      <c r="C2063" s="16" t="str">
        <f>IFERROR(__xludf.DUMMYFUNCTION(""""""""" &amp; REGEXEXTRACT(B2063, ""/detail/([^/?]+)"") &amp; """""","""),"""apfgmikchfgiiembdeoeadbfaclghdmi"",")</f>
        <v>"apfgmikchfgiiembdeoeadbfaclghdmi",</v>
      </c>
    </row>
    <row r="2064">
      <c r="A2064" s="4" t="s">
        <v>21246</v>
      </c>
      <c r="B2064" s="4" t="s">
        <v>4113</v>
      </c>
      <c r="C2064" s="16" t="str">
        <f>IFERROR(__xludf.DUMMYFUNCTION(""""""""" &amp; REGEXEXTRACT(B2064, ""/detail/([^/?]+)"") &amp; """""","""),"""bbjabfjlgajemfdkmmgjmjmhfaaicfph"",")</f>
        <v>"bbjabfjlgajemfdkmmgjmjmhfaaicfph",</v>
      </c>
    </row>
    <row r="2065">
      <c r="A2065" s="4" t="s">
        <v>21247</v>
      </c>
      <c r="B2065" s="4" t="s">
        <v>4115</v>
      </c>
      <c r="C2065" s="16" t="str">
        <f>IFERROR(__xludf.DUMMYFUNCTION(""""""""" &amp; REGEXEXTRACT(B2065, ""/detail/([^/?]+)"") &amp; """""","""),"""bepdnmdfijnlajlgmaaeabkmhigcgcfj"",")</f>
        <v>"bepdnmdfijnlajlgmaaeabkmhigcgcfj",</v>
      </c>
    </row>
    <row r="2066">
      <c r="A2066" s="4" t="s">
        <v>21248</v>
      </c>
      <c r="B2066" s="4" t="s">
        <v>4117</v>
      </c>
      <c r="C2066" s="16" t="str">
        <f>IFERROR(__xludf.DUMMYFUNCTION(""""""""" &amp; REGEXEXTRACT(B2066, ""/detail/([^/?]+)"") &amp; """""","""),"""bepilablapiogeghmjiopiaoikgdcgjo"",")</f>
        <v>"bepilablapiogeghmjiopiaoikgdcgjo",</v>
      </c>
    </row>
    <row r="2067">
      <c r="A2067" s="4" t="s">
        <v>21249</v>
      </c>
      <c r="B2067" s="4" t="s">
        <v>4119</v>
      </c>
      <c r="C2067" s="16" t="str">
        <f>IFERROR(__xludf.DUMMYFUNCTION(""""""""" &amp; REGEXEXTRACT(B2067, ""/detail/([^/?]+)"") &amp; """""","""),"""bhfakmaiadhflpjloimlagikhodjiefj"",")</f>
        <v>"bhfakmaiadhflpjloimlagikhodjiefj",</v>
      </c>
    </row>
    <row r="2068">
      <c r="A2068" s="4" t="s">
        <v>21250</v>
      </c>
      <c r="B2068" s="4" t="s">
        <v>4121</v>
      </c>
      <c r="C2068" s="16" t="str">
        <f>IFERROR(__xludf.DUMMYFUNCTION(""""""""" &amp; REGEXEXTRACT(B2068, ""/detail/([^/?]+)"") &amp; """""","""),"""bhkgjcmhgbpmedkghbphnfkjibekjdgp"",")</f>
        <v>"bhkgjcmhgbpmedkghbphnfkjibekjdgp",</v>
      </c>
    </row>
    <row r="2069">
      <c r="A2069" s="4" t="s">
        <v>21251</v>
      </c>
      <c r="B2069" s="4" t="s">
        <v>4123</v>
      </c>
      <c r="C2069" s="16" t="str">
        <f>IFERROR(__xludf.DUMMYFUNCTION(""""""""" &amp; REGEXEXTRACT(B2069, ""/detail/([^/?]+)"") &amp; """""","""),"""bjmmjfdegplhkefakjkccocjanekbapn"",")</f>
        <v>"bjmmjfdegplhkefakjkccocjanekbapn",</v>
      </c>
    </row>
    <row r="2070">
      <c r="A2070" s="4" t="s">
        <v>21252</v>
      </c>
      <c r="B2070" s="4" t="s">
        <v>4125</v>
      </c>
      <c r="C2070" s="16" t="str">
        <f>IFERROR(__xludf.DUMMYFUNCTION(""""""""" &amp; REGEXEXTRACT(B2070, ""/detail/([^/?]+)"") &amp; """""","""),"""blholmpddeffdmfmnajiophjfibiland"",")</f>
        <v>"blholmpddeffdmfmnajiophjfibiland",</v>
      </c>
    </row>
    <row r="2071">
      <c r="A2071" s="4" t="s">
        <v>21253</v>
      </c>
      <c r="B2071" s="4" t="s">
        <v>4127</v>
      </c>
      <c r="C2071" s="16" t="str">
        <f>IFERROR(__xludf.DUMMYFUNCTION(""""""""" &amp; REGEXEXTRACT(B2071, ""/detail/([^/?]+)"") &amp; """""","""),"""blifojkemdbgeeookigglkieimfiiiga"",")</f>
        <v>"blifojkemdbgeeookigglkieimfiiiga",</v>
      </c>
    </row>
    <row r="2072">
      <c r="A2072" s="4" t="s">
        <v>21254</v>
      </c>
      <c r="B2072" s="4" t="s">
        <v>4129</v>
      </c>
      <c r="C2072" s="16" t="str">
        <f>IFERROR(__xludf.DUMMYFUNCTION(""""""""" &amp; REGEXEXTRACT(B2072, ""/detail/([^/?]+)"") &amp; """""","""),"""bopcbmipnjdcdfflfgjdgdjejmgpoaab"",")</f>
        <v>"bopcbmipnjdcdfflfgjdgdjejmgpoaab",</v>
      </c>
    </row>
    <row r="2073">
      <c r="A2073" s="4" t="s">
        <v>21255</v>
      </c>
      <c r="B2073" s="4" t="s">
        <v>4131</v>
      </c>
      <c r="C2073" s="16" t="str">
        <f>IFERROR(__xludf.DUMMYFUNCTION(""""""""" &amp; REGEXEXTRACT(B2073, ""/detail/([^/?]+)"") &amp; """""","""),"""cahpidddaimdojnddnahjpnefajpheep"",")</f>
        <v>"cahpidddaimdojnddnahjpnefajpheep",</v>
      </c>
    </row>
    <row r="2074">
      <c r="A2074" s="4" t="s">
        <v>21256</v>
      </c>
      <c r="B2074" s="4" t="s">
        <v>4133</v>
      </c>
      <c r="C2074" s="16" t="str">
        <f>IFERROR(__xludf.DUMMYFUNCTION(""""""""" &amp; REGEXEXTRACT(B2074, ""/detail/([^/?]+)"") &amp; """""","""),"""camllofofikjlekagbjhiiakkljlindg"",")</f>
        <v>"camllofofikjlekagbjhiiakkljlindg",</v>
      </c>
    </row>
    <row r="2075">
      <c r="A2075" s="4" t="s">
        <v>21257</v>
      </c>
      <c r="B2075" s="4" t="s">
        <v>4135</v>
      </c>
      <c r="C2075" s="16" t="str">
        <f>IFERROR(__xludf.DUMMYFUNCTION(""""""""" &amp; REGEXEXTRACT(B2075, ""/detail/([^/?]+)"") &amp; """""","""),"""cbgncbhpofjkcpihgcpiekmfafpokabb"",")</f>
        <v>"cbgncbhpofjkcpihgcpiekmfafpokabb",</v>
      </c>
    </row>
    <row r="2076">
      <c r="A2076" s="4" t="s">
        <v>21258</v>
      </c>
      <c r="B2076" s="4" t="s">
        <v>4137</v>
      </c>
      <c r="C2076" s="16" t="str">
        <f>IFERROR(__xludf.DUMMYFUNCTION(""""""""" &amp; REGEXEXTRACT(B2076, ""/detail/([^/?]+)"") &amp; """""","""),"""cbheenbihjdgbmbogbefcgnpfoflhnhl"",")</f>
        <v>"cbheenbihjdgbmbogbefcgnpfoflhnhl",</v>
      </c>
    </row>
    <row r="2077">
      <c r="A2077" s="4" t="s">
        <v>21259</v>
      </c>
      <c r="B2077" s="4" t="s">
        <v>4139</v>
      </c>
      <c r="C2077" s="16" t="str">
        <f>IFERROR(__xludf.DUMMYFUNCTION(""""""""" &amp; REGEXEXTRACT(B2077, ""/detail/([^/?]+)"") &amp; """""","""),"""ccbelknaieflinofjneinjenjdpnjimk"",")</f>
        <v>"ccbelknaieflinofjneinjenjdpnjimk",</v>
      </c>
    </row>
    <row r="2078">
      <c r="A2078" s="4" t="s">
        <v>21260</v>
      </c>
      <c r="B2078" s="4" t="s">
        <v>4141</v>
      </c>
      <c r="C2078" s="16" t="str">
        <f>IFERROR(__xludf.DUMMYFUNCTION(""""""""" &amp; REGEXEXTRACT(B2078, ""/detail/([^/?]+)"") &amp; """""","""),"""ccgfaocoioaalmkpfffljakccbfnbkpa"",")</f>
        <v>"ccgfaocoioaalmkpfffljakccbfnbkpa",</v>
      </c>
    </row>
    <row r="2079">
      <c r="A2079" s="4" t="s">
        <v>21261</v>
      </c>
      <c r="B2079" s="4" t="s">
        <v>4143</v>
      </c>
      <c r="C2079" s="16" t="str">
        <f>IFERROR(__xludf.DUMMYFUNCTION(""""""""" &amp; REGEXEXTRACT(B2079, ""/detail/([^/?]+)"") &amp; """""","""),"""cdimdlckbkfelaogjhfbkjcfncbpngkn"",")</f>
        <v>"cdimdlckbkfelaogjhfbkjcfncbpngkn",</v>
      </c>
    </row>
    <row r="2080">
      <c r="A2080" s="4" t="s">
        <v>21262</v>
      </c>
      <c r="B2080" s="4" t="s">
        <v>4145</v>
      </c>
      <c r="C2080" s="16" t="str">
        <f>IFERROR(__xludf.DUMMYFUNCTION(""""""""" &amp; REGEXEXTRACT(B2080, ""/detail/([^/?]+)"") &amp; """""","""),"""cgjalgdhmbpaacnnejmodfinclbdgaci"",")</f>
        <v>"cgjalgdhmbpaacnnejmodfinclbdgaci",</v>
      </c>
    </row>
    <row r="2081">
      <c r="A2081" s="4" t="s">
        <v>21263</v>
      </c>
      <c r="B2081" s="4" t="s">
        <v>4147</v>
      </c>
      <c r="C2081" s="16" t="str">
        <f>IFERROR(__xludf.DUMMYFUNCTION(""""""""" &amp; REGEXEXTRACT(B2081, ""/detail/([^/?]+)"") &amp; """""","""),"""cgpbbgjlljobcemhhimjknkldpinacpn"",")</f>
        <v>"cgpbbgjlljobcemhhimjknkldpinacpn",</v>
      </c>
    </row>
    <row r="2082">
      <c r="A2082" s="4" t="s">
        <v>21264</v>
      </c>
      <c r="B2082" s="4" t="s">
        <v>4149</v>
      </c>
      <c r="C2082" s="16" t="str">
        <f>IFERROR(__xludf.DUMMYFUNCTION(""""""""" &amp; REGEXEXTRACT(B2082, ""/detail/([^/?]+)"") &amp; """""","""),"""cifabpkihmmedjjpefgfnajkpdnhbmfl"",")</f>
        <v>"cifabpkihmmedjjpefgfnajkpdnhbmfl",</v>
      </c>
    </row>
    <row r="2083">
      <c r="A2083" s="4" t="s">
        <v>21265</v>
      </c>
      <c r="B2083" s="4" t="s">
        <v>4151</v>
      </c>
      <c r="C2083" s="16" t="str">
        <f>IFERROR(__xludf.DUMMYFUNCTION(""""""""" &amp; REGEXEXTRACT(B2083, ""/detail/([^/?]+)"") &amp; """""","""),"""cjjokddcaglagiofkpeoiepkfafkapbj"",")</f>
        <v>"cjjokddcaglagiofkpeoiepkfafkapbj",</v>
      </c>
    </row>
    <row r="2084">
      <c r="A2084" s="4" t="s">
        <v>21266</v>
      </c>
      <c r="B2084" s="4" t="s">
        <v>4153</v>
      </c>
      <c r="C2084" s="16" t="str">
        <f>IFERROR(__xludf.DUMMYFUNCTION(""""""""" &amp; REGEXEXTRACT(B2084, ""/detail/([^/?]+)"") &amp; """""","""),"""ckdcladimoocjeeiopknkdmpppmpeagb"",")</f>
        <v>"ckdcladimoocjeeiopknkdmpppmpeagb",</v>
      </c>
    </row>
    <row r="2085">
      <c r="A2085" s="4" t="s">
        <v>21267</v>
      </c>
      <c r="B2085" s="4" t="s">
        <v>4155</v>
      </c>
      <c r="C2085" s="16" t="str">
        <f>IFERROR(__xludf.DUMMYFUNCTION(""""""""" &amp; REGEXEXTRACT(B2085, ""/detail/([^/?]+)"") &amp; """""","""),"""ckkfnchnfmgpiejgaacmbngkcjbaaipd"",")</f>
        <v>"ckkfnchnfmgpiejgaacmbngkcjbaaipd",</v>
      </c>
    </row>
    <row r="2086">
      <c r="A2086" s="4" t="s">
        <v>21268</v>
      </c>
      <c r="B2086" s="4" t="s">
        <v>4157</v>
      </c>
      <c r="C2086" s="16" t="str">
        <f>IFERROR(__xludf.DUMMYFUNCTION(""""""""" &amp; REGEXEXTRACT(B2086, ""/detail/([^/?]+)"") &amp; """""","""),"""cnfnooplfaeijohhiknoebeboiphdmea"",")</f>
        <v>"cnfnooplfaeijohhiknoebeboiphdmea",</v>
      </c>
    </row>
    <row r="2087">
      <c r="A2087" s="4" t="s">
        <v>21269</v>
      </c>
      <c r="B2087" s="4" t="s">
        <v>4159</v>
      </c>
      <c r="C2087" s="16" t="str">
        <f>IFERROR(__xludf.DUMMYFUNCTION(""""""""" &amp; REGEXEXTRACT(B2087, ""/detail/([^/?]+)"") &amp; """""","""),"""cplillmhmcegjlhcbedmgmalbgjpmlkh"",")</f>
        <v>"cplillmhmcegjlhcbedmgmalbgjpmlkh",</v>
      </c>
    </row>
    <row r="2088">
      <c r="A2088" s="4" t="s">
        <v>21270</v>
      </c>
      <c r="B2088" s="4" t="s">
        <v>4161</v>
      </c>
      <c r="C2088" s="16" t="str">
        <f>IFERROR(__xludf.DUMMYFUNCTION(""""""""" &amp; REGEXEXTRACT(B2088, ""/detail/([^/?]+)"") &amp; """""","""),"""dapehldnfebpbfpfknddmlhghjlbjhdb"",")</f>
        <v>"dapehldnfebpbfpfknddmlhghjlbjhdb",</v>
      </c>
    </row>
    <row r="2089">
      <c r="A2089" s="4" t="s">
        <v>21271</v>
      </c>
      <c r="B2089" s="4" t="s">
        <v>4163</v>
      </c>
      <c r="C2089" s="16" t="str">
        <f>IFERROR(__xludf.DUMMYFUNCTION(""""""""" &amp; REGEXEXTRACT(B2089, ""/detail/([^/?]+)"") &amp; """""","""),"""dbnfdljglikamcdljmffmhfionigapkf"",")</f>
        <v>"dbnfdljglikamcdljmffmhfionigapkf",</v>
      </c>
    </row>
    <row r="2090">
      <c r="A2090" s="4" t="s">
        <v>21272</v>
      </c>
      <c r="B2090" s="4" t="s">
        <v>4165</v>
      </c>
      <c r="C2090" s="16" t="str">
        <f>IFERROR(__xludf.DUMMYFUNCTION(""""""""" &amp; REGEXEXTRACT(B2090, ""/detail/([^/?]+)"") &amp; """""","""),"""dfoeddmkpdeheffinggbeggiebnhhmno"",")</f>
        <v>"dfoeddmkpdeheffinggbeggiebnhhmno",</v>
      </c>
    </row>
    <row r="2091">
      <c r="A2091" s="4" t="s">
        <v>21273</v>
      </c>
      <c r="B2091" s="4" t="s">
        <v>4167</v>
      </c>
      <c r="C2091" s="16" t="str">
        <f>IFERROR(__xludf.DUMMYFUNCTION(""""""""" &amp; REGEXEXTRACT(B2091, ""/detail/([^/?]+)"") &amp; """""","""),"""dghaelfeofkkdebndhkfoneojddiebhd"",")</f>
        <v>"dghaelfeofkkdebndhkfoneojddiebhd",</v>
      </c>
    </row>
    <row r="2092">
      <c r="A2092" s="4" t="s">
        <v>21274</v>
      </c>
      <c r="B2092" s="4" t="s">
        <v>4169</v>
      </c>
      <c r="C2092" s="16" t="str">
        <f>IFERROR(__xludf.DUMMYFUNCTION(""""""""" &amp; REGEXEXTRACT(B2092, ""/detail/([^/?]+)"") &amp; """""","""),"""dheemnnkahegifficiphgacgjfmigjec"",")</f>
        <v>"dheemnnkahegifficiphgacgjfmigjec",</v>
      </c>
    </row>
    <row r="2093">
      <c r="A2093" s="4" t="s">
        <v>21275</v>
      </c>
      <c r="B2093" s="4" t="s">
        <v>4171</v>
      </c>
      <c r="C2093" s="16" t="str">
        <f>IFERROR(__xludf.DUMMYFUNCTION(""""""""" &amp; REGEXEXTRACT(B2093, ""/detail/([^/?]+)"") &amp; """""","""),"""dlabodjigcmnanaldmfkpflpopgmdhii"",")</f>
        <v>"dlabodjigcmnanaldmfkpflpopgmdhii",</v>
      </c>
    </row>
    <row r="2094">
      <c r="A2094" s="4" t="s">
        <v>21276</v>
      </c>
      <c r="B2094" s="4" t="s">
        <v>4173</v>
      </c>
      <c r="C2094" s="16" t="str">
        <f>IFERROR(__xludf.DUMMYFUNCTION(""""""""" &amp; REGEXEXTRACT(B2094, ""/detail/([^/?]+)"") &amp; """""","""),"""dnefmfcaboiimmkibdjbnciggbfpeeco"",")</f>
        <v>"dnefmfcaboiimmkibdjbnciggbfpeeco",</v>
      </c>
    </row>
    <row r="2095">
      <c r="A2095" s="4" t="s">
        <v>21277</v>
      </c>
      <c r="B2095" s="4" t="s">
        <v>4175</v>
      </c>
      <c r="C2095" s="16" t="str">
        <f>IFERROR(__xludf.DUMMYFUNCTION(""""""""" &amp; REGEXEXTRACT(B2095, ""/detail/([^/?]+)"") &amp; """""","""),"""effbheagilkfnfmfomneghllopenjaap"",")</f>
        <v>"effbheagilkfnfmfomneghllopenjaap",</v>
      </c>
    </row>
    <row r="2096">
      <c r="A2096" s="4" t="s">
        <v>21278</v>
      </c>
      <c r="B2096" s="4" t="s">
        <v>4177</v>
      </c>
      <c r="C2096" s="16" t="str">
        <f>IFERROR(__xludf.DUMMYFUNCTION(""""""""" &amp; REGEXEXTRACT(B2096, ""/detail/([^/?]+)"") &amp; """""","""),"""efkkjffdefaaioagghcaflicdajfhceo"",")</f>
        <v>"efkkjffdefaaioagghcaflicdajfhceo",</v>
      </c>
    </row>
    <row r="2097">
      <c r="A2097" s="4" t="s">
        <v>21279</v>
      </c>
      <c r="B2097" s="4" t="s">
        <v>4179</v>
      </c>
      <c r="C2097" s="16" t="str">
        <f>IFERROR(__xludf.DUMMYFUNCTION(""""""""" &amp; REGEXEXTRACT(B2097, ""/detail/([^/?]+)"") &amp; """""","""),"""egfhcfdfnajldliefpdoaojgahefjhhi"",")</f>
        <v>"egfhcfdfnajldliefpdoaojgahefjhhi",</v>
      </c>
    </row>
    <row r="2098">
      <c r="A2098" s="4" t="s">
        <v>21280</v>
      </c>
      <c r="B2098" s="4" t="s">
        <v>4181</v>
      </c>
      <c r="C2098" s="16" t="str">
        <f>IFERROR(__xludf.DUMMYFUNCTION(""""""""" &amp; REGEXEXTRACT(B2098, ""/detail/([^/?]+)"") &amp; """""","""),"""ehdikikkfbfjjemfadgggcohkjoggoof"",")</f>
        <v>"ehdikikkfbfjjemfadgggcohkjoggoof",</v>
      </c>
    </row>
    <row r="2099">
      <c r="A2099" s="4" t="s">
        <v>21281</v>
      </c>
      <c r="B2099" s="4" t="s">
        <v>4183</v>
      </c>
      <c r="C2099" s="16" t="str">
        <f>IFERROR(__xludf.DUMMYFUNCTION(""""""""" &amp; REGEXEXTRACT(B2099, ""/detail/([^/?]+)"") &amp; """""","""),"""ehppjfimmbekmmponndiiiofmmdmgjlp"",")</f>
        <v>"ehppjfimmbekmmponndiiiofmmdmgjlp",</v>
      </c>
    </row>
    <row r="2100">
      <c r="A2100" s="4" t="s">
        <v>21282</v>
      </c>
      <c r="B2100" s="4" t="s">
        <v>4185</v>
      </c>
      <c r="C2100" s="16" t="str">
        <f>IFERROR(__xludf.DUMMYFUNCTION(""""""""" &amp; REGEXEXTRACT(B2100, ""/detail/([^/?]+)"") &amp; """""","""),"""eidhkmnbiahhgbgpjpiimdogfidfikgf"",")</f>
        <v>"eidhkmnbiahhgbgpjpiimdogfidfikgf",</v>
      </c>
    </row>
    <row r="2101">
      <c r="A2101" s="4" t="s">
        <v>21283</v>
      </c>
      <c r="B2101" s="4" t="s">
        <v>4187</v>
      </c>
      <c r="C2101" s="16" t="str">
        <f>IFERROR(__xludf.DUMMYFUNCTION(""""""""" &amp; REGEXEXTRACT(B2101, ""/detail/([^/?]+)"") &amp; """""","""),"""elfoibhncineionfonglaickdliaikmj"",")</f>
        <v>"elfoibhncineionfonglaickdliaikmj",</v>
      </c>
    </row>
    <row r="2102">
      <c r="A2102" s="4" t="s">
        <v>21284</v>
      </c>
      <c r="B2102" s="4" t="s">
        <v>4189</v>
      </c>
      <c r="C2102" s="16" t="str">
        <f>IFERROR(__xludf.DUMMYFUNCTION(""""""""" &amp; REGEXEXTRACT(B2102, ""/detail/([^/?]+)"") &amp; """""","""),"""emojfmbaibpbjkmledgflmenlkekalld"",")</f>
        <v>"emojfmbaibpbjkmledgflmenlkekalld",</v>
      </c>
    </row>
    <row r="2103">
      <c r="A2103" s="4" t="s">
        <v>21285</v>
      </c>
      <c r="B2103" s="4" t="s">
        <v>4191</v>
      </c>
      <c r="C2103" s="16" t="str">
        <f>IFERROR(__xludf.DUMMYFUNCTION(""""""""" &amp; REGEXEXTRACT(B2103, ""/detail/([^/?]+)"") &amp; """""","""),"""enhajhmncplakageabmopgpodkdgcodd"",")</f>
        <v>"enhajhmncplakageabmopgpodkdgcodd",</v>
      </c>
    </row>
    <row r="2104">
      <c r="A2104" s="4" t="s">
        <v>21286</v>
      </c>
      <c r="B2104" s="4" t="s">
        <v>4193</v>
      </c>
      <c r="C2104" s="16" t="str">
        <f>IFERROR(__xludf.DUMMYFUNCTION(""""""""" &amp; REGEXEXTRACT(B2104, ""/detail/([^/?]+)"") &amp; """""","""),"""enljfpkeopdppbphgadibdpodgjhmabm"",")</f>
        <v>"enljfpkeopdppbphgadibdpodgjhmabm",</v>
      </c>
    </row>
    <row r="2105">
      <c r="A2105" s="4" t="s">
        <v>21287</v>
      </c>
      <c r="B2105" s="4" t="s">
        <v>4195</v>
      </c>
      <c r="C2105" s="16" t="str">
        <f>IFERROR(__xludf.DUMMYFUNCTION(""""""""" &amp; REGEXEXTRACT(B2105, ""/detail/([^/?]+)"") &amp; """""","""),"""eoagmdboiealblmpaahjlhajggndaahi"",")</f>
        <v>"eoagmdboiealblmpaahjlhajggndaahi",</v>
      </c>
    </row>
    <row r="2106">
      <c r="A2106" s="4" t="s">
        <v>21288</v>
      </c>
      <c r="B2106" s="4" t="s">
        <v>4197</v>
      </c>
      <c r="C2106" s="16" t="str">
        <f>IFERROR(__xludf.DUMMYFUNCTION(""""""""" &amp; REGEXEXTRACT(B2106, ""/detail/([^/?]+)"") &amp; """""","""),"""epbnmkionkpliaiogpemfkclmcnbdfle"",")</f>
        <v>"epbnmkionkpliaiogpemfkclmcnbdfle",</v>
      </c>
    </row>
    <row r="2107">
      <c r="A2107" s="4" t="s">
        <v>21289</v>
      </c>
      <c r="B2107" s="4" t="s">
        <v>4199</v>
      </c>
      <c r="C2107" s="16" t="str">
        <f>IFERROR(__xludf.DUMMYFUNCTION(""""""""" &amp; REGEXEXTRACT(B2107, ""/detail/([^/?]+)"") &amp; """""","""),"""epgnobcgnmchnhgkgpedebbmhbblfcob"",")</f>
        <v>"epgnobcgnmchnhgkgpedebbmhbblfcob",</v>
      </c>
    </row>
    <row r="2108">
      <c r="A2108" s="4" t="s">
        <v>21290</v>
      </c>
      <c r="B2108" s="4" t="s">
        <v>4201</v>
      </c>
      <c r="C2108" s="16" t="str">
        <f>IFERROR(__xludf.DUMMYFUNCTION(""""""""" &amp; REGEXEXTRACT(B2108, ""/detail/([^/?]+)"") &amp; """""","""),"""fbbjhoaakfhbggkegckmjafkffaofnkd"",")</f>
        <v>"fbbjhoaakfhbggkegckmjafkffaofnkd",</v>
      </c>
    </row>
    <row r="2109">
      <c r="A2109" s="4" t="s">
        <v>21291</v>
      </c>
      <c r="B2109" s="4" t="s">
        <v>4203</v>
      </c>
      <c r="C2109" s="16" t="str">
        <f>IFERROR(__xludf.DUMMYFUNCTION(""""""""" &amp; REGEXEXTRACT(B2109, ""/detail/([^/?]+)"") &amp; """""","""),"""fbhiolckidkciamgcobkokpelckgnnol"",")</f>
        <v>"fbhiolckidkciamgcobkokpelckgnnol",</v>
      </c>
    </row>
    <row r="2110">
      <c r="A2110" s="4" t="s">
        <v>21292</v>
      </c>
      <c r="B2110" s="4" t="s">
        <v>4205</v>
      </c>
      <c r="C2110" s="16" t="str">
        <f>IFERROR(__xludf.DUMMYFUNCTION(""""""""" &amp; REGEXEXTRACT(B2110, ""/detail/([^/?]+)"") &amp; """""","""),"""fhckbdfnalikpmcmcpcpkkdlhabngbod"",")</f>
        <v>"fhckbdfnalikpmcmcpcpkkdlhabngbod",</v>
      </c>
    </row>
    <row r="2111">
      <c r="A2111" s="4" t="s">
        <v>21293</v>
      </c>
      <c r="B2111" s="4" t="s">
        <v>4207</v>
      </c>
      <c r="C2111" s="16" t="str">
        <f>IFERROR(__xludf.DUMMYFUNCTION(""""""""" &amp; REGEXEXTRACT(B2111, ""/detail/([^/?]+)"") &amp; """""","""),"""fiekffjkdplmnioinfgkdoacpnefibeb"",")</f>
        <v>"fiekffjkdplmnioinfgkdoacpnefibeb",</v>
      </c>
    </row>
    <row r="2112">
      <c r="A2112" s="4" t="s">
        <v>21294</v>
      </c>
      <c r="B2112" s="4" t="s">
        <v>4209</v>
      </c>
      <c r="C2112" s="16" t="str">
        <f>IFERROR(__xludf.DUMMYFUNCTION(""""""""" &amp; REGEXEXTRACT(B2112, ""/detail/([^/?]+)"") &amp; """""","""),"""fienhnlhhgmpnedllhaofmbekocecghf"",")</f>
        <v>"fienhnlhhgmpnedllhaofmbekocecghf",</v>
      </c>
    </row>
    <row r="2113">
      <c r="A2113" s="4" t="s">
        <v>21295</v>
      </c>
      <c r="B2113" s="4" t="s">
        <v>4211</v>
      </c>
      <c r="C2113" s="16" t="str">
        <f>IFERROR(__xludf.DUMMYFUNCTION(""""""""" &amp; REGEXEXTRACT(B2113, ""/detail/([^/?]+)"") &amp; """""","""),"""fjclfnmheeaecfgmgbafnpkalhnijjbj"",")</f>
        <v>"fjclfnmheeaecfgmgbafnpkalhnijjbj",</v>
      </c>
    </row>
    <row r="2114">
      <c r="A2114" s="4" t="s">
        <v>21296</v>
      </c>
      <c r="B2114" s="4" t="s">
        <v>4213</v>
      </c>
      <c r="C2114" s="16" t="str">
        <f>IFERROR(__xludf.DUMMYFUNCTION(""""""""" &amp; REGEXEXTRACT(B2114, ""/detail/([^/?]+)"") &amp; """""","""),"""fkolbdohecbecliihaobiiamdmhhnaei"",")</f>
        <v>"fkolbdohecbecliihaobiiamdmhhnaei",</v>
      </c>
    </row>
    <row r="2115">
      <c r="A2115" s="4" t="s">
        <v>21297</v>
      </c>
      <c r="B2115" s="4" t="s">
        <v>4215</v>
      </c>
      <c r="C2115" s="16" t="str">
        <f>IFERROR(__xludf.DUMMYFUNCTION(""""""""" &amp; REGEXEXTRACT(B2115, ""/detail/([^/?]+)"") &amp; """""","""),"""fmpgoobcionmfneadjapdabmjfkmfekb"",")</f>
        <v>"fmpgoobcionmfneadjapdabmjfkmfekb",</v>
      </c>
    </row>
    <row r="2116">
      <c r="A2116" s="4" t="s">
        <v>21298</v>
      </c>
      <c r="B2116" s="4" t="s">
        <v>4217</v>
      </c>
      <c r="C2116" s="16" t="str">
        <f>IFERROR(__xludf.DUMMYFUNCTION(""""""""" &amp; REGEXEXTRACT(B2116, ""/detail/([^/?]+)"") &amp; """""","""),"""focdbmjgdonlpdknobfghplhmafpgfbp"",")</f>
        <v>"focdbmjgdonlpdknobfghplhmafpgfbp",</v>
      </c>
    </row>
    <row r="2117">
      <c r="A2117" s="4" t="s">
        <v>21299</v>
      </c>
      <c r="B2117" s="4" t="s">
        <v>4219</v>
      </c>
      <c r="C2117" s="16" t="str">
        <f>IFERROR(__xludf.DUMMYFUNCTION(""""""""" &amp; REGEXEXTRACT(B2117, ""/detail/([^/?]+)"") &amp; """""","""),"""foikfmnjgoljejophccdlhenbkogiemo"",")</f>
        <v>"foikfmnjgoljejophccdlhenbkogiemo",</v>
      </c>
    </row>
    <row r="2118">
      <c r="A2118" s="4" t="s">
        <v>21300</v>
      </c>
      <c r="B2118" s="4" t="s">
        <v>4221</v>
      </c>
      <c r="C2118" s="16" t="str">
        <f>IFERROR(__xludf.DUMMYFUNCTION(""""""""" &amp; REGEXEXTRACT(B2118, ""/detail/([^/?]+)"") &amp; """""","""),"""gadcolbcakmopcchoikmeefapigpoaih"",")</f>
        <v>"gadcolbcakmopcchoikmeefapigpoaih",</v>
      </c>
    </row>
    <row r="2119">
      <c r="A2119" s="4" t="s">
        <v>21301</v>
      </c>
      <c r="B2119" s="4" t="s">
        <v>4223</v>
      </c>
      <c r="C2119" s="16" t="str">
        <f>IFERROR(__xludf.DUMMYFUNCTION(""""""""" &amp; REGEXEXTRACT(B2119, ""/detail/([^/?]+)"") &amp; """""","""),"""gajnifmlijakbfmnhnnjplphnehlkfdh"",")</f>
        <v>"gajnifmlijakbfmnhnnjplphnehlkfdh",</v>
      </c>
    </row>
    <row r="2120">
      <c r="A2120" s="4" t="s">
        <v>21302</v>
      </c>
      <c r="B2120" s="4" t="s">
        <v>4225</v>
      </c>
      <c r="C2120" s="16" t="str">
        <f>IFERROR(__xludf.DUMMYFUNCTION(""""""""" &amp; REGEXEXTRACT(B2120, ""/detail/([^/?]+)"") &amp; """""","""),"""gakchdgcpjbchncgbflfkajcfpnbhohi"",")</f>
        <v>"gakchdgcpjbchncgbflfkajcfpnbhohi",</v>
      </c>
    </row>
    <row r="2121">
      <c r="A2121" s="4" t="s">
        <v>21303</v>
      </c>
      <c r="B2121" s="4" t="s">
        <v>4227</v>
      </c>
      <c r="C2121" s="16" t="str">
        <f>IFERROR(__xludf.DUMMYFUNCTION(""""""""" &amp; REGEXEXTRACT(B2121, ""/detail/([^/?]+)"") &amp; """""","""),"""gbghgcnclindfhamjcecblpjkanendei"",")</f>
        <v>"gbghgcnclindfhamjcecblpjkanendei",</v>
      </c>
    </row>
    <row r="2122">
      <c r="A2122" s="4" t="s">
        <v>21304</v>
      </c>
      <c r="B2122" s="4" t="s">
        <v>4229</v>
      </c>
      <c r="C2122" s="16" t="str">
        <f>IFERROR(__xludf.DUMMYFUNCTION(""""""""" &amp; REGEXEXTRACT(B2122, ""/detail/([^/?]+)"") &amp; """""","""),"""gkdofhllgfohlddimiiildbgoggdpoea"",")</f>
        <v>"gkdofhllgfohlddimiiildbgoggdpoea",</v>
      </c>
    </row>
    <row r="2123">
      <c r="A2123" s="4" t="s">
        <v>21305</v>
      </c>
      <c r="B2123" s="4" t="s">
        <v>4231</v>
      </c>
      <c r="C2123" s="16" t="str">
        <f>IFERROR(__xludf.DUMMYFUNCTION(""""""""" &amp; REGEXEXTRACT(B2123, ""/detail/([^/?]+)"") &amp; """""","""),"""gkggfgbfhbjdgaeejgiamboldhblempk"",")</f>
        <v>"gkggfgbfhbjdgaeejgiamboldhblempk",</v>
      </c>
    </row>
    <row r="2124">
      <c r="A2124" s="4" t="s">
        <v>21306</v>
      </c>
      <c r="B2124" s="4" t="s">
        <v>4233</v>
      </c>
      <c r="C2124" s="16" t="str">
        <f>IFERROR(__xludf.DUMMYFUNCTION(""""""""" &amp; REGEXEXTRACT(B2124, ""/detail/([^/?]+)"") &amp; """""","""),"""glilfjhglngcfhiogplalcgepclphbhd"",")</f>
        <v>"glilfjhglngcfhiogplalcgepclphbhd",</v>
      </c>
    </row>
    <row r="2125">
      <c r="A2125" s="4" t="s">
        <v>21307</v>
      </c>
      <c r="B2125" s="4" t="s">
        <v>4235</v>
      </c>
      <c r="C2125" s="16" t="str">
        <f>IFERROR(__xludf.DUMMYFUNCTION(""""""""" &amp; REGEXEXTRACT(B2125, ""/detail/([^/?]+)"") &amp; """""","""),"""gmkohmponbmhggcpigfkcadabcjnckii"",")</f>
        <v>"gmkohmponbmhggcpigfkcadabcjnckii",</v>
      </c>
    </row>
    <row r="2126">
      <c r="A2126" s="4" t="s">
        <v>21308</v>
      </c>
      <c r="B2126" s="4" t="s">
        <v>4237</v>
      </c>
      <c r="C2126" s="16" t="str">
        <f>IFERROR(__xludf.DUMMYFUNCTION(""""""""" &amp; REGEXEXTRACT(B2126, ""/detail/([^/?]+)"") &amp; """""","""),"""gndlcpbcmhbcaadppjjekgbhfhceeikm"",")</f>
        <v>"gndlcpbcmhbcaadppjjekgbhfhceeikm",</v>
      </c>
    </row>
    <row r="2127">
      <c r="A2127" s="4" t="s">
        <v>21309</v>
      </c>
      <c r="B2127" s="4" t="s">
        <v>4239</v>
      </c>
      <c r="C2127" s="16" t="str">
        <f>IFERROR(__xludf.DUMMYFUNCTION(""""""""" &amp; REGEXEXTRACT(B2127, ""/detail/([^/?]+)"") &amp; """""","""),"""gnnlgfolofpjdgjhfejmlcabaedmdfcn"",")</f>
        <v>"gnnlgfolofpjdgjhfejmlcabaedmdfcn",</v>
      </c>
    </row>
    <row r="2128">
      <c r="A2128" s="4" t="s">
        <v>21310</v>
      </c>
      <c r="B2128" s="4" t="s">
        <v>4241</v>
      </c>
      <c r="C2128" s="16" t="str">
        <f>IFERROR(__xludf.DUMMYFUNCTION(""""""""" &amp; REGEXEXTRACT(B2128, ""/detail/([^/?]+)"") &amp; """""","""),"""gpmkacpkcakamljkjdjfgmncbpfjacjl"",")</f>
        <v>"gpmkacpkcakamljkjdjfgmncbpfjacjl",</v>
      </c>
    </row>
    <row r="2129">
      <c r="A2129" s="4" t="s">
        <v>21311</v>
      </c>
      <c r="B2129" s="4" t="s">
        <v>4243</v>
      </c>
      <c r="C2129" s="16" t="str">
        <f>IFERROR(__xludf.DUMMYFUNCTION(""""""""" &amp; REGEXEXTRACT(B2129, ""/detail/([^/?]+)"") &amp; """""","""),"""hangmahandhlldanmofnfflimjojpijg"",")</f>
        <v>"hangmahandhlldanmofnfflimjojpijg",</v>
      </c>
    </row>
    <row r="2130">
      <c r="A2130" s="4" t="s">
        <v>21312</v>
      </c>
      <c r="B2130" s="4" t="s">
        <v>4245</v>
      </c>
      <c r="C2130" s="16" t="str">
        <f>IFERROR(__xludf.DUMMYFUNCTION(""""""""" &amp; REGEXEXTRACT(B2130, ""/detail/([^/?]+)"") &amp; """""","""),"""hddjiolhkfkmefgibgbnknojngnpgmec"",")</f>
        <v>"hddjiolhkfkmefgibgbnknojngnpgmec",</v>
      </c>
    </row>
    <row r="2131">
      <c r="A2131" s="4" t="s">
        <v>21313</v>
      </c>
      <c r="B2131" s="4" t="s">
        <v>4247</v>
      </c>
      <c r="C2131" s="16" t="str">
        <f>IFERROR(__xludf.DUMMYFUNCTION(""""""""" &amp; REGEXEXTRACT(B2131, ""/detail/([^/?]+)"") &amp; """""","""),"""hfckgfbhdacemicpjljhfbjmkiggeche"",")</f>
        <v>"hfckgfbhdacemicpjljhfbjmkiggeche",</v>
      </c>
    </row>
    <row r="2132">
      <c r="A2132" s="4" t="s">
        <v>21314</v>
      </c>
      <c r="B2132" s="4" t="s">
        <v>4249</v>
      </c>
      <c r="C2132" s="16" t="str">
        <f>IFERROR(__xludf.DUMMYFUNCTION(""""""""" &amp; REGEXEXTRACT(B2132, ""/detail/([^/?]+)"") &amp; """""","""),"""hgfbigeomjlaahldcoilagphholnmhlc"",")</f>
        <v>"hgfbigeomjlaahldcoilagphholnmhlc",</v>
      </c>
    </row>
    <row r="2133">
      <c r="A2133" s="4" t="s">
        <v>21315</v>
      </c>
      <c r="B2133" s="4" t="s">
        <v>4251</v>
      </c>
      <c r="C2133" s="16" t="str">
        <f>IFERROR(__xludf.DUMMYFUNCTION(""""""""" &amp; REGEXEXTRACT(B2133, ""/detail/([^/?]+)"") &amp; """""","""),"""hkdnokkapkcmjhmbobdggmdhbocokafc"",")</f>
        <v>"hkdnokkapkcmjhmbobdggmdhbocokafc",</v>
      </c>
    </row>
    <row r="2134">
      <c r="A2134" s="4" t="s">
        <v>21316</v>
      </c>
      <c r="B2134" s="4" t="s">
        <v>4253</v>
      </c>
      <c r="C2134" s="16" t="str">
        <f>IFERROR(__xludf.DUMMYFUNCTION(""""""""" &amp; REGEXEXTRACT(B2134, ""/detail/([^/?]+)"") &amp; """""","""),"""ibeahcfhgmcggdgahfmnhmnjdinbakoo"",")</f>
        <v>"ibeahcfhgmcggdgahfmnhmnjdinbakoo",</v>
      </c>
    </row>
    <row r="2135">
      <c r="A2135" s="4" t="s">
        <v>21317</v>
      </c>
      <c r="B2135" s="4" t="s">
        <v>4255</v>
      </c>
      <c r="C2135" s="16" t="str">
        <f>IFERROR(__xludf.DUMMYFUNCTION(""""""""" &amp; REGEXEXTRACT(B2135, ""/detail/([^/?]+)"") &amp; """""","""),"""ibfbhbegfkamboeglpnianlggahglbfi"",")</f>
        <v>"ibfbhbegfkamboeglpnianlggahglbfi",</v>
      </c>
    </row>
    <row r="2136">
      <c r="A2136" s="4" t="s">
        <v>21318</v>
      </c>
      <c r="B2136" s="4" t="s">
        <v>4257</v>
      </c>
      <c r="C2136" s="16" t="str">
        <f>IFERROR(__xludf.DUMMYFUNCTION(""""""""" &amp; REGEXEXTRACT(B2136, ""/detail/([^/?]+)"") &amp; """""","""),"""ibmjlihekifiigloelpcnffjbkcdhebf"",")</f>
        <v>"ibmjlihekifiigloelpcnffjbkcdhebf",</v>
      </c>
    </row>
    <row r="2137">
      <c r="A2137" s="4" t="s">
        <v>21319</v>
      </c>
      <c r="B2137" s="4" t="s">
        <v>4259</v>
      </c>
      <c r="C2137" s="16" t="str">
        <f>IFERROR(__xludf.DUMMYFUNCTION(""""""""" &amp; REGEXEXTRACT(B2137, ""/detail/([^/?]+)"") &amp; """""","""),"""iejedhnbogbenkmhfjoolmlibldbkhhj"",")</f>
        <v>"iejedhnbogbenkmhfjoolmlibldbkhhj",</v>
      </c>
    </row>
    <row r="2138">
      <c r="A2138" s="4" t="s">
        <v>21320</v>
      </c>
      <c r="B2138" s="4" t="s">
        <v>4261</v>
      </c>
      <c r="C2138" s="16" t="str">
        <f>IFERROR(__xludf.DUMMYFUNCTION(""""""""" &amp; REGEXEXTRACT(B2138, ""/detail/([^/?]+)"") &amp; """""","""),"""iejlefphljdlldbogebiknjdbgdmlodd"",")</f>
        <v>"iejlefphljdlldbogebiknjdbgdmlodd",</v>
      </c>
    </row>
    <row r="2139">
      <c r="A2139" s="4" t="s">
        <v>21321</v>
      </c>
      <c r="B2139" s="4" t="s">
        <v>4263</v>
      </c>
      <c r="C2139" s="16" t="str">
        <f>IFERROR(__xludf.DUMMYFUNCTION(""""""""" &amp; REGEXEXTRACT(B2139, ""/detail/([^/?]+)"") &amp; """""","""),"""ifhndomfnbmggdgodaicfebeggdphlcn"",")</f>
        <v>"ifhndomfnbmggdgodaicfebeggdphlcn",</v>
      </c>
    </row>
    <row r="2140">
      <c r="A2140" s="4" t="s">
        <v>21322</v>
      </c>
      <c r="B2140" s="4" t="s">
        <v>4265</v>
      </c>
      <c r="C2140" s="16" t="str">
        <f>IFERROR(__xludf.DUMMYFUNCTION(""""""""" &amp; REGEXEXTRACT(B2140, ""/detail/([^/?]+)"") &amp; """""","""),"""ijehohpnpekbejmlkiofnlggakgeheke"",")</f>
        <v>"ijehohpnpekbejmlkiofnlggakgeheke",</v>
      </c>
    </row>
    <row r="2141">
      <c r="A2141" s="4" t="s">
        <v>21323</v>
      </c>
      <c r="B2141" s="4" t="s">
        <v>4267</v>
      </c>
      <c r="C2141" s="16" t="str">
        <f>IFERROR(__xludf.DUMMYFUNCTION(""""""""" &amp; REGEXEXTRACT(B2141, ""/detail/([^/?]+)"") &amp; """""","""),"""ijkcfokgcohhndhfkjpdaefhndnimdla"",")</f>
        <v>"ijkcfokgcohhndhfkjpdaefhndnimdla",</v>
      </c>
    </row>
    <row r="2142">
      <c r="A2142" s="4" t="s">
        <v>21324</v>
      </c>
      <c r="B2142" s="4" t="s">
        <v>4269</v>
      </c>
      <c r="C2142" s="16" t="str">
        <f>IFERROR(__xludf.DUMMYFUNCTION(""""""""" &amp; REGEXEXTRACT(B2142, ""/detail/([^/?]+)"") &amp; """""","""),"""inifbdfjipiapkbboiijoahomdgahaim"",")</f>
        <v>"inifbdfjipiapkbboiijoahomdgahaim",</v>
      </c>
    </row>
    <row r="2143">
      <c r="A2143" s="4" t="s">
        <v>21325</v>
      </c>
      <c r="B2143" s="4" t="s">
        <v>4271</v>
      </c>
      <c r="C2143" s="16" t="str">
        <f>IFERROR(__xludf.DUMMYFUNCTION(""""""""" &amp; REGEXEXTRACT(B2143, ""/detail/([^/?]+)"") &amp; """""","""),"""ioneiaafmcopdbalkdcngmhklemlhfka"",")</f>
        <v>"ioneiaafmcopdbalkdcngmhklemlhfka",</v>
      </c>
    </row>
    <row r="2144">
      <c r="A2144" s="4" t="s">
        <v>21326</v>
      </c>
      <c r="B2144" s="4" t="s">
        <v>4273</v>
      </c>
      <c r="C2144" s="16" t="str">
        <f>IFERROR(__xludf.DUMMYFUNCTION(""""""""" &amp; REGEXEXTRACT(B2144, ""/detail/([^/?]+)"") &amp; """""","""),"""ipbjjbpopodbnjbjnneakhcppdocpelg"",")</f>
        <v>"ipbjjbpopodbnjbjnneakhcppdocpelg",</v>
      </c>
    </row>
    <row r="2145">
      <c r="A2145" s="4" t="s">
        <v>21327</v>
      </c>
      <c r="B2145" s="4" t="s">
        <v>4275</v>
      </c>
      <c r="C2145" s="16" t="str">
        <f>IFERROR(__xludf.DUMMYFUNCTION(""""""""" &amp; REGEXEXTRACT(B2145, ""/detail/([^/?]+)"") &amp; """""","""),"""jalbnaaehacechfcjkfangdgacckodjg"",")</f>
        <v>"jalbnaaehacechfcjkfangdgacckodjg",</v>
      </c>
    </row>
    <row r="2146">
      <c r="A2146" s="4" t="s">
        <v>21328</v>
      </c>
      <c r="B2146" s="4" t="s">
        <v>4277</v>
      </c>
      <c r="C2146" s="16" t="str">
        <f>IFERROR(__xludf.DUMMYFUNCTION(""""""""" &amp; REGEXEXTRACT(B2146, ""/detail/([^/?]+)"") &amp; """""","""),"""jbiffggjjomeebhgmdeacgjohkoknadl"",")</f>
        <v>"jbiffggjjomeebhgmdeacgjohkoknadl",</v>
      </c>
    </row>
    <row r="2147">
      <c r="A2147" s="4" t="s">
        <v>21329</v>
      </c>
      <c r="B2147" s="4" t="s">
        <v>4279</v>
      </c>
      <c r="C2147" s="16" t="str">
        <f>IFERROR(__xludf.DUMMYFUNCTION(""""""""" &amp; REGEXEXTRACT(B2147, ""/detail/([^/?]+)"") &amp; """""","""),"""jcaobjhdnlpmopmjhijplpjhlplfkhba"",")</f>
        <v>"jcaobjhdnlpmopmjhijplpjhlplfkhba",</v>
      </c>
    </row>
    <row r="2148">
      <c r="A2148" s="4" t="s">
        <v>21330</v>
      </c>
      <c r="B2148" s="4" t="s">
        <v>4281</v>
      </c>
      <c r="C2148" s="16" t="str">
        <f>IFERROR(__xludf.DUMMYFUNCTION(""""""""" &amp; REGEXEXTRACT(B2148, ""/detail/([^/?]+)"") &amp; """""","""),"""jchobbjgibcahbheicfocecmhocglkco"",")</f>
        <v>"jchobbjgibcahbheicfocecmhocglkco",</v>
      </c>
    </row>
    <row r="2149">
      <c r="A2149" s="4" t="s">
        <v>21331</v>
      </c>
      <c r="B2149" s="4" t="s">
        <v>4283</v>
      </c>
      <c r="C2149" s="16" t="str">
        <f>IFERROR(__xludf.DUMMYFUNCTION(""""""""" &amp; REGEXEXTRACT(B2149, ""/detail/([^/?]+)"") &amp; """""","""),"""jekdfmbpignlnhlafcifmojemcjcgieo"",")</f>
        <v>"jekdfmbpignlnhlafcifmojemcjcgieo",</v>
      </c>
    </row>
    <row r="2150">
      <c r="A2150" s="4" t="s">
        <v>21332</v>
      </c>
      <c r="B2150" s="4" t="s">
        <v>4285</v>
      </c>
      <c r="C2150" s="16" t="str">
        <f>IFERROR(__xludf.DUMMYFUNCTION(""""""""" &amp; REGEXEXTRACT(B2150, ""/detail/([^/?]+)"") &amp; """""","""),"""jfomngnpkgnofbnhbimmebjhpohapkcl"",")</f>
        <v>"jfomngnpkgnofbnhbimmebjhpohapkcl",</v>
      </c>
    </row>
    <row r="2151">
      <c r="A2151" s="4" t="s">
        <v>21333</v>
      </c>
      <c r="B2151" s="4" t="s">
        <v>4287</v>
      </c>
      <c r="C2151" s="16" t="str">
        <f>IFERROR(__xludf.DUMMYFUNCTION(""""""""" &amp; REGEXEXTRACT(B2151, ""/detail/([^/?]+)"") &amp; """""","""),"""jhhafkobmfjlcfppjenldjalejnfhcfk"",")</f>
        <v>"jhhafkobmfjlcfppjenldjalejnfhcfk",</v>
      </c>
    </row>
    <row r="2152">
      <c r="A2152" s="4" t="s">
        <v>21334</v>
      </c>
      <c r="B2152" s="4" t="s">
        <v>4289</v>
      </c>
      <c r="C2152" s="16" t="str">
        <f>IFERROR(__xludf.DUMMYFUNCTION(""""""""" &amp; REGEXEXTRACT(B2152, ""/detail/([^/?]+)"") &amp; """""","""),"""jhkibealmjkbkafogihpeidfcgnigmlf"",")</f>
        <v>"jhkibealmjkbkafogihpeidfcgnigmlf",</v>
      </c>
    </row>
    <row r="2153">
      <c r="A2153" s="4" t="s">
        <v>21335</v>
      </c>
      <c r="B2153" s="4" t="s">
        <v>4291</v>
      </c>
      <c r="C2153" s="16" t="str">
        <f>IFERROR(__xludf.DUMMYFUNCTION(""""""""" &amp; REGEXEXTRACT(B2153, ""/detail/([^/?]+)"") &amp; """""","""),"""jikhbokinakhjbhoifafpbaemffhomjl"",")</f>
        <v>"jikhbokinakhjbhoifafpbaemffhomjl",</v>
      </c>
    </row>
    <row r="2154">
      <c r="A2154" s="4" t="s">
        <v>21336</v>
      </c>
      <c r="B2154" s="4" t="s">
        <v>4293</v>
      </c>
      <c r="C2154" s="16" t="str">
        <f>IFERROR(__xludf.DUMMYFUNCTION(""""""""" &amp; REGEXEXTRACT(B2154, ""/detail/([^/?]+)"") &amp; """""","""),"""jkojliciihhmhfnioceoaahmmhhmhjdi"",")</f>
        <v>"jkojliciihhmhfnioceoaahmmhhmhjdi",</v>
      </c>
    </row>
    <row r="2155">
      <c r="A2155" s="4" t="s">
        <v>21337</v>
      </c>
      <c r="B2155" s="4" t="s">
        <v>4295</v>
      </c>
      <c r="C2155" s="16" t="str">
        <f>IFERROR(__xludf.DUMMYFUNCTION(""""""""" &amp; REGEXEXTRACT(B2155, ""/detail/([^/?]+)"") &amp; """""","""),"""jmldaomlnfihbdoghdbikbbignjlkbml"",")</f>
        <v>"jmldaomlnfihbdoghdbikbbignjlkbml",</v>
      </c>
    </row>
    <row r="2156">
      <c r="A2156" s="4" t="s">
        <v>21338</v>
      </c>
      <c r="B2156" s="4" t="s">
        <v>4297</v>
      </c>
      <c r="C2156" s="16" t="str">
        <f>IFERROR(__xludf.DUMMYFUNCTION(""""""""" &amp; REGEXEXTRACT(B2156, ""/detail/([^/?]+)"") &amp; """""","""),"""joibipdfkleencgfgbbncoheaekffdfn"",")</f>
        <v>"joibipdfkleencgfgbbncoheaekffdfn",</v>
      </c>
    </row>
    <row r="2157">
      <c r="A2157" s="4" t="s">
        <v>21339</v>
      </c>
      <c r="B2157" s="4" t="s">
        <v>4299</v>
      </c>
      <c r="C2157" s="16" t="str">
        <f>IFERROR(__xludf.DUMMYFUNCTION(""""""""" &amp; REGEXEXTRACT(B2157, ""/detail/([^/?]+)"") &amp; """""","""),"""kahoebmmfnjmjcbclecdkhiapmefpaed"",")</f>
        <v>"kahoebmmfnjmjcbclecdkhiapmefpaed",</v>
      </c>
    </row>
    <row r="2158">
      <c r="A2158" s="4" t="s">
        <v>21340</v>
      </c>
      <c r="B2158" s="4" t="s">
        <v>4301</v>
      </c>
      <c r="C2158" s="16" t="str">
        <f>IFERROR(__xludf.DUMMYFUNCTION(""""""""" &amp; REGEXEXTRACT(B2158, ""/detail/([^/?]+)"") &amp; """""","""),"""keeiendlnmbddkjjhnbegaaheohkfhoj"",")</f>
        <v>"keeiendlnmbddkjjhnbegaaheohkfhoj",</v>
      </c>
    </row>
    <row r="2159">
      <c r="A2159" s="4" t="s">
        <v>21341</v>
      </c>
      <c r="B2159" s="4" t="s">
        <v>4303</v>
      </c>
      <c r="C2159" s="16" t="str">
        <f>IFERROR(__xludf.DUMMYFUNCTION(""""""""" &amp; REGEXEXTRACT(B2159, ""/detail/([^/?]+)"") &amp; """""","""),"""kepnpjhambipllfmgmbapncekcmabkol"",")</f>
        <v>"kepnpjhambipllfmgmbapncekcmabkol",</v>
      </c>
    </row>
    <row r="2160">
      <c r="A2160" s="4" t="s">
        <v>21342</v>
      </c>
      <c r="B2160" s="4" t="s">
        <v>4305</v>
      </c>
      <c r="C2160" s="16" t="str">
        <f>IFERROR(__xludf.DUMMYFUNCTION(""""""""" &amp; REGEXEXTRACT(B2160, ""/detail/([^/?]+)"") &amp; """""","""),"""kljjfejkagofbgklifblndjelgabcmig"",")</f>
        <v>"kljjfejkagofbgklifblndjelgabcmig",</v>
      </c>
    </row>
    <row r="2161">
      <c r="A2161" s="4" t="s">
        <v>21343</v>
      </c>
      <c r="B2161" s="4" t="s">
        <v>4307</v>
      </c>
      <c r="C2161" s="16" t="str">
        <f>IFERROR(__xludf.DUMMYFUNCTION(""""""""" &amp; REGEXEXTRACT(B2161, ""/detail/([^/?]+)"") &amp; """""","""),"""klojbfbefcejadioohmnkhjmbmecfapg"",")</f>
        <v>"klojbfbefcejadioohmnkhjmbmecfapg",</v>
      </c>
    </row>
    <row r="2162">
      <c r="A2162" s="4" t="s">
        <v>21344</v>
      </c>
      <c r="B2162" s="4" t="s">
        <v>4309</v>
      </c>
      <c r="C2162" s="16" t="str">
        <f>IFERROR(__xludf.DUMMYFUNCTION(""""""""" &amp; REGEXEXTRACT(B2162, ""/detail/([^/?]+)"") &amp; """""","""),"""kmhbjbgkpaceeioiadjkfinjbckgckim"",")</f>
        <v>"kmhbjbgkpaceeioiadjkfinjbckgckim",</v>
      </c>
    </row>
    <row r="2163">
      <c r="A2163" s="4" t="s">
        <v>21345</v>
      </c>
      <c r="B2163" s="4" t="s">
        <v>4311</v>
      </c>
      <c r="C2163" s="16" t="str">
        <f>IFERROR(__xludf.DUMMYFUNCTION(""""""""" &amp; REGEXEXTRACT(B2163, ""/detail/([^/?]+)"") &amp; """""","""),"""kogbclhgkcabffpgfjnilcflhmcbelao"",")</f>
        <v>"kogbclhgkcabffpgfjnilcflhmcbelao",</v>
      </c>
    </row>
    <row r="2164">
      <c r="A2164" s="4" t="s">
        <v>21346</v>
      </c>
      <c r="B2164" s="4" t="s">
        <v>4313</v>
      </c>
      <c r="C2164" s="16" t="str">
        <f>IFERROR(__xludf.DUMMYFUNCTION(""""""""" &amp; REGEXEXTRACT(B2164, ""/detail/([^/?]+)"") &amp; """""","""),"""kpldbmkpocjcmmfibhekikdmljaiepkh"",")</f>
        <v>"kpldbmkpocjcmmfibhekikdmljaiepkh",</v>
      </c>
    </row>
    <row r="2165">
      <c r="A2165" s="4" t="s">
        <v>21347</v>
      </c>
      <c r="B2165" s="4" t="s">
        <v>4315</v>
      </c>
      <c r="C2165" s="16" t="str">
        <f>IFERROR(__xludf.DUMMYFUNCTION(""""""""" &amp; REGEXEXTRACT(B2165, ""/detail/([^/?]+)"") &amp; """""","""),"""kppcmdpolcfihnkfbngahdofkdnfbkan"",")</f>
        <v>"kppcmdpolcfihnkfbngahdofkdnfbkan",</v>
      </c>
    </row>
    <row r="2166">
      <c r="A2166" s="4" t="s">
        <v>21348</v>
      </c>
      <c r="B2166" s="4" t="s">
        <v>4317</v>
      </c>
      <c r="C2166" s="16" t="str">
        <f>IFERROR(__xludf.DUMMYFUNCTION(""""""""" &amp; REGEXEXTRACT(B2166, ""/detail/([^/?]+)"") &amp; """""","""),"""laapobniolmbhnkldepjnebendehhmmf"",")</f>
        <v>"laapobniolmbhnkldepjnebendehhmmf",</v>
      </c>
    </row>
    <row r="2167">
      <c r="A2167" s="4" t="s">
        <v>21349</v>
      </c>
      <c r="B2167" s="4" t="s">
        <v>4319</v>
      </c>
      <c r="C2167" s="16" t="str">
        <f>IFERROR(__xludf.DUMMYFUNCTION(""""""""" &amp; REGEXEXTRACT(B2167, ""/detail/([^/?]+)"") &amp; """""","""),"""lapmmaaniipbdelgagpdaplgfagojkfo"",")</f>
        <v>"lapmmaaniipbdelgagpdaplgfagojkfo",</v>
      </c>
    </row>
    <row r="2168">
      <c r="A2168" s="4" t="s">
        <v>21350</v>
      </c>
      <c r="B2168" s="4" t="s">
        <v>4320</v>
      </c>
      <c r="C2168" s="16" t="str">
        <f>IFERROR(__xludf.DUMMYFUNCTION(""""""""" &amp; REGEXEXTRACT(B2168, ""/detail/([^/?]+)"") &amp; """""","""),"""ldabplgpogjknofonmccpbgeoolbcbfm"",")</f>
        <v>"ldabplgpogjknofonmccpbgeoolbcbfm",</v>
      </c>
    </row>
    <row r="2169">
      <c r="A2169" s="4" t="s">
        <v>21351</v>
      </c>
      <c r="B2169" s="4" t="s">
        <v>4322</v>
      </c>
      <c r="C2169" s="16" t="str">
        <f>IFERROR(__xludf.DUMMYFUNCTION(""""""""" &amp; REGEXEXTRACT(B2169, ""/detail/([^/?]+)"") &amp; """""","""),"""ldggikfajgoedghjnflfafiiheagngoa"",")</f>
        <v>"ldggikfajgoedghjnflfafiiheagngoa",</v>
      </c>
    </row>
    <row r="2170">
      <c r="A2170" s="4" t="s">
        <v>21352</v>
      </c>
      <c r="B2170" s="4" t="s">
        <v>4324</v>
      </c>
      <c r="C2170" s="16" t="str">
        <f>IFERROR(__xludf.DUMMYFUNCTION(""""""""" &amp; REGEXEXTRACT(B2170, ""/detail/([^/?]+)"") &amp; """""","""),"""leaelofgmagckmmamhooghbpmkgogioa"",")</f>
        <v>"leaelofgmagckmmamhooghbpmkgogioa",</v>
      </c>
    </row>
    <row r="2171">
      <c r="A2171" s="4" t="s">
        <v>21353</v>
      </c>
      <c r="B2171" s="4" t="s">
        <v>4326</v>
      </c>
      <c r="C2171" s="16" t="str">
        <f>IFERROR(__xludf.DUMMYFUNCTION(""""""""" &amp; REGEXEXTRACT(B2171, ""/detail/([^/?]+)"") &amp; """""","""),"""lfpfbgeoodeejmjdlfjbfjkemjlblijg"",")</f>
        <v>"lfpfbgeoodeejmjdlfjbfjkemjlblijg",</v>
      </c>
    </row>
    <row r="2172">
      <c r="A2172" s="4" t="s">
        <v>21354</v>
      </c>
      <c r="B2172" s="4" t="s">
        <v>4328</v>
      </c>
      <c r="C2172" s="16" t="str">
        <f>IFERROR(__xludf.DUMMYFUNCTION(""""""""" &amp; REGEXEXTRACT(B2172, ""/detail/([^/?]+)"") &amp; """""","""),"""lidhbccbajehjnpfjpnamoiemcnhhnki"",")</f>
        <v>"lidhbccbajehjnpfjpnamoiemcnhhnki",</v>
      </c>
    </row>
    <row r="2173">
      <c r="A2173" s="4" t="s">
        <v>21355</v>
      </c>
      <c r="B2173" s="4" t="s">
        <v>4330</v>
      </c>
      <c r="C2173" s="16" t="str">
        <f>IFERROR(__xludf.DUMMYFUNCTION(""""""""" &amp; REGEXEXTRACT(B2173, ""/detail/([^/?]+)"") &amp; """""","""),"""lifkjlojflekabbmlddfccdkphlelmim"",")</f>
        <v>"lifkjlojflekabbmlddfccdkphlelmim",</v>
      </c>
    </row>
    <row r="2174">
      <c r="A2174" s="4" t="s">
        <v>21356</v>
      </c>
      <c r="B2174" s="4" t="s">
        <v>4332</v>
      </c>
      <c r="C2174" s="16" t="str">
        <f>IFERROR(__xludf.DUMMYFUNCTION(""""""""" &amp; REGEXEXTRACT(B2174, ""/detail/([^/?]+)"") &amp; """""","""),"""ljbkkbbbcalchmohbdlkjabljkgpmjkg"",")</f>
        <v>"ljbkkbbbcalchmohbdlkjabljkgpmjkg",</v>
      </c>
    </row>
    <row r="2175">
      <c r="A2175" s="4" t="s">
        <v>21357</v>
      </c>
      <c r="B2175" s="4" t="s">
        <v>4334</v>
      </c>
      <c r="C2175" s="16" t="str">
        <f>IFERROR(__xludf.DUMMYFUNCTION(""""""""" &amp; REGEXEXTRACT(B2175, ""/detail/([^/?]+)"") &amp; """""","""),"""lkciiknpgglgbbcgcpbpobjabglmpkle"",")</f>
        <v>"lkciiknpgglgbbcgcpbpobjabglmpkle",</v>
      </c>
    </row>
    <row r="2176">
      <c r="A2176" s="4" t="s">
        <v>21358</v>
      </c>
      <c r="B2176" s="4" t="s">
        <v>4336</v>
      </c>
      <c r="C2176" s="16" t="str">
        <f>IFERROR(__xludf.DUMMYFUNCTION(""""""""" &amp; REGEXEXTRACT(B2176, ""/detail/([^/?]+)"") &amp; """""","""),"""llcpfkbjgkpmapiidpnohffjmmnhpmpb"",")</f>
        <v>"llcpfkbjgkpmapiidpnohffjmmnhpmpb",</v>
      </c>
    </row>
    <row r="2177">
      <c r="A2177" s="4" t="s">
        <v>21359</v>
      </c>
      <c r="B2177" s="4" t="s">
        <v>4338</v>
      </c>
      <c r="C2177" s="16" t="str">
        <f>IFERROR(__xludf.DUMMYFUNCTION(""""""""" &amp; REGEXEXTRACT(B2177, ""/detail/([^/?]+)"") &amp; """""","""),"""lllhkijapbmlekoldcoohglpihmcjdgj"",")</f>
        <v>"lllhkijapbmlekoldcoohglpihmcjdgj",</v>
      </c>
    </row>
    <row r="2178">
      <c r="A2178" s="4" t="s">
        <v>21360</v>
      </c>
      <c r="B2178" s="4" t="s">
        <v>4340</v>
      </c>
      <c r="C2178" s="16" t="str">
        <f>IFERROR(__xludf.DUMMYFUNCTION(""""""""" &amp; REGEXEXTRACT(B2178, ""/detail/([^/?]+)"") &amp; """""","""),"""loaliagmjmjbnoofnckpbbnjcoooodgk"",")</f>
        <v>"loaliagmjmjbnoofnckpbbnjcoooodgk",</v>
      </c>
    </row>
    <row r="2179">
      <c r="A2179" s="4" t="s">
        <v>21361</v>
      </c>
      <c r="B2179" s="4" t="s">
        <v>4342</v>
      </c>
      <c r="C2179" s="16" t="str">
        <f>IFERROR(__xludf.DUMMYFUNCTION(""""""""" &amp; REGEXEXTRACT(B2179, ""/detail/([^/?]+)"") &amp; """""","""),"""lpbcdclphldcjoodmkbkncballmicnlf"",")</f>
        <v>"lpbcdclphldcjoodmkbkncballmicnlf",</v>
      </c>
    </row>
    <row r="2180">
      <c r="A2180" s="4" t="s">
        <v>21362</v>
      </c>
      <c r="B2180" s="4" t="s">
        <v>4344</v>
      </c>
      <c r="C2180" s="16" t="str">
        <f>IFERROR(__xludf.DUMMYFUNCTION(""""""""" &amp; REGEXEXTRACT(B2180, ""/detail/([^/?]+)"") &amp; """""","""),"""lpoohbdbmggiknlpcmhhdkpaclfcdapk"",")</f>
        <v>"lpoohbdbmggiknlpcmhhdkpaclfcdapk",</v>
      </c>
    </row>
    <row r="2181">
      <c r="A2181" s="4" t="s">
        <v>21363</v>
      </c>
      <c r="B2181" s="4" t="s">
        <v>4346</v>
      </c>
      <c r="C2181" s="16" t="str">
        <f>IFERROR(__xludf.DUMMYFUNCTION(""""""""" &amp; REGEXEXTRACT(B2181, ""/detail/([^/?]+)"") &amp; """""","""),"""maolmdhneopinciaokgohljhpdedekee"",")</f>
        <v>"maolmdhneopinciaokgohljhpdedekee",</v>
      </c>
    </row>
    <row r="2182">
      <c r="A2182" s="4" t="s">
        <v>21364</v>
      </c>
      <c r="B2182" s="4" t="s">
        <v>4348</v>
      </c>
      <c r="C2182" s="16" t="str">
        <f>IFERROR(__xludf.DUMMYFUNCTION(""""""""" &amp; REGEXEXTRACT(B2182, ""/detail/([^/?]+)"") &amp; """""","""),"""mfcjpbmafdljmciineiieedkcbeikkpo"",")</f>
        <v>"mfcjpbmafdljmciineiieedkcbeikkpo",</v>
      </c>
    </row>
    <row r="2183">
      <c r="A2183" s="4" t="s">
        <v>21365</v>
      </c>
      <c r="B2183" s="4" t="s">
        <v>4350</v>
      </c>
      <c r="C2183" s="16" t="str">
        <f>IFERROR(__xludf.DUMMYFUNCTION(""""""""" &amp; REGEXEXTRACT(B2183, ""/detail/([^/?]+)"") &amp; """""","""),"""mfhbebgoclkghebffdldpobeajmbecfk"",")</f>
        <v>"mfhbebgoclkghebffdldpobeajmbecfk",</v>
      </c>
    </row>
    <row r="2184">
      <c r="A2184" s="4" t="s">
        <v>21366</v>
      </c>
      <c r="B2184" s="4" t="s">
        <v>4352</v>
      </c>
      <c r="C2184" s="16" t="str">
        <f>IFERROR(__xludf.DUMMYFUNCTION(""""""""" &amp; REGEXEXTRACT(B2184, ""/detail/([^/?]+)"") &amp; """""","""),"""mgbooaaepjbekhhecpohjoffkpfgmedj"",")</f>
        <v>"mgbooaaepjbekhhecpohjoffkpfgmedj",</v>
      </c>
    </row>
    <row r="2185">
      <c r="A2185" s="4" t="s">
        <v>21367</v>
      </c>
      <c r="B2185" s="4" t="s">
        <v>4354</v>
      </c>
      <c r="C2185" s="16" t="str">
        <f>IFERROR(__xludf.DUMMYFUNCTION(""""""""" &amp; REGEXEXTRACT(B2185, ""/detail/([^/?]+)"") &amp; """""","""),"""mgecoicpalmpphlgfkdepgpofjcnggkn"",")</f>
        <v>"mgecoicpalmpphlgfkdepgpofjcnggkn",</v>
      </c>
    </row>
    <row r="2186">
      <c r="A2186" s="4" t="s">
        <v>21368</v>
      </c>
      <c r="B2186" s="4" t="s">
        <v>4356</v>
      </c>
      <c r="C2186" s="16" t="str">
        <f>IFERROR(__xludf.DUMMYFUNCTION(""""""""" &amp; REGEXEXTRACT(B2186, ""/detail/([^/?]+)"") &amp; """""","""),"""mhnpkmeebbfbkfngldjjcfihmpimibjd"",")</f>
        <v>"mhnpkmeebbfbkfngldjjcfihmpimibjd",</v>
      </c>
    </row>
    <row r="2187">
      <c r="A2187" s="4" t="s">
        <v>21369</v>
      </c>
      <c r="B2187" s="4" t="s">
        <v>4358</v>
      </c>
      <c r="C2187" s="16" t="str">
        <f>IFERROR(__xludf.DUMMYFUNCTION(""""""""" &amp; REGEXEXTRACT(B2187, ""/detail/([^/?]+)"") &amp; """""","""),"""mieolfcieffnpnopbldmdnkmdopibgpj"",")</f>
        <v>"mieolfcieffnpnopbldmdnkmdopibgpj",</v>
      </c>
    </row>
    <row r="2188">
      <c r="A2188" s="4" t="s">
        <v>21370</v>
      </c>
      <c r="B2188" s="4" t="s">
        <v>4360</v>
      </c>
      <c r="C2188" s="16" t="str">
        <f>IFERROR(__xludf.DUMMYFUNCTION(""""""""" &amp; REGEXEXTRACT(B2188, ""/detail/([^/?]+)"") &amp; """""","""),"""mifjlfhembandabikpiehhokhdepbdai"",")</f>
        <v>"mifjlfhembandabikpiehhokhdepbdai",</v>
      </c>
    </row>
    <row r="2189">
      <c r="A2189" s="4" t="s">
        <v>21371</v>
      </c>
      <c r="B2189" s="4" t="s">
        <v>4362</v>
      </c>
      <c r="C2189" s="16" t="str">
        <f>IFERROR(__xludf.DUMMYFUNCTION(""""""""" &amp; REGEXEXTRACT(B2189, ""/detail/([^/?]+)"") &amp; """""","""),"""mjnohlnebmjeoplfnmdkcjfpenkgnahi"",")</f>
        <v>"mjnohlnebmjeoplfnmdkcjfpenkgnahi",</v>
      </c>
    </row>
    <row r="2190">
      <c r="A2190" s="4" t="s">
        <v>21372</v>
      </c>
      <c r="B2190" s="4" t="s">
        <v>4364</v>
      </c>
      <c r="C2190" s="16" t="str">
        <f>IFERROR(__xludf.DUMMYFUNCTION(""""""""" &amp; REGEXEXTRACT(B2190, ""/detail/([^/?]+)"") &amp; """""","""),"""mnemjleajnmodijhnibpekloajfdjjja"",")</f>
        <v>"mnemjleajnmodijhnibpekloajfdjjja",</v>
      </c>
    </row>
    <row r="2191">
      <c r="A2191" s="4" t="s">
        <v>21373</v>
      </c>
      <c r="B2191" s="4" t="s">
        <v>4366</v>
      </c>
      <c r="C2191" s="16" t="str">
        <f>IFERROR(__xludf.DUMMYFUNCTION(""""""""" &amp; REGEXEXTRACT(B2191, ""/detail/([^/?]+)"") &amp; """""","""),"""mojhglbfmhgcocfelnnfgngefdpibfhl"",")</f>
        <v>"mojhglbfmhgcocfelnnfgngefdpibfhl",</v>
      </c>
    </row>
    <row r="2192">
      <c r="A2192" s="4" t="s">
        <v>21374</v>
      </c>
      <c r="B2192" s="4" t="s">
        <v>4368</v>
      </c>
      <c r="C2192" s="16" t="str">
        <f>IFERROR(__xludf.DUMMYFUNCTION(""""""""" &amp; REGEXEXTRACT(B2192, ""/detail/([^/?]+)"") &amp; """""","""),"""nbicokjcdgmopbikgmfmffhfbbgfgncd"",")</f>
        <v>"nbicokjcdgmopbikgmfmffhfbbgfgncd",</v>
      </c>
    </row>
    <row r="2193">
      <c r="A2193" s="4" t="s">
        <v>21375</v>
      </c>
      <c r="B2193" s="4" t="s">
        <v>4370</v>
      </c>
      <c r="C2193" s="16" t="str">
        <f>IFERROR(__xludf.DUMMYFUNCTION(""""""""" &amp; REGEXEXTRACT(B2193, ""/detail/([^/?]+)"") &amp; """""","""),"""nbncllaepjlnkaigldfgghjkcgjkpgpa"",")</f>
        <v>"nbncllaepjlnkaigldfgghjkcgjkpgpa",</v>
      </c>
    </row>
    <row r="2194">
      <c r="A2194" s="4" t="s">
        <v>21376</v>
      </c>
      <c r="B2194" s="4" t="s">
        <v>4372</v>
      </c>
      <c r="C2194" s="16" t="str">
        <f>IFERROR(__xludf.DUMMYFUNCTION(""""""""" &amp; REGEXEXTRACT(B2194, ""/detail/([^/?]+)"") &amp; """""","""),"""ncgnmldbedmbadafajhjeahmafdmggbp"",")</f>
        <v>"ncgnmldbedmbadafajhjeahmafdmggbp",</v>
      </c>
    </row>
    <row r="2195">
      <c r="A2195" s="4" t="s">
        <v>21377</v>
      </c>
      <c r="B2195" s="4" t="s">
        <v>4374</v>
      </c>
      <c r="C2195" s="16" t="str">
        <f>IFERROR(__xludf.DUMMYFUNCTION(""""""""" &amp; REGEXEXTRACT(B2195, ""/detail/([^/?]+)"") &amp; """""","""),"""nciallonbllgijobgkfanodhehkkkkki"",")</f>
        <v>"nciallonbllgijobgkfanodhehkkkkki",</v>
      </c>
    </row>
    <row r="2196">
      <c r="A2196" s="4" t="s">
        <v>21378</v>
      </c>
      <c r="B2196" s="4" t="s">
        <v>4376</v>
      </c>
      <c r="C2196" s="16" t="str">
        <f>IFERROR(__xludf.DUMMYFUNCTION(""""""""" &amp; REGEXEXTRACT(B2196, ""/detail/([^/?]+)"") &amp; """""","""),"""ncjanpmaebdkjamcdphbfcnedhkofonf"",")</f>
        <v>"ncjanpmaebdkjamcdphbfcnedhkofonf",</v>
      </c>
    </row>
    <row r="2197">
      <c r="A2197" s="4" t="s">
        <v>21379</v>
      </c>
      <c r="B2197" s="4" t="s">
        <v>4378</v>
      </c>
      <c r="C2197" s="16" t="str">
        <f>IFERROR(__xludf.DUMMYFUNCTION(""""""""" &amp; REGEXEXTRACT(B2197, ""/detail/([^/?]+)"") &amp; """""","""),"""ndodccbbcdpcmabmiocobdnfiaaimgnk"",")</f>
        <v>"ndodccbbcdpcmabmiocobdnfiaaimgnk",</v>
      </c>
    </row>
    <row r="2198">
      <c r="A2198" s="4" t="s">
        <v>21380</v>
      </c>
      <c r="B2198" s="4" t="s">
        <v>4380</v>
      </c>
      <c r="C2198" s="16" t="str">
        <f>IFERROR(__xludf.DUMMYFUNCTION(""""""""" &amp; REGEXEXTRACT(B2198, ""/detail/([^/?]+)"") &amp; """""","""),"""ngjndhfppbmlpgfmchefjkbhigbhpphi"",")</f>
        <v>"ngjndhfppbmlpgfmchefjkbhigbhpphi",</v>
      </c>
    </row>
    <row r="2199">
      <c r="A2199" s="4" t="s">
        <v>21381</v>
      </c>
      <c r="B2199" s="4" t="s">
        <v>4382</v>
      </c>
      <c r="C2199" s="16" t="str">
        <f>IFERROR(__xludf.DUMMYFUNCTION(""""""""" &amp; REGEXEXTRACT(B2199, ""/detail/([^/?]+)"") &amp; """""","""),"""ngjnkanfphagcaokhjecbgkboelgfcnf"",")</f>
        <v>"ngjnkanfphagcaokhjecbgkboelgfcnf",</v>
      </c>
    </row>
    <row r="2200">
      <c r="A2200" s="4" t="s">
        <v>21382</v>
      </c>
      <c r="B2200" s="4" t="s">
        <v>4384</v>
      </c>
      <c r="C2200" s="16" t="str">
        <f>IFERROR(__xludf.DUMMYFUNCTION(""""""""" &amp; REGEXEXTRACT(B2200, ""/detail/([^/?]+)"") &amp; """""","""),"""nhaommnkcfogjlhlphdfaejnnpepepeb"",")</f>
        <v>"nhaommnkcfogjlhlphdfaejnnpepepeb",</v>
      </c>
    </row>
    <row r="2201">
      <c r="A2201" s="4" t="s">
        <v>21383</v>
      </c>
      <c r="B2201" s="4" t="s">
        <v>4386</v>
      </c>
      <c r="C2201" s="16" t="str">
        <f>IFERROR(__xludf.DUMMYFUNCTION(""""""""" &amp; REGEXEXTRACT(B2201, ""/detail/([^/?]+)"") &amp; """""","""),"""nhmccpjmdhejpfhafcfajkgifkmjhkgf"",")</f>
        <v>"nhmccpjmdhejpfhafcfajkgifkmjhkgf",</v>
      </c>
    </row>
    <row r="2202">
      <c r="A2202" s="4" t="s">
        <v>21384</v>
      </c>
      <c r="B2202" s="4" t="s">
        <v>4388</v>
      </c>
      <c r="C2202" s="16" t="str">
        <f>IFERROR(__xludf.DUMMYFUNCTION(""""""""" &amp; REGEXEXTRACT(B2202, ""/detail/([^/?]+)"") &amp; """""","""),"""nieboggmgpnmaiedgpcackjnpjakgfaf"",")</f>
        <v>"nieboggmgpnmaiedgpcackjnpjakgfaf",</v>
      </c>
    </row>
    <row r="2203">
      <c r="A2203" s="4" t="s">
        <v>21385</v>
      </c>
      <c r="B2203" s="4" t="s">
        <v>4390</v>
      </c>
      <c r="C2203" s="16" t="str">
        <f>IFERROR(__xludf.DUMMYFUNCTION(""""""""" &amp; REGEXEXTRACT(B2203, ""/detail/([^/?]+)"") &amp; """""","""),"""njnjihibbnocbhikjjbeloaacpjfnbig"",")</f>
        <v>"njnjihibbnocbhikjjbeloaacpjfnbig",</v>
      </c>
    </row>
    <row r="2204">
      <c r="A2204" s="4" t="s">
        <v>21386</v>
      </c>
      <c r="B2204" s="4" t="s">
        <v>4392</v>
      </c>
      <c r="C2204" s="16" t="str">
        <f>IFERROR(__xludf.DUMMYFUNCTION(""""""""" &amp; REGEXEXTRACT(B2204, ""/detail/([^/?]+)"") &amp; """""","""),"""nkkgjkadifmmbmdmnkgihbkkpfejgnck"",")</f>
        <v>"nkkgjkadifmmbmdmnkgihbkkpfejgnck",</v>
      </c>
    </row>
    <row r="2205">
      <c r="A2205" s="4" t="s">
        <v>21387</v>
      </c>
      <c r="B2205" s="4" t="s">
        <v>4394</v>
      </c>
      <c r="C2205" s="16" t="str">
        <f>IFERROR(__xludf.DUMMYFUNCTION(""""""""" &amp; REGEXEXTRACT(B2205, ""/detail/([^/?]+)"") &amp; """""","""),"""nnigpbiaggiephcndokoaongeefpbdcj"",")</f>
        <v>"nnigpbiaggiephcndokoaongeefpbdcj",</v>
      </c>
    </row>
    <row r="2206">
      <c r="A2206" s="4" t="s">
        <v>21388</v>
      </c>
      <c r="B2206" s="4" t="s">
        <v>4396</v>
      </c>
      <c r="C2206" s="16" t="str">
        <f>IFERROR(__xludf.DUMMYFUNCTION(""""""""" &amp; REGEXEXTRACT(B2206, ""/detail/([^/?]+)"") &amp; """""","""),"""nomidcdbhopffbhbpfnnlgnfimhgdman"",")</f>
        <v>"nomidcdbhopffbhbpfnnlgnfimhgdman",</v>
      </c>
    </row>
    <row r="2207">
      <c r="A2207" s="4" t="s">
        <v>21389</v>
      </c>
      <c r="B2207" s="4" t="s">
        <v>4398</v>
      </c>
      <c r="C2207" s="16" t="str">
        <f>IFERROR(__xludf.DUMMYFUNCTION(""""""""" &amp; REGEXEXTRACT(B2207, ""/detail/([^/?]+)"") &amp; """""","""),"""npfbahgomodenajejiopcfbggcpkcani"",")</f>
        <v>"npfbahgomodenajejiopcfbggcpkcani",</v>
      </c>
    </row>
    <row r="2208">
      <c r="A2208" s="4" t="s">
        <v>21390</v>
      </c>
      <c r="B2208" s="4" t="s">
        <v>4400</v>
      </c>
      <c r="C2208" s="16" t="str">
        <f>IFERROR(__xludf.DUMMYFUNCTION(""""""""" &amp; REGEXEXTRACT(B2208, ""/detail/([^/?]+)"") &amp; """""","""),"""obhijjefkkokfaiffkcemldacdabpeei"",")</f>
        <v>"obhijjefkkokfaiffkcemldacdabpeei",</v>
      </c>
    </row>
    <row r="2209">
      <c r="A2209" s="4" t="s">
        <v>21391</v>
      </c>
      <c r="B2209" s="4" t="s">
        <v>4402</v>
      </c>
      <c r="C2209" s="16" t="str">
        <f>IFERROR(__xludf.DUMMYFUNCTION(""""""""" &amp; REGEXEXTRACT(B2209, ""/detail/([^/?]+)"") &amp; """""","""),"""obidpejmhcahdaaojlmlkgkhjdedalnp"",")</f>
        <v>"obidpejmhcahdaaojlmlkgkhjdedalnp",</v>
      </c>
    </row>
    <row r="2210">
      <c r="A2210" s="4" t="s">
        <v>21392</v>
      </c>
      <c r="B2210" s="4" t="s">
        <v>4404</v>
      </c>
      <c r="C2210" s="16" t="str">
        <f>IFERROR(__xludf.DUMMYFUNCTION(""""""""" &amp; REGEXEXTRACT(B2210, ""/detail/([^/?]+)"") &amp; """""","""),"""ockidfiihjhkngdalfnbeeepgfbmkmlh"",")</f>
        <v>"ockidfiihjhkngdalfnbeeepgfbmkmlh",</v>
      </c>
    </row>
    <row r="2211">
      <c r="A2211" s="4" t="s">
        <v>21393</v>
      </c>
      <c r="B2211" s="4" t="s">
        <v>4406</v>
      </c>
      <c r="C2211" s="16" t="str">
        <f>IFERROR(__xludf.DUMMYFUNCTION(""""""""" &amp; REGEXEXTRACT(B2211, ""/detail/([^/?]+)"") &amp; """""","""),"""oealdlhfjifhgbmjnenhkgffglaibojf"",")</f>
        <v>"oealdlhfjifhgbmjnenhkgffglaibojf",</v>
      </c>
    </row>
    <row r="2212">
      <c r="A2212" s="4" t="s">
        <v>21394</v>
      </c>
      <c r="B2212" s="4" t="s">
        <v>4408</v>
      </c>
      <c r="C2212" s="16" t="str">
        <f>IFERROR(__xludf.DUMMYFUNCTION(""""""""" &amp; REGEXEXTRACT(B2212, ""/detail/([^/?]+)"") &amp; """""","""),"""oekefjibcnongmmmmkdiofgeppfkmdii"",")</f>
        <v>"oekefjibcnongmmmmkdiofgeppfkmdii",</v>
      </c>
    </row>
    <row r="2213">
      <c r="A2213" s="4" t="s">
        <v>21395</v>
      </c>
      <c r="B2213" s="4" t="s">
        <v>4410</v>
      </c>
      <c r="C2213" s="16" t="str">
        <f>IFERROR(__xludf.DUMMYFUNCTION(""""""""" &amp; REGEXEXTRACT(B2213, ""/detail/([^/?]+)"") &amp; """""","""),"""ogookjjcaobcijoblfjoneggmhdlppkc"",")</f>
        <v>"ogookjjcaobcijoblfjoneggmhdlppkc",</v>
      </c>
    </row>
    <row r="2214">
      <c r="A2214" s="4" t="s">
        <v>21396</v>
      </c>
      <c r="B2214" s="4" t="s">
        <v>4412</v>
      </c>
      <c r="C2214" s="16" t="str">
        <f>IFERROR(__xludf.DUMMYFUNCTION(""""""""" &amp; REGEXEXTRACT(B2214, ""/detail/([^/?]+)"") &amp; """""","""),"""ohahpmcamnjffnbjbjmjmmkkfajhaeag"",")</f>
        <v>"ohahpmcamnjffnbjbjmjmmkkfajhaeag",</v>
      </c>
    </row>
    <row r="2215">
      <c r="A2215" s="4" t="s">
        <v>21397</v>
      </c>
      <c r="B2215" s="4" t="s">
        <v>4414</v>
      </c>
      <c r="C2215" s="16" t="str">
        <f>IFERROR(__xludf.DUMMYFUNCTION(""""""""" &amp; REGEXEXTRACT(B2215, ""/detail/([^/?]+)"") &amp; """""","""),"""oikopohbkicbnneinipgiihiijhephop"",")</f>
        <v>"oikopohbkicbnneinipgiihiijhephop",</v>
      </c>
    </row>
    <row r="2216">
      <c r="A2216" s="4" t="s">
        <v>21398</v>
      </c>
      <c r="B2216" s="4" t="s">
        <v>4416</v>
      </c>
      <c r="C2216" s="16" t="str">
        <f>IFERROR(__xludf.DUMMYFUNCTION(""""""""" &amp; REGEXEXTRACT(B2216, ""/detail/([^/?]+)"") &amp; """""","""),"""oklglfdilhnneooaachcknojlkcgammo"",")</f>
        <v>"oklglfdilhnneooaachcknojlkcgammo",</v>
      </c>
    </row>
    <row r="2217">
      <c r="A2217" s="4" t="s">
        <v>21399</v>
      </c>
      <c r="B2217" s="4" t="s">
        <v>4418</v>
      </c>
      <c r="C2217" s="16" t="str">
        <f>IFERROR(__xludf.DUMMYFUNCTION(""""""""" &amp; REGEXEXTRACT(B2217, ""/detail/([^/?]+)"") &amp; """""","""),"""omioomoieildjihcajfoobhhiecjkmfn"",")</f>
        <v>"omioomoieildjihcajfoobhhiecjkmfn",</v>
      </c>
    </row>
    <row r="2218">
      <c r="A2218" s="4" t="s">
        <v>21400</v>
      </c>
      <c r="B2218" s="4" t="s">
        <v>4420</v>
      </c>
      <c r="C2218" s="16" t="str">
        <f>IFERROR(__xludf.DUMMYFUNCTION(""""""""" &amp; REGEXEXTRACT(B2218, ""/detail/([^/?]+)"") &amp; """""","""),"""onnniedjlchmaadhlkecfkikephcceed"",")</f>
        <v>"onnniedjlchmaadhlkecfkikephcceed",</v>
      </c>
    </row>
    <row r="2219">
      <c r="A2219" s="4" t="s">
        <v>21401</v>
      </c>
      <c r="B2219" s="4" t="s">
        <v>4422</v>
      </c>
      <c r="C2219" s="16" t="str">
        <f>IFERROR(__xludf.DUMMYFUNCTION(""""""""" &amp; REGEXEXTRACT(B2219, ""/detail/([^/?]+)"") &amp; """""","""),"""oobphcndhljfbmllppplinbdagpnfbjp"",")</f>
        <v>"oobphcndhljfbmllppplinbdagpnfbjp",</v>
      </c>
    </row>
    <row r="2220">
      <c r="A2220" s="4" t="s">
        <v>21402</v>
      </c>
      <c r="B2220" s="4" t="s">
        <v>4424</v>
      </c>
      <c r="C2220" s="16" t="str">
        <f>IFERROR(__xludf.DUMMYFUNCTION(""""""""" &amp; REGEXEXTRACT(B2220, ""/detail/([^/?]+)"") &amp; """""","""),"""oppcghdbglmbhhobfoodedhokbadlenh"",")</f>
        <v>"oppcghdbglmbhhobfoodedhokbadlenh",</v>
      </c>
    </row>
    <row r="2221">
      <c r="A2221" s="4" t="s">
        <v>21403</v>
      </c>
      <c r="B2221" s="4" t="s">
        <v>4426</v>
      </c>
      <c r="C2221" s="16" t="str">
        <f>IFERROR(__xludf.DUMMYFUNCTION(""""""""" &amp; REGEXEXTRACT(B2221, ""/detail/([^/?]+)"") &amp; """""","""),"""pdnmkammncjnifdeclafllianknnoaif"",")</f>
        <v>"pdnmkammncjnifdeclafllianknnoaif",</v>
      </c>
    </row>
    <row r="2222">
      <c r="A2222" s="4" t="s">
        <v>21404</v>
      </c>
      <c r="B2222" s="4" t="s">
        <v>4428</v>
      </c>
      <c r="C2222" s="16" t="str">
        <f>IFERROR(__xludf.DUMMYFUNCTION(""""""""" &amp; REGEXEXTRACT(B2222, ""/detail/([^/?]+)"") &amp; """""","""),"""pdpkefmdjkgijhnhjkblpielhiikadbb"",")</f>
        <v>"pdpkefmdjkgijhnhjkblpielhiikadbb",</v>
      </c>
    </row>
    <row r="2223">
      <c r="A2223" s="4" t="s">
        <v>21405</v>
      </c>
      <c r="B2223" s="4" t="s">
        <v>4430</v>
      </c>
      <c r="C2223" s="16" t="str">
        <f>IFERROR(__xludf.DUMMYFUNCTION(""""""""" &amp; REGEXEXTRACT(B2223, ""/detail/([^/?]+)"") &amp; """""","""),"""peboiggabkeljjdnbelmhbpnmonomngo"",")</f>
        <v>"peboiggabkeljjdnbelmhbpnmonomngo",</v>
      </c>
    </row>
    <row r="2224">
      <c r="A2224" s="4" t="s">
        <v>21406</v>
      </c>
      <c r="B2224" s="4" t="s">
        <v>4432</v>
      </c>
      <c r="C2224" s="16" t="str">
        <f>IFERROR(__xludf.DUMMYFUNCTION(""""""""" &amp; REGEXEXTRACT(B2224, ""/detail/([^/?]+)"") &amp; """""","""),"""pfjninionlecmhganagpckidcmhgjlhd"",")</f>
        <v>"pfjninionlecmhganagpckidcmhgjlhd",</v>
      </c>
    </row>
    <row r="2225">
      <c r="A2225" s="4" t="s">
        <v>21407</v>
      </c>
      <c r="B2225" s="4" t="s">
        <v>4434</v>
      </c>
      <c r="C2225" s="16" t="str">
        <f>IFERROR(__xludf.DUMMYFUNCTION(""""""""" &amp; REGEXEXTRACT(B2225, ""/detail/([^/?]+)"") &amp; """""","""),"""piciggpbidhfbpefjjbomcgomanjfbeb"",")</f>
        <v>"piciggpbidhfbpefjjbomcgomanjfbeb",</v>
      </c>
    </row>
    <row r="2226">
      <c r="A2226" s="4" t="s">
        <v>21408</v>
      </c>
      <c r="B2226" s="4" t="s">
        <v>4436</v>
      </c>
      <c r="C2226" s="16" t="str">
        <f>IFERROR(__xludf.DUMMYFUNCTION(""""""""" &amp; REGEXEXTRACT(B2226, ""/detail/([^/?]+)"") &amp; """""","""),"""piihgeabdpmcpjacnoacminmodaekejp"",")</f>
        <v>"piihgeabdpmcpjacnoacminmodaekejp",</v>
      </c>
    </row>
    <row r="2227">
      <c r="A2227" s="4" t="s">
        <v>21409</v>
      </c>
      <c r="B2227" s="4" t="s">
        <v>4437</v>
      </c>
      <c r="C2227" s="16" t="str">
        <f>IFERROR(__xludf.DUMMYFUNCTION(""""""""" &amp; REGEXEXTRACT(B2227, ""/detail/([^/?]+)"") &amp; """""","""),"""pjpobmgdbnbegggcdgbljfgplleejmkb"",")</f>
        <v>"pjpobmgdbnbegggcdgbljfgplleejmkb",</v>
      </c>
    </row>
    <row r="2228">
      <c r="A2228" s="4" t="s">
        <v>21410</v>
      </c>
      <c r="B2228" s="4" t="s">
        <v>4439</v>
      </c>
      <c r="C2228" s="16" t="str">
        <f>IFERROR(__xludf.DUMMYFUNCTION(""""""""" &amp; REGEXEXTRACT(B2228, ""/detail/([^/?]+)"") &amp; """""","""),"""pkbdliadhfopgfdhbldifaakplenbpnd"",")</f>
        <v>"pkbdliadhfopgfdhbldifaakplenbpnd",</v>
      </c>
    </row>
    <row r="2229">
      <c r="A2229" s="4" t="s">
        <v>21411</v>
      </c>
      <c r="B2229" s="4" t="s">
        <v>4441</v>
      </c>
      <c r="C2229" s="16" t="str">
        <f>IFERROR(__xludf.DUMMYFUNCTION(""""""""" &amp; REGEXEXTRACT(B2229, ""/detail/([^/?]+)"") &amp; """""","""),"""plpjogfhobhpdcmcblieglnoooccfcmm"",")</f>
        <v>"plpjogfhobhpdcmcblieglnoooccfcmm",</v>
      </c>
    </row>
    <row r="2230">
      <c r="A2230" s="4" t="s">
        <v>21412</v>
      </c>
      <c r="B2230" s="4" t="s">
        <v>4447</v>
      </c>
      <c r="C2230" s="16" t="str">
        <f>IFERROR(__xludf.DUMMYFUNCTION(""""""""" &amp; REGEXEXTRACT(B2230, ""/detail/([^/?]+)"") &amp; """""","""),"""aabplfdbflnfaabdmafknlgpoffelmej"",")</f>
        <v>"aabplfdbflnfaabdmafknlgpoffelmej",</v>
      </c>
    </row>
    <row r="2231">
      <c r="A2231" s="4" t="s">
        <v>21413</v>
      </c>
      <c r="B2231" s="4" t="s">
        <v>4449</v>
      </c>
      <c r="C2231" s="16" t="str">
        <f>IFERROR(__xludf.DUMMYFUNCTION(""""""""" &amp; REGEXEXTRACT(B2231, ""/detail/([^/?]+)"") &amp; """""","""),"""aahjijobnncbnonimmcglbeocpckmgdi"",")</f>
        <v>"aahjijobnncbnonimmcglbeocpckmgdi",</v>
      </c>
    </row>
    <row r="2232">
      <c r="A2232" s="4" t="s">
        <v>21414</v>
      </c>
      <c r="B2232" s="4" t="s">
        <v>4451</v>
      </c>
      <c r="C2232" s="16" t="str">
        <f>IFERROR(__xludf.DUMMYFUNCTION(""""""""" &amp; REGEXEXTRACT(B2232, ""/detail/([^/?]+)"") &amp; """""","""),"""aamgapdgopfdmokckpkfciiddpahbbcg"",")</f>
        <v>"aamgapdgopfdmokckpkfciiddpahbbcg",</v>
      </c>
    </row>
    <row r="2233">
      <c r="A2233" s="4" t="s">
        <v>21415</v>
      </c>
      <c r="B2233" s="4" t="s">
        <v>4453</v>
      </c>
      <c r="C2233" s="16" t="str">
        <f>IFERROR(__xludf.DUMMYFUNCTION(""""""""" &amp; REGEXEXTRACT(B2233, ""/detail/([^/?]+)"") &amp; """""","""),"""aamhfladfpacdednbomhcfgapoljdjgo"",")</f>
        <v>"aamhfladfpacdednbomhcfgapoljdjgo",</v>
      </c>
    </row>
    <row r="2234">
      <c r="A2234" s="4" t="s">
        <v>21416</v>
      </c>
      <c r="B2234" s="4" t="s">
        <v>4455</v>
      </c>
      <c r="C2234" s="16" t="str">
        <f>IFERROR(__xludf.DUMMYFUNCTION(""""""""" &amp; REGEXEXTRACT(B2234, ""/detail/([^/?]+)"") &amp; """""","""),"""abngfjnmaobeaaheapakabhdoapfopdi"",")</f>
        <v>"abngfjnmaobeaaheapakabhdoapfopdi",</v>
      </c>
    </row>
    <row r="2235">
      <c r="A2235" s="4" t="s">
        <v>21417</v>
      </c>
      <c r="B2235" s="4" t="s">
        <v>4457</v>
      </c>
      <c r="C2235" s="16" t="str">
        <f>IFERROR(__xludf.DUMMYFUNCTION(""""""""" &amp; REGEXEXTRACT(B2235, ""/detail/([^/?]+)"") &amp; """""","""),"""abobfeiegcaajeicmdlhfhddpcfnngoj"",")</f>
        <v>"abobfeiegcaajeicmdlhfhddpcfnngoj",</v>
      </c>
    </row>
    <row r="2236">
      <c r="A2236" s="4" t="s">
        <v>21418</v>
      </c>
      <c r="B2236" s="4" t="s">
        <v>4459</v>
      </c>
      <c r="C2236" s="16" t="str">
        <f>IFERROR(__xludf.DUMMYFUNCTION(""""""""" &amp; REGEXEXTRACT(B2236, ""/detail/([^/?]+)"") &amp; """""","""),"""adakfpemmbngeohfigfpldjimamijoek"",")</f>
        <v>"adakfpemmbngeohfigfpldjimamijoek",</v>
      </c>
    </row>
    <row r="2237">
      <c r="A2237" s="4" t="s">
        <v>21419</v>
      </c>
      <c r="B2237" s="4" t="s">
        <v>4461</v>
      </c>
      <c r="C2237" s="16" t="str">
        <f>IFERROR(__xludf.DUMMYFUNCTION(""""""""" &amp; REGEXEXTRACT(B2237, ""/detail/([^/?]+)"") &amp; """""","""),"""afhdngndofliioielklldembhbpgnngj"",")</f>
        <v>"afhdngndofliioielklldembhbpgnngj",</v>
      </c>
    </row>
    <row r="2238">
      <c r="A2238" s="4" t="s">
        <v>21420</v>
      </c>
      <c r="B2238" s="4" t="s">
        <v>4463</v>
      </c>
      <c r="C2238" s="16" t="str">
        <f>IFERROR(__xludf.DUMMYFUNCTION(""""""""" &amp; REGEXEXTRACT(B2238, ""/detail/([^/?]+)"") &amp; """""","""),"""agbkobfhnfgoioipaedgcjdhojbjhpcg"",")</f>
        <v>"agbkobfhnfgoioipaedgcjdhojbjhpcg",</v>
      </c>
    </row>
    <row r="2239">
      <c r="A2239" s="4" t="s">
        <v>21421</v>
      </c>
      <c r="B2239" s="4" t="s">
        <v>4465</v>
      </c>
      <c r="C2239" s="16" t="str">
        <f>IFERROR(__xludf.DUMMYFUNCTION(""""""""" &amp; REGEXEXTRACT(B2239, ""/detail/([^/?]+)"") &amp; """""","""),"""ahhgdmkmcgahbkcbmlkpmmamemlkajaf"",")</f>
        <v>"ahhgdmkmcgahbkcbmlkpmmamemlkajaf",</v>
      </c>
    </row>
    <row r="2240">
      <c r="A2240" s="4" t="s">
        <v>21422</v>
      </c>
      <c r="B2240" s="4" t="s">
        <v>4466</v>
      </c>
      <c r="C2240" s="16" t="str">
        <f>IFERROR(__xludf.DUMMYFUNCTION(""""""""" &amp; REGEXEXTRACT(B2240, ""/detail/([^/?]+)"") &amp; """""","""),"""aibjbgmpmnidnmagaefhmcjhadpffaoi"",")</f>
        <v>"aibjbgmpmnidnmagaefhmcjhadpffaoi",</v>
      </c>
    </row>
    <row r="2241">
      <c r="A2241" s="4" t="s">
        <v>21423</v>
      </c>
      <c r="B2241" s="4" t="s">
        <v>4468</v>
      </c>
      <c r="C2241" s="16" t="str">
        <f>IFERROR(__xludf.DUMMYFUNCTION(""""""""" &amp; REGEXEXTRACT(B2241, ""/detail/([^/?]+)"") &amp; """""","""),"""ajebiiiaphmfaiookbhpepoongjejihh"",")</f>
        <v>"ajebiiiaphmfaiookbhpepoongjejihh",</v>
      </c>
    </row>
    <row r="2242">
      <c r="A2242" s="4" t="s">
        <v>21424</v>
      </c>
      <c r="B2242" s="4" t="s">
        <v>4470</v>
      </c>
      <c r="C2242" s="16" t="str">
        <f>IFERROR(__xludf.DUMMYFUNCTION(""""""""" &amp; REGEXEXTRACT(B2242, ""/detail/([^/?]+)"") &amp; """""","""),"""ajhidbbpmnhjjffefekncbdbeopghnnn"",")</f>
        <v>"ajhidbbpmnhjjffefekncbdbeopghnnn",</v>
      </c>
    </row>
    <row r="2243">
      <c r="A2243" s="4" t="s">
        <v>21425</v>
      </c>
      <c r="B2243" s="4" t="s">
        <v>4472</v>
      </c>
      <c r="C2243" s="16" t="str">
        <f>IFERROR(__xludf.DUMMYFUNCTION(""""""""" &amp; REGEXEXTRACT(B2243, ""/detail/([^/?]+)"") &amp; """""","""),"""ajmampgbofacbjaoahgcjbjfffcbmcea"",")</f>
        <v>"ajmampgbofacbjaoahgcjbjfffcbmcea",</v>
      </c>
    </row>
    <row r="2244">
      <c r="A2244" s="4" t="s">
        <v>21426</v>
      </c>
      <c r="B2244" s="4" t="s">
        <v>4474</v>
      </c>
      <c r="C2244" s="16" t="str">
        <f>IFERROR(__xludf.DUMMYFUNCTION(""""""""" &amp; REGEXEXTRACT(B2244, ""/detail/([^/?]+)"") &amp; """""","""),"""allccgoelledmdfenijoodhcfjndddjh"",")</f>
        <v>"allccgoelledmdfenijoodhcfjndddjh",</v>
      </c>
    </row>
    <row r="2245">
      <c r="A2245" s="4" t="s">
        <v>21427</v>
      </c>
      <c r="B2245" s="4" t="s">
        <v>4476</v>
      </c>
      <c r="C2245" s="16" t="str">
        <f>IFERROR(__xludf.DUMMYFUNCTION(""""""""" &amp; REGEXEXTRACT(B2245, ""/detail/([^/?]+)"") &amp; """""","""),"""amaencbkhcpbgpnphohjnacnpfcfpaij"",")</f>
        <v>"amaencbkhcpbgpnphohjnacnpfcfpaij",</v>
      </c>
    </row>
    <row r="2246">
      <c r="A2246" s="4" t="s">
        <v>21428</v>
      </c>
      <c r="B2246" s="4" t="s">
        <v>4478</v>
      </c>
      <c r="C2246" s="16" t="str">
        <f>IFERROR(__xludf.DUMMYFUNCTION(""""""""" &amp; REGEXEXTRACT(B2246, ""/detail/([^/?]+)"") &amp; """""","""),"""aodilhmhlmomokijchbkajpoibenmakn"",")</f>
        <v>"aodilhmhlmomokijchbkajpoibenmakn",</v>
      </c>
    </row>
    <row r="2247">
      <c r="A2247" s="4" t="s">
        <v>21429</v>
      </c>
      <c r="B2247" s="4" t="s">
        <v>4480</v>
      </c>
      <c r="C2247" s="16" t="str">
        <f>IFERROR(__xludf.DUMMYFUNCTION(""""""""" &amp; REGEXEXTRACT(B2247, ""/detail/([^/?]+)"") &amp; """""","""),"""aogabobfbepcehdkbfagdflinolncebh"",")</f>
        <v>"aogabobfbepcehdkbfagdflinolncebh",</v>
      </c>
    </row>
    <row r="2248">
      <c r="A2248" s="4" t="s">
        <v>21430</v>
      </c>
      <c r="B2248" s="4" t="s">
        <v>4482</v>
      </c>
      <c r="C2248" s="16" t="str">
        <f>IFERROR(__xludf.DUMMYFUNCTION(""""""""" &amp; REGEXEXTRACT(B2248, ""/detail/([^/?]+)"") &amp; """""","""),"""apfgihndokdmfcmajbbimifahgbgbhcm"",")</f>
        <v>"apfgihndokdmfcmajbbimifahgbgbhcm",</v>
      </c>
    </row>
    <row r="2249">
      <c r="A2249" s="4" t="s">
        <v>21431</v>
      </c>
      <c r="B2249" s="4" t="s">
        <v>4484</v>
      </c>
      <c r="C2249" s="16" t="str">
        <f>IFERROR(__xludf.DUMMYFUNCTION(""""""""" &amp; REGEXEXTRACT(B2249, ""/detail/([^/?]+)"") &amp; """""","""),"""bagkggccafdeflnfacbpemniahacnkfp"",")</f>
        <v>"bagkggccafdeflnfacbpemniahacnkfp",</v>
      </c>
    </row>
    <row r="2250">
      <c r="A2250" s="4" t="s">
        <v>21432</v>
      </c>
      <c r="B2250" s="4" t="s">
        <v>4486</v>
      </c>
      <c r="C2250" s="16" t="str">
        <f>IFERROR(__xludf.DUMMYFUNCTION(""""""""" &amp; REGEXEXTRACT(B2250, ""/detail/([^/?]+)"") &amp; """""","""),"""beegmjpglpekcgcegnpikjnndlblacif"",")</f>
        <v>"beegmjpglpekcgcegnpikjnndlblacif",</v>
      </c>
    </row>
    <row r="2251">
      <c r="A2251" s="4" t="s">
        <v>21433</v>
      </c>
      <c r="B2251" s="4" t="s">
        <v>4488</v>
      </c>
      <c r="C2251" s="16" t="str">
        <f>IFERROR(__xludf.DUMMYFUNCTION(""""""""" &amp; REGEXEXTRACT(B2251, ""/detail/([^/?]+)"") &amp; """""","""),"""bennikkpnelmfdiijpdclfincmnoabae"",")</f>
        <v>"bennikkpnelmfdiijpdclfincmnoabae",</v>
      </c>
    </row>
    <row r="2252">
      <c r="A2252" s="4" t="s">
        <v>21434</v>
      </c>
      <c r="B2252" s="4" t="s">
        <v>4490</v>
      </c>
      <c r="C2252" s="16" t="str">
        <f>IFERROR(__xludf.DUMMYFUNCTION(""""""""" &amp; REGEXEXTRACT(B2252, ""/detail/([^/?]+)"") &amp; """""","""),"""bhofgfdehmbkcllmbeddeifmmihllfnb"",")</f>
        <v>"bhofgfdehmbkcllmbeddeifmmihllfnb",</v>
      </c>
    </row>
    <row r="2253">
      <c r="A2253" s="4" t="s">
        <v>21435</v>
      </c>
      <c r="B2253" s="4" t="s">
        <v>4492</v>
      </c>
      <c r="C2253" s="16" t="str">
        <f>IFERROR(__xludf.DUMMYFUNCTION(""""""""" &amp; REGEXEXTRACT(B2253, ""/detail/([^/?]+)"") &amp; """""","""),"""binjbkpnlmnkdbdjaeeiefphdljhcbec"",")</f>
        <v>"binjbkpnlmnkdbdjaeeiefphdljhcbec",</v>
      </c>
    </row>
    <row r="2254">
      <c r="A2254" s="4" t="s">
        <v>21436</v>
      </c>
      <c r="B2254" s="4" t="s">
        <v>4494</v>
      </c>
      <c r="C2254" s="16" t="str">
        <f>IFERROR(__xludf.DUMMYFUNCTION(""""""""" &amp; REGEXEXTRACT(B2254, ""/detail/([^/?]+)"") &amp; """""","""),"""bjchdihmmgfbfheblpmfpaojmjchdioi"",")</f>
        <v>"bjchdihmmgfbfheblpmfpaojmjchdioi",</v>
      </c>
    </row>
    <row r="2255">
      <c r="A2255" s="4" t="s">
        <v>21437</v>
      </c>
      <c r="B2255" s="4" t="s">
        <v>4496</v>
      </c>
      <c r="C2255" s="16" t="str">
        <f>IFERROR(__xludf.DUMMYFUNCTION(""""""""" &amp; REGEXEXTRACT(B2255, ""/detail/([^/?]+)"") &amp; """""","""),"""bjjjdfkmchhojjkgbnhhlpoaeehpjjhi"",")</f>
        <v>"bjjjdfkmchhojjkgbnhhlpoaeehpjjhi",</v>
      </c>
    </row>
    <row r="2256">
      <c r="A2256" s="4" t="s">
        <v>21438</v>
      </c>
      <c r="B2256" s="4" t="s">
        <v>4498</v>
      </c>
      <c r="C2256" s="16" t="str">
        <f>IFERROR(__xludf.DUMMYFUNCTION(""""""""" &amp; REGEXEXTRACT(B2256, ""/detail/([^/?]+)"") &amp; """""","""),"""bmbjfincbkpcechjngdceidlnbifkfpm"",")</f>
        <v>"bmbjfincbkpcechjngdceidlnbifkfpm",</v>
      </c>
    </row>
    <row r="2257">
      <c r="A2257" s="4" t="s">
        <v>21439</v>
      </c>
      <c r="B2257" s="4" t="s">
        <v>4500</v>
      </c>
      <c r="C2257" s="16" t="str">
        <f>IFERROR(__xludf.DUMMYFUNCTION(""""""""" &amp; REGEXEXTRACT(B2257, ""/detail/([^/?]+)"") &amp; """""","""),"""bmfgonhglaokngckjajkooklejibhahm"",")</f>
        <v>"bmfgonhglaokngckjajkooklejibhahm",</v>
      </c>
    </row>
    <row r="2258">
      <c r="A2258" s="4" t="s">
        <v>21440</v>
      </c>
      <c r="B2258" s="4" t="s">
        <v>4502</v>
      </c>
      <c r="C2258" s="16" t="str">
        <f>IFERROR(__xludf.DUMMYFUNCTION(""""""""" &amp; REGEXEXTRACT(B2258, ""/detail/([^/?]+)"") &amp; """""","""),"""boibcalhejlcjjggfnochjmhccpgbidd"",")</f>
        <v>"boibcalhejlcjjggfnochjmhccpgbidd",</v>
      </c>
    </row>
    <row r="2259">
      <c r="A2259" s="4" t="s">
        <v>21441</v>
      </c>
      <c r="B2259" s="4" t="s">
        <v>4504</v>
      </c>
      <c r="C2259" s="16" t="str">
        <f>IFERROR(__xludf.DUMMYFUNCTION(""""""""" &amp; REGEXEXTRACT(B2259, ""/detail/([^/?]+)"") &amp; """""","""),"""bokbgdhblfolpfanocjafjhpjkebhlfk"",")</f>
        <v>"bokbgdhblfolpfanocjafjhpjkebhlfk",</v>
      </c>
    </row>
    <row r="2260">
      <c r="A2260" s="4" t="s">
        <v>21442</v>
      </c>
      <c r="B2260" s="4" t="s">
        <v>4506</v>
      </c>
      <c r="C2260" s="16" t="str">
        <f>IFERROR(__xludf.DUMMYFUNCTION(""""""""" &amp; REGEXEXTRACT(B2260, ""/detail/([^/?]+)"") &amp; """""","""),"""cbdgjmidolhjfmepekiebhjmmgodednm"",")</f>
        <v>"cbdgjmidolhjfmepekiebhjmmgodednm",</v>
      </c>
    </row>
    <row r="2261">
      <c r="A2261" s="4" t="s">
        <v>21443</v>
      </c>
      <c r="B2261" s="4" t="s">
        <v>4508</v>
      </c>
      <c r="C2261" s="16" t="str">
        <f>IFERROR(__xludf.DUMMYFUNCTION(""""""""" &amp; REGEXEXTRACT(B2261, ""/detail/([^/?]+)"") &amp; """""","""),"""cboekbiaoabkhgjdclenjpipclabkdga"",")</f>
        <v>"cboekbiaoabkhgjdclenjpipclabkdga",</v>
      </c>
    </row>
    <row r="2262">
      <c r="A2262" s="4" t="s">
        <v>21444</v>
      </c>
      <c r="B2262" s="4" t="s">
        <v>4510</v>
      </c>
      <c r="C2262" s="16" t="str">
        <f>IFERROR(__xludf.DUMMYFUNCTION(""""""""" &amp; REGEXEXTRACT(B2262, ""/detail/([^/?]+)"") &amp; """""","""),"""ccaikggmppdolhcehimngikgiafmdcep"",")</f>
        <v>"ccaikggmppdolhcehimngikgiafmdcep",</v>
      </c>
    </row>
    <row r="2263">
      <c r="A2263" s="4" t="s">
        <v>21445</v>
      </c>
      <c r="B2263" s="4" t="s">
        <v>4512</v>
      </c>
      <c r="C2263" s="16" t="str">
        <f>IFERROR(__xludf.DUMMYFUNCTION(""""""""" &amp; REGEXEXTRACT(B2263, ""/detail/([^/?]+)"") &amp; """""","""),"""cdfmaaeapjmacolkojefhfollmphonoh"",")</f>
        <v>"cdfmaaeapjmacolkojefhfollmphonoh",</v>
      </c>
    </row>
    <row r="2264">
      <c r="A2264" s="4" t="s">
        <v>21446</v>
      </c>
      <c r="B2264" s="4" t="s">
        <v>4514</v>
      </c>
      <c r="C2264" s="16" t="str">
        <f>IFERROR(__xludf.DUMMYFUNCTION(""""""""" &amp; REGEXEXTRACT(B2264, ""/detail/([^/?]+)"") &amp; """""","""),"""cebkmpjkademcaigilgldjonmphfbmfh"",")</f>
        <v>"cebkmpjkademcaigilgldjonmphfbmfh",</v>
      </c>
    </row>
    <row r="2265">
      <c r="A2265" s="4" t="s">
        <v>21447</v>
      </c>
      <c r="B2265" s="4" t="s">
        <v>4516</v>
      </c>
      <c r="C2265" s="16" t="str">
        <f>IFERROR(__xludf.DUMMYFUNCTION(""""""""" &amp; REGEXEXTRACT(B2265, ""/detail/([^/?]+)"") &amp; """""","""),"""cfmeoknomhdgcbcmgmpbbjiggfboniie"",")</f>
        <v>"cfmeoknomhdgcbcmgmpbbjiggfboniie",</v>
      </c>
    </row>
    <row r="2266">
      <c r="A2266" s="4" t="s">
        <v>21448</v>
      </c>
      <c r="B2266" s="4" t="s">
        <v>4518</v>
      </c>
      <c r="C2266" s="16" t="str">
        <f>IFERROR(__xludf.DUMMYFUNCTION(""""""""" &amp; REGEXEXTRACT(B2266, ""/detail/([^/?]+)"") &amp; """""","""),"""cgggfndkphggbgeimpplooflemnfndok"",")</f>
        <v>"cgggfndkphggbgeimpplooflemnfndok",</v>
      </c>
    </row>
    <row r="2267">
      <c r="A2267" s="4" t="s">
        <v>21449</v>
      </c>
      <c r="B2267" s="4" t="s">
        <v>4520</v>
      </c>
      <c r="C2267" s="16" t="str">
        <f>IFERROR(__xludf.DUMMYFUNCTION(""""""""" &amp; REGEXEXTRACT(B2267, ""/detail/([^/?]+)"") &amp; """""","""),"""cheknlbiacfddgakdfdlioemnhlolaah"",")</f>
        <v>"cheknlbiacfddgakdfdlioemnhlolaah",</v>
      </c>
    </row>
    <row r="2268">
      <c r="A2268" s="4" t="s">
        <v>21450</v>
      </c>
      <c r="B2268" s="4" t="s">
        <v>4522</v>
      </c>
      <c r="C2268" s="16" t="str">
        <f>IFERROR(__xludf.DUMMYFUNCTION(""""""""" &amp; REGEXEXTRACT(B2268, ""/detail/([^/?]+)"") &amp; """""","""),"""cibkbalgoimplliocdglnonnjnfbnmmn"",")</f>
        <v>"cibkbalgoimplliocdglnonnjnfbnmmn",</v>
      </c>
    </row>
    <row r="2269">
      <c r="A2269" s="4" t="s">
        <v>21451</v>
      </c>
      <c r="B2269" s="4" t="s">
        <v>4524</v>
      </c>
      <c r="C2269" s="16" t="str">
        <f>IFERROR(__xludf.DUMMYFUNCTION(""""""""" &amp; REGEXEXTRACT(B2269, ""/detail/([^/?]+)"") &amp; """""","""),"""cimmbifnciobjhchpimjekibbndgmkfk"",")</f>
        <v>"cimmbifnciobjhchpimjekibbndgmkfk",</v>
      </c>
    </row>
    <row r="2270">
      <c r="A2270" s="4" t="s">
        <v>21452</v>
      </c>
      <c r="B2270" s="4" t="s">
        <v>4526</v>
      </c>
      <c r="C2270" s="16" t="str">
        <f>IFERROR(__xludf.DUMMYFUNCTION(""""""""" &amp; REGEXEXTRACT(B2270, ""/detail/([^/?]+)"") &amp; """""","""),"""cjbkbbjggdnlcbomblebkobkleanbmkk"",")</f>
        <v>"cjbkbbjggdnlcbomblebkobkleanbmkk",</v>
      </c>
    </row>
    <row r="2271">
      <c r="A2271" s="4" t="s">
        <v>21453</v>
      </c>
      <c r="B2271" s="4" t="s">
        <v>4528</v>
      </c>
      <c r="C2271" s="16" t="str">
        <f>IFERROR(__xludf.DUMMYFUNCTION(""""""""" &amp; REGEXEXTRACT(B2271, ""/detail/([^/?]+)"") &amp; """""","""),"""cjckpmogmplfbjadfjefmcndilfgncfo"",")</f>
        <v>"cjckpmogmplfbjadfjefmcndilfgncfo",</v>
      </c>
    </row>
    <row r="2272">
      <c r="A2272" s="4" t="s">
        <v>21454</v>
      </c>
      <c r="B2272" s="4" t="s">
        <v>4530</v>
      </c>
      <c r="C2272" s="16" t="str">
        <f>IFERROR(__xludf.DUMMYFUNCTION(""""""""" &amp; REGEXEXTRACT(B2272, ""/detail/([^/?]+)"") &amp; """""","""),"""ckphpjbkimigoeccikelnkfnilnjmaha"",")</f>
        <v>"ckphpjbkimigoeccikelnkfnilnjmaha",</v>
      </c>
    </row>
    <row r="2273">
      <c r="A2273" s="4" t="s">
        <v>21455</v>
      </c>
      <c r="B2273" s="4" t="s">
        <v>4532</v>
      </c>
      <c r="C2273" s="16" t="str">
        <f>IFERROR(__xludf.DUMMYFUNCTION(""""""""" &amp; REGEXEXTRACT(B2273, ""/detail/([^/?]+)"") &amp; """""","""),"""cmfcdkambpljcndgdmaccaagladfnepa"",")</f>
        <v>"cmfcdkambpljcndgdmaccaagladfnepa",</v>
      </c>
    </row>
    <row r="2274">
      <c r="A2274" s="4" t="s">
        <v>21456</v>
      </c>
      <c r="B2274" s="4" t="s">
        <v>4534</v>
      </c>
      <c r="C2274" s="16" t="str">
        <f>IFERROR(__xludf.DUMMYFUNCTION(""""""""" &amp; REGEXEXTRACT(B2274, ""/detail/([^/?]+)"") &amp; """""","""),"""cmhaijgncfpbbhfnieobpbadekcpjpol"",")</f>
        <v>"cmhaijgncfpbbhfnieobpbadekcpjpol",</v>
      </c>
    </row>
    <row r="2275">
      <c r="A2275" s="4" t="s">
        <v>21457</v>
      </c>
      <c r="B2275" s="4" t="s">
        <v>4536</v>
      </c>
      <c r="C2275" s="16" t="str">
        <f>IFERROR(__xludf.DUMMYFUNCTION(""""""""" &amp; REGEXEXTRACT(B2275, ""/detail/([^/?]+)"") &amp; """""","""),"""cnmnclkpkbahliofmnfkmhdohmdjkohj"",")</f>
        <v>"cnmnclkpkbahliofmnfkmhdohmdjkohj",</v>
      </c>
    </row>
    <row r="2276">
      <c r="A2276" s="4" t="s">
        <v>21458</v>
      </c>
      <c r="B2276" s="4" t="s">
        <v>4538</v>
      </c>
      <c r="C2276" s="16" t="str">
        <f>IFERROR(__xludf.DUMMYFUNCTION(""""""""" &amp; REGEXEXTRACT(B2276, ""/detail/([^/?]+)"") &amp; """""","""),"""cogdeckoffhcpfmainkijpifglkkccla"",")</f>
        <v>"cogdeckoffhcpfmainkijpifglkkccla",</v>
      </c>
    </row>
    <row r="2277">
      <c r="A2277" s="4" t="s">
        <v>21459</v>
      </c>
      <c r="B2277" s="4" t="s">
        <v>4540</v>
      </c>
      <c r="C2277" s="16" t="str">
        <f>IFERROR(__xludf.DUMMYFUNCTION(""""""""" &amp; REGEXEXTRACT(B2277, ""/detail/([^/?]+)"") &amp; """""","""),"""coickbnhchmdngjabciaimhdhnbgnpef"",")</f>
        <v>"coickbnhchmdngjabciaimhdhnbgnpef",</v>
      </c>
    </row>
    <row r="2278">
      <c r="A2278" s="4" t="s">
        <v>21460</v>
      </c>
      <c r="B2278" s="4" t="s">
        <v>4542</v>
      </c>
      <c r="C2278" s="16" t="str">
        <f>IFERROR(__xludf.DUMMYFUNCTION(""""""""" &amp; REGEXEXTRACT(B2278, ""/detail/([^/?]+)"") &amp; """""","""),"""cojebfpfaaikknofipcimmgclgdkihcp"",")</f>
        <v>"cojebfpfaaikknofipcimmgclgdkihcp",</v>
      </c>
    </row>
    <row r="2279">
      <c r="A2279" s="4" t="s">
        <v>21461</v>
      </c>
      <c r="B2279" s="4" t="s">
        <v>4544</v>
      </c>
      <c r="C2279" s="16" t="str">
        <f>IFERROR(__xludf.DUMMYFUNCTION(""""""""" &amp; REGEXEXTRACT(B2279, ""/detail/([^/?]+)"") &amp; """""","""),"""comoajdjdhccbjchdnbiickjnpdnnmbd"",")</f>
        <v>"comoajdjdhccbjchdnbiickjnpdnnmbd",</v>
      </c>
    </row>
    <row r="2280">
      <c r="A2280" s="4" t="s">
        <v>21462</v>
      </c>
      <c r="B2280" s="4" t="s">
        <v>4546</v>
      </c>
      <c r="C2280" s="16" t="str">
        <f>IFERROR(__xludf.DUMMYFUNCTION(""""""""" &amp; REGEXEXTRACT(B2280, ""/detail/([^/?]+)"") &amp; """""","""),"""dahppfjibdefbdbpenkdmpmicmconloi"",")</f>
        <v>"dahppfjibdefbdbpenkdmpmicmconloi",</v>
      </c>
    </row>
    <row r="2281">
      <c r="A2281" s="4" t="s">
        <v>21463</v>
      </c>
      <c r="B2281" s="4" t="s">
        <v>4548</v>
      </c>
      <c r="C2281" s="16" t="str">
        <f>IFERROR(__xludf.DUMMYFUNCTION(""""""""" &amp; REGEXEXTRACT(B2281, ""/detail/([^/?]+)"") &amp; """""","""),"""ddpejemcmlhbjppfdndmonifbiaindkl"",")</f>
        <v>"ddpejemcmlhbjppfdndmonifbiaindkl",</v>
      </c>
    </row>
    <row r="2282">
      <c r="A2282" s="4" t="s">
        <v>21464</v>
      </c>
      <c r="B2282" s="4" t="s">
        <v>4550</v>
      </c>
      <c r="C2282" s="16" t="str">
        <f>IFERROR(__xludf.DUMMYFUNCTION(""""""""" &amp; REGEXEXTRACT(B2282, ""/detail/([^/?]+)"") &amp; """""","""),"""deacaenjlolcbcnojljnabgmdljeekfh"",")</f>
        <v>"deacaenjlolcbcnojljnabgmdljeekfh",</v>
      </c>
    </row>
    <row r="2283">
      <c r="A2283" s="4" t="s">
        <v>21465</v>
      </c>
      <c r="B2283" s="4" t="s">
        <v>4552</v>
      </c>
      <c r="C2283" s="16" t="str">
        <f>IFERROR(__xludf.DUMMYFUNCTION(""""""""" &amp; REGEXEXTRACT(B2283, ""/detail/([^/?]+)"") &amp; """""","""),"""deekoplmjnhcnbkpojidakdbllmdhekh"",")</f>
        <v>"deekoplmjnhcnbkpojidakdbllmdhekh",</v>
      </c>
    </row>
    <row r="2284">
      <c r="A2284" s="4" t="s">
        <v>21466</v>
      </c>
      <c r="B2284" s="4" t="s">
        <v>4554</v>
      </c>
      <c r="C2284" s="16" t="str">
        <f>IFERROR(__xludf.DUMMYFUNCTION(""""""""" &amp; REGEXEXTRACT(B2284, ""/detail/([^/?]+)"") &amp; """""","""),"""dflfhhdekdakmeplgkghbglgadcnffgh"",")</f>
        <v>"dflfhhdekdakmeplgkghbglgadcnffgh",</v>
      </c>
    </row>
    <row r="2285">
      <c r="A2285" s="4" t="s">
        <v>21467</v>
      </c>
      <c r="B2285" s="4" t="s">
        <v>4556</v>
      </c>
      <c r="C2285" s="16" t="str">
        <f>IFERROR(__xludf.DUMMYFUNCTION(""""""""" &amp; REGEXEXTRACT(B2285, ""/detail/([^/?]+)"") &amp; """""","""),"""dgibbaokhfpninakmmnpmgedoabcmnpd"",")</f>
        <v>"dgibbaokhfpninakmmnpmgedoabcmnpd",</v>
      </c>
    </row>
    <row r="2286">
      <c r="A2286" s="4" t="s">
        <v>21468</v>
      </c>
      <c r="B2286" s="4" t="s">
        <v>4558</v>
      </c>
      <c r="C2286" s="16" t="str">
        <f>IFERROR(__xludf.DUMMYFUNCTION(""""""""" &amp; REGEXEXTRACT(B2286, ""/detail/([^/?]+)"") &amp; """""","""),"""dgmacifhhpefamjmolpipkijcofcmbgp"",")</f>
        <v>"dgmacifhhpefamjmolpipkijcofcmbgp",</v>
      </c>
    </row>
    <row r="2287">
      <c r="A2287" s="4" t="s">
        <v>21469</v>
      </c>
      <c r="B2287" s="4" t="s">
        <v>4560</v>
      </c>
      <c r="C2287" s="16" t="str">
        <f>IFERROR(__xludf.DUMMYFUNCTION(""""""""" &amp; REGEXEXTRACT(B2287, ""/detail/([^/?]+)"") &amp; """""","""),"""dhldhkijljcokgnbimipkockigbjogoi"",")</f>
        <v>"dhldhkijljcokgnbimipkockigbjogoi",</v>
      </c>
    </row>
    <row r="2288">
      <c r="A2288" s="4" t="s">
        <v>21470</v>
      </c>
      <c r="B2288" s="4" t="s">
        <v>4561</v>
      </c>
      <c r="C2288" s="16" t="str">
        <f>IFERROR(__xludf.DUMMYFUNCTION(""""""""" &amp; REGEXEXTRACT(B2288, ""/detail/([^/?]+)"") &amp; """""","""),"""djbpbelpckcfamdlkfhipkkadnanmkci"",")</f>
        <v>"djbpbelpckcfamdlkfhipkkadnanmkci",</v>
      </c>
    </row>
    <row r="2289">
      <c r="A2289" s="4" t="s">
        <v>21471</v>
      </c>
      <c r="B2289" s="4" t="s">
        <v>4563</v>
      </c>
      <c r="C2289" s="16" t="str">
        <f>IFERROR(__xludf.DUMMYFUNCTION(""""""""" &amp; REGEXEXTRACT(B2289, ""/detail/([^/?]+)"") &amp; """""","""),"""dkbdngdafgflbkljoladndlfpjpfball"",")</f>
        <v>"dkbdngdafgflbkljoladndlfpjpfball",</v>
      </c>
    </row>
    <row r="2290">
      <c r="A2290" s="4" t="s">
        <v>21472</v>
      </c>
      <c r="B2290" s="4" t="s">
        <v>4565</v>
      </c>
      <c r="C2290" s="16" t="str">
        <f>IFERROR(__xludf.DUMMYFUNCTION(""""""""" &amp; REGEXEXTRACT(B2290, ""/detail/([^/?]+)"") &amp; """""","""),"""dkcdcmananochmgmhgkhhmgegdnkgejl"",")</f>
        <v>"dkcdcmananochmgmhgkhhmgegdnkgejl",</v>
      </c>
    </row>
    <row r="2291">
      <c r="A2291" s="4" t="s">
        <v>21473</v>
      </c>
      <c r="B2291" s="4" t="s">
        <v>4567</v>
      </c>
      <c r="C2291" s="16" t="str">
        <f>IFERROR(__xludf.DUMMYFUNCTION(""""""""" &amp; REGEXEXTRACT(B2291, ""/detail/([^/?]+)"") &amp; """""","""),"""dkmoongjbemkaagfcmledklbgchlbboj"",")</f>
        <v>"dkmoongjbemkaagfcmledklbgchlbboj",</v>
      </c>
    </row>
    <row r="2292">
      <c r="A2292" s="4" t="s">
        <v>21474</v>
      </c>
      <c r="B2292" s="4" t="s">
        <v>4569</v>
      </c>
      <c r="C2292" s="16" t="str">
        <f>IFERROR(__xludf.DUMMYFUNCTION(""""""""" &amp; REGEXEXTRACT(B2292, ""/detail/([^/?]+)"") &amp; """""","""),"""dpaahcbfdahefmhaofckcgeojpbodglc"",")</f>
        <v>"dpaahcbfdahefmhaofckcgeojpbodglc",</v>
      </c>
    </row>
    <row r="2293">
      <c r="A2293" s="4" t="s">
        <v>21475</v>
      </c>
      <c r="B2293" s="4" t="s">
        <v>4571</v>
      </c>
      <c r="C2293" s="16" t="str">
        <f>IFERROR(__xludf.DUMMYFUNCTION(""""""""" &amp; REGEXEXTRACT(B2293, ""/detail/([^/?]+)"") &amp; """""","""),"""dpnfknficgldmilnkddfhmbafkcipkkh"",")</f>
        <v>"dpnfknficgldmilnkddfhmbafkcipkkh",</v>
      </c>
    </row>
    <row r="2294">
      <c r="A2294" s="4" t="s">
        <v>21476</v>
      </c>
      <c r="B2294" s="4" t="s">
        <v>4573</v>
      </c>
      <c r="C2294" s="16" t="str">
        <f>IFERROR(__xludf.DUMMYFUNCTION(""""""""" &amp; REGEXEXTRACT(B2294, ""/detail/([^/?]+)"") &amp; """""","""),"""eameopeafamlapaanmfijbednoofgeep"",")</f>
        <v>"eameopeafamlapaanmfijbednoofgeep",</v>
      </c>
    </row>
    <row r="2295">
      <c r="A2295" s="4" t="s">
        <v>21477</v>
      </c>
      <c r="B2295" s="4" t="s">
        <v>4575</v>
      </c>
      <c r="C2295" s="16" t="str">
        <f>IFERROR(__xludf.DUMMYFUNCTION(""""""""" &amp; REGEXEXTRACT(B2295, ""/detail/([^/?]+)"") &amp; """""","""),"""ebalpcfngdhkpndfognjoffolfpiilnm"",")</f>
        <v>"ebalpcfngdhkpndfognjoffolfpiilnm",</v>
      </c>
    </row>
    <row r="2296">
      <c r="A2296" s="4" t="s">
        <v>21478</v>
      </c>
      <c r="B2296" s="4" t="s">
        <v>4577</v>
      </c>
      <c r="C2296" s="16" t="str">
        <f>IFERROR(__xludf.DUMMYFUNCTION(""""""""" &amp; REGEXEXTRACT(B2296, ""/detail/([^/?]+)"") &amp; """""","""),"""ecjdodihigbjgncnlfijfjdaogoilhhc"",")</f>
        <v>"ecjdodihigbjgncnlfijfjdaogoilhhc",</v>
      </c>
    </row>
    <row r="2297">
      <c r="A2297" s="4" t="s">
        <v>21479</v>
      </c>
      <c r="B2297" s="4" t="s">
        <v>4579</v>
      </c>
      <c r="C2297" s="16" t="str">
        <f>IFERROR(__xludf.DUMMYFUNCTION(""""""""" &amp; REGEXEXTRACT(B2297, ""/detail/([^/?]+)"") &amp; """""","""),"""ehlckfimahifadnbecobagimllmbdmde"",")</f>
        <v>"ehlckfimahifadnbecobagimllmbdmde",</v>
      </c>
    </row>
    <row r="2298">
      <c r="A2298" s="4" t="s">
        <v>21480</v>
      </c>
      <c r="B2298" s="4" t="s">
        <v>4581</v>
      </c>
      <c r="C2298" s="16" t="str">
        <f>IFERROR(__xludf.DUMMYFUNCTION(""""""""" &amp; REGEXEXTRACT(B2298, ""/detail/([^/?]+)"") &amp; """""","""),"""ejgjaeamjppjgmjnaaljcocboejdinpj"",")</f>
        <v>"ejgjaeamjppjgmjnaaljcocboejdinpj",</v>
      </c>
    </row>
    <row r="2299">
      <c r="A2299" s="4" t="s">
        <v>21481</v>
      </c>
      <c r="B2299" s="4" t="s">
        <v>4583</v>
      </c>
      <c r="C2299" s="16" t="str">
        <f>IFERROR(__xludf.DUMMYFUNCTION(""""""""" &amp; REGEXEXTRACT(B2299, ""/detail/([^/?]+)"") &amp; """""","""),"""ejpddgihmnpjdedldacjlhjjlilfgjok"",")</f>
        <v>"ejpddgihmnpjdedldacjlhjjlilfgjok",</v>
      </c>
    </row>
    <row r="2300">
      <c r="A2300" s="4" t="s">
        <v>21482</v>
      </c>
      <c r="B2300" s="4" t="s">
        <v>4585</v>
      </c>
      <c r="C2300" s="16" t="str">
        <f>IFERROR(__xludf.DUMMYFUNCTION(""""""""" &amp; REGEXEXTRACT(B2300, ""/detail/([^/?]+)"") &amp; """""","""),"""ekffngdiljhjmmmfcajfmpheedkonklc"",")</f>
        <v>"ekffngdiljhjmmmfcajfmpheedkonklc",</v>
      </c>
    </row>
    <row r="2301">
      <c r="A2301" s="4" t="s">
        <v>21483</v>
      </c>
      <c r="B2301" s="4" t="s">
        <v>4587</v>
      </c>
      <c r="C2301" s="16" t="str">
        <f>IFERROR(__xludf.DUMMYFUNCTION(""""""""" &amp; REGEXEXTRACT(B2301, ""/detail/([^/?]+)"") &amp; """""","""),"""ekmamdknmdolmmjbgpmnkiobcnihdhhf"",")</f>
        <v>"ekmamdknmdolmmjbgpmnkiobcnihdhhf",</v>
      </c>
    </row>
    <row r="2302">
      <c r="A2302" s="4" t="s">
        <v>21484</v>
      </c>
      <c r="B2302" s="4" t="s">
        <v>4589</v>
      </c>
      <c r="C2302" s="16" t="str">
        <f>IFERROR(__xludf.DUMMYFUNCTION(""""""""" &amp; REGEXEXTRACT(B2302, ""/detail/([^/?]+)"") &amp; """""","""),"""elhcnbjoomhmifmfeggoalmplblcmcin"",")</f>
        <v>"elhcnbjoomhmifmfeggoalmplblcmcin",</v>
      </c>
    </row>
    <row r="2303">
      <c r="A2303" s="4" t="s">
        <v>21485</v>
      </c>
      <c r="B2303" s="4" t="s">
        <v>4591</v>
      </c>
      <c r="C2303" s="16" t="str">
        <f>IFERROR(__xludf.DUMMYFUNCTION(""""""""" &amp; REGEXEXTRACT(B2303, ""/detail/([^/?]+)"") &amp; """""","""),"""eplgjobanbeabmgflcnfgdhcbnailejp"",")</f>
        <v>"eplgjobanbeabmgflcnfgdhcbnailejp",</v>
      </c>
    </row>
    <row r="2304">
      <c r="A2304" s="4" t="s">
        <v>21486</v>
      </c>
      <c r="B2304" s="4" t="s">
        <v>4593</v>
      </c>
      <c r="C2304" s="16" t="str">
        <f>IFERROR(__xludf.DUMMYFUNCTION(""""""""" &amp; REGEXEXTRACT(B2304, ""/detail/([^/?]+)"") &amp; """""","""),"""fadkffkdccpljkdhnbgkdjphlofgideg"",")</f>
        <v>"fadkffkdccpljkdhnbgkdjphlofgideg",</v>
      </c>
    </row>
    <row r="2305">
      <c r="A2305" s="4" t="s">
        <v>21487</v>
      </c>
      <c r="B2305" s="4" t="s">
        <v>4595</v>
      </c>
      <c r="C2305" s="16" t="str">
        <f>IFERROR(__xludf.DUMMYFUNCTION(""""""""" &amp; REGEXEXTRACT(B2305, ""/detail/([^/?]+)"") &amp; """""","""),"""fciomokgnajoifiiaglcjkonligobneo"",")</f>
        <v>"fciomokgnajoifiiaglcjkonligobneo",</v>
      </c>
    </row>
    <row r="2306">
      <c r="A2306" s="4" t="s">
        <v>21488</v>
      </c>
      <c r="B2306" s="4" t="s">
        <v>4597</v>
      </c>
      <c r="C2306" s="16" t="str">
        <f>IFERROR(__xludf.DUMMYFUNCTION(""""""""" &amp; REGEXEXTRACT(B2306, ""/detail/([^/?]+)"") &amp; """""","""),"""fdhpkpfbolhjcbejckjbiciinkcjlijj"",")</f>
        <v>"fdhpkpfbolhjcbejckjbiciinkcjlijj",</v>
      </c>
    </row>
    <row r="2307">
      <c r="A2307" s="4" t="s">
        <v>21489</v>
      </c>
      <c r="B2307" s="4" t="s">
        <v>4599</v>
      </c>
      <c r="C2307" s="16" t="str">
        <f>IFERROR(__xludf.DUMMYFUNCTION(""""""""" &amp; REGEXEXTRACT(B2307, ""/detail/([^/?]+)"") &amp; """""","""),"""ffkgelfmnmeofidahjaefimpdgekflha"",")</f>
        <v>"ffkgelfmnmeofidahjaefimpdgekflha",</v>
      </c>
    </row>
    <row r="2308">
      <c r="A2308" s="4" t="s">
        <v>21490</v>
      </c>
      <c r="B2308" s="4" t="s">
        <v>4601</v>
      </c>
      <c r="C2308" s="16" t="str">
        <f>IFERROR(__xludf.DUMMYFUNCTION(""""""""" &amp; REGEXEXTRACT(B2308, ""/detail/([^/?]+)"") &amp; """""","""),"""fhjmdobefakhdbfdpnnopoaldabldbgd"",")</f>
        <v>"fhjmdobefakhdbfdpnnopoaldabldbgd",</v>
      </c>
    </row>
    <row r="2309">
      <c r="A2309" s="4" t="s">
        <v>21491</v>
      </c>
      <c r="B2309" s="4" t="s">
        <v>4603</v>
      </c>
      <c r="C2309" s="16" t="str">
        <f>IFERROR(__xludf.DUMMYFUNCTION(""""""""" &amp; REGEXEXTRACT(B2309, ""/detail/([^/?]+)"") &amp; """""","""),"""fhnfchmneeihfblhfecikbkedafkklke"",")</f>
        <v>"fhnfchmneeihfblhfecikbkedafkklke",</v>
      </c>
    </row>
    <row r="2310">
      <c r="A2310" s="4" t="s">
        <v>21492</v>
      </c>
      <c r="B2310" s="4" t="s">
        <v>4605</v>
      </c>
      <c r="C2310" s="16" t="str">
        <f>IFERROR(__xludf.DUMMYFUNCTION(""""""""" &amp; REGEXEXTRACT(B2310, ""/detail/([^/?]+)"") &amp; """""","""),"""fhomhkjcommffnlajeemenejemmegcmi"",")</f>
        <v>"fhomhkjcommffnlajeemenejemmegcmi",</v>
      </c>
    </row>
    <row r="2311">
      <c r="A2311" s="4" t="s">
        <v>21493</v>
      </c>
      <c r="B2311" s="4" t="s">
        <v>4607</v>
      </c>
      <c r="C2311" s="16" t="str">
        <f>IFERROR(__xludf.DUMMYFUNCTION(""""""""" &amp; REGEXEXTRACT(B2311, ""/detail/([^/?]+)"") &amp; """""","""),"""fifipfjcpdakpdomdhekagpcngdblbba"",")</f>
        <v>"fifipfjcpdakpdomdhekagpcngdblbba",</v>
      </c>
    </row>
    <row r="2312">
      <c r="A2312" s="4" t="s">
        <v>21494</v>
      </c>
      <c r="B2312" s="4" t="s">
        <v>4609</v>
      </c>
      <c r="C2312" s="16" t="str">
        <f>IFERROR(__xludf.DUMMYFUNCTION(""""""""" &amp; REGEXEXTRACT(B2312, ""/detail/([^/?]+)"") &amp; """""","""),"""fkdppolbkpdoebdhflolnnkeiaoblfjc"",")</f>
        <v>"fkdppolbkpdoebdhflolnnkeiaoblfjc",</v>
      </c>
    </row>
    <row r="2313">
      <c r="A2313" s="4" t="s">
        <v>21495</v>
      </c>
      <c r="B2313" s="4" t="s">
        <v>4611</v>
      </c>
      <c r="C2313" s="16" t="str">
        <f>IFERROR(__xludf.DUMMYFUNCTION(""""""""" &amp; REGEXEXTRACT(B2313, ""/detail/([^/?]+)"") &amp; """""","""),"""fldphceaabkfnogfomngiglfgepglpeo"",")</f>
        <v>"fldphceaabkfnogfomngiglfgepglpeo",</v>
      </c>
    </row>
    <row r="2314">
      <c r="A2314" s="4" t="s">
        <v>21496</v>
      </c>
      <c r="B2314" s="4" t="s">
        <v>4613</v>
      </c>
      <c r="C2314" s="16" t="str">
        <f>IFERROR(__xludf.DUMMYFUNCTION(""""""""" &amp; REGEXEXTRACT(B2314, ""/detail/([^/?]+)"") &amp; """""","""),"""fmljflfbojphpnbijaceeemjapgkefin"",")</f>
        <v>"fmljflfbojphpnbijaceeemjapgkefin",</v>
      </c>
    </row>
    <row r="2315">
      <c r="A2315" s="4" t="s">
        <v>21497</v>
      </c>
      <c r="B2315" s="4" t="s">
        <v>4615</v>
      </c>
      <c r="C2315" s="16" t="str">
        <f>IFERROR(__xludf.DUMMYFUNCTION(""""""""" &amp; REGEXEXTRACT(B2315, ""/detail/([^/?]+)"") &amp; """""","""),"""fnhpicigolcacikdjdocmkfnplmefadg"",")</f>
        <v>"fnhpicigolcacikdjdocmkfnplmefadg",</v>
      </c>
    </row>
    <row r="2316">
      <c r="A2316" s="4" t="s">
        <v>21498</v>
      </c>
      <c r="B2316" s="4" t="s">
        <v>4617</v>
      </c>
      <c r="C2316" s="16" t="str">
        <f>IFERROR(__xludf.DUMMYFUNCTION(""""""""" &amp; REGEXEXTRACT(B2316, ""/detail/([^/?]+)"") &amp; """""","""),"""fopcehkidabibdmachbcpbgllhehknah"",")</f>
        <v>"fopcehkidabibdmachbcpbgllhehknah",</v>
      </c>
    </row>
    <row r="2317">
      <c r="A2317" s="4" t="s">
        <v>21499</v>
      </c>
      <c r="B2317" s="4" t="s">
        <v>4619</v>
      </c>
      <c r="C2317" s="16" t="str">
        <f>IFERROR(__xludf.DUMMYFUNCTION(""""""""" &amp; REGEXEXTRACT(B2317, ""/detail/([^/?]+)"") &amp; """""","""),"""gbbimmnlnnanjkmjbopohmghngacfbem"",")</f>
        <v>"gbbimmnlnnanjkmjbopohmghngacfbem",</v>
      </c>
    </row>
    <row r="2318">
      <c r="A2318" s="4" t="s">
        <v>21500</v>
      </c>
      <c r="B2318" s="4" t="s">
        <v>4621</v>
      </c>
      <c r="C2318" s="16" t="str">
        <f>IFERROR(__xludf.DUMMYFUNCTION(""""""""" &amp; REGEXEXTRACT(B2318, ""/detail/([^/?]+)"") &amp; """""","""),"""gccehjhjelnjpcpfodkdhkcgpalkihdc"",")</f>
        <v>"gccehjhjelnjpcpfodkdhkcgpalkihdc",</v>
      </c>
    </row>
    <row r="2319">
      <c r="A2319" s="4" t="s">
        <v>21501</v>
      </c>
      <c r="B2319" s="4" t="s">
        <v>4623</v>
      </c>
      <c r="C2319" s="16" t="str">
        <f>IFERROR(__xludf.DUMMYFUNCTION(""""""""" &amp; REGEXEXTRACT(B2319, ""/detail/([^/?]+)"") &amp; """""","""),"""geecgiclhemdbkmmbflfdophmppjjial"",")</f>
        <v>"geecgiclhemdbkmmbflfdophmppjjial",</v>
      </c>
    </row>
    <row r="2320">
      <c r="A2320" s="4" t="s">
        <v>21502</v>
      </c>
      <c r="B2320" s="4" t="s">
        <v>4625</v>
      </c>
      <c r="C2320" s="16" t="str">
        <f>IFERROR(__xludf.DUMMYFUNCTION(""""""""" &amp; REGEXEXTRACT(B2320, ""/detail/([^/?]+)"") &amp; """""","""),"""gfdagplpafaaplpkngcjbpkgeneapboc"",")</f>
        <v>"gfdagplpafaaplpkngcjbpkgeneapboc",</v>
      </c>
    </row>
    <row r="2321">
      <c r="A2321" s="4" t="s">
        <v>21503</v>
      </c>
      <c r="B2321" s="4" t="s">
        <v>4627</v>
      </c>
      <c r="C2321" s="16" t="str">
        <f>IFERROR(__xludf.DUMMYFUNCTION(""""""""" &amp; REGEXEXTRACT(B2321, ""/detail/([^/?]+)"") &amp; """""","""),"""ghcdbkkkkoapnnmgipogcdakfnicgdnb"",")</f>
        <v>"ghcdbkkkkoapnnmgipogcdakfnicgdnb",</v>
      </c>
    </row>
    <row r="2322">
      <c r="A2322" s="4" t="s">
        <v>21504</v>
      </c>
      <c r="B2322" s="4" t="s">
        <v>4629</v>
      </c>
      <c r="C2322" s="16" t="str">
        <f>IFERROR(__xludf.DUMMYFUNCTION(""""""""" &amp; REGEXEXTRACT(B2322, ""/detail/([^/?]+)"") &amp; """""","""),"""gjnnhhmjplppbabpoaihbdjejlpdcbhj"",")</f>
        <v>"gjnnhhmjplppbabpoaihbdjejlpdcbhj",</v>
      </c>
    </row>
    <row r="2323">
      <c r="A2323" s="4" t="s">
        <v>21505</v>
      </c>
      <c r="B2323" s="4" t="s">
        <v>4631</v>
      </c>
      <c r="C2323" s="16" t="str">
        <f>IFERROR(__xludf.DUMMYFUNCTION(""""""""" &amp; REGEXEXTRACT(B2323, ""/detail/([^/?]+)"") &amp; """""","""),"""gjodchcocbnbhfkjeapbdoflbiibnapp"",")</f>
        <v>"gjodchcocbnbhfkjeapbdoflbiibnapp",</v>
      </c>
    </row>
    <row r="2324">
      <c r="A2324" s="4" t="s">
        <v>21506</v>
      </c>
      <c r="B2324" s="4" t="s">
        <v>4633</v>
      </c>
      <c r="C2324" s="16" t="str">
        <f>IFERROR(__xludf.DUMMYFUNCTION(""""""""" &amp; REGEXEXTRACT(B2324, ""/detail/([^/?]+)"") &amp; """""","""),"""gkjmndjkeieeacmhpbfacalahgpknkkb"",")</f>
        <v>"gkjmndjkeieeacmhpbfacalahgpknkkb",</v>
      </c>
    </row>
    <row r="2325">
      <c r="A2325" s="4" t="s">
        <v>21507</v>
      </c>
      <c r="B2325" s="4" t="s">
        <v>4635</v>
      </c>
      <c r="C2325" s="16" t="str">
        <f>IFERROR(__xludf.DUMMYFUNCTION(""""""""" &amp; REGEXEXTRACT(B2325, ""/detail/([^/?]+)"") &amp; """""","""),"""glaohkkooicollgefkkmndjcbblominl"",")</f>
        <v>"glaohkkooicollgefkkmndjcbblominl",</v>
      </c>
    </row>
    <row r="2326">
      <c r="A2326" s="4" t="s">
        <v>21508</v>
      </c>
      <c r="B2326" s="4" t="s">
        <v>4637</v>
      </c>
      <c r="C2326" s="16" t="str">
        <f>IFERROR(__xludf.DUMMYFUNCTION(""""""""" &amp; REGEXEXTRACT(B2326, ""/detail/([^/?]+)"") &amp; """""","""),"""glfhjnnemhhcenjjilmmahjbbbibdphe"",")</f>
        <v>"glfhjnnemhhcenjjilmmahjbbbibdphe",</v>
      </c>
    </row>
    <row r="2327">
      <c r="A2327" s="4" t="s">
        <v>21509</v>
      </c>
      <c r="B2327" s="4" t="s">
        <v>4639</v>
      </c>
      <c r="C2327" s="16" t="str">
        <f>IFERROR(__xludf.DUMMYFUNCTION(""""""""" &amp; REGEXEXTRACT(B2327, ""/detail/([^/?]+)"") &amp; """""","""),"""goekadipjdlgmcdibphmmhoabogmcfam"",")</f>
        <v>"goekadipjdlgmcdibphmmhoabogmcfam",</v>
      </c>
    </row>
    <row r="2328">
      <c r="A2328" s="4" t="s">
        <v>21510</v>
      </c>
      <c r="B2328" s="4" t="s">
        <v>4641</v>
      </c>
      <c r="C2328" s="16" t="str">
        <f>IFERROR(__xludf.DUMMYFUNCTION(""""""""" &amp; REGEXEXTRACT(B2328, ""/detail/([^/?]+)"") &amp; """""","""),"""gogiienhpamfmodmlnhdljokkjiapfck"",")</f>
        <v>"gogiienhpamfmodmlnhdljokkjiapfck",</v>
      </c>
    </row>
    <row r="2329">
      <c r="A2329" s="4" t="s">
        <v>21511</v>
      </c>
      <c r="B2329" s="4" t="s">
        <v>4643</v>
      </c>
      <c r="C2329" s="16" t="str">
        <f>IFERROR(__xludf.DUMMYFUNCTION(""""""""" &amp; REGEXEXTRACT(B2329, ""/detail/([^/?]+)"") &amp; """""","""),"""goicaghfpnaogbpejmaodednkiilckfo"",")</f>
        <v>"goicaghfpnaogbpejmaodednkiilckfo",</v>
      </c>
    </row>
    <row r="2330">
      <c r="A2330" s="4" t="s">
        <v>21512</v>
      </c>
      <c r="B2330" s="4" t="s">
        <v>4645</v>
      </c>
      <c r="C2330" s="16" t="str">
        <f>IFERROR(__xludf.DUMMYFUNCTION(""""""""" &amp; REGEXEXTRACT(B2330, ""/detail/([^/?]+)"") &amp; """""","""),"""gpmnalhimebpjhilkifcaadejhmogaok"",")</f>
        <v>"gpmnalhimebpjhilkifcaadejhmogaok",</v>
      </c>
    </row>
    <row r="2331">
      <c r="A2331" s="4" t="s">
        <v>21513</v>
      </c>
      <c r="B2331" s="4" t="s">
        <v>4647</v>
      </c>
      <c r="C2331" s="16" t="str">
        <f>IFERROR(__xludf.DUMMYFUNCTION(""""""""" &amp; REGEXEXTRACT(B2331, ""/detail/([^/?]+)"") &amp; """""","""),"""hcgcimicgchmlleoghonjpfhckpjmlij"",")</f>
        <v>"hcgcimicgchmlleoghonjpfhckpjmlij",</v>
      </c>
    </row>
    <row r="2332">
      <c r="A2332" s="4" t="s">
        <v>21514</v>
      </c>
      <c r="B2332" s="4" t="s">
        <v>4649</v>
      </c>
      <c r="C2332" s="16" t="str">
        <f>IFERROR(__xludf.DUMMYFUNCTION(""""""""" &amp; REGEXEXTRACT(B2332, ""/detail/([^/?]+)"") &amp; """""","""),"""hdgdbcklimpecdfjlbagkjmlmdldagkp"",")</f>
        <v>"hdgdbcklimpecdfjlbagkjmlmdldagkp",</v>
      </c>
    </row>
    <row r="2333">
      <c r="A2333" s="4" t="s">
        <v>21515</v>
      </c>
      <c r="B2333" s="4" t="s">
        <v>4651</v>
      </c>
      <c r="C2333" s="16" t="str">
        <f>IFERROR(__xludf.DUMMYFUNCTION(""""""""" &amp; REGEXEXTRACT(B2333, ""/detail/([^/?]+)"") &amp; """""","""),"""hdjklakffhgbjmenlcjcgagjlkbpmjcf"",")</f>
        <v>"hdjklakffhgbjmenlcjcgagjlkbpmjcf",</v>
      </c>
    </row>
    <row r="2334">
      <c r="A2334" s="4" t="s">
        <v>21516</v>
      </c>
      <c r="B2334" s="4" t="s">
        <v>4653</v>
      </c>
      <c r="C2334" s="16" t="str">
        <f>IFERROR(__xludf.DUMMYFUNCTION(""""""""" &amp; REGEXEXTRACT(B2334, ""/detail/([^/?]+)"") &amp; """""","""),"""hfindddachkihhbompbhoaehhmomnane"",")</f>
        <v>"hfindddachkihhbompbhoaehhmomnane",</v>
      </c>
    </row>
    <row r="2335">
      <c r="A2335" s="4" t="s">
        <v>21517</v>
      </c>
      <c r="B2335" s="4" t="s">
        <v>4655</v>
      </c>
      <c r="C2335" s="16" t="str">
        <f>IFERROR(__xludf.DUMMYFUNCTION(""""""""" &amp; REGEXEXTRACT(B2335, ""/detail/([^/?]+)"") &amp; """""","""),"""hgldghadipiblonfkkicmgcbbijnpeog"",")</f>
        <v>"hgldghadipiblonfkkicmgcbbijnpeog",</v>
      </c>
    </row>
    <row r="2336">
      <c r="A2336" s="4" t="s">
        <v>21518</v>
      </c>
      <c r="B2336" s="4" t="s">
        <v>4657</v>
      </c>
      <c r="C2336" s="16" t="str">
        <f>IFERROR(__xludf.DUMMYFUNCTION(""""""""" &amp; REGEXEXTRACT(B2336, ""/detail/([^/?]+)"") &amp; """""","""),"""hgnoecaneikfjlmbdchnhdkanfbdbpji"",")</f>
        <v>"hgnoecaneikfjlmbdchnhdkanfbdbpji",</v>
      </c>
    </row>
    <row r="2337">
      <c r="A2337" s="4" t="s">
        <v>21519</v>
      </c>
      <c r="B2337" s="4" t="s">
        <v>4659</v>
      </c>
      <c r="C2337" s="16" t="str">
        <f>IFERROR(__xludf.DUMMYFUNCTION(""""""""" &amp; REGEXEXTRACT(B2337, ""/detail/([^/?]+)"") &amp; """""","""),"""hibefehnldcopnkfjihkflpjibfnhcif"",")</f>
        <v>"hibefehnldcopnkfjihkflpjibfnhcif",</v>
      </c>
    </row>
    <row r="2338">
      <c r="A2338" s="4" t="s">
        <v>21520</v>
      </c>
      <c r="B2338" s="4" t="s">
        <v>4661</v>
      </c>
      <c r="C2338" s="16" t="str">
        <f>IFERROR(__xludf.DUMMYFUNCTION(""""""""" &amp; REGEXEXTRACT(B2338, ""/detail/([^/?]+)"") &amp; """""","""),"""higcadegkhhhjcljhpggammlhmlbdcmc"",")</f>
        <v>"higcadegkhhhjcljhpggammlhmlbdcmc",</v>
      </c>
    </row>
    <row r="2339">
      <c r="A2339" s="4" t="s">
        <v>21521</v>
      </c>
      <c r="B2339" s="4" t="s">
        <v>4663</v>
      </c>
      <c r="C2339" s="16" t="str">
        <f>IFERROR(__xludf.DUMMYFUNCTION(""""""""" &amp; REGEXEXTRACT(B2339, ""/detail/([^/?]+)"") &amp; """""","""),"""himhggflahpnjikoddlngaopcigalcjh"",")</f>
        <v>"himhggflahpnjikoddlngaopcigalcjh",</v>
      </c>
    </row>
    <row r="2340">
      <c r="A2340" s="4" t="s">
        <v>21522</v>
      </c>
      <c r="B2340" s="4" t="s">
        <v>4665</v>
      </c>
      <c r="C2340" s="16" t="str">
        <f>IFERROR(__xludf.DUMMYFUNCTION(""""""""" &amp; REGEXEXTRACT(B2340, ""/detail/([^/?]+)"") &amp; """""","""),"""hinkmcnegnkncphhncbiohnomfgdegce"",")</f>
        <v>"hinkmcnegnkncphhncbiohnomfgdegce",</v>
      </c>
    </row>
    <row r="2341">
      <c r="A2341" s="4" t="s">
        <v>21523</v>
      </c>
      <c r="B2341" s="4" t="s">
        <v>4667</v>
      </c>
      <c r="C2341" s="16" t="str">
        <f>IFERROR(__xludf.DUMMYFUNCTION(""""""""" &amp; REGEXEXTRACT(B2341, ""/detail/([^/?]+)"") &amp; """""","""),"""hjfkaobgkmaeomgdhmhhipdbjdhhjkoi"",")</f>
        <v>"hjfkaobgkmaeomgdhmhhipdbjdhhjkoi",</v>
      </c>
    </row>
    <row r="2342">
      <c r="A2342" s="4" t="s">
        <v>21524</v>
      </c>
      <c r="B2342" s="4" t="s">
        <v>4669</v>
      </c>
      <c r="C2342" s="16" t="str">
        <f>IFERROR(__xludf.DUMMYFUNCTION(""""""""" &amp; REGEXEXTRACT(B2342, ""/detail/([^/?]+)"") &amp; """""","""),"""hjhicmeghjagaicbkmhmbbnibhbkcfdb"",")</f>
        <v>"hjhicmeghjagaicbkmhmbbnibhbkcfdb",</v>
      </c>
    </row>
    <row r="2343">
      <c r="A2343" s="4" t="s">
        <v>21525</v>
      </c>
      <c r="B2343" s="4" t="s">
        <v>4671</v>
      </c>
      <c r="C2343" s="16" t="str">
        <f>IFERROR(__xludf.DUMMYFUNCTION(""""""""" &amp; REGEXEXTRACT(B2343, ""/detail/([^/?]+)"") &amp; """""","""),"""hjpjmkjmkgedphipmbnmejlnfndjcgdf"",")</f>
        <v>"hjpjmkjmkgedphipmbnmejlnfndjcgdf",</v>
      </c>
    </row>
    <row r="2344">
      <c r="A2344" s="4" t="s">
        <v>21526</v>
      </c>
      <c r="B2344" s="4" t="s">
        <v>4673</v>
      </c>
      <c r="C2344" s="16" t="str">
        <f>IFERROR(__xludf.DUMMYFUNCTION(""""""""" &amp; REGEXEXTRACT(B2344, ""/detail/([^/?]+)"") &amp; """""","""),"""hkgklchdacgolfhdiginenjghokhehnn"",")</f>
        <v>"hkgklchdacgolfhdiginenjghokhehnn",</v>
      </c>
    </row>
    <row r="2345">
      <c r="A2345" s="4" t="s">
        <v>21527</v>
      </c>
      <c r="B2345" s="4" t="s">
        <v>4675</v>
      </c>
      <c r="C2345" s="16" t="str">
        <f>IFERROR(__xludf.DUMMYFUNCTION(""""""""" &amp; REGEXEXTRACT(B2345, ""/detail/([^/?]+)"") &amp; """""","""),"""hlbbcoiodlccpeklogodpciapdkbgldc"",")</f>
        <v>"hlbbcoiodlccpeklogodpciapdkbgldc",</v>
      </c>
    </row>
    <row r="2346">
      <c r="A2346" s="4" t="s">
        <v>21528</v>
      </c>
      <c r="B2346" s="4" t="s">
        <v>4677</v>
      </c>
      <c r="C2346" s="16" t="str">
        <f>IFERROR(__xludf.DUMMYFUNCTION(""""""""" &amp; REGEXEXTRACT(B2346, ""/detail/([^/?]+)"") &amp; """""","""),"""hnifbghokmpgedhkgmabjgmehkcmjoao"",")</f>
        <v>"hnifbghokmpgedhkgmabjgmehkcmjoao",</v>
      </c>
    </row>
    <row r="2347">
      <c r="A2347" s="4" t="s">
        <v>21529</v>
      </c>
      <c r="B2347" s="4" t="s">
        <v>4679</v>
      </c>
      <c r="C2347" s="16" t="str">
        <f>IFERROR(__xludf.DUMMYFUNCTION(""""""""" &amp; REGEXEXTRACT(B2347, ""/detail/([^/?]+)"") &amp; """""","""),"""hnjbnefgkiickkpfidpnlmcodicfgakk"",")</f>
        <v>"hnjbnefgkiickkpfidpnlmcodicfgakk",</v>
      </c>
    </row>
    <row r="2348">
      <c r="A2348" s="4" t="s">
        <v>21530</v>
      </c>
      <c r="B2348" s="4" t="s">
        <v>4681</v>
      </c>
      <c r="C2348" s="16" t="str">
        <f>IFERROR(__xludf.DUMMYFUNCTION(""""""""" &amp; REGEXEXTRACT(B2348, ""/detail/([^/?]+)"") &amp; """""","""),"""hnolaplfoobcmgfmjphkmbjolinelpkb"",")</f>
        <v>"hnolaplfoobcmgfmjphkmbjolinelpkb",</v>
      </c>
    </row>
    <row r="2349">
      <c r="A2349" s="4" t="s">
        <v>21531</v>
      </c>
      <c r="B2349" s="4" t="s">
        <v>4683</v>
      </c>
      <c r="C2349" s="16" t="str">
        <f>IFERROR(__xludf.DUMMYFUNCTION(""""""""" &amp; REGEXEXTRACT(B2349, ""/detail/([^/?]+)"") &amp; """""","""),"""hnpeicdjmdhaojkeflcnmnpgmcffjlcm"",")</f>
        <v>"hnpeicdjmdhaojkeflcnmnpgmcffjlcm",</v>
      </c>
    </row>
    <row r="2350">
      <c r="A2350" s="4" t="s">
        <v>21532</v>
      </c>
      <c r="B2350" s="4" t="s">
        <v>4685</v>
      </c>
      <c r="C2350" s="16" t="str">
        <f>IFERROR(__xludf.DUMMYFUNCTION(""""""""" &amp; REGEXEXTRACT(B2350, ""/detail/([^/?]+)"") &amp; """""","""),"""honmapcmnfgjmahijdniaaollhhfpcnj"",")</f>
        <v>"honmapcmnfgjmahijdniaaollhhfpcnj",</v>
      </c>
    </row>
    <row r="2351">
      <c r="A2351" s="4" t="s">
        <v>21533</v>
      </c>
      <c r="B2351" s="4" t="s">
        <v>4687</v>
      </c>
      <c r="C2351" s="16" t="str">
        <f>IFERROR(__xludf.DUMMYFUNCTION(""""""""" &amp; REGEXEXTRACT(B2351, ""/detail/([^/?]+)"") &amp; """""","""),"""iaillabiiidlmolhemgpkokehaiadhli"",")</f>
        <v>"iaillabiiidlmolhemgpkokehaiadhli",</v>
      </c>
    </row>
    <row r="2352">
      <c r="A2352" s="4" t="s">
        <v>21534</v>
      </c>
      <c r="B2352" s="4" t="s">
        <v>4689</v>
      </c>
      <c r="C2352" s="16" t="str">
        <f>IFERROR(__xludf.DUMMYFUNCTION(""""""""" &amp; REGEXEXTRACT(B2352, ""/detail/([^/?]+)"") &amp; """""","""),"""ibnegikgmnfnmljianjgnhhlcabonobd"",")</f>
        <v>"ibnegikgmnfnmljianjgnhhlcabonobd",</v>
      </c>
    </row>
    <row r="2353">
      <c r="A2353" s="4" t="s">
        <v>21535</v>
      </c>
      <c r="B2353" s="4" t="s">
        <v>4691</v>
      </c>
      <c r="C2353" s="16" t="str">
        <f>IFERROR(__xludf.DUMMYFUNCTION(""""""""" &amp; REGEXEXTRACT(B2353, ""/detail/([^/?]+)"") &amp; """""","""),"""iccfdkmiglokncbdheedflohigmijpdj"",")</f>
        <v>"iccfdkmiglokncbdheedflohigmijpdj",</v>
      </c>
    </row>
    <row r="2354">
      <c r="A2354" s="4" t="s">
        <v>21536</v>
      </c>
      <c r="B2354" s="4" t="s">
        <v>4693</v>
      </c>
      <c r="C2354" s="16" t="str">
        <f>IFERROR(__xludf.DUMMYFUNCTION(""""""""" &amp; REGEXEXTRACT(B2354, ""/detail/([^/?]+)"") &amp; """""","""),"""icgadjgnglgbkbbaejehpdejobiffhkh"",")</f>
        <v>"icgadjgnglgbkbbaejehpdejobiffhkh",</v>
      </c>
    </row>
    <row r="2355">
      <c r="A2355" s="4" t="s">
        <v>21537</v>
      </c>
      <c r="B2355" s="4" t="s">
        <v>4695</v>
      </c>
      <c r="C2355" s="16" t="str">
        <f>IFERROR(__xludf.DUMMYFUNCTION(""""""""" &amp; REGEXEXTRACT(B2355, ""/detail/([^/?]+)"") &amp; """""","""),"""icjfbcjblodechjjiomddmjepanloeeb"",")</f>
        <v>"icjfbcjblodechjjiomddmjepanloeeb",</v>
      </c>
    </row>
    <row r="2356">
      <c r="A2356" s="4" t="s">
        <v>21538</v>
      </c>
      <c r="B2356" s="4" t="s">
        <v>4697</v>
      </c>
      <c r="C2356" s="16" t="str">
        <f>IFERROR(__xludf.DUMMYFUNCTION(""""""""" &amp; REGEXEXTRACT(B2356, ""/detail/([^/?]+)"") &amp; """""","""),"""icnkllgoiildohggeopaikcmgmafalna"",")</f>
        <v>"icnkllgoiildohggeopaikcmgmafalna",</v>
      </c>
    </row>
    <row r="2357">
      <c r="A2357" s="4" t="s">
        <v>21539</v>
      </c>
      <c r="B2357" s="4" t="s">
        <v>4699</v>
      </c>
      <c r="C2357" s="16" t="str">
        <f>IFERROR(__xludf.DUMMYFUNCTION(""""""""" &amp; REGEXEXTRACT(B2357, ""/detail/([^/?]+)"") &amp; """""","""),"""ignllhpmbnggadkmfabibalgmednlhom"",")</f>
        <v>"ignllhpmbnggadkmfabibalgmednlhom",</v>
      </c>
    </row>
    <row r="2358">
      <c r="A2358" s="4" t="s">
        <v>21540</v>
      </c>
      <c r="B2358" s="4" t="s">
        <v>4701</v>
      </c>
      <c r="C2358" s="16" t="str">
        <f>IFERROR(__xludf.DUMMYFUNCTION(""""""""" &amp; REGEXEXTRACT(B2358, ""/detail/([^/?]+)"") &amp; """""","""),"""ihcnbadcckafkjidbccichfdjbahnfnn"",")</f>
        <v>"ihcnbadcckafkjidbccichfdjbahnfnn",</v>
      </c>
    </row>
    <row r="2359">
      <c r="A2359" s="4" t="s">
        <v>21541</v>
      </c>
      <c r="B2359" s="4" t="s">
        <v>4703</v>
      </c>
      <c r="C2359" s="16" t="str">
        <f>IFERROR(__xludf.DUMMYFUNCTION(""""""""" &amp; REGEXEXTRACT(B2359, ""/detail/([^/?]+)"") &amp; """""","""),"""ijbfjijnippekinigficbmbmfkiihpng"",")</f>
        <v>"ijbfjijnippekinigficbmbmfkiihpng",</v>
      </c>
    </row>
    <row r="2360">
      <c r="A2360" s="4" t="s">
        <v>21542</v>
      </c>
      <c r="B2360" s="4" t="s">
        <v>4705</v>
      </c>
      <c r="C2360" s="16" t="str">
        <f>IFERROR(__xludf.DUMMYFUNCTION(""""""""" &amp; REGEXEXTRACT(B2360, ""/detail/([^/?]+)"") &amp; """""","""),"""ijihfmdfcepacepmdfabfkocoeogilpn"",")</f>
        <v>"ijihfmdfcepacepmdfabfkocoeogilpn",</v>
      </c>
    </row>
    <row r="2361">
      <c r="A2361" s="4" t="s">
        <v>21543</v>
      </c>
      <c r="B2361" s="4" t="s">
        <v>4707</v>
      </c>
      <c r="C2361" s="16" t="str">
        <f>IFERROR(__xludf.DUMMYFUNCTION(""""""""" &amp; REGEXEXTRACT(B2361, ""/detail/([^/?]+)"") &amp; """""","""),"""imocofkcogboajnibnnjeehpmhfgpecl"",")</f>
        <v>"imocofkcogboajnibnnjeehpmhfgpecl",</v>
      </c>
    </row>
    <row r="2362">
      <c r="A2362" s="4" t="s">
        <v>21544</v>
      </c>
      <c r="B2362" s="4" t="s">
        <v>4709</v>
      </c>
      <c r="C2362" s="16" t="str">
        <f>IFERROR(__xludf.DUMMYFUNCTION(""""""""" &amp; REGEXEXTRACT(B2362, ""/detail/([^/?]+)"") &amp; """""","""),"""iogibhaacmieogkdgebfbjgoofdlcmgb"",")</f>
        <v>"iogibhaacmieogkdgebfbjgoofdlcmgb",</v>
      </c>
    </row>
    <row r="2363">
      <c r="A2363" s="4" t="s">
        <v>21545</v>
      </c>
      <c r="B2363" s="4" t="s">
        <v>4711</v>
      </c>
      <c r="C2363" s="16" t="str">
        <f>IFERROR(__xludf.DUMMYFUNCTION(""""""""" &amp; REGEXEXTRACT(B2363, ""/detail/([^/?]+)"") &amp; """""","""),"""ipalacjfeejceeogpnfaijpadginmfhk"",")</f>
        <v>"ipalacjfeejceeogpnfaijpadginmfhk",</v>
      </c>
    </row>
    <row r="2364">
      <c r="A2364" s="4" t="s">
        <v>21546</v>
      </c>
      <c r="B2364" s="4" t="s">
        <v>4713</v>
      </c>
      <c r="C2364" s="16" t="str">
        <f>IFERROR(__xludf.DUMMYFUNCTION(""""""""" &amp; REGEXEXTRACT(B2364, ""/detail/([^/?]+)"") &amp; """""","""),"""jamkpeiamhgbainmggocjenjkcibfflb"",")</f>
        <v>"jamkpeiamhgbainmggocjenjkcibfflb",</v>
      </c>
    </row>
    <row r="2365">
      <c r="A2365" s="4" t="s">
        <v>21547</v>
      </c>
      <c r="B2365" s="4" t="s">
        <v>4715</v>
      </c>
      <c r="C2365" s="16" t="str">
        <f>IFERROR(__xludf.DUMMYFUNCTION(""""""""" &amp; REGEXEXTRACT(B2365, ""/detail/([^/?]+)"") &amp; """""","""),"""jbjeihiakbjchgaehgcilindlghfffnb"",")</f>
        <v>"jbjeihiakbjchgaehgcilindlghfffnb",</v>
      </c>
    </row>
    <row r="2366">
      <c r="A2366" s="4" t="s">
        <v>21548</v>
      </c>
      <c r="B2366" s="4" t="s">
        <v>4717</v>
      </c>
      <c r="C2366" s="16" t="str">
        <f>IFERROR(__xludf.DUMMYFUNCTION(""""""""" &amp; REGEXEXTRACT(B2366, ""/detail/([^/?]+)"") &amp; """""","""),"""jcidlhgdoojamkbpmhbpgldmajnobefd"",")</f>
        <v>"jcidlhgdoojamkbpmhbpgldmajnobefd",</v>
      </c>
    </row>
    <row r="2367">
      <c r="A2367" s="4" t="s">
        <v>21549</v>
      </c>
      <c r="B2367" s="4" t="s">
        <v>4719</v>
      </c>
      <c r="C2367" s="16" t="str">
        <f>IFERROR(__xludf.DUMMYFUNCTION(""""""""" &amp; REGEXEXTRACT(B2367, ""/detail/([^/?]+)"") &amp; """""","""),"""jddlcajmgfdpfnekdppnapoldfhabkeg"",")</f>
        <v>"jddlcajmgfdpfnekdppnapoldfhabkeg",</v>
      </c>
    </row>
    <row r="2368">
      <c r="A2368" s="4" t="s">
        <v>21550</v>
      </c>
      <c r="B2368" s="4" t="s">
        <v>4721</v>
      </c>
      <c r="C2368" s="16" t="str">
        <f>IFERROR(__xludf.DUMMYFUNCTION(""""""""" &amp; REGEXEXTRACT(B2368, ""/detail/([^/?]+)"") &amp; """""","""),"""jdmdpnpmopoeeekibkglofpeagfeffbm"",")</f>
        <v>"jdmdpnpmopoeeekibkglofpeagfeffbm",</v>
      </c>
    </row>
    <row r="2369">
      <c r="A2369" s="4" t="s">
        <v>21551</v>
      </c>
      <c r="B2369" s="4" t="s">
        <v>4723</v>
      </c>
      <c r="C2369" s="16" t="str">
        <f>IFERROR(__xludf.DUMMYFUNCTION(""""""""" &amp; REGEXEXTRACT(B2369, ""/detail/([^/?]+)"") &amp; """""","""),"""jdogfefgaagaledbkgeffgbjlaaplpgo"",")</f>
        <v>"jdogfefgaagaledbkgeffgbjlaaplpgo",</v>
      </c>
    </row>
    <row r="2370">
      <c r="A2370" s="4" t="s">
        <v>21552</v>
      </c>
      <c r="B2370" s="4" t="s">
        <v>4725</v>
      </c>
      <c r="C2370" s="16" t="str">
        <f>IFERROR(__xludf.DUMMYFUNCTION(""""""""" &amp; REGEXEXTRACT(B2370, ""/detail/([^/?]+)"") &amp; """""","""),"""jjeknnigbkhhilfjhoijbddeaihdpmdi"",")</f>
        <v>"jjeknnigbkhhilfjhoijbddeaihdpmdi",</v>
      </c>
    </row>
    <row r="2371">
      <c r="A2371" s="4" t="s">
        <v>21553</v>
      </c>
      <c r="B2371" s="4" t="s">
        <v>4727</v>
      </c>
      <c r="C2371" s="16" t="str">
        <f>IFERROR(__xludf.DUMMYFUNCTION(""""""""" &amp; REGEXEXTRACT(B2371, ""/detail/([^/?]+)"") &amp; """""","""),"""jkgogmboalmaijfgfhfepckdgjeopfhk"",")</f>
        <v>"jkgogmboalmaijfgfhfepckdgjeopfhk",</v>
      </c>
    </row>
    <row r="2372">
      <c r="A2372" s="4" t="s">
        <v>21554</v>
      </c>
      <c r="B2372" s="4" t="s">
        <v>4729</v>
      </c>
      <c r="C2372" s="16" t="str">
        <f>IFERROR(__xludf.DUMMYFUNCTION(""""""""" &amp; REGEXEXTRACT(B2372, ""/detail/([^/?]+)"") &amp; """""","""),"""jldkfnpihcmhefmocabimamogcmmmeia"",")</f>
        <v>"jldkfnpihcmhefmocabimamogcmmmeia",</v>
      </c>
    </row>
    <row r="2373">
      <c r="A2373" s="4" t="s">
        <v>21555</v>
      </c>
      <c r="B2373" s="4" t="s">
        <v>4731</v>
      </c>
      <c r="C2373" s="16" t="str">
        <f>IFERROR(__xludf.DUMMYFUNCTION(""""""""" &amp; REGEXEXTRACT(B2373, ""/detail/([^/?]+)"") &amp; """""","""),"""jleaobdiilmfmkjfeednlfkkmpdjogfd"",")</f>
        <v>"jleaobdiilmfmkjfeednlfkkmpdjogfd",</v>
      </c>
    </row>
    <row r="2374">
      <c r="A2374" s="4" t="s">
        <v>21556</v>
      </c>
      <c r="B2374" s="4" t="s">
        <v>4733</v>
      </c>
      <c r="C2374" s="16" t="str">
        <f>IFERROR(__xludf.DUMMYFUNCTION(""""""""" &amp; REGEXEXTRACT(B2374, ""/detail/([^/?]+)"") &amp; """""","""),"""jlfoemebeemiccmeabkegdpoehiafhbn"",")</f>
        <v>"jlfoemebeemiccmeabkegdpoehiafhbn",</v>
      </c>
    </row>
    <row r="2375">
      <c r="A2375" s="4" t="s">
        <v>21557</v>
      </c>
      <c r="B2375" s="4" t="s">
        <v>4735</v>
      </c>
      <c r="C2375" s="16" t="str">
        <f>IFERROR(__xludf.DUMMYFUNCTION(""""""""" &amp; REGEXEXTRACT(B2375, ""/detail/([^/?]+)"") &amp; """""","""),"""jlppknnillhjgiengoigajegdpieppei"",")</f>
        <v>"jlppknnillhjgiengoigajegdpieppei",</v>
      </c>
    </row>
    <row r="2376">
      <c r="A2376" s="4" t="s">
        <v>21558</v>
      </c>
      <c r="B2376" s="4" t="s">
        <v>4737</v>
      </c>
      <c r="C2376" s="16" t="str">
        <f>IFERROR(__xludf.DUMMYFUNCTION(""""""""" &amp; REGEXEXTRACT(B2376, ""/detail/([^/?]+)"") &amp; """""","""),"""jmmhllpicjmeoohojhilgekmaibkdeop"",")</f>
        <v>"jmmhllpicjmeoohojhilgekmaibkdeop",</v>
      </c>
    </row>
    <row r="2377">
      <c r="A2377" s="4" t="s">
        <v>21559</v>
      </c>
      <c r="B2377" s="4" t="s">
        <v>4739</v>
      </c>
      <c r="C2377" s="16" t="str">
        <f>IFERROR(__xludf.DUMMYFUNCTION(""""""""" &amp; REGEXEXTRACT(B2377, ""/detail/([^/?]+)"") &amp; """""","""),"""jndbieelpiaihakdaflepdbamcllgobd"",")</f>
        <v>"jndbieelpiaihakdaflepdbamcllgobd",</v>
      </c>
    </row>
    <row r="2378">
      <c r="A2378" s="4" t="s">
        <v>21560</v>
      </c>
      <c r="B2378" s="4" t="s">
        <v>4741</v>
      </c>
      <c r="C2378" s="16" t="str">
        <f>IFERROR(__xludf.DUMMYFUNCTION(""""""""" &amp; REGEXEXTRACT(B2378, ""/detail/([^/?]+)"") &amp; """""","""),"""jneiefgdpanjnbjgdiaokmgjnbhclaom"",")</f>
        <v>"jneiefgdpanjnbjgdiaokmgjnbhclaom",</v>
      </c>
    </row>
    <row r="2379">
      <c r="A2379" s="4" t="s">
        <v>21561</v>
      </c>
      <c r="B2379" s="4" t="s">
        <v>4743</v>
      </c>
      <c r="C2379" s="16" t="str">
        <f>IFERROR(__xludf.DUMMYFUNCTION(""""""""" &amp; REGEXEXTRACT(B2379, ""/detail/([^/?]+)"") &amp; """""","""),"""jpmhiebafbmpcanplokjlcnnpghkkofi"",")</f>
        <v>"jpmhiebafbmpcanplokjlcnnpghkkofi",</v>
      </c>
    </row>
    <row r="2380">
      <c r="A2380" s="4" t="s">
        <v>21562</v>
      </c>
      <c r="B2380" s="4" t="s">
        <v>4745</v>
      </c>
      <c r="C2380" s="16" t="str">
        <f>IFERROR(__xludf.DUMMYFUNCTION(""""""""" &amp; REGEXEXTRACT(B2380, ""/detail/([^/?]+)"") &amp; """""","""),"""kamdcckkgcgmcompadgcnkpggiebafpj"",")</f>
        <v>"kamdcckkgcgmcompadgcnkpggiebafpj",</v>
      </c>
    </row>
    <row r="2381">
      <c r="A2381" s="4" t="s">
        <v>21563</v>
      </c>
      <c r="B2381" s="4" t="s">
        <v>4747</v>
      </c>
      <c r="C2381" s="16" t="str">
        <f>IFERROR(__xludf.DUMMYFUNCTION(""""""""" &amp; REGEXEXTRACT(B2381, ""/detail/([^/?]+)"") &amp; """""","""),"""kbchedinmkicifjhlmlcnklhephjpngp"",")</f>
        <v>"kbchedinmkicifjhlmlcnklhephjpngp",</v>
      </c>
    </row>
    <row r="2382">
      <c r="A2382" s="4" t="s">
        <v>21564</v>
      </c>
      <c r="B2382" s="4" t="s">
        <v>4749</v>
      </c>
      <c r="C2382" s="16" t="str">
        <f>IFERROR(__xludf.DUMMYFUNCTION(""""""""" &amp; REGEXEXTRACT(B2382, ""/detail/([^/?]+)"") &amp; """""","""),"""kfcpablabgofhgdifeokmojafdnlomhp"",")</f>
        <v>"kfcpablabgofhgdifeokmojafdnlomhp",</v>
      </c>
    </row>
    <row r="2383">
      <c r="A2383" s="4" t="s">
        <v>21565</v>
      </c>
      <c r="B2383" s="4" t="s">
        <v>4751</v>
      </c>
      <c r="C2383" s="16" t="str">
        <f>IFERROR(__xludf.DUMMYFUNCTION(""""""""" &amp; REGEXEXTRACT(B2383, ""/detail/([^/?]+)"") &amp; """""","""),"""kgflicojnojlmdocnkhnhkpbkadmpglh"",")</f>
        <v>"kgflicojnojlmdocnkhnhkpbkadmpglh",</v>
      </c>
    </row>
    <row r="2384">
      <c r="A2384" s="4" t="s">
        <v>21566</v>
      </c>
      <c r="B2384" s="4" t="s">
        <v>4753</v>
      </c>
      <c r="C2384" s="16" t="str">
        <f>IFERROR(__xludf.DUMMYFUNCTION(""""""""" &amp; REGEXEXTRACT(B2384, ""/detail/([^/?]+)"") &amp; """""","""),"""kgfodmcknjlgkbgkkafogbdaibkfgdgo"",")</f>
        <v>"kgfodmcknjlgkbgkkafogbdaibkfgdgo",</v>
      </c>
    </row>
    <row r="2385">
      <c r="A2385" s="4" t="s">
        <v>21567</v>
      </c>
      <c r="B2385" s="4" t="s">
        <v>4755</v>
      </c>
      <c r="C2385" s="16" t="str">
        <f>IFERROR(__xludf.DUMMYFUNCTION(""""""""" &amp; REGEXEXTRACT(B2385, ""/detail/([^/?]+)"") &amp; """""","""),"""kgpnhgmpijhpkefpddoehhminpfiddmg"",")</f>
        <v>"kgpnhgmpijhpkefpddoehhminpfiddmg",</v>
      </c>
    </row>
    <row r="2386">
      <c r="A2386" s="4" t="s">
        <v>21568</v>
      </c>
      <c r="B2386" s="4" t="s">
        <v>4757</v>
      </c>
      <c r="C2386" s="16" t="str">
        <f>IFERROR(__xludf.DUMMYFUNCTION(""""""""" &amp; REGEXEXTRACT(B2386, ""/detail/([^/?]+)"") &amp; """""","""),"""khppfbnjbaampmeeiocjhcodkklkcfjf"",")</f>
        <v>"khppfbnjbaampmeeiocjhcodkklkcfjf",</v>
      </c>
    </row>
    <row r="2387">
      <c r="A2387" s="4" t="s">
        <v>21569</v>
      </c>
      <c r="B2387" s="4" t="s">
        <v>4759</v>
      </c>
      <c r="C2387" s="16" t="str">
        <f>IFERROR(__xludf.DUMMYFUNCTION(""""""""" &amp; REGEXEXTRACT(B2387, ""/detail/([^/?]+)"") &amp; """""","""),"""kibcamhgdmenhpbfnkbgjnnamhmfgknk"",")</f>
        <v>"kibcamhgdmenhpbfnkbgjnnamhmfgknk",</v>
      </c>
    </row>
    <row r="2388">
      <c r="A2388" s="4" t="s">
        <v>21570</v>
      </c>
      <c r="B2388" s="4" t="s">
        <v>4761</v>
      </c>
      <c r="C2388" s="16" t="str">
        <f>IFERROR(__xludf.DUMMYFUNCTION(""""""""" &amp; REGEXEXTRACT(B2388, ""/detail/([^/?]+)"") &amp; """""","""),"""kimbeggjgnmckoikpckibeoaocafcpbg"",")</f>
        <v>"kimbeggjgnmckoikpckibeoaocafcpbg",</v>
      </c>
    </row>
    <row r="2389">
      <c r="A2389" s="4" t="s">
        <v>21571</v>
      </c>
      <c r="B2389" s="4" t="s">
        <v>4763</v>
      </c>
      <c r="C2389" s="16" t="str">
        <f>IFERROR(__xludf.DUMMYFUNCTION(""""""""" &amp; REGEXEXTRACT(B2389, ""/detail/([^/?]+)"") &amp; """""","""),"""kkilomkmpmkbdnfelcpgckmpcaemjcdh"",")</f>
        <v>"kkilomkmpmkbdnfelcpgckmpcaemjcdh",</v>
      </c>
    </row>
    <row r="2390">
      <c r="A2390" s="4" t="s">
        <v>21572</v>
      </c>
      <c r="B2390" s="4" t="s">
        <v>4765</v>
      </c>
      <c r="C2390" s="16" t="str">
        <f>IFERROR(__xludf.DUMMYFUNCTION(""""""""" &amp; REGEXEXTRACT(B2390, ""/detail/([^/?]+)"") &amp; """""","""),"""kkioiolcacgoihiiekambdciinadbpfk"",")</f>
        <v>"kkioiolcacgoihiiekambdciinadbpfk",</v>
      </c>
    </row>
    <row r="2391">
      <c r="A2391" s="4" t="s">
        <v>21573</v>
      </c>
      <c r="B2391" s="4" t="s">
        <v>4767</v>
      </c>
      <c r="C2391" s="16" t="str">
        <f>IFERROR(__xludf.DUMMYFUNCTION(""""""""" &amp; REGEXEXTRACT(B2391, ""/detail/([^/?]+)"") &amp; """""","""),"""klfppiphagoacacnpplbmbekopjehope"",")</f>
        <v>"klfppiphagoacacnpplbmbekopjehope",</v>
      </c>
    </row>
    <row r="2392">
      <c r="A2392" s="4" t="s">
        <v>21574</v>
      </c>
      <c r="B2392" s="4" t="s">
        <v>4769</v>
      </c>
      <c r="C2392" s="16" t="str">
        <f>IFERROR(__xludf.DUMMYFUNCTION(""""""""" &amp; REGEXEXTRACT(B2392, ""/detail/([^/?]+)"") &amp; """""","""),"""kngmbepbohaeeihlfmkdcdcccejkhjhn"",")</f>
        <v>"kngmbepbohaeeihlfmkdcdcccejkhjhn",</v>
      </c>
    </row>
    <row r="2393">
      <c r="A2393" s="4" t="s">
        <v>21575</v>
      </c>
      <c r="B2393" s="4" t="s">
        <v>4771</v>
      </c>
      <c r="C2393" s="16" t="str">
        <f>IFERROR(__xludf.DUMMYFUNCTION(""""""""" &amp; REGEXEXTRACT(B2393, ""/detail/([^/?]+)"") &amp; """""","""),"""kponpgbmhldcnpphiaflmibpkibijcme"",")</f>
        <v>"kponpgbmhldcnpphiaflmibpkibijcme",</v>
      </c>
    </row>
    <row r="2394">
      <c r="A2394" s="4" t="s">
        <v>21576</v>
      </c>
      <c r="B2394" s="4" t="s">
        <v>4773</v>
      </c>
      <c r="C2394" s="16" t="str">
        <f>IFERROR(__xludf.DUMMYFUNCTION(""""""""" &amp; REGEXEXTRACT(B2394, ""/detail/([^/?]+)"") &amp; """""","""),"""ladceggegjmncgmjnnenegojgcinflci"",")</f>
        <v>"ladceggegjmncgmjnnenegojgcinflci",</v>
      </c>
    </row>
    <row r="2395">
      <c r="A2395" s="4" t="s">
        <v>21577</v>
      </c>
      <c r="B2395" s="4" t="s">
        <v>4775</v>
      </c>
      <c r="C2395" s="16" t="str">
        <f>IFERROR(__xludf.DUMMYFUNCTION(""""""""" &amp; REGEXEXTRACT(B2395, ""/detail/([^/?]+)"") &amp; """""","""),"""ladmjfmdefajlebeacdjmgibboanfepi"",")</f>
        <v>"ladmjfmdefajlebeacdjmgibboanfepi",</v>
      </c>
    </row>
    <row r="2396">
      <c r="A2396" s="4" t="s">
        <v>21578</v>
      </c>
      <c r="B2396" s="4" t="s">
        <v>4777</v>
      </c>
      <c r="C2396" s="16" t="str">
        <f>IFERROR(__xludf.DUMMYFUNCTION(""""""""" &amp; REGEXEXTRACT(B2396, ""/detail/([^/?]+)"") &amp; """""","""),"""laghgcpekjofijkmojnhfeiplbffaljp"",")</f>
        <v>"laghgcpekjofijkmojnhfeiplbffaljp",</v>
      </c>
    </row>
    <row r="2397">
      <c r="A2397" s="4" t="s">
        <v>21579</v>
      </c>
      <c r="B2397" s="4" t="s">
        <v>4779</v>
      </c>
      <c r="C2397" s="16" t="str">
        <f>IFERROR(__xludf.DUMMYFUNCTION(""""""""" &amp; REGEXEXTRACT(B2397, ""/detail/([^/?]+)"") &amp; """""","""),"""laghnmifffncfonaoffcndocllegejnf"",")</f>
        <v>"laghnmifffncfonaoffcndocllegejnf",</v>
      </c>
    </row>
    <row r="2398">
      <c r="A2398" s="4" t="s">
        <v>21580</v>
      </c>
      <c r="B2398" s="4" t="s">
        <v>4781</v>
      </c>
      <c r="C2398" s="16" t="str">
        <f>IFERROR(__xludf.DUMMYFUNCTION(""""""""" &amp; REGEXEXTRACT(B2398, ""/detail/([^/?]+)"") &amp; """""","""),"""lggkblkmildmnfpgbhlggfalgpkmojpf"",")</f>
        <v>"lggkblkmildmnfpgbhlggfalgpkmojpf",</v>
      </c>
    </row>
    <row r="2399">
      <c r="A2399" s="4" t="s">
        <v>21581</v>
      </c>
      <c r="B2399" s="4" t="s">
        <v>4783</v>
      </c>
      <c r="C2399" s="16" t="str">
        <f>IFERROR(__xludf.DUMMYFUNCTION(""""""""" &amp; REGEXEXTRACT(B2399, ""/detail/([^/?]+)"") &amp; """""","""),"""lgkgpifjihgnoknjpnnldhhenefjpadi"",")</f>
        <v>"lgkgpifjihgnoknjpnnldhhenefjpadi",</v>
      </c>
    </row>
    <row r="2400">
      <c r="A2400" s="4" t="s">
        <v>21582</v>
      </c>
      <c r="B2400" s="4" t="s">
        <v>4785</v>
      </c>
      <c r="C2400" s="16" t="str">
        <f>IFERROR(__xludf.DUMMYFUNCTION(""""""""" &amp; REGEXEXTRACT(B2400, ""/detail/([^/?]+)"") &amp; """""","""),"""licmdalmnnmacjecaajcjdnjadoplnjo"",")</f>
        <v>"licmdalmnnmacjecaajcjdnjadoplnjo",</v>
      </c>
    </row>
    <row r="2401">
      <c r="A2401" s="4" t="s">
        <v>21583</v>
      </c>
      <c r="B2401" s="4" t="s">
        <v>4787</v>
      </c>
      <c r="C2401" s="16" t="str">
        <f>IFERROR(__xludf.DUMMYFUNCTION(""""""""" &amp; REGEXEXTRACT(B2401, ""/detail/([^/?]+)"") &amp; """""","""),"""lkikidpclhfnegmhcgklioclbijpleoj"",")</f>
        <v>"lkikidpclhfnegmhcgklioclbijpleoj",</v>
      </c>
    </row>
    <row r="2402">
      <c r="A2402" s="4" t="s">
        <v>21584</v>
      </c>
      <c r="B2402" s="4" t="s">
        <v>4789</v>
      </c>
      <c r="C2402" s="16" t="str">
        <f>IFERROR(__xludf.DUMMYFUNCTION(""""""""" &amp; REGEXEXTRACT(B2402, ""/detail/([^/?]+)"") &amp; """""","""),"""lklendgldejcnkkaldoggoapclkepgfb"",")</f>
        <v>"lklendgldejcnkkaldoggoapclkepgfb",</v>
      </c>
    </row>
    <row r="2403">
      <c r="A2403" s="4" t="s">
        <v>21585</v>
      </c>
      <c r="B2403" s="4" t="s">
        <v>4791</v>
      </c>
      <c r="C2403" s="16" t="str">
        <f>IFERROR(__xludf.DUMMYFUNCTION(""""""""" &amp; REGEXEXTRACT(B2403, ""/detail/([^/?]+)"") &amp; """""","""),"""llcihajgaigeicmdohjkiehbacoiggbh"",")</f>
        <v>"llcihajgaigeicmdohjkiehbacoiggbh",</v>
      </c>
    </row>
    <row r="2404">
      <c r="A2404" s="4" t="s">
        <v>21586</v>
      </c>
      <c r="B2404" s="4" t="s">
        <v>4793</v>
      </c>
      <c r="C2404" s="16" t="str">
        <f>IFERROR(__xludf.DUMMYFUNCTION(""""""""" &amp; REGEXEXTRACT(B2404, ""/detail/([^/?]+)"") &amp; """""","""),"""loepeenhjndiclafjgoackjblfhonogb"",")</f>
        <v>"loepeenhjndiclafjgoackjblfhonogb",</v>
      </c>
    </row>
    <row r="2405">
      <c r="A2405" s="4" t="s">
        <v>21587</v>
      </c>
      <c r="B2405" s="4" t="s">
        <v>4795</v>
      </c>
      <c r="C2405" s="16" t="str">
        <f>IFERROR(__xludf.DUMMYFUNCTION(""""""""" &amp; REGEXEXTRACT(B2405, ""/detail/([^/?]+)"") &amp; """""","""),"""loogobkkpakgbbacdgojpheijeahapkl"",")</f>
        <v>"loogobkkpakgbbacdgojpheijeahapkl",</v>
      </c>
    </row>
    <row r="2406">
      <c r="A2406" s="4" t="s">
        <v>21588</v>
      </c>
      <c r="B2406" s="4" t="s">
        <v>4797</v>
      </c>
      <c r="C2406" s="16" t="str">
        <f>IFERROR(__xludf.DUMMYFUNCTION(""""""""" &amp; REGEXEXTRACT(B2406, ""/detail/([^/?]+)"") &amp; """""","""),"""meppninpiceflfgidaiabknjmjdkfalg"",")</f>
        <v>"meppninpiceflfgidaiabknjmjdkfalg",</v>
      </c>
    </row>
    <row r="2407">
      <c r="A2407" s="4" t="s">
        <v>21589</v>
      </c>
      <c r="B2407" s="4" t="s">
        <v>4799</v>
      </c>
      <c r="C2407" s="16" t="str">
        <f>IFERROR(__xludf.DUMMYFUNCTION(""""""""" &amp; REGEXEXTRACT(B2407, ""/detail/([^/?]+)"") &amp; """""","""),"""mgfejaiakfkkipbelelkcfbimnfjhebn"",")</f>
        <v>"mgfejaiakfkkipbelelkcfbimnfjhebn",</v>
      </c>
    </row>
    <row r="2408">
      <c r="A2408" s="4" t="s">
        <v>21590</v>
      </c>
      <c r="B2408" s="4" t="s">
        <v>4801</v>
      </c>
      <c r="C2408" s="16" t="str">
        <f>IFERROR(__xludf.DUMMYFUNCTION(""""""""" &amp; REGEXEXTRACT(B2408, ""/detail/([^/?]+)"") &amp; """""","""),"""mgpjobdchiggokhnaajapklalckojolh"",")</f>
        <v>"mgpjobdchiggokhnaajapklalckojolh",</v>
      </c>
    </row>
    <row r="2409">
      <c r="A2409" s="4" t="s">
        <v>21591</v>
      </c>
      <c r="B2409" s="4" t="s">
        <v>4803</v>
      </c>
      <c r="C2409" s="16" t="str">
        <f>IFERROR(__xludf.DUMMYFUNCTION(""""""""" &amp; REGEXEXTRACT(B2409, ""/detail/([^/?]+)"") &amp; """""","""),"""mhbjbdglobddcdoaebmhmkdjbpjlbkhi"",")</f>
        <v>"mhbjbdglobddcdoaebmhmkdjbpjlbkhi",</v>
      </c>
    </row>
    <row r="2410">
      <c r="A2410" s="4" t="s">
        <v>21592</v>
      </c>
      <c r="B2410" s="4" t="s">
        <v>4805</v>
      </c>
      <c r="C2410" s="16" t="str">
        <f>IFERROR(__xludf.DUMMYFUNCTION(""""""""" &amp; REGEXEXTRACT(B2410, ""/detail/([^/?]+)"") &amp; """""","""),"""mjhkaggimgaoooehpggbjkankpbkmcjl"",")</f>
        <v>"mjhkaggimgaoooehpggbjkankpbkmcjl",</v>
      </c>
    </row>
    <row r="2411">
      <c r="A2411" s="4" t="s">
        <v>21593</v>
      </c>
      <c r="B2411" s="4" t="s">
        <v>4807</v>
      </c>
      <c r="C2411" s="16" t="str">
        <f>IFERROR(__xludf.DUMMYFUNCTION(""""""""" &amp; REGEXEXTRACT(B2411, ""/detail/([^/?]+)"") &amp; """""","""),"""mjoelkhmpnpbpdblgocjimjabjjdfmpo"",")</f>
        <v>"mjoelkhmpnpbpdblgocjimjabjjdfmpo",</v>
      </c>
    </row>
    <row r="2412">
      <c r="A2412" s="4" t="s">
        <v>21594</v>
      </c>
      <c r="B2412" s="4" t="s">
        <v>4809</v>
      </c>
      <c r="C2412" s="16" t="str">
        <f>IFERROR(__xludf.DUMMYFUNCTION(""""""""" &amp; REGEXEXTRACT(B2412, ""/detail/([^/?]+)"") &amp; """""","""),"""mlboohjioameadaedfjcpemcaangkkbp"",")</f>
        <v>"mlboohjioameadaedfjcpemcaangkkbp",</v>
      </c>
    </row>
    <row r="2413">
      <c r="A2413" s="4" t="s">
        <v>21595</v>
      </c>
      <c r="B2413" s="4" t="s">
        <v>4811</v>
      </c>
      <c r="C2413" s="16" t="str">
        <f>IFERROR(__xludf.DUMMYFUNCTION(""""""""" &amp; REGEXEXTRACT(B2413, ""/detail/([^/?]+)"") &amp; """""","""),"""mllceaiaedaingchlgolnfiibippgkmj"",")</f>
        <v>"mllceaiaedaingchlgolnfiibippgkmj",</v>
      </c>
    </row>
    <row r="2414">
      <c r="A2414" s="4" t="s">
        <v>21596</v>
      </c>
      <c r="B2414" s="4" t="s">
        <v>4813</v>
      </c>
      <c r="C2414" s="16" t="str">
        <f>IFERROR(__xludf.DUMMYFUNCTION(""""""""" &amp; REGEXEXTRACT(B2414, ""/detail/([^/?]+)"") &amp; """""","""),"""mmhofljhcphkbkjmhaiagmbajikkfnep"",")</f>
        <v>"mmhofljhcphkbkjmhaiagmbajikkfnep",</v>
      </c>
    </row>
    <row r="2415">
      <c r="A2415" s="4" t="s">
        <v>21597</v>
      </c>
      <c r="B2415" s="4" t="s">
        <v>4815</v>
      </c>
      <c r="C2415" s="16" t="str">
        <f>IFERROR(__xludf.DUMMYFUNCTION(""""""""" &amp; REGEXEXTRACT(B2415, ""/detail/([^/?]+)"") &amp; """""","""),"""mmmkcieblgelnnjbnicdipakndgmglgl"",")</f>
        <v>"mmmkcieblgelnnjbnicdipakndgmglgl",</v>
      </c>
    </row>
    <row r="2416">
      <c r="A2416" s="4" t="s">
        <v>21598</v>
      </c>
      <c r="B2416" s="4" t="s">
        <v>4817</v>
      </c>
      <c r="C2416" s="16" t="str">
        <f>IFERROR(__xludf.DUMMYFUNCTION(""""""""" &amp; REGEXEXTRACT(B2416, ""/detail/([^/?]+)"") &amp; """""","""),"""mnnlnpbaaojjmihapdoffoicnnaokpmj"",")</f>
        <v>"mnnlnpbaaojjmihapdoffoicnnaokpmj",</v>
      </c>
    </row>
    <row r="2417">
      <c r="A2417" s="4" t="s">
        <v>21599</v>
      </c>
      <c r="B2417" s="4" t="s">
        <v>4819</v>
      </c>
      <c r="C2417" s="16" t="str">
        <f>IFERROR(__xludf.DUMMYFUNCTION(""""""""" &amp; REGEXEXTRACT(B2417, ""/detail/([^/?]+)"") &amp; """""","""),"""mpfenjafnlicmamjnpoohobgpmldkpoj"",")</f>
        <v>"mpfenjafnlicmamjnpoohobgpmldkpoj",</v>
      </c>
    </row>
    <row r="2418">
      <c r="A2418" s="4" t="s">
        <v>21600</v>
      </c>
      <c r="B2418" s="4" t="s">
        <v>4821</v>
      </c>
      <c r="C2418" s="16" t="str">
        <f>IFERROR(__xludf.DUMMYFUNCTION(""""""""" &amp; REGEXEXTRACT(B2418, ""/detail/([^/?]+)"") &amp; """""","""),"""nacjakoppgmdcpemlfnfegmlhipddanj"",")</f>
        <v>"nacjakoppgmdcpemlfnfegmlhipddanj",</v>
      </c>
    </row>
    <row r="2419">
      <c r="A2419" s="4" t="s">
        <v>21601</v>
      </c>
      <c r="B2419" s="4" t="s">
        <v>4823</v>
      </c>
      <c r="C2419" s="16" t="str">
        <f>IFERROR(__xludf.DUMMYFUNCTION(""""""""" &amp; REGEXEXTRACT(B2419, ""/detail/([^/?]+)"") &amp; """""","""),"""naeeohopejehgjckpkmbdojogdipklbj"",")</f>
        <v>"naeeohopejehgjckpkmbdojogdipklbj",</v>
      </c>
    </row>
    <row r="2420">
      <c r="A2420" s="4" t="s">
        <v>21602</v>
      </c>
      <c r="B2420" s="4" t="s">
        <v>4825</v>
      </c>
      <c r="C2420" s="16" t="str">
        <f>IFERROR(__xludf.DUMMYFUNCTION(""""""""" &amp; REGEXEXTRACT(B2420, ""/detail/([^/?]+)"") &amp; """""","""),"""nbanpljakngdndmmekhogfliinegiapb"",")</f>
        <v>"nbanpljakngdndmmekhogfliinegiapb",</v>
      </c>
    </row>
    <row r="2421">
      <c r="A2421" s="4" t="s">
        <v>21603</v>
      </c>
      <c r="B2421" s="4" t="s">
        <v>4827</v>
      </c>
      <c r="C2421" s="16" t="str">
        <f>IFERROR(__xludf.DUMMYFUNCTION(""""""""" &amp; REGEXEXTRACT(B2421, ""/detail/([^/?]+)"") &amp; """""","""),"""nboinfelnglhdhgchcmomigiddalpjka"",")</f>
        <v>"nboinfelnglhdhgchcmomigiddalpjka",</v>
      </c>
    </row>
    <row r="2422">
      <c r="A2422" s="4" t="s">
        <v>21604</v>
      </c>
      <c r="B2422" s="4" t="s">
        <v>4829</v>
      </c>
      <c r="C2422" s="16" t="str">
        <f>IFERROR(__xludf.DUMMYFUNCTION(""""""""" &amp; REGEXEXTRACT(B2422, ""/detail/([^/?]+)"") &amp; """""","""),"""ncdkpefkincbindoojieajcilimcjaae"",")</f>
        <v>"ncdkpefkincbindoojieajcilimcjaae",</v>
      </c>
    </row>
    <row r="2423">
      <c r="A2423" s="4" t="s">
        <v>21605</v>
      </c>
      <c r="B2423" s="4" t="s">
        <v>4831</v>
      </c>
      <c r="C2423" s="16" t="str">
        <f>IFERROR(__xludf.DUMMYFUNCTION(""""""""" &amp; REGEXEXTRACT(B2423, ""/detail/([^/?]+)"") &amp; """""","""),"""nfakpcpmhhilkdpphcjgnokknpbpdllg"",")</f>
        <v>"nfakpcpmhhilkdpphcjgnokknpbpdllg",</v>
      </c>
    </row>
    <row r="2424">
      <c r="A2424" s="4" t="s">
        <v>21606</v>
      </c>
      <c r="B2424" s="4" t="s">
        <v>4833</v>
      </c>
      <c r="C2424" s="16" t="str">
        <f>IFERROR(__xludf.DUMMYFUNCTION(""""""""" &amp; REGEXEXTRACT(B2424, ""/detail/([^/?]+)"") &amp; """""","""),"""nggghhclpmecenfkhdflgaaojdacpphj"",")</f>
        <v>"nggghhclpmecenfkhdflgaaojdacpphj",</v>
      </c>
    </row>
    <row r="2425">
      <c r="A2425" s="4" t="s">
        <v>21607</v>
      </c>
      <c r="B2425" s="4" t="s">
        <v>4835</v>
      </c>
      <c r="C2425" s="16" t="str">
        <f>IFERROR(__xludf.DUMMYFUNCTION(""""""""" &amp; REGEXEXTRACT(B2425, ""/detail/([^/?]+)"") &amp; """""","""),"""nhkjcaiojlbfebmjiechahfdmppccgnn"",")</f>
        <v>"nhkjcaiojlbfebmjiechahfdmppccgnn",</v>
      </c>
    </row>
    <row r="2426">
      <c r="A2426" s="4" t="s">
        <v>21608</v>
      </c>
      <c r="B2426" s="4" t="s">
        <v>4837</v>
      </c>
      <c r="C2426" s="16" t="str">
        <f>IFERROR(__xludf.DUMMYFUNCTION(""""""""" &amp; REGEXEXTRACT(B2426, ""/detail/([^/?]+)"") &amp; """""","""),"""nienaghdopiidkcmeoadejnnjangghnm"",")</f>
        <v>"nienaghdopiidkcmeoadejnnjangghnm",</v>
      </c>
    </row>
    <row r="2427">
      <c r="A2427" s="4" t="s">
        <v>21609</v>
      </c>
      <c r="B2427" s="4" t="s">
        <v>4839</v>
      </c>
      <c r="C2427" s="16" t="str">
        <f>IFERROR(__xludf.DUMMYFUNCTION(""""""""" &amp; REGEXEXTRACT(B2427, ""/detail/([^/?]+)"") &amp; """""","""),"""niicehbadcoefddejdcmlgkbdpkbegem"",")</f>
        <v>"niicehbadcoefddejdcmlgkbdpkbegem",</v>
      </c>
    </row>
    <row r="2428">
      <c r="A2428" s="4" t="s">
        <v>21610</v>
      </c>
      <c r="B2428" s="4" t="s">
        <v>4841</v>
      </c>
      <c r="C2428" s="16" t="str">
        <f>IFERROR(__xludf.DUMMYFUNCTION(""""""""" &amp; REGEXEXTRACT(B2428, ""/detail/([^/?]+)"") &amp; """""","""),"""nikjkfpkdchpheoilbeekhbimcofegkl"",")</f>
        <v>"nikjkfpkdchpheoilbeekhbimcofegkl",</v>
      </c>
    </row>
    <row r="2429">
      <c r="A2429" s="4" t="s">
        <v>21611</v>
      </c>
      <c r="B2429" s="4" t="s">
        <v>4843</v>
      </c>
      <c r="C2429" s="16" t="str">
        <f>IFERROR(__xludf.DUMMYFUNCTION(""""""""" &amp; REGEXEXTRACT(B2429, ""/detail/([^/?]+)"") &amp; """""","""),"""njjpmclekpigefnogajiknnheheacoaj"",")</f>
        <v>"njjpmclekpigefnogajiknnheheacoaj",</v>
      </c>
    </row>
    <row r="2430">
      <c r="A2430" s="4" t="s">
        <v>21612</v>
      </c>
      <c r="B2430" s="4" t="s">
        <v>4845</v>
      </c>
      <c r="C2430" s="16" t="str">
        <f>IFERROR(__xludf.DUMMYFUNCTION(""""""""" &amp; REGEXEXTRACT(B2430, ""/detail/([^/?]+)"") &amp; """""","""),"""njoncjjljflelpenbbeinnhifcanjhee"",")</f>
        <v>"njoncjjljflelpenbbeinnhifcanjhee",</v>
      </c>
    </row>
    <row r="2431">
      <c r="A2431" s="4" t="s">
        <v>21613</v>
      </c>
      <c r="B2431" s="4" t="s">
        <v>4847</v>
      </c>
      <c r="C2431" s="16" t="str">
        <f>IFERROR(__xludf.DUMMYFUNCTION(""""""""" &amp; REGEXEXTRACT(B2431, ""/detail/([^/?]+)"") &amp; """""","""),"""njpmifchgidinihmijhcfpbdmglecdlb"",")</f>
        <v>"njpmifchgidinihmijhcfpbdmglecdlb",</v>
      </c>
    </row>
    <row r="2432">
      <c r="A2432" s="4" t="s">
        <v>21614</v>
      </c>
      <c r="B2432" s="4" t="s">
        <v>4849</v>
      </c>
      <c r="C2432" s="16" t="str">
        <f>IFERROR(__xludf.DUMMYFUNCTION(""""""""" &amp; REGEXEXTRACT(B2432, ""/detail/([^/?]+)"") &amp; """""","""),"""nllgadppmkoamdlocamdnmimkehhojai"",")</f>
        <v>"nllgadppmkoamdlocamdnmimkehhojai",</v>
      </c>
    </row>
    <row r="2433">
      <c r="A2433" s="4" t="s">
        <v>21615</v>
      </c>
      <c r="B2433" s="4" t="s">
        <v>4851</v>
      </c>
      <c r="C2433" s="16" t="str">
        <f>IFERROR(__xludf.DUMMYFUNCTION(""""""""" &amp; REGEXEXTRACT(B2433, ""/detail/([^/?]+)"") &amp; """""","""),"""nlmjblobloedpmkmmckeehnbfalnjnjk"",")</f>
        <v>"nlmjblobloedpmkmmckeehnbfalnjnjk",</v>
      </c>
    </row>
    <row r="2434">
      <c r="A2434" s="4" t="s">
        <v>21616</v>
      </c>
      <c r="B2434" s="4" t="s">
        <v>4853</v>
      </c>
      <c r="C2434" s="16" t="str">
        <f>IFERROR(__xludf.DUMMYFUNCTION(""""""""" &amp; REGEXEXTRACT(B2434, ""/detail/([^/?]+)"") &amp; """""","""),"""nlndoolndemidhlomaokpfbicfnjeeed"",")</f>
        <v>"nlndoolndemidhlomaokpfbicfnjeeed",</v>
      </c>
    </row>
    <row r="2435">
      <c r="A2435" s="4" t="s">
        <v>21617</v>
      </c>
      <c r="B2435" s="4" t="s">
        <v>4855</v>
      </c>
      <c r="C2435" s="16" t="str">
        <f>IFERROR(__xludf.DUMMYFUNCTION(""""""""" &amp; REGEXEXTRACT(B2435, ""/detail/([^/?]+)"") &amp; """""","""),"""nlnjigejpgngahmoainkakaafabijeki"",")</f>
        <v>"nlnjigejpgngahmoainkakaafabijeki",</v>
      </c>
    </row>
    <row r="2436">
      <c r="A2436" s="4" t="s">
        <v>21618</v>
      </c>
      <c r="B2436" s="4" t="s">
        <v>4857</v>
      </c>
      <c r="C2436" s="16" t="str">
        <f>IFERROR(__xludf.DUMMYFUNCTION(""""""""" &amp; REGEXEXTRACT(B2436, ""/detail/([^/?]+)"") &amp; """""","""),"""noappbdpoidambdenlpefmkgnjhclkne"",")</f>
        <v>"noappbdpoidambdenlpefmkgnjhclkne",</v>
      </c>
    </row>
    <row r="2437">
      <c r="A2437" s="4" t="s">
        <v>21619</v>
      </c>
      <c r="B2437" s="4" t="s">
        <v>4859</v>
      </c>
      <c r="C2437" s="16" t="str">
        <f>IFERROR(__xludf.DUMMYFUNCTION(""""""""" &amp; REGEXEXTRACT(B2437, ""/detail/([^/?]+)"") &amp; """""","""),"""noekfhlpihlpicbghhjiflhgkfgcikjh"",")</f>
        <v>"noekfhlpihlpicbghhjiflhgkfgcikjh",</v>
      </c>
    </row>
    <row r="2438">
      <c r="A2438" s="4" t="s">
        <v>21620</v>
      </c>
      <c r="B2438" s="4" t="s">
        <v>4861</v>
      </c>
      <c r="C2438" s="16" t="str">
        <f>IFERROR(__xludf.DUMMYFUNCTION(""""""""" &amp; REGEXEXTRACT(B2438, ""/detail/([^/?]+)"") &amp; """""","""),"""nojneofchnoggimehkmbkjgpnciihkak"",")</f>
        <v>"nojneofchnoggimehkmbkjgpnciihkak",</v>
      </c>
    </row>
    <row r="2439">
      <c r="A2439" s="4" t="s">
        <v>21621</v>
      </c>
      <c r="B2439" s="4" t="s">
        <v>4863</v>
      </c>
      <c r="C2439" s="16" t="str">
        <f>IFERROR(__xludf.DUMMYFUNCTION(""""""""" &amp; REGEXEXTRACT(B2439, ""/detail/([^/?]+)"") &amp; """""","""),"""npbccjkjemgagjioahfccljgnlkdleod"",")</f>
        <v>"npbccjkjemgagjioahfccljgnlkdleod",</v>
      </c>
    </row>
    <row r="2440">
      <c r="A2440" s="4" t="s">
        <v>21622</v>
      </c>
      <c r="B2440" s="4" t="s">
        <v>4865</v>
      </c>
      <c r="C2440" s="16" t="str">
        <f>IFERROR(__xludf.DUMMYFUNCTION(""""""""" &amp; REGEXEXTRACT(B2440, ""/detail/([^/?]+)"") &amp; """""","""),"""npkfpddkpefnmkflhhligbkofhnafieb"",")</f>
        <v>"npkfpddkpefnmkflhhligbkofhnafieb",</v>
      </c>
    </row>
    <row r="2441">
      <c r="A2441" s="4" t="s">
        <v>21623</v>
      </c>
      <c r="B2441" s="4" t="s">
        <v>4867</v>
      </c>
      <c r="C2441" s="16" t="str">
        <f>IFERROR(__xludf.DUMMYFUNCTION(""""""""" &amp; REGEXEXTRACT(B2441, ""/detail/([^/?]+)"") &amp; """""","""),"""npndnkjhbbmjlbcbmkkdkmfofjkaaahm"",")</f>
        <v>"npndnkjhbbmjlbcbmkkdkmfofjkaaahm",</v>
      </c>
    </row>
    <row r="2442">
      <c r="A2442" s="4" t="s">
        <v>21624</v>
      </c>
      <c r="B2442" s="4" t="s">
        <v>4869</v>
      </c>
      <c r="C2442" s="16" t="str">
        <f>IFERROR(__xludf.DUMMYFUNCTION(""""""""" &amp; REGEXEXTRACT(B2442, ""/detail/([^/?]+)"") &amp; """""","""),"""ofhohcappnjhojpboeamfijglinngdnb"",")</f>
        <v>"ofhohcappnjhojpboeamfijglinngdnb",</v>
      </c>
    </row>
    <row r="2443">
      <c r="A2443" s="4" t="s">
        <v>21625</v>
      </c>
      <c r="B2443" s="4" t="s">
        <v>4871</v>
      </c>
      <c r="C2443" s="16" t="str">
        <f>IFERROR(__xludf.DUMMYFUNCTION(""""""""" &amp; REGEXEXTRACT(B2443, ""/detail/([^/?]+)"") &amp; """""","""),"""ofmplbbfigookafjahpeepbggpofdhbo"",")</f>
        <v>"ofmplbbfigookafjahpeepbggpofdhbo",</v>
      </c>
    </row>
    <row r="2444">
      <c r="A2444" s="4" t="s">
        <v>21626</v>
      </c>
      <c r="B2444" s="4" t="s">
        <v>4873</v>
      </c>
      <c r="C2444" s="16" t="str">
        <f>IFERROR(__xludf.DUMMYFUNCTION(""""""""" &amp; REGEXEXTRACT(B2444, ""/detail/([^/?]+)"") &amp; """""","""),"""ognfafcpbkogffpmmdglhbjboeojlefj"",")</f>
        <v>"ognfafcpbkogffpmmdglhbjboeojlefj",</v>
      </c>
    </row>
    <row r="2445">
      <c r="A2445" s="4" t="s">
        <v>21627</v>
      </c>
      <c r="B2445" s="4" t="s">
        <v>4875</v>
      </c>
      <c r="C2445" s="16" t="str">
        <f>IFERROR(__xludf.DUMMYFUNCTION(""""""""" &amp; REGEXEXTRACT(B2445, ""/detail/([^/?]+)"") &amp; """""","""),"""ohjjhfjlnkoanfielofllebjokpmdlom"",")</f>
        <v>"ohjjhfjlnkoanfielofllebjokpmdlom",</v>
      </c>
    </row>
    <row r="2446">
      <c r="A2446" s="4" t="s">
        <v>21628</v>
      </c>
      <c r="B2446" s="4" t="s">
        <v>4877</v>
      </c>
      <c r="C2446" s="16" t="str">
        <f>IFERROR(__xludf.DUMMYFUNCTION(""""""""" &amp; REGEXEXTRACT(B2446, ""/detail/([^/?]+)"") &amp; """""","""),"""olmfokfdiaekgfcpgjomahmkllgkanoa"",")</f>
        <v>"olmfokfdiaekgfcpgjomahmkllgkanoa",</v>
      </c>
    </row>
    <row r="2447">
      <c r="A2447" s="4" t="s">
        <v>21629</v>
      </c>
      <c r="B2447" s="4" t="s">
        <v>4879</v>
      </c>
      <c r="C2447" s="16" t="str">
        <f>IFERROR(__xludf.DUMMYFUNCTION(""""""""" &amp; REGEXEXTRACT(B2447, ""/detail/([^/?]+)"") &amp; """""","""),"""omcjgdddgjlioknfggaelopggehgfcea"",")</f>
        <v>"omcjgdddgjlioknfggaelopggehgfcea",</v>
      </c>
    </row>
    <row r="2448">
      <c r="A2448" s="4" t="s">
        <v>21630</v>
      </c>
      <c r="B2448" s="4" t="s">
        <v>4881</v>
      </c>
      <c r="C2448" s="16" t="str">
        <f>IFERROR(__xludf.DUMMYFUNCTION(""""""""" &amp; REGEXEXTRACT(B2448, ""/detail/([^/?]+)"") &amp; """""","""),"""ompogmmmcfgapifeghieaklpblkkoloo"",")</f>
        <v>"ompogmmmcfgapifeghieaklpblkkoloo",</v>
      </c>
    </row>
    <row r="2449">
      <c r="A2449" s="4" t="s">
        <v>21631</v>
      </c>
      <c r="B2449" s="4" t="s">
        <v>4883</v>
      </c>
      <c r="C2449" s="16" t="str">
        <f>IFERROR(__xludf.DUMMYFUNCTION(""""""""" &amp; REGEXEXTRACT(B2449, ""/detail/([^/?]+)"") &amp; """""","""),"""onikdilmkkgioinnhpgimbhffdgldnoi"",")</f>
        <v>"onikdilmkkgioinnhpgimbhffdgldnoi",</v>
      </c>
    </row>
    <row r="2450">
      <c r="A2450" s="4" t="s">
        <v>21632</v>
      </c>
      <c r="B2450" s="4" t="s">
        <v>4885</v>
      </c>
      <c r="C2450" s="16" t="str">
        <f>IFERROR(__xludf.DUMMYFUNCTION(""""""""" &amp; REGEXEXTRACT(B2450, ""/detail/([^/?]+)"") &amp; """""","""),"""onjihgccojkcmlmlbjmgkcnehdbpbhcf"",")</f>
        <v>"onjihgccojkcmlmlbjmgkcnehdbpbhcf",</v>
      </c>
    </row>
    <row r="2451">
      <c r="A2451" s="4" t="s">
        <v>21633</v>
      </c>
      <c r="B2451" s="4" t="s">
        <v>4887</v>
      </c>
      <c r="C2451" s="16" t="str">
        <f>IFERROR(__xludf.DUMMYFUNCTION(""""""""" &amp; REGEXEXTRACT(B2451, ""/detail/([^/?]+)"") &amp; """""","""),"""oookgbbhgojdebhnmkmhgfagoiknifgi"",")</f>
        <v>"oookgbbhgojdebhnmkmhgfagoiknifgi",</v>
      </c>
    </row>
    <row r="2452">
      <c r="A2452" s="4" t="s">
        <v>21634</v>
      </c>
      <c r="B2452" s="4" t="s">
        <v>4889</v>
      </c>
      <c r="C2452" s="16" t="str">
        <f>IFERROR(__xludf.DUMMYFUNCTION(""""""""" &amp; REGEXEXTRACT(B2452, ""/detail/([^/?]+)"") &amp; """""","""),"""ooppbnomdcjmoepangldchpmjhkeendl"",")</f>
        <v>"ooppbnomdcjmoepangldchpmjhkeendl",</v>
      </c>
    </row>
    <row r="2453">
      <c r="A2453" s="4" t="s">
        <v>21635</v>
      </c>
      <c r="B2453" s="4" t="s">
        <v>4891</v>
      </c>
      <c r="C2453" s="16" t="str">
        <f>IFERROR(__xludf.DUMMYFUNCTION(""""""""" &amp; REGEXEXTRACT(B2453, ""/detail/([^/?]+)"") &amp; """""","""),"""ooppcohacjcoekjgiajkkjgepofncbdl"",")</f>
        <v>"ooppcohacjcoekjgiajkkjgepofncbdl",</v>
      </c>
    </row>
    <row r="2454">
      <c r="A2454" s="4" t="s">
        <v>21636</v>
      </c>
      <c r="B2454" s="4" t="s">
        <v>4893</v>
      </c>
      <c r="C2454" s="16" t="str">
        <f>IFERROR(__xludf.DUMMYFUNCTION(""""""""" &amp; REGEXEXTRACT(B2454, ""/detail/([^/?]+)"") &amp; """""","""),"""opgbbffpdglhkpglnlkiclakjlpiedoh"",")</f>
        <v>"opgbbffpdglhkpglnlkiclakjlpiedoh",</v>
      </c>
    </row>
    <row r="2455">
      <c r="A2455" s="4" t="s">
        <v>21637</v>
      </c>
      <c r="B2455" s="4" t="s">
        <v>4895</v>
      </c>
      <c r="C2455" s="16" t="str">
        <f>IFERROR(__xludf.DUMMYFUNCTION(""""""""" &amp; REGEXEXTRACT(B2455, ""/detail/([^/?]+)"") &amp; """""","""),"""pbakcedgfbkngkamdnodjdbmmbigepaa"",")</f>
        <v>"pbakcedgfbkngkamdnodjdbmmbigepaa",</v>
      </c>
    </row>
    <row r="2456">
      <c r="A2456" s="4" t="s">
        <v>21638</v>
      </c>
      <c r="B2456" s="4" t="s">
        <v>4897</v>
      </c>
      <c r="C2456" s="16" t="str">
        <f>IFERROR(__xludf.DUMMYFUNCTION(""""""""" &amp; REGEXEXTRACT(B2456, ""/detail/([^/?]+)"") &amp; """""","""),"""pbggmlghklngacbdkdjcebaaglkcokhp"",")</f>
        <v>"pbggmlghklngacbdkdjcebaaglkcokhp",</v>
      </c>
    </row>
    <row r="2457">
      <c r="A2457" s="4" t="s">
        <v>21639</v>
      </c>
      <c r="B2457" s="4" t="s">
        <v>4899</v>
      </c>
      <c r="C2457" s="16" t="str">
        <f>IFERROR(__xludf.DUMMYFUNCTION(""""""""" &amp; REGEXEXTRACT(B2457, ""/detail/([^/?]+)"") &amp; """""","""),"""pcdpmeeakgehfnimhbgfpcgcmhmglajd"",")</f>
        <v>"pcdpmeeakgehfnimhbgfpcgcmhmglajd",</v>
      </c>
    </row>
    <row r="2458">
      <c r="A2458" s="4" t="s">
        <v>21640</v>
      </c>
      <c r="B2458" s="4" t="s">
        <v>4901</v>
      </c>
      <c r="C2458" s="16" t="str">
        <f>IFERROR(__xludf.DUMMYFUNCTION(""""""""" &amp; REGEXEXTRACT(B2458, ""/detail/([^/?]+)"") &amp; """""","""),"""peclgodihffdabhnecgclojooijaeeeb"",")</f>
        <v>"peclgodihffdabhnecgclojooijaeeeb",</v>
      </c>
    </row>
    <row r="2459">
      <c r="A2459" s="4" t="s">
        <v>21641</v>
      </c>
      <c r="B2459" s="4" t="s">
        <v>4903</v>
      </c>
      <c r="C2459" s="16" t="str">
        <f>IFERROR(__xludf.DUMMYFUNCTION(""""""""" &amp; REGEXEXTRACT(B2459, ""/detail/([^/?]+)"") &amp; """""","""),"""peeaakkcmdoeljddgdkcailflcballmm"",")</f>
        <v>"peeaakkcmdoeljddgdkcailflcballmm",</v>
      </c>
    </row>
    <row r="2460">
      <c r="A2460" s="4" t="s">
        <v>21642</v>
      </c>
      <c r="B2460" s="4" t="s">
        <v>4905</v>
      </c>
      <c r="C2460" s="16" t="str">
        <f>IFERROR(__xludf.DUMMYFUNCTION(""""""""" &amp; REGEXEXTRACT(B2460, ""/detail/([^/?]+)"") &amp; """""","""),"""pfneigogocifpmjngcpbhfmjhbckjcao"",")</f>
        <v>"pfneigogocifpmjngcpbhfmjhbckjcao",</v>
      </c>
    </row>
    <row r="2461">
      <c r="A2461" s="4" t="s">
        <v>21643</v>
      </c>
      <c r="B2461" s="4" t="s">
        <v>4907</v>
      </c>
      <c r="C2461" s="16" t="str">
        <f>IFERROR(__xludf.DUMMYFUNCTION(""""""""" &amp; REGEXEXTRACT(B2461, ""/detail/([^/?]+)"") &amp; """""","""),"""pgogbeeleccaogghlpmoilbegdhacfnn"",")</f>
        <v>"pgogbeeleccaogghlpmoilbegdhacfnn",</v>
      </c>
    </row>
    <row r="2462">
      <c r="A2462" s="4" t="s">
        <v>21644</v>
      </c>
      <c r="B2462" s="4" t="s">
        <v>4909</v>
      </c>
      <c r="C2462" s="16" t="str">
        <f>IFERROR(__xludf.DUMMYFUNCTION(""""""""" &amp; REGEXEXTRACT(B2462, ""/detail/([^/?]+)"") &amp; """""","""),"""phnffahgegfkcobeaapbenpmdnkifigc"",")</f>
        <v>"phnffahgegfkcobeaapbenpmdnkifigc",</v>
      </c>
    </row>
    <row r="2463">
      <c r="A2463" s="4" t="s">
        <v>21645</v>
      </c>
      <c r="B2463" s="4" t="s">
        <v>4911</v>
      </c>
      <c r="C2463" s="16" t="str">
        <f>IFERROR(__xludf.DUMMYFUNCTION(""""""""" &amp; REGEXEXTRACT(B2463, ""/detail/([^/?]+)"") &amp; """""","""),"""pibckhncbjabhlomohgcdedacopeooml"",")</f>
        <v>"pibckhncbjabhlomohgcdedacopeooml",</v>
      </c>
    </row>
    <row r="2464">
      <c r="A2464" s="4" t="s">
        <v>21646</v>
      </c>
      <c r="B2464" s="4" t="s">
        <v>4913</v>
      </c>
      <c r="C2464" s="16" t="str">
        <f>IFERROR(__xludf.DUMMYFUNCTION(""""""""" &amp; REGEXEXTRACT(B2464, ""/detail/([^/?]+)"") &amp; """""","""),"""piidlenoacbeeecjfdkjcgcienfgnkjn"",")</f>
        <v>"piidlenoacbeeecjfdkjcgcienfgnkjn",</v>
      </c>
    </row>
    <row r="2465">
      <c r="A2465" s="4" t="s">
        <v>21647</v>
      </c>
      <c r="B2465" s="4" t="s">
        <v>4915</v>
      </c>
      <c r="C2465" s="16" t="str">
        <f>IFERROR(__xludf.DUMMYFUNCTION(""""""""" &amp; REGEXEXTRACT(B2465, ""/detail/([^/?]+)"") &amp; """""","""),"""pjdkmeabgpggjenaichdfjhdckcejjik"",")</f>
        <v>"pjdkmeabgpggjenaichdfjhdckcejjik",</v>
      </c>
    </row>
    <row r="2466">
      <c r="A2466" s="4" t="s">
        <v>21648</v>
      </c>
      <c r="B2466" s="4" t="s">
        <v>4917</v>
      </c>
      <c r="C2466" s="16" t="str">
        <f>IFERROR(__xludf.DUMMYFUNCTION(""""""""" &amp; REGEXEXTRACT(B2466, ""/detail/([^/?]+)"") &amp; """""","""),"""pjlejgbmijmafmobaofcgblpdbkaodod"",")</f>
        <v>"pjlejgbmijmafmobaofcgblpdbkaodod",</v>
      </c>
    </row>
    <row r="2467">
      <c r="A2467" s="4" t="s">
        <v>21649</v>
      </c>
      <c r="B2467" s="4" t="s">
        <v>4919</v>
      </c>
      <c r="C2467" s="16" t="str">
        <f>IFERROR(__xludf.DUMMYFUNCTION(""""""""" &amp; REGEXEXTRACT(B2467, ""/detail/([^/?]+)"") &amp; """""","""),"""pjnopimdnmhiaanhjfficogijajbhjnc"",")</f>
        <v>"pjnopimdnmhiaanhjfficogijajbhjnc",</v>
      </c>
    </row>
    <row r="2468">
      <c r="A2468" s="4" t="s">
        <v>21650</v>
      </c>
      <c r="B2468" s="4" t="s">
        <v>4921</v>
      </c>
      <c r="C2468" s="16" t="str">
        <f>IFERROR(__xludf.DUMMYFUNCTION(""""""""" &amp; REGEXEXTRACT(B2468, ""/detail/([^/?]+)"") &amp; """""","""),"""pkejgpgaflkeonkliblcplomemekogop"",")</f>
        <v>"pkejgpgaflkeonkliblcplomemekogop",</v>
      </c>
    </row>
    <row r="2469">
      <c r="A2469" s="4" t="s">
        <v>21651</v>
      </c>
      <c r="B2469" s="4" t="s">
        <v>4923</v>
      </c>
      <c r="C2469" s="16" t="str">
        <f>IFERROR(__xludf.DUMMYFUNCTION(""""""""" &amp; REGEXEXTRACT(B2469, ""/detail/([^/?]+)"") &amp; """""","""),"""pkmjkmagmdipoioaihlbahnkjhpappjm"",")</f>
        <v>"pkmjkmagmdipoioaihlbahnkjhpappjm",</v>
      </c>
    </row>
    <row r="2470">
      <c r="A2470" s="4" t="s">
        <v>21652</v>
      </c>
      <c r="B2470" s="4" t="s">
        <v>4925</v>
      </c>
      <c r="C2470" s="16" t="str">
        <f>IFERROR(__xludf.DUMMYFUNCTION(""""""""" &amp; REGEXEXTRACT(B2470, ""/detail/([^/?]+)"") &amp; """""","""),"""pkokmcnklmgbepioackopoknkdlhefjl"",")</f>
        <v>"pkokmcnklmgbepioackopoknkdlhefjl",</v>
      </c>
    </row>
    <row r="2471">
      <c r="A2471" s="4" t="s">
        <v>21653</v>
      </c>
      <c r="B2471" s="4" t="s">
        <v>4927</v>
      </c>
      <c r="C2471" s="16" t="str">
        <f>IFERROR(__xludf.DUMMYFUNCTION(""""""""" &amp; REGEXEXTRACT(B2471, ""/detail/([^/?]+)"") &amp; """""","""),"""poadggnmgoaalhgdkjfdmkjaihableef"",")</f>
        <v>"poadggnmgoaalhgdkjfdmkjaihableef",</v>
      </c>
    </row>
    <row r="2472">
      <c r="A2472" s="4" t="s">
        <v>21654</v>
      </c>
      <c r="B2472" s="4" t="s">
        <v>4929</v>
      </c>
      <c r="C2472" s="16" t="str">
        <f>IFERROR(__xludf.DUMMYFUNCTION(""""""""" &amp; REGEXEXTRACT(B2472, ""/detail/([^/?]+)"") &amp; """""","""),"""popaiegponeiefbiddhmaphpbdjoegff"",")</f>
        <v>"popaiegponeiefbiddhmaphpbdjoegff",</v>
      </c>
    </row>
    <row r="2473">
      <c r="A2473" s="4" t="s">
        <v>21655</v>
      </c>
      <c r="B2473" s="4" t="s">
        <v>4933</v>
      </c>
      <c r="C2473" s="16" t="str">
        <f>IFERROR(__xludf.DUMMYFUNCTION(""""""""" &amp; REGEXEXTRACT(B2473, ""/detail/([^/?]+)"") &amp; """""","""),"""npgimkapccfidfkfoklhpkgmhgfejhbj"",")</f>
        <v>"npgimkapccfidfkfoklhpkgmhgfejhbj",</v>
      </c>
    </row>
    <row r="2474">
      <c r="A2474" s="4" t="s">
        <v>21656</v>
      </c>
      <c r="B2474" s="4" t="s">
        <v>4935</v>
      </c>
      <c r="C2474" s="16" t="str">
        <f>IFERROR(__xludf.DUMMYFUNCTION(""""""""" &amp; REGEXEXTRACT(B2474, ""/detail/([^/?]+)"") &amp; """""","""),"""gamgadbdliolbhjdcfjjpjfjhgfnckbp"",")</f>
        <v>"gamgadbdliolbhjdcfjjpjfjhgfnckbp",</v>
      </c>
    </row>
    <row r="2475">
      <c r="A2475" s="4" t="s">
        <v>21657</v>
      </c>
      <c r="B2475" s="4" t="s">
        <v>4937</v>
      </c>
      <c r="C2475" s="16" t="str">
        <f>IFERROR(__xludf.DUMMYFUNCTION(""""""""" &amp; REGEXEXTRACT(B2475, ""/detail/([^/?]+)"") &amp; """""","""),"""aacmadajiomocfofkfpfjdcbbgdlonkc"",")</f>
        <v>"aacmadajiomocfofkfpfjdcbbgdlonkc",</v>
      </c>
    </row>
    <row r="2476">
      <c r="A2476" s="4" t="s">
        <v>21658</v>
      </c>
      <c r="B2476" s="4" t="s">
        <v>4939</v>
      </c>
      <c r="C2476" s="16" t="str">
        <f>IFERROR(__xludf.DUMMYFUNCTION(""""""""" &amp; REGEXEXTRACT(B2476, ""/detail/([^/?]+)"") &amp; """""","""),"""adaiboomihahdddciolkcfhalmdnlneh"",")</f>
        <v>"adaiboomihahdddciolkcfhalmdnlneh",</v>
      </c>
    </row>
    <row r="2477">
      <c r="A2477" s="4" t="s">
        <v>21659</v>
      </c>
      <c r="B2477" s="4" t="s">
        <v>4941</v>
      </c>
      <c r="C2477" s="16" t="str">
        <f>IFERROR(__xludf.DUMMYFUNCTION(""""""""" &amp; REGEXEXTRACT(B2477, ""/detail/([^/?]+)"") &amp; """""","""),"""aecepinapldaiocchalkijbjekkjohce"",")</f>
        <v>"aecepinapldaiocchalkijbjekkjohce",</v>
      </c>
    </row>
    <row r="2478">
      <c r="A2478" s="4" t="s">
        <v>21660</v>
      </c>
      <c r="B2478" s="4" t="s">
        <v>4943</v>
      </c>
      <c r="C2478" s="16" t="str">
        <f>IFERROR(__xludf.DUMMYFUNCTION(""""""""" &amp; REGEXEXTRACT(B2478, ""/detail/([^/?]+)"") &amp; """""","""),"""aecmckhhfknljgicfkpbinfkpnijehcm"",")</f>
        <v>"aecmckhhfknljgicfkpbinfkpnijehcm",</v>
      </c>
    </row>
    <row r="2479">
      <c r="A2479" s="4" t="s">
        <v>21661</v>
      </c>
      <c r="B2479" s="4" t="s">
        <v>4944</v>
      </c>
      <c r="C2479" s="16" t="str">
        <f>IFERROR(__xludf.DUMMYFUNCTION(""""""""" &amp; REGEXEXTRACT(B2479, ""/detail/([^/?]+)"") &amp; """""","""),"""aenihapfpbplnoodpaebohaknejoidaj"",")</f>
        <v>"aenihapfpbplnoodpaebohaknejoidaj",</v>
      </c>
    </row>
    <row r="2480">
      <c r="A2480" s="4" t="s">
        <v>21662</v>
      </c>
      <c r="B2480" s="4" t="s">
        <v>4946</v>
      </c>
      <c r="C2480" s="16" t="str">
        <f>IFERROR(__xludf.DUMMYFUNCTION(""""""""" &amp; REGEXEXTRACT(B2480, ""/detail/([^/?]+)"") &amp; """""","""),"""aggebfalegkdaebfdldpaolhmlalbakp"",")</f>
        <v>"aggebfalegkdaebfdldpaolhmlalbakp",</v>
      </c>
    </row>
    <row r="2481">
      <c r="A2481" s="4" t="s">
        <v>21663</v>
      </c>
      <c r="B2481" s="4" t="s">
        <v>4948</v>
      </c>
      <c r="C2481" s="16" t="str">
        <f>IFERROR(__xludf.DUMMYFUNCTION(""""""""" &amp; REGEXEXTRACT(B2481, ""/detail/([^/?]+)"") &amp; """""","""),"""ajdnlgehefnmaiighnbaibekhdfhnipd"",")</f>
        <v>"ajdnlgehefnmaiighnbaibekhdfhnipd",</v>
      </c>
    </row>
    <row r="2482">
      <c r="A2482" s="4" t="s">
        <v>21664</v>
      </c>
      <c r="B2482" s="4" t="s">
        <v>4950</v>
      </c>
      <c r="C2482" s="16" t="str">
        <f>IFERROR(__xludf.DUMMYFUNCTION(""""""""" &amp; REGEXEXTRACT(B2482, ""/detail/([^/?]+)"") &amp; """""","""),"""amdnjmpcoialaikdldjbnkipmckdheie"",")</f>
        <v>"amdnjmpcoialaikdldjbnkipmckdheie",</v>
      </c>
    </row>
    <row r="2483">
      <c r="A2483" s="4" t="s">
        <v>21665</v>
      </c>
      <c r="B2483" s="4" t="s">
        <v>4952</v>
      </c>
      <c r="C2483" s="16" t="str">
        <f>IFERROR(__xludf.DUMMYFUNCTION(""""""""" &amp; REGEXEXTRACT(B2483, ""/detail/([^/?]+)"") &amp; """""","""),"""ammlihljcndoijbkoobiobhjgoopiidn"",")</f>
        <v>"ammlihljcndoijbkoobiobhjgoopiidn",</v>
      </c>
    </row>
    <row r="2484">
      <c r="A2484" s="4" t="s">
        <v>21666</v>
      </c>
      <c r="B2484" s="4" t="s">
        <v>4954</v>
      </c>
      <c r="C2484" s="16" t="str">
        <f>IFERROR(__xludf.DUMMYFUNCTION(""""""""" &amp; REGEXEXTRACT(B2484, ""/detail/([^/?]+)"") &amp; """""","""),"""analeldnikfgekckpcppegfekineelbb"",")</f>
        <v>"analeldnikfgekckpcppegfekineelbb",</v>
      </c>
    </row>
    <row r="2485">
      <c r="A2485" s="4" t="s">
        <v>21667</v>
      </c>
      <c r="B2485" s="4" t="s">
        <v>4956</v>
      </c>
      <c r="C2485" s="16" t="str">
        <f>IFERROR(__xludf.DUMMYFUNCTION(""""""""" &amp; REGEXEXTRACT(B2485, ""/detail/([^/?]+)"") &amp; """""","""),"""aneddidibfifdpbeppmpoackniodpekj"",")</f>
        <v>"aneddidibfifdpbeppmpoackniodpekj",</v>
      </c>
    </row>
    <row r="2486">
      <c r="A2486" s="4" t="s">
        <v>21668</v>
      </c>
      <c r="B2486" s="4" t="s">
        <v>4958</v>
      </c>
      <c r="C2486" s="16" t="str">
        <f>IFERROR(__xludf.DUMMYFUNCTION(""""""""" &amp; REGEXEXTRACT(B2486, ""/detail/([^/?]+)"") &amp; """""","""),"""aobebmleelbgbonejgbokglicljhaaae"",")</f>
        <v>"aobebmleelbgbonejgbokglicljhaaae",</v>
      </c>
    </row>
    <row r="2487">
      <c r="A2487" s="4" t="s">
        <v>21669</v>
      </c>
      <c r="B2487" s="4" t="s">
        <v>4960</v>
      </c>
      <c r="C2487" s="16" t="str">
        <f>IFERROR(__xludf.DUMMYFUNCTION(""""""""" &amp; REGEXEXTRACT(B2487, ""/detail/([^/?]+)"") &amp; """""","""),"""aogefgiamlllkemngojodbhbdigamjkj"",")</f>
        <v>"aogefgiamlllkemngojodbhbdigamjkj",</v>
      </c>
    </row>
    <row r="2488">
      <c r="A2488" s="4" t="s">
        <v>21670</v>
      </c>
      <c r="B2488" s="4" t="s">
        <v>4962</v>
      </c>
      <c r="C2488" s="16" t="str">
        <f>IFERROR(__xludf.DUMMYFUNCTION(""""""""" &amp; REGEXEXTRACT(B2488, ""/detail/([^/?]+)"") &amp; """""","""),"""aohbmgaolpimlnfonicdhkialgannnii"",")</f>
        <v>"aohbmgaolpimlnfonicdhkialgannnii",</v>
      </c>
    </row>
    <row r="2489">
      <c r="A2489" s="4" t="s">
        <v>21671</v>
      </c>
      <c r="B2489" s="4" t="s">
        <v>4964</v>
      </c>
      <c r="C2489" s="16" t="str">
        <f>IFERROR(__xludf.DUMMYFUNCTION(""""""""" &amp; REGEXEXTRACT(B2489, ""/detail/([^/?]+)"") &amp; """""","""),"""apehfighfmpoieeniallefdeibodgmmb"",")</f>
        <v>"apehfighfmpoieeniallefdeibodgmmb",</v>
      </c>
    </row>
    <row r="2490">
      <c r="A2490" s="4" t="s">
        <v>21672</v>
      </c>
      <c r="B2490" s="4" t="s">
        <v>4966</v>
      </c>
      <c r="C2490" s="16" t="str">
        <f>IFERROR(__xludf.DUMMYFUNCTION(""""""""" &amp; REGEXEXTRACT(B2490, ""/detail/([^/?]+)"") &amp; """""","""),"""bageaffklfkikjigoclfgengklfnidll"",")</f>
        <v>"bageaffklfkikjigoclfgengklfnidll",</v>
      </c>
    </row>
    <row r="2491">
      <c r="A2491" s="4" t="s">
        <v>21673</v>
      </c>
      <c r="B2491" s="4" t="s">
        <v>4968</v>
      </c>
      <c r="C2491" s="16" t="str">
        <f>IFERROR(__xludf.DUMMYFUNCTION(""""""""" &amp; REGEXEXTRACT(B2491, ""/detail/([^/?]+)"") &amp; """""","""),"""bajbkoongpoeddacnegpakakhemifgmk"",")</f>
        <v>"bajbkoongpoeddacnegpakakhemifgmk",</v>
      </c>
    </row>
    <row r="2492">
      <c r="A2492" s="4" t="s">
        <v>21674</v>
      </c>
      <c r="B2492" s="4" t="s">
        <v>4970</v>
      </c>
      <c r="C2492" s="16" t="str">
        <f>IFERROR(__xludf.DUMMYFUNCTION(""""""""" &amp; REGEXEXTRACT(B2492, ""/detail/([^/?]+)"") &amp; """""","""),"""bakealnpgdijapoiibbgdbogehhmaopn"",")</f>
        <v>"bakealnpgdijapoiibbgdbogehhmaopn",</v>
      </c>
    </row>
    <row r="2493">
      <c r="A2493" s="4" t="s">
        <v>21675</v>
      </c>
      <c r="B2493" s="4" t="s">
        <v>4972</v>
      </c>
      <c r="C2493" s="16" t="str">
        <f>IFERROR(__xludf.DUMMYFUNCTION(""""""""" &amp; REGEXEXTRACT(B2493, ""/detail/([^/?]+)"") &amp; """""","""),"""bcdabfmndggphffkchfdcekcokmbnkjl"",")</f>
        <v>"bcdabfmndggphffkchfdcekcokmbnkjl",</v>
      </c>
    </row>
    <row r="2494">
      <c r="A2494" s="4" t="s">
        <v>21676</v>
      </c>
      <c r="B2494" s="4" t="s">
        <v>4974</v>
      </c>
      <c r="C2494" s="16" t="str">
        <f>IFERROR(__xludf.DUMMYFUNCTION(""""""""" &amp; REGEXEXTRACT(B2494, ""/detail/([^/?]+)"") &amp; """""","""),"""bdeifmcaonlafkglbdpbbhkeecjnkipo"",")</f>
        <v>"bdeifmcaonlafkglbdpbbhkeecjnkipo",</v>
      </c>
    </row>
    <row r="2495">
      <c r="A2495" s="4" t="s">
        <v>21677</v>
      </c>
      <c r="B2495" s="4" t="s">
        <v>4976</v>
      </c>
      <c r="C2495" s="16" t="str">
        <f>IFERROR(__xludf.DUMMYFUNCTION(""""""""" &amp; REGEXEXTRACT(B2495, ""/detail/([^/?]+)"") &amp; """""","""),"""bdiahcebghgckgbgmjhdbecjkedpcidn"",")</f>
        <v>"bdiahcebghgckgbgmjhdbecjkedpcidn",</v>
      </c>
    </row>
    <row r="2496">
      <c r="A2496" s="4" t="s">
        <v>21678</v>
      </c>
      <c r="B2496" s="4" t="s">
        <v>4978</v>
      </c>
      <c r="C2496" s="16" t="str">
        <f>IFERROR(__xludf.DUMMYFUNCTION(""""""""" &amp; REGEXEXTRACT(B2496, ""/detail/([^/?]+)"") &amp; """""","""),"""becngjhkfeeldhnjgbgndeedogbnaejg"",")</f>
        <v>"becngjhkfeeldhnjgbgndeedogbnaejg",</v>
      </c>
    </row>
    <row r="2497">
      <c r="A2497" s="4" t="s">
        <v>21679</v>
      </c>
      <c r="B2497" s="4" t="s">
        <v>4980</v>
      </c>
      <c r="C2497" s="16" t="str">
        <f>IFERROR(__xludf.DUMMYFUNCTION(""""""""" &amp; REGEXEXTRACT(B2497, ""/detail/([^/?]+)"") &amp; """""","""),"""bfcodeehkjogenemacopdbhabjebnbah"",")</f>
        <v>"bfcodeehkjogenemacopdbhabjebnbah",</v>
      </c>
    </row>
    <row r="2498">
      <c r="A2498" s="4" t="s">
        <v>21680</v>
      </c>
      <c r="B2498" s="4" t="s">
        <v>4982</v>
      </c>
      <c r="C2498" s="16" t="str">
        <f>IFERROR(__xludf.DUMMYFUNCTION(""""""""" &amp; REGEXEXTRACT(B2498, ""/detail/([^/?]+)"") &amp; """""","""),"""bgdpllcnhcmpfcheafdhimpklhjoommn"",")</f>
        <v>"bgdpllcnhcmpfcheafdhimpklhjoommn",</v>
      </c>
    </row>
    <row r="2499">
      <c r="A2499" s="4" t="s">
        <v>21681</v>
      </c>
      <c r="B2499" s="4" t="s">
        <v>4984</v>
      </c>
      <c r="C2499" s="16" t="str">
        <f>IFERROR(__xludf.DUMMYFUNCTION(""""""""" &amp; REGEXEXTRACT(B2499, ""/detail/([^/?]+)"") &amp; """""","""),"""bgjogpoidejdemgoochpnkmdjpocgkha"",")</f>
        <v>"bgjogpoidejdemgoochpnkmdjpocgkha",</v>
      </c>
    </row>
    <row r="2500">
      <c r="A2500" s="4" t="s">
        <v>21682</v>
      </c>
      <c r="B2500" s="4" t="s">
        <v>4986</v>
      </c>
      <c r="C2500" s="16" t="str">
        <f>IFERROR(__xludf.DUMMYFUNCTION(""""""""" &amp; REGEXEXTRACT(B2500, ""/detail/([^/?]+)"") &amp; """""","""),"""bgnmojbefoplnleefojcghjopmopidaj"",")</f>
        <v>"bgnmojbefoplnleefojcghjopmopidaj",</v>
      </c>
    </row>
    <row r="2501">
      <c r="A2501" s="4" t="s">
        <v>21683</v>
      </c>
      <c r="B2501" s="4" t="s">
        <v>4988</v>
      </c>
      <c r="C2501" s="16" t="str">
        <f>IFERROR(__xludf.DUMMYFUNCTION(""""""""" &amp; REGEXEXTRACT(B2501, ""/detail/([^/?]+)"") &amp; """""","""),"""bhlchidmlalaccjoechflhbgkgkndjoh"",")</f>
        <v>"bhlchidmlalaccjoechflhbgkgkndjoh",</v>
      </c>
    </row>
    <row r="2502">
      <c r="A2502" s="4" t="s">
        <v>21684</v>
      </c>
      <c r="B2502" s="4" t="s">
        <v>4990</v>
      </c>
      <c r="C2502" s="16" t="str">
        <f>IFERROR(__xludf.DUMMYFUNCTION(""""""""" &amp; REGEXEXTRACT(B2502, ""/detail/([^/?]+)"") &amp; """""","""),"""bilbbbdgdimchenccmooakpfomfajepd"",")</f>
        <v>"bilbbbdgdimchenccmooakpfomfajepd",</v>
      </c>
    </row>
    <row r="2503">
      <c r="A2503" s="4" t="s">
        <v>21685</v>
      </c>
      <c r="B2503" s="4" t="s">
        <v>4992</v>
      </c>
      <c r="C2503" s="16" t="str">
        <f>IFERROR(__xludf.DUMMYFUNCTION(""""""""" &amp; REGEXEXTRACT(B2503, ""/detail/([^/?]+)"") &amp; """""","""),"""bjmimocndihpmdoelbiilpkkfkppikap"",")</f>
        <v>"bjmimocndihpmdoelbiilpkkfkppikap",</v>
      </c>
    </row>
    <row r="2504">
      <c r="A2504" s="4" t="s">
        <v>21686</v>
      </c>
      <c r="B2504" s="4" t="s">
        <v>4994</v>
      </c>
      <c r="C2504" s="16" t="str">
        <f>IFERROR(__xludf.DUMMYFUNCTION(""""""""" &amp; REGEXEXTRACT(B2504, ""/detail/([^/?]+)"") &amp; """""","""),"""bkcibcjcbhgjoddeldfmgkbaipjkidpf"",")</f>
        <v>"bkcibcjcbhgjoddeldfmgkbaipjkidpf",</v>
      </c>
    </row>
    <row r="2505">
      <c r="A2505" s="4" t="s">
        <v>21687</v>
      </c>
      <c r="B2505" s="4" t="s">
        <v>4996</v>
      </c>
      <c r="C2505" s="16" t="str">
        <f>IFERROR(__xludf.DUMMYFUNCTION(""""""""" &amp; REGEXEXTRACT(B2505, ""/detail/([^/?]+)"") &amp; """""","""),"""blilbgcjmmpbcjiopbifnoopnpfhdipg"",")</f>
        <v>"blilbgcjmmpbcjiopbifnoopnpfhdipg",</v>
      </c>
    </row>
    <row r="2506">
      <c r="A2506" s="4" t="s">
        <v>21688</v>
      </c>
      <c r="B2506" s="4" t="s">
        <v>4998</v>
      </c>
      <c r="C2506" s="16" t="str">
        <f>IFERROR(__xludf.DUMMYFUNCTION(""""""""" &amp; REGEXEXTRACT(B2506, ""/detail/([^/?]+)"") &amp; """""","""),"""blmfdjjomajmejdkdbcabhgfonkhfaam"",")</f>
        <v>"blmfdjjomajmejdkdbcabhgfonkhfaam",</v>
      </c>
    </row>
    <row r="2507">
      <c r="A2507" s="4" t="s">
        <v>21689</v>
      </c>
      <c r="B2507" s="4" t="s">
        <v>5000</v>
      </c>
      <c r="C2507" s="16" t="str">
        <f>IFERROR(__xludf.DUMMYFUNCTION(""""""""" &amp; REGEXEXTRACT(B2507, ""/detail/([^/?]+)"") &amp; """""","""),"""bmhlkhlncmgcdeicfehhpifjhgneenoc"",")</f>
        <v>"bmhlkhlncmgcdeicfehhpifjhgneenoc",</v>
      </c>
    </row>
    <row r="2508">
      <c r="A2508" s="4" t="s">
        <v>21690</v>
      </c>
      <c r="B2508" s="4" t="s">
        <v>5002</v>
      </c>
      <c r="C2508" s="16" t="str">
        <f>IFERROR(__xludf.DUMMYFUNCTION(""""""""" &amp; REGEXEXTRACT(B2508, ""/detail/([^/?]+)"") &amp; """""","""),"""bnajgmchnmlnjggkflnpjllgpjbckoja"",")</f>
        <v>"bnajgmchnmlnjggkflnpjllgpjbckoja",</v>
      </c>
    </row>
    <row r="2509">
      <c r="A2509" s="4" t="s">
        <v>21691</v>
      </c>
      <c r="B2509" s="4" t="s">
        <v>5004</v>
      </c>
      <c r="C2509" s="16" t="str">
        <f>IFERROR(__xludf.DUMMYFUNCTION(""""""""" &amp; REGEXEXTRACT(B2509, ""/detail/([^/?]+)"") &amp; """""","""),"""bndckplfkckfjbgmgnkkemkdpafdablg"",")</f>
        <v>"bndckplfkckfjbgmgnkkemkdpafdablg",</v>
      </c>
    </row>
    <row r="2510">
      <c r="A2510" s="4" t="s">
        <v>21692</v>
      </c>
      <c r="B2510" s="4" t="s">
        <v>5006</v>
      </c>
      <c r="C2510" s="16" t="str">
        <f>IFERROR(__xludf.DUMMYFUNCTION(""""""""" &amp; REGEXEXTRACT(B2510, ""/detail/([^/?]+)"") &amp; """""","""),"""bnocikekcdchphdpfffcgikiblhnkdad"",")</f>
        <v>"bnocikekcdchphdpfffcgikiblhnkdad",</v>
      </c>
    </row>
    <row r="2511">
      <c r="A2511" s="4" t="s">
        <v>21693</v>
      </c>
      <c r="B2511" s="4" t="s">
        <v>5008</v>
      </c>
      <c r="C2511" s="16" t="str">
        <f>IFERROR(__xludf.DUMMYFUNCTION(""""""""" &amp; REGEXEXTRACT(B2511, ""/detail/([^/?]+)"") &amp; """""","""),"""boagamamebolcgbbpghdbadebfclkbdb"",")</f>
        <v>"boagamamebolcgbbpghdbadebfclkbdb",</v>
      </c>
    </row>
    <row r="2512">
      <c r="A2512" s="4" t="s">
        <v>21694</v>
      </c>
      <c r="B2512" s="4" t="s">
        <v>5010</v>
      </c>
      <c r="C2512" s="16" t="str">
        <f>IFERROR(__xludf.DUMMYFUNCTION(""""""""" &amp; REGEXEXTRACT(B2512, ""/detail/([^/?]+)"") &amp; """""","""),"""bocgmaooafgikalnonpaccinefpncobc"",")</f>
        <v>"bocgmaooafgikalnonpaccinefpncobc",</v>
      </c>
    </row>
    <row r="2513">
      <c r="A2513" s="4" t="s">
        <v>21695</v>
      </c>
      <c r="B2513" s="4" t="s">
        <v>5012</v>
      </c>
      <c r="C2513" s="16" t="str">
        <f>IFERROR(__xludf.DUMMYFUNCTION(""""""""" &amp; REGEXEXTRACT(B2513, ""/detail/([^/?]+)"") &amp; """""","""),"""bohffanknhdkpedmpcgephfdgabemfkb"",")</f>
        <v>"bohffanknhdkpedmpcgephfdgabemfkb",</v>
      </c>
    </row>
    <row r="2514">
      <c r="A2514" s="4" t="s">
        <v>21696</v>
      </c>
      <c r="B2514" s="4" t="s">
        <v>5014</v>
      </c>
      <c r="C2514" s="16" t="str">
        <f>IFERROR(__xludf.DUMMYFUNCTION(""""""""" &amp; REGEXEXTRACT(B2514, ""/detail/([^/?]+)"") &amp; """""","""),"""boifjfacnencpfgncaijcbekbffnfean"",")</f>
        <v>"boifjfacnencpfgncaijcbekbffnfean",</v>
      </c>
    </row>
    <row r="2515">
      <c r="A2515" s="4" t="s">
        <v>21697</v>
      </c>
      <c r="B2515" s="4" t="s">
        <v>5016</v>
      </c>
      <c r="C2515" s="16" t="str">
        <f>IFERROR(__xludf.DUMMYFUNCTION(""""""""" &amp; REGEXEXTRACT(B2515, ""/detail/([^/?]+)"") &amp; """""","""),"""bomlpocneecngaomhddeggcinnaoohgo"",")</f>
        <v>"bomlpocneecngaomhddeggcinnaoohgo",</v>
      </c>
    </row>
    <row r="2516">
      <c r="A2516" s="4" t="s">
        <v>21698</v>
      </c>
      <c r="B2516" s="4" t="s">
        <v>5018</v>
      </c>
      <c r="C2516" s="16" t="str">
        <f>IFERROR(__xludf.DUMMYFUNCTION(""""""""" &amp; REGEXEXTRACT(B2516, ""/detail/([^/?]+)"") &amp; """""","""),"""bpheclmhommpomjoeoifcggjmdelgaoj"",")</f>
        <v>"bpheclmhommpomjoeoifcggjmdelgaoj",</v>
      </c>
    </row>
    <row r="2517">
      <c r="A2517" s="4" t="s">
        <v>21699</v>
      </c>
      <c r="B2517" s="4" t="s">
        <v>5020</v>
      </c>
      <c r="C2517" s="16" t="str">
        <f>IFERROR(__xludf.DUMMYFUNCTION(""""""""" &amp; REGEXEXTRACT(B2517, ""/detail/([^/?]+)"") &amp; """""","""),"""cbobmdabfjfogbodncgennjhpcmdlfin"",")</f>
        <v>"cbobmdabfjfogbodncgennjhpcmdlfin",</v>
      </c>
    </row>
    <row r="2518">
      <c r="A2518" s="4" t="s">
        <v>21700</v>
      </c>
      <c r="B2518" s="4" t="s">
        <v>5022</v>
      </c>
      <c r="C2518" s="16" t="str">
        <f>IFERROR(__xludf.DUMMYFUNCTION(""""""""" &amp; REGEXEXTRACT(B2518, ""/detail/([^/?]+)"") &amp; """""","""),"""ccdjnhaifeigaidilnnajickpbjhbfom"",")</f>
        <v>"ccdjnhaifeigaidilnnajickpbjhbfom",</v>
      </c>
    </row>
    <row r="2519">
      <c r="A2519" s="4" t="s">
        <v>21701</v>
      </c>
      <c r="B2519" s="4" t="s">
        <v>5024</v>
      </c>
      <c r="C2519" s="16" t="str">
        <f>IFERROR(__xludf.DUMMYFUNCTION(""""""""" &amp; REGEXEXTRACT(B2519, ""/detail/([^/?]+)"") &amp; """""","""),"""cdjplknefldnfcncohonjbeeocljjmbm"",")</f>
        <v>"cdjplknefldnfcncohonjbeeocljjmbm",</v>
      </c>
    </row>
    <row r="2520">
      <c r="A2520" s="4" t="s">
        <v>21702</v>
      </c>
      <c r="B2520" s="4" t="s">
        <v>5026</v>
      </c>
      <c r="C2520" s="16" t="str">
        <f>IFERROR(__xludf.DUMMYFUNCTION(""""""""" &amp; REGEXEXTRACT(B2520, ""/detail/([^/?]+)"") &amp; """""","""),"""cejdihbofllcmhnmniakjilchgfaebcf"",")</f>
        <v>"cejdihbofllcmhnmniakjilchgfaebcf",</v>
      </c>
    </row>
    <row r="2521">
      <c r="A2521" s="4" t="s">
        <v>21703</v>
      </c>
      <c r="B2521" s="4" t="s">
        <v>5028</v>
      </c>
      <c r="C2521" s="16" t="str">
        <f>IFERROR(__xludf.DUMMYFUNCTION(""""""""" &amp; REGEXEXTRACT(B2521, ""/detail/([^/?]+)"") &amp; """""","""),"""cfakdddemgaldaenbeccjmpdmdahcoji"",")</f>
        <v>"cfakdddemgaldaenbeccjmpdmdahcoji",</v>
      </c>
    </row>
    <row r="2522">
      <c r="A2522" s="4" t="s">
        <v>21704</v>
      </c>
      <c r="B2522" s="4" t="s">
        <v>5030</v>
      </c>
      <c r="C2522" s="16" t="str">
        <f>IFERROR(__xludf.DUMMYFUNCTION(""""""""" &amp; REGEXEXTRACT(B2522, ""/detail/([^/?]+)"") &amp; """""","""),"""cfgpigllcihcpkbokdnmpkjobnebflgh"",")</f>
        <v>"cfgpigllcihcpkbokdnmpkjobnebflgh",</v>
      </c>
    </row>
    <row r="2523">
      <c r="A2523" s="4" t="s">
        <v>21705</v>
      </c>
      <c r="B2523" s="4" t="s">
        <v>5031</v>
      </c>
      <c r="C2523" s="16" t="str">
        <f>IFERROR(__xludf.DUMMYFUNCTION(""""""""" &amp; REGEXEXTRACT(B2523, ""/detail/([^/?]+)"") &amp; """""","""),"""cghmfdbnaglgkbajgpkciklfeafoknmp"",")</f>
        <v>"cghmfdbnaglgkbajgpkciklfeafoknmp",</v>
      </c>
    </row>
    <row r="2524">
      <c r="A2524" s="4" t="s">
        <v>21706</v>
      </c>
      <c r="B2524" s="4" t="s">
        <v>5033</v>
      </c>
      <c r="C2524" s="16" t="str">
        <f>IFERROR(__xludf.DUMMYFUNCTION(""""""""" &amp; REGEXEXTRACT(B2524, ""/detail/([^/?]+)"") &amp; """""","""),"""cgpmofepeeiaaljkcclfldhaalfpcand"",")</f>
        <v>"cgpmofepeeiaaljkcclfldhaalfpcand",</v>
      </c>
    </row>
    <row r="2525">
      <c r="A2525" s="4" t="s">
        <v>21707</v>
      </c>
      <c r="B2525" s="4" t="s">
        <v>5035</v>
      </c>
      <c r="C2525" s="16" t="str">
        <f>IFERROR(__xludf.DUMMYFUNCTION(""""""""" &amp; REGEXEXTRACT(B2525, ""/detail/([^/?]+)"") &amp; """""","""),"""chgiddljhokfbppnhfphdabejocpopgk"",")</f>
        <v>"chgiddljhokfbppnhfphdabejocpopgk",</v>
      </c>
    </row>
    <row r="2526">
      <c r="A2526" s="4" t="s">
        <v>21708</v>
      </c>
      <c r="B2526" s="4" t="s">
        <v>5037</v>
      </c>
      <c r="C2526" s="16" t="str">
        <f>IFERROR(__xludf.DUMMYFUNCTION(""""""""" &amp; REGEXEXTRACT(B2526, ""/detail/([^/?]+)"") &amp; """""","""),"""chgkpfgnhlojjpjchjcbpbgmdnmfmmil"",")</f>
        <v>"chgkpfgnhlojjpjchjcbpbgmdnmfmmil",</v>
      </c>
    </row>
    <row r="2527">
      <c r="A2527" s="4" t="s">
        <v>21709</v>
      </c>
      <c r="B2527" s="4" t="s">
        <v>5039</v>
      </c>
      <c r="C2527" s="16" t="str">
        <f>IFERROR(__xludf.DUMMYFUNCTION(""""""""" &amp; REGEXEXTRACT(B2527, ""/detail/([^/?]+)"") &amp; """""","""),"""ciehpookapcdlakedibajeccomagbfab"",")</f>
        <v>"ciehpookapcdlakedibajeccomagbfab",</v>
      </c>
    </row>
    <row r="2528">
      <c r="A2528" s="4" t="s">
        <v>21710</v>
      </c>
      <c r="B2528" s="4" t="s">
        <v>5041</v>
      </c>
      <c r="C2528" s="16" t="str">
        <f>IFERROR(__xludf.DUMMYFUNCTION(""""""""" &amp; REGEXEXTRACT(B2528, ""/detail/([^/?]+)"") &amp; """""","""),"""cjpdlmjbocfbhjgdpmfkcphkacmighmb"",")</f>
        <v>"cjpdlmjbocfbhjgdpmfkcphkacmighmb",</v>
      </c>
    </row>
    <row r="2529">
      <c r="A2529" s="4" t="s">
        <v>21711</v>
      </c>
      <c r="B2529" s="4" t="s">
        <v>5043</v>
      </c>
      <c r="C2529" s="16" t="str">
        <f>IFERROR(__xludf.DUMMYFUNCTION(""""""""" &amp; REGEXEXTRACT(B2529, ""/detail/([^/?]+)"") &amp; """""","""),"""cljgeamakelbidoianknbfedaejiocgi"",")</f>
        <v>"cljgeamakelbidoianknbfedaejiocgi",</v>
      </c>
    </row>
    <row r="2530">
      <c r="A2530" s="4" t="s">
        <v>21712</v>
      </c>
      <c r="B2530" s="4" t="s">
        <v>5045</v>
      </c>
      <c r="C2530" s="16" t="str">
        <f>IFERROR(__xludf.DUMMYFUNCTION(""""""""" &amp; REGEXEXTRACT(B2530, ""/detail/([^/?]+)"") &amp; """""","""),"""cllajfedflpkeplbcojolihhlmmafmbb"",")</f>
        <v>"cllajfedflpkeplbcojolihhlmmafmbb",</v>
      </c>
    </row>
    <row r="2531">
      <c r="A2531" s="4" t="s">
        <v>21713</v>
      </c>
      <c r="B2531" s="4" t="s">
        <v>5047</v>
      </c>
      <c r="C2531" s="16" t="str">
        <f>IFERROR(__xludf.DUMMYFUNCTION(""""""""" &amp; REGEXEXTRACT(B2531, ""/detail/([^/?]+)"") &amp; """""","""),"""cmdmlphjbobhblimniofbnlfkmpcjlgd"",")</f>
        <v>"cmdmlphjbobhblimniofbnlfkmpcjlgd",</v>
      </c>
    </row>
    <row r="2532">
      <c r="A2532" s="4" t="s">
        <v>21714</v>
      </c>
      <c r="B2532" s="4" t="s">
        <v>5049</v>
      </c>
      <c r="C2532" s="16" t="str">
        <f>IFERROR(__xludf.DUMMYFUNCTION(""""""""" &amp; REGEXEXTRACT(B2532, ""/detail/([^/?]+)"") &amp; """""","""),"""cmkneeaihlcdllananjlkmppnkdahdcc"",")</f>
        <v>"cmkneeaihlcdllananjlkmppnkdahdcc",</v>
      </c>
    </row>
    <row r="2533">
      <c r="A2533" s="4" t="s">
        <v>21715</v>
      </c>
      <c r="B2533" s="4" t="s">
        <v>5051</v>
      </c>
      <c r="C2533" s="16" t="str">
        <f>IFERROR(__xludf.DUMMYFUNCTION(""""""""" &amp; REGEXEXTRACT(B2533, ""/detail/([^/?]+)"") &amp; """""","""),"""cnbkpkpfckpmnjjkoenloilapocnaiak"",")</f>
        <v>"cnbkpkpfckpmnjjkoenloilapocnaiak",</v>
      </c>
    </row>
    <row r="2534">
      <c r="A2534" s="4" t="s">
        <v>21716</v>
      </c>
      <c r="B2534" s="4" t="s">
        <v>5053</v>
      </c>
      <c r="C2534" s="16" t="str">
        <f>IFERROR(__xludf.DUMMYFUNCTION(""""""""" &amp; REGEXEXTRACT(B2534, ""/detail/([^/?]+)"") &amp; """""","""),"""cnfjjjccgdhpmagdikdfdoamffinllog"",")</f>
        <v>"cnfjjjccgdhpmagdikdfdoamffinllog",</v>
      </c>
    </row>
    <row r="2535">
      <c r="A2535" s="4" t="s">
        <v>21717</v>
      </c>
      <c r="B2535" s="4" t="s">
        <v>5055</v>
      </c>
      <c r="C2535" s="16" t="str">
        <f>IFERROR(__xludf.DUMMYFUNCTION(""""""""" &amp; REGEXEXTRACT(B2535, ""/detail/([^/?]+)"") &amp; """""","""),"""cpkbcemgamhinbingpodkfnpnofkloae"",")</f>
        <v>"cpkbcemgamhinbingpodkfnpnofkloae",</v>
      </c>
    </row>
    <row r="2536">
      <c r="A2536" s="4" t="s">
        <v>21718</v>
      </c>
      <c r="B2536" s="4" t="s">
        <v>5057</v>
      </c>
      <c r="C2536" s="16" t="str">
        <f>IFERROR(__xludf.DUMMYFUNCTION(""""""""" &amp; REGEXEXTRACT(B2536, ""/detail/([^/?]+)"") &amp; """""","""),"""dabkfpeebkikmgdianbkchblbdibbfhl"",")</f>
        <v>"dabkfpeebkikmgdianbkchblbdibbfhl",</v>
      </c>
    </row>
    <row r="2537">
      <c r="A2537" s="4" t="s">
        <v>21719</v>
      </c>
      <c r="B2537" s="4" t="s">
        <v>5059</v>
      </c>
      <c r="C2537" s="16" t="str">
        <f>IFERROR(__xludf.DUMMYFUNCTION(""""""""" &amp; REGEXEXTRACT(B2537, ""/detail/([^/?]+)"") &amp; """""","""),"""dbcnbegbcdfdlndabgemkabfhfllocma"",")</f>
        <v>"dbcnbegbcdfdlndabgemkabfhfllocma",</v>
      </c>
    </row>
    <row r="2538">
      <c r="A2538" s="4" t="s">
        <v>21720</v>
      </c>
      <c r="B2538" s="4" t="s">
        <v>5060</v>
      </c>
      <c r="C2538" s="16" t="str">
        <f>IFERROR(__xludf.DUMMYFUNCTION(""""""""" &amp; REGEXEXTRACT(B2538, ""/detail/([^/?]+)"") &amp; """""","""),"""dcaaabmopjlkogkeahlbehpnppgleahf"",")</f>
        <v>"dcaaabmopjlkogkeahlbehpnppgleahf",</v>
      </c>
    </row>
    <row r="2539">
      <c r="A2539" s="4" t="s">
        <v>21721</v>
      </c>
      <c r="B2539" s="4" t="s">
        <v>5061</v>
      </c>
      <c r="C2539" s="16" t="str">
        <f>IFERROR(__xludf.DUMMYFUNCTION(""""""""" &amp; REGEXEXTRACT(B2539, ""/detail/([^/?]+)"") &amp; """""","""),"""dcgkemofanbgjhnbmjjfomcgdkmobhgi"",")</f>
        <v>"dcgkemofanbgjhnbmjjfomcgdkmobhgi",</v>
      </c>
    </row>
    <row r="2540">
      <c r="A2540" s="4" t="s">
        <v>21722</v>
      </c>
      <c r="B2540" s="4" t="s">
        <v>5063</v>
      </c>
      <c r="C2540" s="16" t="str">
        <f>IFERROR(__xludf.DUMMYFUNCTION(""""""""" &amp; REGEXEXTRACT(B2540, ""/detail/([^/?]+)"") &amp; """""","""),"""dchjcpaccnemnmhnnmkcpapjieaknljk"",")</f>
        <v>"dchjcpaccnemnmhnnmkcpapjieaknljk",</v>
      </c>
    </row>
    <row r="2541">
      <c r="A2541" s="4" t="s">
        <v>21723</v>
      </c>
      <c r="B2541" s="4" t="s">
        <v>5065</v>
      </c>
      <c r="C2541" s="16" t="str">
        <f>IFERROR(__xludf.DUMMYFUNCTION(""""""""" &amp; REGEXEXTRACT(B2541, ""/detail/([^/?]+)"") &amp; """""","""),"""dckjbbhlbmojeohhjlobfllblcoannge"",")</f>
        <v>"dckjbbhlbmojeohhjlobfllblcoannge",</v>
      </c>
    </row>
    <row r="2542">
      <c r="A2542" s="4" t="s">
        <v>21724</v>
      </c>
      <c r="B2542" s="4" t="s">
        <v>5067</v>
      </c>
      <c r="C2542" s="16" t="str">
        <f>IFERROR(__xludf.DUMMYFUNCTION(""""""""" &amp; REGEXEXTRACT(B2542, ""/detail/([^/?]+)"") &amp; """""","""),"""ddadhlcejiholmdiihbdcfoapdfkhicn"",")</f>
        <v>"ddadhlcejiholmdiihbdcfoapdfkhicn",</v>
      </c>
    </row>
    <row r="2543">
      <c r="A2543" s="4" t="s">
        <v>21725</v>
      </c>
      <c r="B2543" s="4" t="s">
        <v>5069</v>
      </c>
      <c r="C2543" s="16" t="str">
        <f>IFERROR(__xludf.DUMMYFUNCTION(""""""""" &amp; REGEXEXTRACT(B2543, ""/detail/([^/?]+)"") &amp; """""","""),"""ddbmednkcaaciannkbjaineoecjkclfg"",")</f>
        <v>"ddbmednkcaaciannkbjaineoecjkclfg",</v>
      </c>
    </row>
    <row r="2544">
      <c r="A2544" s="4" t="s">
        <v>21726</v>
      </c>
      <c r="B2544" s="4" t="s">
        <v>5071</v>
      </c>
      <c r="C2544" s="16" t="str">
        <f>IFERROR(__xludf.DUMMYFUNCTION(""""""""" &amp; REGEXEXTRACT(B2544, ""/detail/([^/?]+)"") &amp; """""","""),"""ddgcohekjighkfgkhcpdinbifogpaglg"",")</f>
        <v>"ddgcohekjighkfgkhcpdinbifogpaglg",</v>
      </c>
    </row>
    <row r="2545">
      <c r="A2545" s="4" t="s">
        <v>21727</v>
      </c>
      <c r="B2545" s="4" t="s">
        <v>5073</v>
      </c>
      <c r="C2545" s="16" t="str">
        <f>IFERROR(__xludf.DUMMYFUNCTION(""""""""" &amp; REGEXEXTRACT(B2545, ""/detail/([^/?]+)"") &amp; """""","""),"""degapcaafepdhjjaoaoaaickindhehka"",")</f>
        <v>"degapcaafepdhjjaoaoaaickindhehka",</v>
      </c>
    </row>
    <row r="2546">
      <c r="A2546" s="4" t="s">
        <v>21728</v>
      </c>
      <c r="B2546" s="4" t="s">
        <v>5075</v>
      </c>
      <c r="C2546" s="16" t="str">
        <f>IFERROR(__xludf.DUMMYFUNCTION(""""""""" &amp; REGEXEXTRACT(B2546, ""/detail/([^/?]+)"") &amp; """""","""),"""deihalhihjdilndoidoclmhmgllebkfj"",")</f>
        <v>"deihalhihjdilndoidoclmhmgllebkfj",</v>
      </c>
    </row>
    <row r="2547">
      <c r="A2547" s="4" t="s">
        <v>21729</v>
      </c>
      <c r="B2547" s="4" t="s">
        <v>5077</v>
      </c>
      <c r="C2547" s="16" t="str">
        <f>IFERROR(__xludf.DUMMYFUNCTION(""""""""" &amp; REGEXEXTRACT(B2547, ""/detail/([^/?]+)"") &amp; """""","""),"""denkephjglddepmhdlaaigjionglkdbb"",")</f>
        <v>"denkephjglddepmhdlaaigjionglkdbb",</v>
      </c>
    </row>
    <row r="2548">
      <c r="A2548" s="4" t="s">
        <v>21730</v>
      </c>
      <c r="B2548" s="4" t="s">
        <v>5079</v>
      </c>
      <c r="C2548" s="16" t="str">
        <f>IFERROR(__xludf.DUMMYFUNCTION(""""""""" &amp; REGEXEXTRACT(B2548, ""/detail/([^/?]+)"") &amp; """""","""),"""dfdobmhlmkdmiokclbhgmiiehioogbbi"",")</f>
        <v>"dfdobmhlmkdmiokclbhgmiiehioogbbi",</v>
      </c>
    </row>
    <row r="2549">
      <c r="A2549" s="4" t="s">
        <v>21731</v>
      </c>
      <c r="B2549" s="4" t="s">
        <v>5081</v>
      </c>
      <c r="C2549" s="16" t="str">
        <f>IFERROR(__xludf.DUMMYFUNCTION(""""""""" &amp; REGEXEXTRACT(B2549, ""/detail/([^/?]+)"") &amp; """""","""),"""dfhgmnfclbebfobmblelddiejjcijbjm"",")</f>
        <v>"dfhgmnfclbebfobmblelddiejjcijbjm",</v>
      </c>
    </row>
    <row r="2550">
      <c r="A2550" s="4" t="s">
        <v>21732</v>
      </c>
      <c r="B2550" s="4" t="s">
        <v>5083</v>
      </c>
      <c r="C2550" s="16" t="str">
        <f>IFERROR(__xludf.DUMMYFUNCTION(""""""""" &amp; REGEXEXTRACT(B2550, ""/detail/([^/?]+)"") &amp; """""","""),"""dgadhpmlfghhmiladkdodenkkcoiplcm"",")</f>
        <v>"dgadhpmlfghhmiladkdodenkkcoiplcm",</v>
      </c>
    </row>
    <row r="2551">
      <c r="A2551" s="4" t="s">
        <v>21733</v>
      </c>
      <c r="B2551" s="4" t="s">
        <v>5085</v>
      </c>
      <c r="C2551" s="16" t="str">
        <f>IFERROR(__xludf.DUMMYFUNCTION(""""""""" &amp; REGEXEXTRACT(B2551, ""/detail/([^/?]+)"") &amp; """""","""),"""dglhbebhfdidbfoeknnfghdbleecgopl"",")</f>
        <v>"dglhbebhfdidbfoeknnfghdbleecgopl",</v>
      </c>
    </row>
    <row r="2552">
      <c r="A2552" s="4" t="s">
        <v>21734</v>
      </c>
      <c r="B2552" s="4" t="s">
        <v>5087</v>
      </c>
      <c r="C2552" s="16" t="str">
        <f>IFERROR(__xludf.DUMMYFUNCTION(""""""""" &amp; REGEXEXTRACT(B2552, ""/detail/([^/?]+)"") &amp; """""","""),"""dikemolgkkmhlgpgnmndjekbbckmgfmh"",")</f>
        <v>"dikemolgkkmhlgpgnmndjekbbckmgfmh",</v>
      </c>
    </row>
    <row r="2553">
      <c r="A2553" s="4" t="s">
        <v>21735</v>
      </c>
      <c r="B2553" s="4" t="s">
        <v>5089</v>
      </c>
      <c r="C2553" s="16" t="str">
        <f>IFERROR(__xludf.DUMMYFUNCTION(""""""""" &amp; REGEXEXTRACT(B2553, ""/detail/([^/?]+)"") &amp; """""","""),"""djbeppfhfnoenjialnekbeggaokpoljk"",")</f>
        <v>"djbeppfhfnoenjialnekbeggaokpoljk",</v>
      </c>
    </row>
    <row r="2554">
      <c r="A2554" s="4" t="s">
        <v>21736</v>
      </c>
      <c r="B2554" s="4" t="s">
        <v>5091</v>
      </c>
      <c r="C2554" s="16" t="str">
        <f>IFERROR(__xludf.DUMMYFUNCTION(""""""""" &amp; REGEXEXTRACT(B2554, ""/detail/([^/?]+)"") &amp; """""","""),"""dkfibabkihblcenahmcdmfepojcejoan"",")</f>
        <v>"dkfibabkihblcenahmcdmfepojcejoan",</v>
      </c>
    </row>
    <row r="2555">
      <c r="A2555" s="4" t="s">
        <v>21737</v>
      </c>
      <c r="B2555" s="4" t="s">
        <v>5093</v>
      </c>
      <c r="C2555" s="16" t="str">
        <f>IFERROR(__xludf.DUMMYFUNCTION(""""""""" &amp; REGEXEXTRACT(B2555, ""/detail/([^/?]+)"") &amp; """""","""),"""dlgipkaoljiajmolhibpngjppeckkjjp"",")</f>
        <v>"dlgipkaoljiajmolhibpngjppeckkjjp",</v>
      </c>
    </row>
    <row r="2556">
      <c r="A2556" s="4" t="s">
        <v>21738</v>
      </c>
      <c r="B2556" s="4" t="s">
        <v>5095</v>
      </c>
      <c r="C2556" s="16" t="str">
        <f>IFERROR(__xludf.DUMMYFUNCTION(""""""""" &amp; REGEXEXTRACT(B2556, ""/detail/([^/?]+)"") &amp; """""","""),"""dlpiocjogoilggigpijnoamnjjolfhdm"",")</f>
        <v>"dlpiocjogoilggigpijnoamnjjolfhdm",</v>
      </c>
    </row>
    <row r="2557">
      <c r="A2557" s="4" t="s">
        <v>21739</v>
      </c>
      <c r="B2557" s="4" t="s">
        <v>5097</v>
      </c>
      <c r="C2557" s="16" t="str">
        <f>IFERROR(__xludf.DUMMYFUNCTION(""""""""" &amp; REGEXEXTRACT(B2557, ""/detail/([^/?]+)"") &amp; """""","""),"""dmmkcklhpicggimepcmiiiinhjgfpabp"",")</f>
        <v>"dmmkcklhpicggimepcmiiiinhjgfpabp",</v>
      </c>
    </row>
    <row r="2558">
      <c r="A2558" s="4" t="s">
        <v>21740</v>
      </c>
      <c r="B2558" s="4" t="s">
        <v>5099</v>
      </c>
      <c r="C2558" s="16" t="str">
        <f>IFERROR(__xludf.DUMMYFUNCTION(""""""""" &amp; REGEXEXTRACT(B2558, ""/detail/([^/?]+)"") &amp; """""","""),"""dmooeeefhgcabgimjgdjaldjkddeopmp"",")</f>
        <v>"dmooeeefhgcabgimjgdjaldjkddeopmp",</v>
      </c>
    </row>
    <row r="2559">
      <c r="A2559" s="4" t="s">
        <v>21741</v>
      </c>
      <c r="B2559" s="4" t="s">
        <v>5101</v>
      </c>
      <c r="C2559" s="16" t="str">
        <f>IFERROR(__xludf.DUMMYFUNCTION(""""""""" &amp; REGEXEXTRACT(B2559, ""/detail/([^/?]+)"") &amp; """""","""),"""doaamlfgfbkiofmbmaahkaaipgfmkhkh"",")</f>
        <v>"doaamlfgfbkiofmbmaahkaaipgfmkhkh",</v>
      </c>
    </row>
    <row r="2560">
      <c r="A2560" s="4" t="s">
        <v>21742</v>
      </c>
      <c r="B2560" s="4" t="s">
        <v>5103</v>
      </c>
      <c r="C2560" s="16" t="str">
        <f>IFERROR(__xludf.DUMMYFUNCTION(""""""""" &amp; REGEXEXTRACT(B2560, ""/detail/([^/?]+)"") &amp; """""","""),"""ebpgknlgpomojokdkpgphjigniicjcgc"",")</f>
        <v>"ebpgknlgpomojokdkpgphjigniicjcgc",</v>
      </c>
    </row>
    <row r="2561">
      <c r="A2561" s="4" t="s">
        <v>21743</v>
      </c>
      <c r="B2561" s="4" t="s">
        <v>5105</v>
      </c>
      <c r="C2561" s="16" t="str">
        <f>IFERROR(__xludf.DUMMYFUNCTION(""""""""" &amp; REGEXEXTRACT(B2561, ""/detail/([^/?]+)"") &amp; """""","""),"""edlabnkomhapginaagocjphimjellekl"",")</f>
        <v>"edlabnkomhapginaagocjphimjellekl",</v>
      </c>
    </row>
    <row r="2562">
      <c r="A2562" s="4" t="s">
        <v>21744</v>
      </c>
      <c r="B2562" s="4" t="s">
        <v>5107</v>
      </c>
      <c r="C2562" s="16" t="str">
        <f>IFERROR(__xludf.DUMMYFUNCTION(""""""""" &amp; REGEXEXTRACT(B2562, ""/detail/([^/?]+)"") &amp; """""","""),"""eebpioaailbjojmdbmlpomfgijnlcemk"",")</f>
        <v>"eebpioaailbjojmdbmlpomfgijnlcemk",</v>
      </c>
    </row>
    <row r="2563">
      <c r="A2563" s="4" t="s">
        <v>21745</v>
      </c>
      <c r="B2563" s="4" t="s">
        <v>5109</v>
      </c>
      <c r="C2563" s="16" t="str">
        <f>IFERROR(__xludf.DUMMYFUNCTION(""""""""" &amp; REGEXEXTRACT(B2563, ""/detail/([^/?]+)"") &amp; """""","""),"""eednccpckdkpojaiemedoejdngappaag"",")</f>
        <v>"eednccpckdkpojaiemedoejdngappaag",</v>
      </c>
    </row>
    <row r="2564">
      <c r="A2564" s="4" t="s">
        <v>21746</v>
      </c>
      <c r="B2564" s="4" t="s">
        <v>5111</v>
      </c>
      <c r="C2564" s="16" t="str">
        <f>IFERROR(__xludf.DUMMYFUNCTION(""""""""" &amp; REGEXEXTRACT(B2564, ""/detail/([^/?]+)"") &amp; """""","""),"""efjbaneaebkanjmhengnedpllfdiocin"",")</f>
        <v>"efjbaneaebkanjmhengnedpllfdiocin",</v>
      </c>
    </row>
    <row r="2565">
      <c r="A2565" s="4" t="s">
        <v>21747</v>
      </c>
      <c r="B2565" s="4" t="s">
        <v>5113</v>
      </c>
      <c r="C2565" s="16" t="str">
        <f>IFERROR(__xludf.DUMMYFUNCTION(""""""""" &amp; REGEXEXTRACT(B2565, ""/detail/([^/?]+)"") &amp; """""","""),"""efjdfkfpnffgkdgehkenoikpbadfgple"",")</f>
        <v>"efjdfkfpnffgkdgehkenoikpbadfgple",</v>
      </c>
    </row>
    <row r="2566">
      <c r="A2566" s="4" t="s">
        <v>21748</v>
      </c>
      <c r="B2566" s="4" t="s">
        <v>5115</v>
      </c>
      <c r="C2566" s="16" t="str">
        <f>IFERROR(__xludf.DUMMYFUNCTION(""""""""" &amp; REGEXEXTRACT(B2566, ""/detail/([^/?]+)"") &amp; """""","""),"""efmlapiifhopliikdcggdflihnhnadcc"",")</f>
        <v>"efmlapiifhopliikdcggdflihnhnadcc",</v>
      </c>
    </row>
    <row r="2567">
      <c r="A2567" s="4" t="s">
        <v>21749</v>
      </c>
      <c r="B2567" s="4" t="s">
        <v>5117</v>
      </c>
      <c r="C2567" s="16" t="str">
        <f>IFERROR(__xludf.DUMMYFUNCTION(""""""""" &amp; REGEXEXTRACT(B2567, ""/detail/([^/?]+)"") &amp; """""","""),"""egkocgaccgbefacjmdnlfmlmccgacjck"",")</f>
        <v>"egkocgaccgbefacjmdnlfmlmccgacjck",</v>
      </c>
    </row>
    <row r="2568">
      <c r="A2568" s="4" t="s">
        <v>21750</v>
      </c>
      <c r="B2568" s="4" t="s">
        <v>5119</v>
      </c>
      <c r="C2568" s="16" t="str">
        <f>IFERROR(__xludf.DUMMYFUNCTION(""""""""" &amp; REGEXEXTRACT(B2568, ""/detail/([^/?]+)"") &amp; """""","""),"""ehppmcooahfnlfhhcflpkcjmonkoindc"",")</f>
        <v>"ehppmcooahfnlfhhcflpkcjmonkoindc",</v>
      </c>
    </row>
    <row r="2569">
      <c r="A2569" s="4" t="s">
        <v>21751</v>
      </c>
      <c r="B2569" s="4" t="s">
        <v>5121</v>
      </c>
      <c r="C2569" s="16" t="str">
        <f>IFERROR(__xludf.DUMMYFUNCTION(""""""""" &amp; REGEXEXTRACT(B2569, ""/detail/([^/?]+)"") &amp; """""","""),"""eimkcffdakecfnjnkcbefpndphkgmjah"",")</f>
        <v>"eimkcffdakecfnjnkcbefpndphkgmjah",</v>
      </c>
    </row>
    <row r="2570">
      <c r="A2570" s="4" t="s">
        <v>21752</v>
      </c>
      <c r="B2570" s="4" t="s">
        <v>5123</v>
      </c>
      <c r="C2570" s="16" t="str">
        <f>IFERROR(__xludf.DUMMYFUNCTION(""""""""" &amp; REGEXEXTRACT(B2570, ""/detail/([^/?]+)"") &amp; """""","""),"""ekjkdponophncgphllhplkelgpogjgjd"",")</f>
        <v>"ekjkdponophncgphllhplkelgpogjgjd",</v>
      </c>
    </row>
    <row r="2571">
      <c r="A2571" s="4" t="s">
        <v>21753</v>
      </c>
      <c r="B2571" s="4" t="s">
        <v>5125</v>
      </c>
      <c r="C2571" s="16" t="str">
        <f>IFERROR(__xludf.DUMMYFUNCTION(""""""""" &amp; REGEXEXTRACT(B2571, ""/detail/([^/?]+)"") &amp; """""","""),"""elnngfdiiddneiinllplklpadfogajck"",")</f>
        <v>"elnngfdiiddneiinllplklpadfogajck",</v>
      </c>
    </row>
    <row r="2572">
      <c r="A2572" s="4" t="s">
        <v>21754</v>
      </c>
      <c r="B2572" s="4" t="s">
        <v>5127</v>
      </c>
      <c r="C2572" s="16" t="str">
        <f>IFERROR(__xludf.DUMMYFUNCTION(""""""""" &amp; REGEXEXTRACT(B2572, ""/detail/([^/?]+)"") &amp; """""","""),"""eochlhpceohhhfogfeladaifggikcjhk"",")</f>
        <v>"eochlhpceohhhfogfeladaifggikcjhk",</v>
      </c>
    </row>
    <row r="2573">
      <c r="A2573" s="4" t="s">
        <v>21755</v>
      </c>
      <c r="B2573" s="4" t="s">
        <v>5129</v>
      </c>
      <c r="C2573" s="16" t="str">
        <f>IFERROR(__xludf.DUMMYFUNCTION(""""""""" &amp; REGEXEXTRACT(B2573, ""/detail/([^/?]+)"") &amp; """""","""),"""eojlhfcihickhmgmipooaplflklcibkh"",")</f>
        <v>"eojlhfcihickhmgmipooaplflklcibkh",</v>
      </c>
    </row>
    <row r="2574">
      <c r="A2574" s="4" t="s">
        <v>21756</v>
      </c>
      <c r="B2574" s="4" t="s">
        <v>5131</v>
      </c>
      <c r="C2574" s="16" t="str">
        <f>IFERROR(__xludf.DUMMYFUNCTION(""""""""" &amp; REGEXEXTRACT(B2574, ""/detail/([^/?]+)"") &amp; """""","""),"""eomfifclcdpkaghkehajpolkdnkmegfa"",")</f>
        <v>"eomfifclcdpkaghkehajpolkdnkmegfa",</v>
      </c>
    </row>
    <row r="2575">
      <c r="A2575" s="4" t="s">
        <v>21757</v>
      </c>
      <c r="B2575" s="4" t="s">
        <v>5133</v>
      </c>
      <c r="C2575" s="16" t="str">
        <f>IFERROR(__xludf.DUMMYFUNCTION(""""""""" &amp; REGEXEXTRACT(B2575, ""/detail/([^/?]+)"") &amp; """""","""),"""faacfelnnfhdicdmkdeclkeanllppdbm"",")</f>
        <v>"faacfelnnfhdicdmkdeclkeanllppdbm",</v>
      </c>
    </row>
    <row r="2576">
      <c r="A2576" s="4" t="s">
        <v>21758</v>
      </c>
      <c r="B2576" s="4" t="s">
        <v>5135</v>
      </c>
      <c r="C2576" s="16" t="str">
        <f>IFERROR(__xludf.DUMMYFUNCTION(""""""""" &amp; REGEXEXTRACT(B2576, ""/detail/([^/?]+)"") &amp; """""","""),"""fabjlaokbhaoehejcoblhahcekmogbom"",")</f>
        <v>"fabjlaokbhaoehejcoblhahcekmogbom",</v>
      </c>
    </row>
    <row r="2577">
      <c r="A2577" s="4" t="s">
        <v>21759</v>
      </c>
      <c r="B2577" s="4" t="s">
        <v>5137</v>
      </c>
      <c r="C2577" s="16" t="str">
        <f>IFERROR(__xludf.DUMMYFUNCTION(""""""""" &amp; REGEXEXTRACT(B2577, ""/detail/([^/?]+)"") &amp; """""","""),"""faccodjobfpcgkppnoikebhllclepeia"",")</f>
        <v>"faccodjobfpcgkppnoikebhllclepeia",</v>
      </c>
    </row>
    <row r="2578">
      <c r="A2578" s="4" t="s">
        <v>21760</v>
      </c>
      <c r="B2578" s="4" t="s">
        <v>5139</v>
      </c>
      <c r="C2578" s="16" t="str">
        <f>IFERROR(__xludf.DUMMYFUNCTION(""""""""" &amp; REGEXEXTRACT(B2578, ""/detail/([^/?]+)"") &amp; """""","""),"""fanpjcbgdinjeknjikpfnldfpnnpkelb"",")</f>
        <v>"fanpjcbgdinjeknjikpfnldfpnnpkelb",</v>
      </c>
    </row>
    <row r="2579">
      <c r="A2579" s="4" t="s">
        <v>21761</v>
      </c>
      <c r="B2579" s="4" t="s">
        <v>5141</v>
      </c>
      <c r="C2579" s="16" t="str">
        <f>IFERROR(__xludf.DUMMYFUNCTION(""""""""" &amp; REGEXEXTRACT(B2579, ""/detail/([^/?]+)"") &amp; """""","""),"""fbbgchnopppgncdjbckkjehfchncghdf"",")</f>
        <v>"fbbgchnopppgncdjbckkjehfchncghdf",</v>
      </c>
    </row>
    <row r="2580">
      <c r="A2580" s="4" t="s">
        <v>21762</v>
      </c>
      <c r="B2580" s="4" t="s">
        <v>5143</v>
      </c>
      <c r="C2580" s="16" t="str">
        <f>IFERROR(__xludf.DUMMYFUNCTION(""""""""" &amp; REGEXEXTRACT(B2580, ""/detail/([^/?]+)"") &amp; """""","""),"""fbdhepgjnfmdlbfggopmjgnnhmcnghdf"",")</f>
        <v>"fbdhepgjnfmdlbfggopmjgnnhmcnghdf",</v>
      </c>
    </row>
    <row r="2581">
      <c r="A2581" s="4" t="s">
        <v>21763</v>
      </c>
      <c r="B2581" s="4" t="s">
        <v>5145</v>
      </c>
      <c r="C2581" s="16" t="str">
        <f>IFERROR(__xludf.DUMMYFUNCTION(""""""""" &amp; REGEXEXTRACT(B2581, ""/detail/([^/?]+)"") &amp; """""","""),"""fbnhlpaknddgpjajidodjdidnaonmhcl"",")</f>
        <v>"fbnhlpaknddgpjajidodjdidnaonmhcl",</v>
      </c>
    </row>
    <row r="2582">
      <c r="A2582" s="4" t="s">
        <v>21764</v>
      </c>
      <c r="B2582" s="4" t="s">
        <v>5147</v>
      </c>
      <c r="C2582" s="16" t="str">
        <f>IFERROR(__xludf.DUMMYFUNCTION(""""""""" &amp; REGEXEXTRACT(B2582, ""/detail/([^/?]+)"") &amp; """""","""),"""fcnmaiiahjldikaollhjobhchdbhfhgf"",")</f>
        <v>"fcnmaiiahjldikaollhjobhchdbhfhgf",</v>
      </c>
    </row>
    <row r="2583">
      <c r="A2583" s="4" t="s">
        <v>21765</v>
      </c>
      <c r="B2583" s="4" t="s">
        <v>5149</v>
      </c>
      <c r="C2583" s="16" t="str">
        <f>IFERROR(__xludf.DUMMYFUNCTION(""""""""" &amp; REGEXEXTRACT(B2583, ""/detail/([^/?]+)"") &amp; """""","""),"""feikojefkpembojkeegfajbbfecocddd"",")</f>
        <v>"feikojefkpembojkeegfajbbfecocddd",</v>
      </c>
    </row>
    <row r="2584">
      <c r="A2584" s="4" t="s">
        <v>21766</v>
      </c>
      <c r="B2584" s="4" t="s">
        <v>5151</v>
      </c>
      <c r="C2584" s="16" t="str">
        <f>IFERROR(__xludf.DUMMYFUNCTION(""""""""" &amp; REGEXEXTRACT(B2584, ""/detail/([^/?]+)"") &amp; """""","""),"""fhnifebbafonofdnbimiaejahcfifmec"",")</f>
        <v>"fhnifebbafonofdnbimiaejahcfifmec",</v>
      </c>
    </row>
    <row r="2585">
      <c r="A2585" s="4" t="s">
        <v>21767</v>
      </c>
      <c r="B2585" s="4" t="s">
        <v>5153</v>
      </c>
      <c r="C2585" s="16" t="str">
        <f>IFERROR(__xludf.DUMMYFUNCTION(""""""""" &amp; REGEXEXTRACT(B2585, ""/detail/([^/?]+)"") &amp; """""","""),"""fhnkibfmfnbebnhcihmpdbibjgolbifm"",")</f>
        <v>"fhnkibfmfnbebnhcihmpdbibjgolbifm",</v>
      </c>
    </row>
    <row r="2586">
      <c r="A2586" s="4" t="s">
        <v>21768</v>
      </c>
      <c r="B2586" s="4" t="s">
        <v>5155</v>
      </c>
      <c r="C2586" s="16" t="str">
        <f>IFERROR(__xludf.DUMMYFUNCTION(""""""""" &amp; REGEXEXTRACT(B2586, ""/detail/([^/?]+)"") &amp; """""","""),"""fjidjgneljagnakdcijilikbmgoajeln"",")</f>
        <v>"fjidjgneljagnakdcijilikbmgoajeln",</v>
      </c>
    </row>
    <row r="2587">
      <c r="A2587" s="4" t="s">
        <v>21769</v>
      </c>
      <c r="B2587" s="4" t="s">
        <v>5157</v>
      </c>
      <c r="C2587" s="16" t="str">
        <f>IFERROR(__xludf.DUMMYFUNCTION(""""""""" &amp; REGEXEXTRACT(B2587, ""/detail/([^/?]+)"") &amp; """""","""),"""fkgjfjogmipihchhfchdmhblgdpdeagg"",")</f>
        <v>"fkgjfjogmipihchhfchdmhblgdpdeagg",</v>
      </c>
    </row>
    <row r="2588">
      <c r="A2588" s="4" t="s">
        <v>21770</v>
      </c>
      <c r="B2588" s="4" t="s">
        <v>5159</v>
      </c>
      <c r="C2588" s="16" t="str">
        <f>IFERROR(__xludf.DUMMYFUNCTION(""""""""" &amp; REGEXEXTRACT(B2588, ""/detail/([^/?]+)"") &amp; """""","""),"""fkhpeihpgdipchpfmddkfcigllaaiaki"",")</f>
        <v>"fkhpeihpgdipchpfmddkfcigllaaiaki",</v>
      </c>
    </row>
    <row r="2589">
      <c r="A2589" s="4" t="s">
        <v>21771</v>
      </c>
      <c r="B2589" s="4" t="s">
        <v>5161</v>
      </c>
      <c r="C2589" s="16" t="str">
        <f>IFERROR(__xludf.DUMMYFUNCTION(""""""""" &amp; REGEXEXTRACT(B2589, ""/detail/([^/?]+)"") &amp; """""","""),"""fmldiainnnecolalfmbeajgnhgbaekfa"",")</f>
        <v>"fmldiainnnecolalfmbeajgnhgbaekfa",</v>
      </c>
    </row>
    <row r="2590">
      <c r="A2590" s="4" t="s">
        <v>21772</v>
      </c>
      <c r="B2590" s="4" t="s">
        <v>5163</v>
      </c>
      <c r="C2590" s="16" t="str">
        <f>IFERROR(__xludf.DUMMYFUNCTION(""""""""" &amp; REGEXEXTRACT(B2590, ""/detail/([^/?]+)"") &amp; """""","""),"""foeoiieheeibpcncbalmoejmfankigah"",")</f>
        <v>"foeoiieheeibpcncbalmoejmfankigah",</v>
      </c>
    </row>
    <row r="2591">
      <c r="A2591" s="4" t="s">
        <v>21773</v>
      </c>
      <c r="B2591" s="4" t="s">
        <v>5165</v>
      </c>
      <c r="C2591" s="16" t="str">
        <f>IFERROR(__xludf.DUMMYFUNCTION(""""""""" &amp; REGEXEXTRACT(B2591, ""/detail/([^/?]+)"") &amp; """""","""),"""foigpdheanhpdikafahciabdjhaognmo"",")</f>
        <v>"foigpdheanhpdikafahciabdjhaognmo",</v>
      </c>
    </row>
    <row r="2592">
      <c r="A2592" s="4" t="s">
        <v>21774</v>
      </c>
      <c r="B2592" s="4" t="s">
        <v>5167</v>
      </c>
      <c r="C2592" s="16" t="str">
        <f>IFERROR(__xludf.DUMMYFUNCTION(""""""""" &amp; REGEXEXTRACT(B2592, ""/detail/([^/?]+)"") &amp; """""","""),"""fpgjjnkajmmmoohnenpokkacgplhkcbp"",")</f>
        <v>"fpgjjnkajmmmoohnenpokkacgplhkcbp",</v>
      </c>
    </row>
    <row r="2593">
      <c r="A2593" s="4" t="s">
        <v>21775</v>
      </c>
      <c r="B2593" s="4" t="s">
        <v>5169</v>
      </c>
      <c r="C2593" s="16" t="str">
        <f>IFERROR(__xludf.DUMMYFUNCTION(""""""""" &amp; REGEXEXTRACT(B2593, ""/detail/([^/?]+)"") &amp; """""","""),"""gagmhnbbnoealbgkjikehgpglhjbdkgf"",")</f>
        <v>"gagmhnbbnoealbgkjikehgpglhjbdkgf",</v>
      </c>
    </row>
    <row r="2594">
      <c r="A2594" s="4" t="s">
        <v>21776</v>
      </c>
      <c r="B2594" s="4" t="s">
        <v>5171</v>
      </c>
      <c r="C2594" s="16" t="str">
        <f>IFERROR(__xludf.DUMMYFUNCTION(""""""""" &amp; REGEXEXTRACT(B2594, ""/detail/([^/?]+)"") &amp; """""","""),"""gamkimojcjodhglgkmeigpnakpefkkcd"",")</f>
        <v>"gamkimojcjodhglgkmeigpnakpefkkcd",</v>
      </c>
    </row>
    <row r="2595">
      <c r="A2595" s="4" t="s">
        <v>21777</v>
      </c>
      <c r="B2595" s="4" t="s">
        <v>5173</v>
      </c>
      <c r="C2595" s="16" t="str">
        <f>IFERROR(__xludf.DUMMYFUNCTION(""""""""" &amp; REGEXEXTRACT(B2595, ""/detail/([^/?]+)"") &amp; """""","""),"""gbkjjbecehodfeijbdmoieepgmfdlgle"",")</f>
        <v>"gbkjjbecehodfeijbdmoieepgmfdlgle",</v>
      </c>
    </row>
    <row r="2596">
      <c r="A2596" s="4" t="s">
        <v>21778</v>
      </c>
      <c r="B2596" s="4" t="s">
        <v>5175</v>
      </c>
      <c r="C2596" s="16" t="str">
        <f>IFERROR(__xludf.DUMMYFUNCTION(""""""""" &amp; REGEXEXTRACT(B2596, ""/detail/([^/?]+)"") &amp; """""","""),"""gcdaaelgdlicnnichhholnoagafangej"",")</f>
        <v>"gcdaaelgdlicnnichhholnoagafangej",</v>
      </c>
    </row>
    <row r="2597">
      <c r="A2597" s="4" t="s">
        <v>21779</v>
      </c>
      <c r="B2597" s="4" t="s">
        <v>5177</v>
      </c>
      <c r="C2597" s="16" t="str">
        <f>IFERROR(__xludf.DUMMYFUNCTION(""""""""" &amp; REGEXEXTRACT(B2597, ""/detail/([^/?]+)"") &amp; """""","""),"""gcilookdakgpccpbcjgnpaecofklimck"",")</f>
        <v>"gcilookdakgpccpbcjgnpaecofklimck",</v>
      </c>
    </row>
    <row r="2598">
      <c r="A2598" s="4" t="s">
        <v>21780</v>
      </c>
      <c r="B2598" s="4" t="s">
        <v>5179</v>
      </c>
      <c r="C2598" s="16" t="str">
        <f>IFERROR(__xludf.DUMMYFUNCTION(""""""""" &amp; REGEXEXTRACT(B2598, ""/detail/([^/?]+)"") &amp; """""","""),"""gcollagbbfbncnhmgcaedamlogdpelnp"",")</f>
        <v>"gcollagbbfbncnhmgcaedamlogdpelnp",</v>
      </c>
    </row>
    <row r="2599">
      <c r="A2599" s="4" t="s">
        <v>21781</v>
      </c>
      <c r="B2599" s="4" t="s">
        <v>5181</v>
      </c>
      <c r="C2599" s="16" t="str">
        <f>IFERROR(__xludf.DUMMYFUNCTION(""""""""" &amp; REGEXEXTRACT(B2599, ""/detail/([^/?]+)"") &amp; """""","""),"""gdaialcljocaeiioennhhncfklpchflb"",")</f>
        <v>"gdaialcljocaeiioennhhncfklpchflb",</v>
      </c>
    </row>
    <row r="2600">
      <c r="A2600" s="4" t="s">
        <v>21782</v>
      </c>
      <c r="B2600" s="4" t="s">
        <v>5183</v>
      </c>
      <c r="C2600" s="16" t="str">
        <f>IFERROR(__xludf.DUMMYFUNCTION(""""""""" &amp; REGEXEXTRACT(B2600, ""/detail/([^/?]+)"") &amp; """""","""),"""gdekiloeocnfnochnkldpkmllmfiaeke"",")</f>
        <v>"gdekiloeocnfnochnkldpkmllmfiaeke",</v>
      </c>
    </row>
    <row r="2601">
      <c r="A2601" s="4" t="s">
        <v>21783</v>
      </c>
      <c r="B2601" s="4" t="s">
        <v>5185</v>
      </c>
      <c r="C2601" s="16" t="str">
        <f>IFERROR(__xludf.DUMMYFUNCTION(""""""""" &amp; REGEXEXTRACT(B2601, ""/detail/([^/?]+)"") &amp; """""","""),"""gebemkdecnlgbcanplbgdpcffpdnfdfo"",")</f>
        <v>"gebemkdecnlgbcanplbgdpcffpdnfdfo",</v>
      </c>
    </row>
    <row r="2602">
      <c r="A2602" s="4" t="s">
        <v>21784</v>
      </c>
      <c r="B2602" s="4" t="s">
        <v>5187</v>
      </c>
      <c r="C2602" s="16" t="str">
        <f>IFERROR(__xludf.DUMMYFUNCTION(""""""""" &amp; REGEXEXTRACT(B2602, ""/detail/([^/?]+)"") &amp; """""","""),"""ggeaidddejpbakgafapihjbgdlbbbpob"",")</f>
        <v>"ggeaidddejpbakgafapihjbgdlbbbpob",</v>
      </c>
    </row>
    <row r="2603">
      <c r="A2603" s="4" t="s">
        <v>21785</v>
      </c>
      <c r="B2603" s="4" t="s">
        <v>5189</v>
      </c>
      <c r="C2603" s="16" t="str">
        <f>IFERROR(__xludf.DUMMYFUNCTION(""""""""" &amp; REGEXEXTRACT(B2603, ""/detail/([^/?]+)"") &amp; """""","""),"""giflhhbjkgabmgndepijmndnbdlpibpo"",")</f>
        <v>"giflhhbjkgabmgndepijmndnbdlpibpo",</v>
      </c>
    </row>
    <row r="2604">
      <c r="A2604" s="4" t="s">
        <v>21786</v>
      </c>
      <c r="B2604" s="4" t="s">
        <v>5191</v>
      </c>
      <c r="C2604" s="16" t="str">
        <f>IFERROR(__xludf.DUMMYFUNCTION(""""""""" &amp; REGEXEXTRACT(B2604, ""/detail/([^/?]+)"") &amp; """""","""),"""gihkgljdimgfffabkemicpaeljmoobil"",")</f>
        <v>"gihkgljdimgfffabkemicpaeljmoobil",</v>
      </c>
    </row>
    <row r="2605">
      <c r="A2605" s="4" t="s">
        <v>21787</v>
      </c>
      <c r="B2605" s="4" t="s">
        <v>5193</v>
      </c>
      <c r="C2605" s="16" t="str">
        <f>IFERROR(__xludf.DUMMYFUNCTION(""""""""" &amp; REGEXEXTRACT(B2605, ""/detail/([^/?]+)"") &amp; """""","""),"""gjioaolfjcmghlcdkaocopjngkiaaifg"",")</f>
        <v>"gjioaolfjcmghlcdkaocopjngkiaaifg",</v>
      </c>
    </row>
    <row r="2606">
      <c r="A2606" s="4" t="s">
        <v>21788</v>
      </c>
      <c r="B2606" s="4" t="s">
        <v>5195</v>
      </c>
      <c r="C2606" s="16" t="str">
        <f>IFERROR(__xludf.DUMMYFUNCTION(""""""""" &amp; REGEXEXTRACT(B2606, ""/detail/([^/?]+)"") &amp; """""","""),"""gjnjfnghbiibhfppahonjegijjcnhllb"",")</f>
        <v>"gjnjfnghbiibhfppahonjegijjcnhllb",</v>
      </c>
    </row>
    <row r="2607">
      <c r="A2607" s="4" t="s">
        <v>21789</v>
      </c>
      <c r="B2607" s="4" t="s">
        <v>5197</v>
      </c>
      <c r="C2607" s="16" t="str">
        <f>IFERROR(__xludf.DUMMYFUNCTION(""""""""" &amp; REGEXEXTRACT(B2607, ""/detail/([^/?]+)"") &amp; """""","""),"""gldldjjpgpdblaaejdfigckokakanoha"",")</f>
        <v>"gldldjjpgpdblaaejdfigckokakanoha",</v>
      </c>
    </row>
    <row r="2608">
      <c r="A2608" s="4" t="s">
        <v>21790</v>
      </c>
      <c r="B2608" s="4" t="s">
        <v>5199</v>
      </c>
      <c r="C2608" s="16" t="str">
        <f>IFERROR(__xludf.DUMMYFUNCTION(""""""""" &amp; REGEXEXTRACT(B2608, ""/detail/([^/?]+)"") &amp; """""","""),"""gmhmnhjihabohahcllfgjooaoecglhpi"",")</f>
        <v>"gmhmnhjihabohahcllfgjooaoecglhpi",</v>
      </c>
    </row>
    <row r="2609">
      <c r="A2609" s="4" t="s">
        <v>21791</v>
      </c>
      <c r="B2609" s="4" t="s">
        <v>5201</v>
      </c>
      <c r="C2609" s="16" t="str">
        <f>IFERROR(__xludf.DUMMYFUNCTION(""""""""" &amp; REGEXEXTRACT(B2609, ""/detail/([^/?]+)"") &amp; """""","""),"""gmiobjealkacpdmlnanoefnolgndbdje"",")</f>
        <v>"gmiobjealkacpdmlnanoefnolgndbdje",</v>
      </c>
    </row>
    <row r="2610">
      <c r="A2610" s="4" t="s">
        <v>21792</v>
      </c>
      <c r="B2610" s="4" t="s">
        <v>5203</v>
      </c>
      <c r="C2610" s="16" t="str">
        <f>IFERROR(__xludf.DUMMYFUNCTION(""""""""" &amp; REGEXEXTRACT(B2610, ""/detail/([^/?]+)"") &amp; """""","""),"""gohepdenmnoijddphlfdaojicklmpckm"",")</f>
        <v>"gohepdenmnoijddphlfdaojicklmpckm",</v>
      </c>
    </row>
    <row r="2611">
      <c r="A2611" s="4" t="s">
        <v>21793</v>
      </c>
      <c r="B2611" s="4" t="s">
        <v>5205</v>
      </c>
      <c r="C2611" s="16" t="str">
        <f>IFERROR(__xludf.DUMMYFUNCTION(""""""""" &amp; REGEXEXTRACT(B2611, ""/detail/([^/?]+)"") &amp; """""","""),"""gonilfkffkiginkddoiaijmoadjifpoa"",")</f>
        <v>"gonilfkffkiginkddoiaijmoadjifpoa",</v>
      </c>
    </row>
    <row r="2612">
      <c r="A2612" s="4" t="s">
        <v>21794</v>
      </c>
      <c r="B2612" s="4" t="s">
        <v>5207</v>
      </c>
      <c r="C2612" s="16" t="str">
        <f>IFERROR(__xludf.DUMMYFUNCTION(""""""""" &amp; REGEXEXTRACT(B2612, ""/detail/([^/?]+)"") &amp; """""","""),"""gpmacnieleppnogafmljbelfpkklagbi"",")</f>
        <v>"gpmacnieleppnogafmljbelfpkklagbi",</v>
      </c>
    </row>
    <row r="2613">
      <c r="A2613" s="4" t="s">
        <v>21795</v>
      </c>
      <c r="B2613" s="4" t="s">
        <v>5209</v>
      </c>
      <c r="C2613" s="16" t="str">
        <f>IFERROR(__xludf.DUMMYFUNCTION(""""""""" &amp; REGEXEXTRACT(B2613, ""/detail/([^/?]+)"") &amp; """""","""),"""gpnikbcifngfgfcgcgfahidojdpklfia"",")</f>
        <v>"gpnikbcifngfgfcgcgfahidojdpklfia",</v>
      </c>
    </row>
    <row r="2614">
      <c r="A2614" s="4" t="s">
        <v>21796</v>
      </c>
      <c r="B2614" s="4" t="s">
        <v>5211</v>
      </c>
      <c r="C2614" s="16" t="str">
        <f>IFERROR(__xludf.DUMMYFUNCTION(""""""""" &amp; REGEXEXTRACT(B2614, ""/detail/([^/?]+)"") &amp; """""","""),"""hackfjdbiccajlckgjnkejepipjjbepm"",")</f>
        <v>"hackfjdbiccajlckgjnkejepipjjbepm",</v>
      </c>
    </row>
    <row r="2615">
      <c r="A2615" s="4" t="s">
        <v>21797</v>
      </c>
      <c r="B2615" s="4" t="s">
        <v>5213</v>
      </c>
      <c r="C2615" s="16" t="str">
        <f>IFERROR(__xludf.DUMMYFUNCTION(""""""""" &amp; REGEXEXTRACT(B2615, ""/detail/([^/?]+)"") &amp; """""","""),"""hahklcmnfgffdlchjigehabfbiigleji"",")</f>
        <v>"hahklcmnfgffdlchjigehabfbiigleji",</v>
      </c>
    </row>
    <row r="2616">
      <c r="A2616" s="4" t="s">
        <v>21798</v>
      </c>
      <c r="B2616" s="4" t="s">
        <v>5215</v>
      </c>
      <c r="C2616" s="16" t="str">
        <f>IFERROR(__xludf.DUMMYFUNCTION(""""""""" &amp; REGEXEXTRACT(B2616, ""/detail/([^/?]+)"") &amp; """""","""),"""haidhlbpihfihbjcggmffnmhgiddjcoc"",")</f>
        <v>"haidhlbpihfihbjcggmffnmhgiddjcoc",</v>
      </c>
    </row>
    <row r="2617">
      <c r="A2617" s="4" t="s">
        <v>21799</v>
      </c>
      <c r="B2617" s="4" t="s">
        <v>5217</v>
      </c>
      <c r="C2617" s="16" t="str">
        <f>IFERROR(__xludf.DUMMYFUNCTION(""""""""" &amp; REGEXEXTRACT(B2617, ""/detail/([^/?]+)"") &amp; """""","""),"""hbdlidnbnmkmbeompcakgedghogdbbkf"",")</f>
        <v>"hbdlidnbnmkmbeompcakgedghogdbbkf",</v>
      </c>
    </row>
    <row r="2618">
      <c r="A2618" s="4" t="s">
        <v>21800</v>
      </c>
      <c r="B2618" s="4" t="s">
        <v>5219</v>
      </c>
      <c r="C2618" s="16" t="str">
        <f>IFERROR(__xludf.DUMMYFUNCTION(""""""""" &amp; REGEXEXTRACT(B2618, ""/detail/([^/?]+)"") &amp; """""","""),"""hbhkfnpodhdcaophahpkiflechaoddoi"",")</f>
        <v>"hbhkfnpodhdcaophahpkiflechaoddoi",</v>
      </c>
    </row>
    <row r="2619">
      <c r="A2619" s="4" t="s">
        <v>21801</v>
      </c>
      <c r="B2619" s="4" t="s">
        <v>5221</v>
      </c>
      <c r="C2619" s="16" t="str">
        <f>IFERROR(__xludf.DUMMYFUNCTION(""""""""" &amp; REGEXEXTRACT(B2619, ""/detail/([^/?]+)"") &amp; """""","""),"""hcdeoflfbkpmebldjfkemfhjomgjipgn"",")</f>
        <v>"hcdeoflfbkpmebldjfkemfhjomgjipgn",</v>
      </c>
    </row>
    <row r="2620">
      <c r="A2620" s="4" t="s">
        <v>21802</v>
      </c>
      <c r="B2620" s="4" t="s">
        <v>5223</v>
      </c>
      <c r="C2620" s="16" t="str">
        <f>IFERROR(__xludf.DUMMYFUNCTION(""""""""" &amp; REGEXEXTRACT(B2620, ""/detail/([^/?]+)"") &amp; """""","""),"""hcdihnnnfbdeinkamogggghnmcfaebca"",")</f>
        <v>"hcdihnnnfbdeinkamogggghnmcfaebca",</v>
      </c>
    </row>
    <row r="2621">
      <c r="A2621" s="4" t="s">
        <v>21803</v>
      </c>
      <c r="B2621" s="4" t="s">
        <v>5224</v>
      </c>
      <c r="C2621" s="16" t="str">
        <f>IFERROR(__xludf.DUMMYFUNCTION(""""""""" &amp; REGEXEXTRACT(B2621, ""/detail/([^/?]+)"") &amp; """""","""),"""hcglieiegpckeibpgbiikpbmaofgcpaa"",")</f>
        <v>"hcglieiegpckeibpgbiikpbmaofgcpaa",</v>
      </c>
    </row>
    <row r="2622">
      <c r="A2622" s="4" t="s">
        <v>21804</v>
      </c>
      <c r="B2622" s="4" t="s">
        <v>5226</v>
      </c>
      <c r="C2622" s="16" t="str">
        <f>IFERROR(__xludf.DUMMYFUNCTION(""""""""" &amp; REGEXEXTRACT(B2622, ""/detail/([^/?]+)"") &amp; """""","""),"""hdeoafjegchjkmadbbjlbhiooliinkja"",")</f>
        <v>"hdeoafjegchjkmadbbjlbhiooliinkja",</v>
      </c>
    </row>
    <row r="2623">
      <c r="A2623" s="4" t="s">
        <v>21805</v>
      </c>
      <c r="B2623" s="4" t="s">
        <v>5228</v>
      </c>
      <c r="C2623" s="16" t="str">
        <f>IFERROR(__xludf.DUMMYFUNCTION(""""""""" &amp; REGEXEXTRACT(B2623, ""/detail/([^/?]+)"") &amp; """""","""),"""hdjopnnholiccdbmnbkdkhekajephmml"",")</f>
        <v>"hdjopnnholiccdbmnbkdkhekajephmml",</v>
      </c>
    </row>
    <row r="2624">
      <c r="A2624" s="4" t="s">
        <v>21806</v>
      </c>
      <c r="B2624" s="4" t="s">
        <v>5230</v>
      </c>
      <c r="C2624" s="16" t="str">
        <f>IFERROR(__xludf.DUMMYFUNCTION(""""""""" &amp; REGEXEXTRACT(B2624, ""/detail/([^/?]+)"") &amp; """""","""),"""heaefblpkhamkcnaihalcmdjiokdgnei"",")</f>
        <v>"heaefblpkhamkcnaihalcmdjiokdgnei",</v>
      </c>
    </row>
    <row r="2625">
      <c r="A2625" s="4" t="s">
        <v>21807</v>
      </c>
      <c r="B2625" s="4" t="s">
        <v>5232</v>
      </c>
      <c r="C2625" s="16" t="str">
        <f>IFERROR(__xludf.DUMMYFUNCTION(""""""""" &amp; REGEXEXTRACT(B2625, ""/detail/([^/?]+)"") &amp; """""","""),"""hfdilejbabibpfcgmpeflocbnkeckdfn"",")</f>
        <v>"hfdilejbabibpfcgmpeflocbnkeckdfn",</v>
      </c>
    </row>
    <row r="2626">
      <c r="A2626" s="4" t="s">
        <v>21808</v>
      </c>
      <c r="B2626" s="4" t="s">
        <v>5234</v>
      </c>
      <c r="C2626" s="16" t="str">
        <f>IFERROR(__xludf.DUMMYFUNCTION(""""""""" &amp; REGEXEXTRACT(B2626, ""/detail/([^/?]+)"") &amp; """""","""),"""hfhlngbcdalpjiejaenfchpcajdmpeom"",")</f>
        <v>"hfhlngbcdalpjiejaenfchpcajdmpeom",</v>
      </c>
    </row>
    <row r="2627">
      <c r="A2627" s="4" t="s">
        <v>21809</v>
      </c>
      <c r="B2627" s="4" t="s">
        <v>5236</v>
      </c>
      <c r="C2627" s="16" t="str">
        <f>IFERROR(__xludf.DUMMYFUNCTION(""""""""" &amp; REGEXEXTRACT(B2627, ""/detail/([^/?]+)"") &amp; """""","""),"""hhbonmijejindhnfgcdggfdbklphhloj"",")</f>
        <v>"hhbonmijejindhnfgcdggfdbklphhloj",</v>
      </c>
    </row>
    <row r="2628">
      <c r="A2628" s="4" t="s">
        <v>21810</v>
      </c>
      <c r="B2628" s="4" t="s">
        <v>5238</v>
      </c>
      <c r="C2628" s="16" t="str">
        <f>IFERROR(__xludf.DUMMYFUNCTION(""""""""" &amp; REGEXEXTRACT(B2628, ""/detail/([^/?]+)"") &amp; """""","""),"""hhdpibondcndkgpoobpnndbbelpidhpk"",")</f>
        <v>"hhdpibondcndkgpoobpnndbbelpidhpk",</v>
      </c>
    </row>
    <row r="2629">
      <c r="A2629" s="4" t="s">
        <v>21811</v>
      </c>
      <c r="B2629" s="4" t="s">
        <v>5240</v>
      </c>
      <c r="C2629" s="16" t="str">
        <f>IFERROR(__xludf.DUMMYFUNCTION(""""""""" &amp; REGEXEXTRACT(B2629, ""/detail/([^/?]+)"") &amp; """""","""),"""hhhfnanaabgcafkmlplbifbhknnbmidl"",")</f>
        <v>"hhhfnanaabgcafkmlplbifbhknnbmidl",</v>
      </c>
    </row>
    <row r="2630">
      <c r="A2630" s="4" t="s">
        <v>21812</v>
      </c>
      <c r="B2630" s="4" t="s">
        <v>5242</v>
      </c>
      <c r="C2630" s="16" t="str">
        <f>IFERROR(__xludf.DUMMYFUNCTION(""""""""" &amp; REGEXEXTRACT(B2630, ""/detail/([^/?]+)"") &amp; """""","""),"""hilgambgdpjgljhjdaccadahckpdiapo"",")</f>
        <v>"hilgambgdpjgljhjdaccadahckpdiapo",</v>
      </c>
    </row>
    <row r="2631">
      <c r="A2631" s="4" t="s">
        <v>21813</v>
      </c>
      <c r="B2631" s="4" t="s">
        <v>5244</v>
      </c>
      <c r="C2631" s="16" t="str">
        <f>IFERROR(__xludf.DUMMYFUNCTION(""""""""" &amp; REGEXEXTRACT(B2631, ""/detail/([^/?]+)"") &amp; """""","""),"""himmciocmhnindiepdhcfhikjhpgabfa"",")</f>
        <v>"himmciocmhnindiepdhcfhikjhpgabfa",</v>
      </c>
    </row>
    <row r="2632">
      <c r="A2632" s="4" t="s">
        <v>21814</v>
      </c>
      <c r="B2632" s="4" t="s">
        <v>5246</v>
      </c>
      <c r="C2632" s="16" t="str">
        <f>IFERROR(__xludf.DUMMYFUNCTION(""""""""" &amp; REGEXEXTRACT(B2632, ""/detail/([^/?]+)"") &amp; """""","""),"""hjgbehhikdpmpglfjiknhjffnlfnphbo"",")</f>
        <v>"hjgbehhikdpmpglfjiknhjffnlfnphbo",</v>
      </c>
    </row>
    <row r="2633">
      <c r="A2633" s="4" t="s">
        <v>21815</v>
      </c>
      <c r="B2633" s="4" t="s">
        <v>5248</v>
      </c>
      <c r="C2633" s="16" t="str">
        <f>IFERROR(__xludf.DUMMYFUNCTION(""""""""" &amp; REGEXEXTRACT(B2633, ""/detail/([^/?]+)"") &amp; """""","""),"""hjjngolnpaaikemddabgdaobickpknco"",")</f>
        <v>"hjjngolnpaaikemddabgdaobickpknco",</v>
      </c>
    </row>
    <row r="2634">
      <c r="A2634" s="4" t="s">
        <v>21816</v>
      </c>
      <c r="B2634" s="4" t="s">
        <v>5250</v>
      </c>
      <c r="C2634" s="16" t="str">
        <f>IFERROR(__xludf.DUMMYFUNCTION(""""""""" &amp; REGEXEXTRACT(B2634, ""/detail/([^/?]+)"") &amp; """""","""),"""hlbcdnfdlghcdgkhgbiboicdcpddjnnb"",")</f>
        <v>"hlbcdnfdlghcdgkhgbiboicdcpddjnnb",</v>
      </c>
    </row>
    <row r="2635">
      <c r="A2635" s="4" t="s">
        <v>21817</v>
      </c>
      <c r="B2635" s="4" t="s">
        <v>5252</v>
      </c>
      <c r="C2635" s="16" t="str">
        <f>IFERROR(__xludf.DUMMYFUNCTION(""""""""" &amp; REGEXEXTRACT(B2635, ""/detail/([^/?]+)"") &amp; """""","""),"""hllbomlnkhcgejgcjaidcodpnkefhjcg"",")</f>
        <v>"hllbomlnkhcgejgcjaidcodpnkefhjcg",</v>
      </c>
    </row>
    <row r="2636">
      <c r="A2636" s="4" t="s">
        <v>21818</v>
      </c>
      <c r="B2636" s="4" t="s">
        <v>5254</v>
      </c>
      <c r="C2636" s="16" t="str">
        <f>IFERROR(__xludf.DUMMYFUNCTION(""""""""" &amp; REGEXEXTRACT(B2636, ""/detail/([^/?]+)"") &amp; """""","""),"""hnfdibcbmlppjlkefinedeffoiomlecc"",")</f>
        <v>"hnfdibcbmlppjlkefinedeffoiomlecc",</v>
      </c>
    </row>
    <row r="2637">
      <c r="A2637" s="4" t="s">
        <v>21819</v>
      </c>
      <c r="B2637" s="4" t="s">
        <v>5256</v>
      </c>
      <c r="C2637" s="16" t="str">
        <f>IFERROR(__xludf.DUMMYFUNCTION(""""""""" &amp; REGEXEXTRACT(B2637, ""/detail/([^/?]+)"") &amp; """""","""),"""hofkoiddldajhihgjbckeffpodeoockc"",")</f>
        <v>"hofkoiddldajhihgjbckeffpodeoockc",</v>
      </c>
    </row>
    <row r="2638">
      <c r="A2638" s="4" t="s">
        <v>21820</v>
      </c>
      <c r="B2638" s="4" t="s">
        <v>5258</v>
      </c>
      <c r="C2638" s="16" t="str">
        <f>IFERROR(__xludf.DUMMYFUNCTION(""""""""" &amp; REGEXEXTRACT(B2638, ""/detail/([^/?]+)"") &amp; """""","""),"""hpaajmgfhgakaamoopdhieneihpmeapm"",")</f>
        <v>"hpaajmgfhgakaamoopdhieneihpmeapm",</v>
      </c>
    </row>
    <row r="2639">
      <c r="A2639" s="4" t="s">
        <v>21821</v>
      </c>
      <c r="B2639" s="4" t="s">
        <v>5260</v>
      </c>
      <c r="C2639" s="16" t="str">
        <f>IFERROR(__xludf.DUMMYFUNCTION(""""""""" &amp; REGEXEXTRACT(B2639, ""/detail/([^/?]+)"") &amp; """""","""),"""hpogobkggapdhmfnamfnhmchcbmehokb"",")</f>
        <v>"hpogobkggapdhmfnamfnhmchcbmehokb",</v>
      </c>
    </row>
    <row r="2640">
      <c r="A2640" s="4" t="s">
        <v>21822</v>
      </c>
      <c r="B2640" s="4" t="s">
        <v>5262</v>
      </c>
      <c r="C2640" s="16" t="str">
        <f>IFERROR(__xludf.DUMMYFUNCTION(""""""""" &amp; REGEXEXTRACT(B2640, ""/detail/([^/?]+)"") &amp; """""","""),"""iakogcgjbbfakakbpmlocfgabpdhboja"",")</f>
        <v>"iakogcgjbbfakakbpmlocfgabpdhboja",</v>
      </c>
    </row>
    <row r="2641">
      <c r="A2641" s="4" t="s">
        <v>21823</v>
      </c>
      <c r="B2641" s="4" t="s">
        <v>5264</v>
      </c>
      <c r="C2641" s="16" t="str">
        <f>IFERROR(__xludf.DUMMYFUNCTION(""""""""" &amp; REGEXEXTRACT(B2641, ""/detail/([^/?]+)"") &amp; """""","""),"""ibpfkplbhnbiklpjacjbaelahebmbmpp"",")</f>
        <v>"ibpfkplbhnbiklpjacjbaelahebmbmpp",</v>
      </c>
    </row>
    <row r="2642">
      <c r="A2642" s="4" t="s">
        <v>21824</v>
      </c>
      <c r="B2642" s="4" t="s">
        <v>5266</v>
      </c>
      <c r="C2642" s="16" t="str">
        <f>IFERROR(__xludf.DUMMYFUNCTION(""""""""" &amp; REGEXEXTRACT(B2642, ""/detail/([^/?]+)"") &amp; """""","""),"""ibpocciholggdbggengnomeikgkibmah"",")</f>
        <v>"ibpocciholggdbggengnomeikgkibmah",</v>
      </c>
    </row>
    <row r="2643">
      <c r="A2643" s="4" t="s">
        <v>21825</v>
      </c>
      <c r="B2643" s="4" t="s">
        <v>5268</v>
      </c>
      <c r="C2643" s="16" t="str">
        <f>IFERROR(__xludf.DUMMYFUNCTION(""""""""" &amp; REGEXEXTRACT(B2643, ""/detail/([^/?]+)"") &amp; """""","""),"""icgnedmflkjdghcdbglhfcjjphibffpo"",")</f>
        <v>"icgnedmflkjdghcdbglhfcjjphibffpo",</v>
      </c>
    </row>
    <row r="2644">
      <c r="A2644" s="4" t="s">
        <v>21826</v>
      </c>
      <c r="B2644" s="4" t="s">
        <v>5270</v>
      </c>
      <c r="C2644" s="16" t="str">
        <f>IFERROR(__xludf.DUMMYFUNCTION(""""""""" &amp; REGEXEXTRACT(B2644, ""/detail/([^/?]+)"") &amp; """""","""),"""icjgknkfhpgnpjmhchbjacifboahiajj"",")</f>
        <v>"icjgknkfhpgnpjmhchbjacifboahiajj",</v>
      </c>
    </row>
    <row r="2645">
      <c r="A2645" s="4" t="s">
        <v>21827</v>
      </c>
      <c r="B2645" s="4" t="s">
        <v>5272</v>
      </c>
      <c r="C2645" s="16" t="str">
        <f>IFERROR(__xludf.DUMMYFUNCTION(""""""""" &amp; REGEXEXTRACT(B2645, ""/detail/([^/?]+)"") &amp; """""","""),"""idcnhbaefagbglkinhliaelonppplneh"",")</f>
        <v>"idcnhbaefagbglkinhliaelonppplneh",</v>
      </c>
    </row>
    <row r="2646">
      <c r="A2646" s="4" t="s">
        <v>21828</v>
      </c>
      <c r="B2646" s="4" t="s">
        <v>5274</v>
      </c>
      <c r="C2646" s="16" t="str">
        <f>IFERROR(__xludf.DUMMYFUNCTION(""""""""" &amp; REGEXEXTRACT(B2646, ""/detail/([^/?]+)"") &amp; """""","""),"""ifeladbcpppilicpddbbmnfbgemaeeai"",")</f>
        <v>"ifeladbcpppilicpddbbmnfbgemaeeai",</v>
      </c>
    </row>
    <row r="2647">
      <c r="A2647" s="4" t="s">
        <v>21829</v>
      </c>
      <c r="B2647" s="4" t="s">
        <v>5276</v>
      </c>
      <c r="C2647" s="16" t="str">
        <f>IFERROR(__xludf.DUMMYFUNCTION(""""""""" &amp; REGEXEXTRACT(B2647, ""/detail/([^/?]+)"") &amp; """""","""),"""ifgnnjhhfdpjpjokajkolhioakajhidc"",")</f>
        <v>"ifgnnjhhfdpjpjokajkolhioakajhidc",</v>
      </c>
    </row>
    <row r="2648">
      <c r="A2648" s="4" t="s">
        <v>21830</v>
      </c>
      <c r="B2648" s="4" t="s">
        <v>5278</v>
      </c>
      <c r="C2648" s="16" t="str">
        <f>IFERROR(__xludf.DUMMYFUNCTION(""""""""" &amp; REGEXEXTRACT(B2648, ""/detail/([^/?]+)"") &amp; """""","""),"""ijnffcpmmpapfapajdkajkdegnghgeci"",")</f>
        <v>"ijnffcpmmpapfapajdkajkdegnghgeci",</v>
      </c>
    </row>
    <row r="2649">
      <c r="A2649" s="4" t="s">
        <v>21831</v>
      </c>
      <c r="B2649" s="4" t="s">
        <v>5280</v>
      </c>
      <c r="C2649" s="16" t="str">
        <f>IFERROR(__xludf.DUMMYFUNCTION(""""""""" &amp; REGEXEXTRACT(B2649, ""/detail/([^/?]+)"") &amp; """""","""),"""ijpiffheldgmdkbaohoilabdnmeinand"",")</f>
        <v>"ijpiffheldgmdkbaohoilabdnmeinand",</v>
      </c>
    </row>
    <row r="2650">
      <c r="A2650" s="4" t="s">
        <v>21832</v>
      </c>
      <c r="B2650" s="4" t="s">
        <v>5282</v>
      </c>
      <c r="C2650" s="16" t="str">
        <f>IFERROR(__xludf.DUMMYFUNCTION(""""""""" &amp; REGEXEXTRACT(B2650, ""/detail/([^/?]+)"") &amp; """""","""),"""ilcnkabiejjaijmenfmfobnkplflaglb"",")</f>
        <v>"ilcnkabiejjaijmenfmfobnkplflaglb",</v>
      </c>
    </row>
    <row r="2651">
      <c r="A2651" s="4" t="s">
        <v>21833</v>
      </c>
      <c r="B2651" s="4" t="s">
        <v>5284</v>
      </c>
      <c r="C2651" s="16" t="str">
        <f>IFERROR(__xludf.DUMMYFUNCTION(""""""""" &amp; REGEXEXTRACT(B2651, ""/detail/([^/?]+)"") &amp; """""","""),"""ilfodmgfnklehinlndjdjbmhndkhiand"",")</f>
        <v>"ilfodmgfnklehinlndjdjbmhndkhiand",</v>
      </c>
    </row>
    <row r="2652">
      <c r="A2652" s="4" t="s">
        <v>21834</v>
      </c>
      <c r="B2652" s="4" t="s">
        <v>5286</v>
      </c>
      <c r="C2652" s="16" t="str">
        <f>IFERROR(__xludf.DUMMYFUNCTION(""""""""" &amp; REGEXEXTRACT(B2652, ""/detail/([^/?]+)"") &amp; """""","""),"""ilhbdihflmdkeaalnjjbiclonlodghkm"",")</f>
        <v>"ilhbdihflmdkeaalnjjbiclonlodghkm",</v>
      </c>
    </row>
    <row r="2653">
      <c r="A2653" s="4" t="s">
        <v>21835</v>
      </c>
      <c r="B2653" s="4" t="s">
        <v>5288</v>
      </c>
      <c r="C2653" s="16" t="str">
        <f>IFERROR(__xludf.DUMMYFUNCTION(""""""""" &amp; REGEXEXTRACT(B2653, ""/detail/([^/?]+)"") &amp; """""","""),"""imohnlganmafcmidafklgkgfgaagiohn"",")</f>
        <v>"imohnlganmafcmidafklgkgfgaagiohn",</v>
      </c>
    </row>
    <row r="2654">
      <c r="A2654" s="4" t="s">
        <v>21836</v>
      </c>
      <c r="B2654" s="4" t="s">
        <v>5290</v>
      </c>
      <c r="C2654" s="16" t="str">
        <f>IFERROR(__xludf.DUMMYFUNCTION(""""""""" &amp; REGEXEXTRACT(B2654, ""/detail/([^/?]+)"") &amp; """""","""),"""ioomnmgjblnnolpdgdhebainmfbipjoh"",")</f>
        <v>"ioomnmgjblnnolpdgdhebainmfbipjoh",</v>
      </c>
    </row>
    <row r="2655">
      <c r="A2655" s="4" t="s">
        <v>21837</v>
      </c>
      <c r="B2655" s="4" t="s">
        <v>5292</v>
      </c>
      <c r="C2655" s="16" t="str">
        <f>IFERROR(__xludf.DUMMYFUNCTION(""""""""" &amp; REGEXEXTRACT(B2655, ""/detail/([^/?]+)"") &amp; """""","""),"""janmcneaglgklfljjcpihkkomeghljnf"",")</f>
        <v>"janmcneaglgklfljjcpihkkomeghljnf",</v>
      </c>
    </row>
    <row r="2656">
      <c r="A2656" s="4" t="s">
        <v>21838</v>
      </c>
      <c r="B2656" s="4" t="s">
        <v>5294</v>
      </c>
      <c r="C2656" s="16" t="str">
        <f>IFERROR(__xludf.DUMMYFUNCTION(""""""""" &amp; REGEXEXTRACT(B2656, ""/detail/([^/?]+)"") &amp; """""","""),"""jdicfniianljldbajoghhnilmnghgmno"",")</f>
        <v>"jdicfniianljldbajoghhnilmnghgmno",</v>
      </c>
    </row>
    <row r="2657">
      <c r="A2657" s="4" t="s">
        <v>21839</v>
      </c>
      <c r="B2657" s="4" t="s">
        <v>5296</v>
      </c>
      <c r="C2657" s="16" t="str">
        <f>IFERROR(__xludf.DUMMYFUNCTION(""""""""" &amp; REGEXEXTRACT(B2657, ""/detail/([^/?]+)"") &amp; """""","""),"""jgapgnoonjgchibeajphaejhabcnklbn"",")</f>
        <v>"jgapgnoonjgchibeajphaejhabcnklbn",</v>
      </c>
    </row>
    <row r="2658">
      <c r="A2658" s="4" t="s">
        <v>21840</v>
      </c>
      <c r="B2658" s="4" t="s">
        <v>5298</v>
      </c>
      <c r="C2658" s="16" t="str">
        <f>IFERROR(__xludf.DUMMYFUNCTION(""""""""" &amp; REGEXEXTRACT(B2658, ""/detail/([^/?]+)"") &amp; """""","""),"""jggibfiodonlmkjbmlooehabjldddbgn"",")</f>
        <v>"jggibfiodonlmkjbmlooehabjldddbgn",</v>
      </c>
    </row>
    <row r="2659">
      <c r="A2659" s="4" t="s">
        <v>21841</v>
      </c>
      <c r="B2659" s="4" t="s">
        <v>5300</v>
      </c>
      <c r="C2659" s="16" t="str">
        <f>IFERROR(__xludf.DUMMYFUNCTION(""""""""" &amp; REGEXEXTRACT(B2659, ""/detail/([^/?]+)"") &amp; """""","""),"""jglfkmlldmnmbgcokbaefbgcpjifhogo"",")</f>
        <v>"jglfkmlldmnmbgcokbaefbgcpjifhogo",</v>
      </c>
    </row>
    <row r="2660">
      <c r="A2660" s="4" t="s">
        <v>21842</v>
      </c>
      <c r="B2660" s="4" t="s">
        <v>5302</v>
      </c>
      <c r="C2660" s="16" t="str">
        <f>IFERROR(__xludf.DUMMYFUNCTION(""""""""" &amp; REGEXEXTRACT(B2660, ""/detail/([^/?]+)"") &amp; """""","""),"""jhfkidfnhjcjjamcbdepeohblphlamgk"",")</f>
        <v>"jhfkidfnhjcjjamcbdepeohblphlamgk",</v>
      </c>
    </row>
    <row r="2661">
      <c r="A2661" s="4" t="s">
        <v>21843</v>
      </c>
      <c r="B2661" s="4" t="s">
        <v>5304</v>
      </c>
      <c r="C2661" s="16" t="str">
        <f>IFERROR(__xludf.DUMMYFUNCTION(""""""""" &amp; REGEXEXTRACT(B2661, ""/detail/([^/?]+)"") &amp; """""","""),"""jjcbbdnfiapchhkemifphepfgilhdokf"",")</f>
        <v>"jjcbbdnfiapchhkemifphepfgilhdokf",</v>
      </c>
    </row>
    <row r="2662">
      <c r="A2662" s="4" t="s">
        <v>21844</v>
      </c>
      <c r="B2662" s="4" t="s">
        <v>5306</v>
      </c>
      <c r="C2662" s="16" t="str">
        <f>IFERROR(__xludf.DUMMYFUNCTION(""""""""" &amp; REGEXEXTRACT(B2662, ""/detail/([^/?]+)"") &amp; """""","""),"""jkaedhaeddmnmeaogfnbgmmmhlbiljme"",")</f>
        <v>"jkaedhaeddmnmeaogfnbgmmmhlbiljme",</v>
      </c>
    </row>
    <row r="2663">
      <c r="A2663" s="4" t="s">
        <v>21845</v>
      </c>
      <c r="B2663" s="4" t="s">
        <v>5308</v>
      </c>
      <c r="C2663" s="16" t="str">
        <f>IFERROR(__xludf.DUMMYFUNCTION(""""""""" &amp; REGEXEXTRACT(B2663, ""/detail/([^/?]+)"") &amp; """""","""),"""jkmajpplbomebfegjjagbeoblheeehld"",")</f>
        <v>"jkmajpplbomebfegjjagbeoblheeehld",</v>
      </c>
    </row>
    <row r="2664">
      <c r="A2664" s="4" t="s">
        <v>21846</v>
      </c>
      <c r="B2664" s="4" t="s">
        <v>5310</v>
      </c>
      <c r="C2664" s="16" t="str">
        <f>IFERROR(__xludf.DUMMYFUNCTION(""""""""" &amp; REGEXEXTRACT(B2664, ""/detail/([^/?]+)"") &amp; """""","""),"""jmlaohefegdedjnmgpedcoococlpdida"",")</f>
        <v>"jmlaohefegdedjnmgpedcoococlpdida",</v>
      </c>
    </row>
    <row r="2665">
      <c r="A2665" s="4" t="s">
        <v>21847</v>
      </c>
      <c r="B2665" s="4" t="s">
        <v>5312</v>
      </c>
      <c r="C2665" s="16" t="str">
        <f>IFERROR(__xludf.DUMMYFUNCTION(""""""""" &amp; REGEXEXTRACT(B2665, ""/detail/([^/?]+)"") &amp; """""","""),"""jnfofbopfpaoeojgieggflbpcblhfhka"",")</f>
        <v>"jnfofbopfpaoeojgieggflbpcblhfhka",</v>
      </c>
    </row>
    <row r="2666">
      <c r="A2666" s="4" t="s">
        <v>21848</v>
      </c>
      <c r="B2666" s="4" t="s">
        <v>5314</v>
      </c>
      <c r="C2666" s="16" t="str">
        <f>IFERROR(__xludf.DUMMYFUNCTION(""""""""" &amp; REGEXEXTRACT(B2666, ""/detail/([^/?]+)"") &amp; """""","""),"""jnhibbjmekoijdjaopflcjbjieamifhh"",")</f>
        <v>"jnhibbjmekoijdjaopflcjbjieamifhh",</v>
      </c>
    </row>
    <row r="2667">
      <c r="A2667" s="4" t="s">
        <v>21849</v>
      </c>
      <c r="B2667" s="4" t="s">
        <v>5316</v>
      </c>
      <c r="C2667" s="16" t="str">
        <f>IFERROR(__xludf.DUMMYFUNCTION(""""""""" &amp; REGEXEXTRACT(B2667, ""/detail/([^/?]+)"") &amp; """""","""),"""jolcefamincmnepgphdiojccmfaflane"",")</f>
        <v>"jolcefamincmnepgphdiojccmfaflane",</v>
      </c>
    </row>
    <row r="2668">
      <c r="A2668" s="4" t="s">
        <v>21850</v>
      </c>
      <c r="B2668" s="4" t="s">
        <v>5318</v>
      </c>
      <c r="C2668" s="16" t="str">
        <f>IFERROR(__xludf.DUMMYFUNCTION(""""""""" &amp; REGEXEXTRACT(B2668, ""/detail/([^/?]+)"") &amp; """""","""),"""jpaiaplhepeiilhiegfnknedhjepknng"",")</f>
        <v>"jpaiaplhepeiilhiegfnknedhjepknng",</v>
      </c>
    </row>
    <row r="2669">
      <c r="A2669" s="4" t="s">
        <v>21851</v>
      </c>
      <c r="B2669" s="4" t="s">
        <v>5320</v>
      </c>
      <c r="C2669" s="16" t="str">
        <f>IFERROR(__xludf.DUMMYFUNCTION(""""""""" &amp; REGEXEXTRACT(B2669, ""/detail/([^/?]+)"") &amp; """""","""),"""kacblojlkodlpoiknfljhamkegibpgfi"",")</f>
        <v>"kacblojlkodlpoiknfljhamkegibpgfi",</v>
      </c>
    </row>
    <row r="2670">
      <c r="A2670" s="4" t="s">
        <v>21852</v>
      </c>
      <c r="B2670" s="4" t="s">
        <v>5322</v>
      </c>
      <c r="C2670" s="16" t="str">
        <f>IFERROR(__xludf.DUMMYFUNCTION(""""""""" &amp; REGEXEXTRACT(B2670, ""/detail/([^/?]+)"") &amp; """""","""),"""kaefboomflkchpcemdfcleklomdincbo"",")</f>
        <v>"kaefboomflkchpcemdfcleklomdincbo",</v>
      </c>
    </row>
    <row r="2671">
      <c r="A2671" s="4" t="s">
        <v>21853</v>
      </c>
      <c r="B2671" s="4" t="s">
        <v>5324</v>
      </c>
      <c r="C2671" s="16" t="str">
        <f>IFERROR(__xludf.DUMMYFUNCTION(""""""""" &amp; REGEXEXTRACT(B2671, ""/detail/([^/?]+)"") &amp; """""","""),"""kbmjfcgbpnigcngkjgfjmaameebdhhab"",")</f>
        <v>"kbmjfcgbpnigcngkjgfjmaameebdhhab",</v>
      </c>
    </row>
    <row r="2672">
      <c r="A2672" s="4" t="s">
        <v>21854</v>
      </c>
      <c r="B2672" s="4" t="s">
        <v>5326</v>
      </c>
      <c r="C2672" s="16" t="str">
        <f>IFERROR(__xludf.DUMMYFUNCTION(""""""""" &amp; REGEXEXTRACT(B2672, ""/detail/([^/?]+)"") &amp; """""","""),"""kcajglmkmpjbgmhkndelbkljpffblood"",")</f>
        <v>"kcajglmkmpjbgmhkndelbkljpffblood",</v>
      </c>
    </row>
    <row r="2673">
      <c r="A2673" s="4" t="s">
        <v>21855</v>
      </c>
      <c r="B2673" s="4" t="s">
        <v>5328</v>
      </c>
      <c r="C2673" s="16" t="str">
        <f>IFERROR(__xludf.DUMMYFUNCTION(""""""""" &amp; REGEXEXTRACT(B2673, ""/detail/([^/?]+)"") &amp; """""","""),"""kddmkefoecfohkbmcgkdpfhgghfnpbij"",")</f>
        <v>"kddmkefoecfohkbmcgkdpfhgghfnpbij",</v>
      </c>
    </row>
    <row r="2674">
      <c r="A2674" s="4" t="s">
        <v>21856</v>
      </c>
      <c r="B2674" s="4" t="s">
        <v>5330</v>
      </c>
      <c r="C2674" s="16" t="str">
        <f>IFERROR(__xludf.DUMMYFUNCTION(""""""""" &amp; REGEXEXTRACT(B2674, ""/detail/([^/?]+)"") &amp; """""","""),"""kdpjfeopbjnldmeipakehahbidmjfmco"",")</f>
        <v>"kdpjfeopbjnldmeipakehahbidmjfmco",</v>
      </c>
    </row>
    <row r="2675">
      <c r="A2675" s="4" t="s">
        <v>21857</v>
      </c>
      <c r="B2675" s="4" t="s">
        <v>5332</v>
      </c>
      <c r="C2675" s="16" t="str">
        <f>IFERROR(__xludf.DUMMYFUNCTION(""""""""" &amp; REGEXEXTRACT(B2675, ""/detail/([^/?]+)"") &amp; """""","""),"""keamekimefemnbgegbfkdkmbomaahfai"",")</f>
        <v>"keamekimefemnbgegbfkdkmbomaahfai",</v>
      </c>
    </row>
    <row r="2676">
      <c r="A2676" s="4" t="s">
        <v>21858</v>
      </c>
      <c r="B2676" s="4" t="s">
        <v>5334</v>
      </c>
      <c r="C2676" s="16" t="str">
        <f>IFERROR(__xludf.DUMMYFUNCTION(""""""""" &amp; REGEXEXTRACT(B2676, ""/detail/([^/?]+)"") &amp; """""","""),"""kekfokjeliilaipagomdhmlfhbmpllkk"",")</f>
        <v>"kekfokjeliilaipagomdhmlfhbmpllkk",</v>
      </c>
    </row>
    <row r="2677">
      <c r="A2677" s="4" t="s">
        <v>21859</v>
      </c>
      <c r="B2677" s="4" t="s">
        <v>5336</v>
      </c>
      <c r="C2677" s="16" t="str">
        <f>IFERROR(__xludf.DUMMYFUNCTION(""""""""" &amp; REGEXEXTRACT(B2677, ""/detail/([^/?]+)"") &amp; """""","""),"""kepemmpmljphklmpfgfmhpjhpdlccpke"",")</f>
        <v>"kepemmpmljphklmpfgfmhpjhpdlccpke",</v>
      </c>
    </row>
    <row r="2678">
      <c r="A2678" s="4" t="s">
        <v>21860</v>
      </c>
      <c r="B2678" s="4" t="s">
        <v>5338</v>
      </c>
      <c r="C2678" s="16" t="str">
        <f>IFERROR(__xludf.DUMMYFUNCTION(""""""""" &amp; REGEXEXTRACT(B2678, ""/detail/([^/?]+)"") &amp; """""","""),"""kfiadggaijonhadndemaccnilcmnljah"",")</f>
        <v>"kfiadggaijonhadndemaccnilcmnljah",</v>
      </c>
    </row>
    <row r="2679">
      <c r="A2679" s="4" t="s">
        <v>21861</v>
      </c>
      <c r="B2679" s="4" t="s">
        <v>5339</v>
      </c>
      <c r="C2679" s="16" t="str">
        <f>IFERROR(__xludf.DUMMYFUNCTION(""""""""" &amp; REGEXEXTRACT(B2679, ""/detail/([^/?]+)"") &amp; """""","""),"""kfjclcfpbfhdmikhohhjacgdmndneckj"",")</f>
        <v>"kfjclcfpbfhdmikhohhjacgdmndneckj",</v>
      </c>
    </row>
    <row r="2680">
      <c r="A2680" s="4" t="s">
        <v>21862</v>
      </c>
      <c r="B2680" s="4" t="s">
        <v>5341</v>
      </c>
      <c r="C2680" s="16" t="str">
        <f>IFERROR(__xludf.DUMMYFUNCTION(""""""""" &amp; REGEXEXTRACT(B2680, ""/detail/([^/?]+)"") &amp; """""","""),"""khmmaepcamdkhdikdaphneenognobngd"",")</f>
        <v>"khmmaepcamdkhdikdaphneenognobngd",</v>
      </c>
    </row>
    <row r="2681">
      <c r="A2681" s="4" t="s">
        <v>21863</v>
      </c>
      <c r="B2681" s="4" t="s">
        <v>5343</v>
      </c>
      <c r="C2681" s="16" t="str">
        <f>IFERROR(__xludf.DUMMYFUNCTION(""""""""" &amp; REGEXEXTRACT(B2681, ""/detail/([^/?]+)"") &amp; """""","""),"""khonmmgfpdbncbianbikkhchhgleeako"",")</f>
        <v>"khonmmgfpdbncbianbikkhchhgleeako",</v>
      </c>
    </row>
    <row r="2682">
      <c r="A2682" s="4" t="s">
        <v>21864</v>
      </c>
      <c r="B2682" s="4" t="s">
        <v>5345</v>
      </c>
      <c r="C2682" s="16" t="str">
        <f>IFERROR(__xludf.DUMMYFUNCTION(""""""""" &amp; REGEXEXTRACT(B2682, ""/detail/([^/?]+)"") &amp; """""","""),"""kieflbdkopabcodmbpibhafnjalkpkod"",")</f>
        <v>"kieflbdkopabcodmbpibhafnjalkpkod",</v>
      </c>
    </row>
    <row r="2683">
      <c r="A2683" s="4" t="s">
        <v>21865</v>
      </c>
      <c r="B2683" s="4" t="s">
        <v>5347</v>
      </c>
      <c r="C2683" s="16" t="str">
        <f>IFERROR(__xludf.DUMMYFUNCTION(""""""""" &amp; REGEXEXTRACT(B2683, ""/detail/([^/?]+)"") &amp; """""","""),"""kjejboahkcobalmgldloeinebmbomgog"",")</f>
        <v>"kjejboahkcobalmgldloeinebmbomgog",</v>
      </c>
    </row>
    <row r="2684">
      <c r="A2684" s="4" t="s">
        <v>21866</v>
      </c>
      <c r="B2684" s="4" t="s">
        <v>5348</v>
      </c>
      <c r="C2684" s="16" t="str">
        <f>IFERROR(__xludf.DUMMYFUNCTION(""""""""" &amp; REGEXEXTRACT(B2684, ""/detail/([^/?]+)"") &amp; """""","""),"""kkcbifggchajpkagcpagenpfghbplghc"",")</f>
        <v>"kkcbifggchajpkagcpagenpfghbplghc",</v>
      </c>
    </row>
    <row r="2685">
      <c r="A2685" s="4" t="s">
        <v>21867</v>
      </c>
      <c r="B2685" s="4" t="s">
        <v>5350</v>
      </c>
      <c r="C2685" s="16" t="str">
        <f>IFERROR(__xludf.DUMMYFUNCTION(""""""""" &amp; REGEXEXTRACT(B2685, ""/detail/([^/?]+)"") &amp; """""","""),"""kkgfomhpbhjbhlkealickgjbfpjdpbmf"",")</f>
        <v>"kkgfomhpbhjbhlkealickgjbfpjdpbmf",</v>
      </c>
    </row>
    <row r="2686">
      <c r="A2686" s="4" t="s">
        <v>21868</v>
      </c>
      <c r="B2686" s="4" t="s">
        <v>5352</v>
      </c>
      <c r="C2686" s="16" t="str">
        <f>IFERROR(__xludf.DUMMYFUNCTION(""""""""" &amp; REGEXEXTRACT(B2686, ""/detail/([^/?]+)"") &amp; """""","""),"""kkhcdbdhbmegbbhgmdhhpfmjhlhjlghp"",")</f>
        <v>"kkhcdbdhbmegbbhgmdhhpfmjhlhjlghp",</v>
      </c>
    </row>
    <row r="2687">
      <c r="A2687" s="4" t="s">
        <v>21869</v>
      </c>
      <c r="B2687" s="4" t="s">
        <v>5354</v>
      </c>
      <c r="C2687" s="16" t="str">
        <f>IFERROR(__xludf.DUMMYFUNCTION(""""""""" &amp; REGEXEXTRACT(B2687, ""/detail/([^/?]+)"") &amp; """""","""),"""kkhmpnfekpgmeljnlcfnabmpanhdmfjg"",")</f>
        <v>"kkhmpnfekpgmeljnlcfnabmpanhdmfjg",</v>
      </c>
    </row>
    <row r="2688">
      <c r="A2688" s="4" t="s">
        <v>21870</v>
      </c>
      <c r="B2688" s="4" t="s">
        <v>5356</v>
      </c>
      <c r="C2688" s="16" t="str">
        <f>IFERROR(__xludf.DUMMYFUNCTION(""""""""" &amp; REGEXEXTRACT(B2688, ""/detail/([^/?]+)"") &amp; """""","""),"""kkocalmbfnplecdmbadaapgapdioecfm"",")</f>
        <v>"kkocalmbfnplecdmbadaapgapdioecfm",</v>
      </c>
    </row>
    <row r="2689">
      <c r="A2689" s="4" t="s">
        <v>21871</v>
      </c>
      <c r="B2689" s="4" t="s">
        <v>5358</v>
      </c>
      <c r="C2689" s="16" t="str">
        <f>IFERROR(__xludf.DUMMYFUNCTION(""""""""" &amp; REGEXEXTRACT(B2689, ""/detail/([^/?]+)"") &amp; """""","""),"""klmeolbcejnhefkapdchfhlhhjgobhmo"",")</f>
        <v>"klmeolbcejnhefkapdchfhlhhjgobhmo",</v>
      </c>
    </row>
    <row r="2690">
      <c r="A2690" s="4" t="s">
        <v>21872</v>
      </c>
      <c r="B2690" s="4" t="s">
        <v>5360</v>
      </c>
      <c r="C2690" s="16" t="str">
        <f>IFERROR(__xludf.DUMMYFUNCTION(""""""""" &amp; REGEXEXTRACT(B2690, ""/detail/([^/?]+)"") &amp; """""","""),"""kmafmhimenmmjnpkodojnacmlabacmid"",")</f>
        <v>"kmafmhimenmmjnpkodojnacmlabacmid",</v>
      </c>
    </row>
    <row r="2691">
      <c r="A2691" s="4" t="s">
        <v>21873</v>
      </c>
      <c r="B2691" s="4" t="s">
        <v>5362</v>
      </c>
      <c r="C2691" s="16" t="str">
        <f>IFERROR(__xludf.DUMMYFUNCTION(""""""""" &amp; REGEXEXTRACT(B2691, ""/detail/([^/?]+)"") &amp; """""","""),"""kmghfpaenbmakjffjhjncacmhagadgbg"",")</f>
        <v>"kmghfpaenbmakjffjhjncacmhagadgbg",</v>
      </c>
    </row>
    <row r="2692">
      <c r="A2692" s="4" t="s">
        <v>21874</v>
      </c>
      <c r="B2692" s="4" t="s">
        <v>5364</v>
      </c>
      <c r="C2692" s="16" t="str">
        <f>IFERROR(__xludf.DUMMYFUNCTION(""""""""" &amp; REGEXEXTRACT(B2692, ""/detail/([^/?]+)"") &amp; """""","""),"""kngneeakgdidggilaidebghjjkbkglkb"",")</f>
        <v>"kngneeakgdidggilaidebghjjkbkglkb",</v>
      </c>
    </row>
    <row r="2693">
      <c r="A2693" s="4" t="s">
        <v>21875</v>
      </c>
      <c r="B2693" s="4" t="s">
        <v>5366</v>
      </c>
      <c r="C2693" s="16" t="str">
        <f>IFERROR(__xludf.DUMMYFUNCTION(""""""""" &amp; REGEXEXTRACT(B2693, ""/detail/([^/?]+)"") &amp; """""","""),"""knngjajhgkigjgiblkjjfoenpkcokngl"",")</f>
        <v>"knngjajhgkigjgiblkjjfoenpkcokngl",</v>
      </c>
    </row>
    <row r="2694">
      <c r="A2694" s="4" t="s">
        <v>21876</v>
      </c>
      <c r="B2694" s="4" t="s">
        <v>5368</v>
      </c>
      <c r="C2694" s="16" t="str">
        <f>IFERROR(__xludf.DUMMYFUNCTION(""""""""" &amp; REGEXEXTRACT(B2694, ""/detail/([^/?]+)"") &amp; """""","""),"""knonchlbnkaddhihddlejfchjjnadmeh"",")</f>
        <v>"knonchlbnkaddhihddlejfchjjnadmeh",</v>
      </c>
    </row>
    <row r="2695">
      <c r="A2695" s="4" t="s">
        <v>21877</v>
      </c>
      <c r="B2695" s="4" t="s">
        <v>5370</v>
      </c>
      <c r="C2695" s="16" t="str">
        <f>IFERROR(__xludf.DUMMYFUNCTION(""""""""" &amp; REGEXEXTRACT(B2695, ""/detail/([^/?]+)"") &amp; """""","""),"""komolablmhfobefcfiianchnmggpmpmd"",")</f>
        <v>"komolablmhfobefcfiianchnmggpmpmd",</v>
      </c>
    </row>
    <row r="2696">
      <c r="A2696" s="4" t="s">
        <v>21878</v>
      </c>
      <c r="B2696" s="4" t="s">
        <v>5372</v>
      </c>
      <c r="C2696" s="16" t="str">
        <f>IFERROR(__xludf.DUMMYFUNCTION(""""""""" &amp; REGEXEXTRACT(B2696, ""/detail/([^/?]+)"") &amp; """""","""),"""kopamahnjkchmgjkoejfconipkclhibf"",")</f>
        <v>"kopamahnjkchmgjkoejfconipkclhibf",</v>
      </c>
    </row>
    <row r="2697">
      <c r="A2697" s="4" t="s">
        <v>21879</v>
      </c>
      <c r="B2697" s="4" t="s">
        <v>5374</v>
      </c>
      <c r="C2697" s="16" t="str">
        <f>IFERROR(__xludf.DUMMYFUNCTION(""""""""" &amp; REGEXEXTRACT(B2697, ""/detail/([^/?]+)"") &amp; """""","""),"""kpcjjapfjdgjlmoehhliomplgjnbdcpc"",")</f>
        <v>"kpcjjapfjdgjlmoehhliomplgjnbdcpc",</v>
      </c>
    </row>
    <row r="2698">
      <c r="A2698" s="4" t="s">
        <v>21880</v>
      </c>
      <c r="B2698" s="4" t="s">
        <v>5376</v>
      </c>
      <c r="C2698" s="16" t="str">
        <f>IFERROR(__xludf.DUMMYFUNCTION(""""""""" &amp; REGEXEXTRACT(B2698, ""/detail/([^/?]+)"") &amp; """""","""),"""kpdblbepjhhdilfanfgmkdnmllgefife"",")</f>
        <v>"kpdblbepjhhdilfanfgmkdnmllgefife",</v>
      </c>
    </row>
    <row r="2699">
      <c r="A2699" s="4" t="s">
        <v>21881</v>
      </c>
      <c r="B2699" s="4" t="s">
        <v>5378</v>
      </c>
      <c r="C2699" s="16" t="str">
        <f>IFERROR(__xludf.DUMMYFUNCTION(""""""""" &amp; REGEXEXTRACT(B2699, ""/detail/([^/?]+)"") &amp; """""","""),"""kpkcofgbohgcpjkeidodnmaokbjlnmac"",")</f>
        <v>"kpkcofgbohgcpjkeidodnmaokbjlnmac",</v>
      </c>
    </row>
    <row r="2700">
      <c r="A2700" s="4" t="s">
        <v>21882</v>
      </c>
      <c r="B2700" s="4" t="s">
        <v>5380</v>
      </c>
      <c r="C2700" s="16" t="str">
        <f>IFERROR(__xludf.DUMMYFUNCTION(""""""""" &amp; REGEXEXTRACT(B2700, ""/detail/([^/?]+)"") &amp; """""","""),"""kpniicpnanbaopgkcagaphglbeaejnph"",")</f>
        <v>"kpniicpnanbaopgkcagaphglbeaejnph",</v>
      </c>
    </row>
    <row r="2701">
      <c r="A2701" s="4" t="s">
        <v>21883</v>
      </c>
      <c r="B2701" s="4" t="s">
        <v>5382</v>
      </c>
      <c r="C2701" s="16" t="str">
        <f>IFERROR(__xludf.DUMMYFUNCTION(""""""""" &amp; REGEXEXTRACT(B2701, ""/detail/([^/?]+)"") &amp; """""","""),"""lbnooplepikajpiphjgfoniaakpclemh"",")</f>
        <v>"lbnooplepikajpiphjgfoniaakpclemh",</v>
      </c>
    </row>
    <row r="2702">
      <c r="A2702" s="4" t="s">
        <v>21884</v>
      </c>
      <c r="B2702" s="4" t="s">
        <v>5384</v>
      </c>
      <c r="C2702" s="16" t="str">
        <f>IFERROR(__xludf.DUMMYFUNCTION(""""""""" &amp; REGEXEXTRACT(B2702, ""/detail/([^/?]+)"") &amp; """""","""),"""lcbmijabmhohpnmdjbioodhdlaimbdcf"",")</f>
        <v>"lcbmijabmhohpnmdjbioodhdlaimbdcf",</v>
      </c>
    </row>
    <row r="2703">
      <c r="A2703" s="4" t="s">
        <v>21885</v>
      </c>
      <c r="B2703" s="4" t="s">
        <v>5386</v>
      </c>
      <c r="C2703" s="16" t="str">
        <f>IFERROR(__xludf.DUMMYFUNCTION(""""""""" &amp; REGEXEXTRACT(B2703, ""/detail/([^/?]+)"") &amp; """""","""),"""lcdmdikpgdjoagalpngockiddgkbdaig"",")</f>
        <v>"lcdmdikpgdjoagalpngockiddgkbdaig",</v>
      </c>
    </row>
    <row r="2704">
      <c r="A2704" s="4" t="s">
        <v>21886</v>
      </c>
      <c r="B2704" s="4" t="s">
        <v>5388</v>
      </c>
      <c r="C2704" s="16" t="str">
        <f>IFERROR(__xludf.DUMMYFUNCTION(""""""""" &amp; REGEXEXTRACT(B2704, ""/detail/([^/?]+)"") &amp; """""","""),"""ldnhgfghebflgcndlbppfanbchpgmkna"",")</f>
        <v>"ldnhgfghebflgcndlbppfanbchpgmkna",</v>
      </c>
    </row>
    <row r="2705">
      <c r="A2705" s="4" t="s">
        <v>21887</v>
      </c>
      <c r="B2705" s="4" t="s">
        <v>5390</v>
      </c>
      <c r="C2705" s="16" t="str">
        <f>IFERROR(__xludf.DUMMYFUNCTION(""""""""" &amp; REGEXEXTRACT(B2705, ""/detail/([^/?]+)"") &amp; """""","""),"""ledmjlnkdlappilhaaihfhanlpdjjalm"",")</f>
        <v>"ledmjlnkdlappilhaaihfhanlpdjjalm",</v>
      </c>
    </row>
    <row r="2706">
      <c r="A2706" s="4" t="s">
        <v>21888</v>
      </c>
      <c r="B2706" s="4" t="s">
        <v>5392</v>
      </c>
      <c r="C2706" s="16" t="str">
        <f>IFERROR(__xludf.DUMMYFUNCTION(""""""""" &amp; REGEXEXTRACT(B2706, ""/detail/([^/?]+)"") &amp; """""","""),"""leheoeognmlgfdljnhckphighdlpnpnd"",")</f>
        <v>"leheoeognmlgfdljnhckphighdlpnpnd",</v>
      </c>
    </row>
    <row r="2707">
      <c r="A2707" s="4" t="s">
        <v>21889</v>
      </c>
      <c r="B2707" s="4" t="s">
        <v>5394</v>
      </c>
      <c r="C2707" s="16" t="str">
        <f>IFERROR(__xludf.DUMMYFUNCTION(""""""""" &amp; REGEXEXTRACT(B2707, ""/detail/([^/?]+)"") &amp; """""","""),"""lfaifjhjdolnpnlgeohohaalbeidhlpj"",")</f>
        <v>"lfaifjhjdolnpnlgeohohaalbeidhlpj",</v>
      </c>
    </row>
    <row r="2708">
      <c r="A2708" s="4" t="s">
        <v>21890</v>
      </c>
      <c r="B2708" s="4" t="s">
        <v>5396</v>
      </c>
      <c r="C2708" s="16" t="str">
        <f>IFERROR(__xludf.DUMMYFUNCTION(""""""""" &amp; REGEXEXTRACT(B2708, ""/detail/([^/?]+)"") &amp; """""","""),"""lfeddhgiaaieipgnknjamalgeclhkamo"",")</f>
        <v>"lfeddhgiaaieipgnknjamalgeclhkamo",</v>
      </c>
    </row>
    <row r="2709">
      <c r="A2709" s="4" t="s">
        <v>21891</v>
      </c>
      <c r="B2709" s="4" t="s">
        <v>5397</v>
      </c>
      <c r="C2709" s="16" t="str">
        <f>IFERROR(__xludf.DUMMYFUNCTION(""""""""" &amp; REGEXEXTRACT(B2709, ""/detail/([^/?]+)"") &amp; """""","""),"""lfmbbdekdhbhclbdocgadegfcdjmagal"",")</f>
        <v>"lfmbbdekdhbhclbdocgadegfcdjmagal",</v>
      </c>
    </row>
    <row r="2710">
      <c r="A2710" s="4" t="s">
        <v>21892</v>
      </c>
      <c r="B2710" s="4" t="s">
        <v>5399</v>
      </c>
      <c r="C2710" s="16" t="str">
        <f>IFERROR(__xludf.DUMMYFUNCTION(""""""""" &amp; REGEXEXTRACT(B2710, ""/detail/([^/?]+)"") &amp; """""","""),"""lhapaogdadehkjdlhmlfdnpmncdcojcn"",")</f>
        <v>"lhapaogdadehkjdlhmlfdnpmncdcojcn",</v>
      </c>
    </row>
    <row r="2711">
      <c r="A2711" s="4" t="s">
        <v>21893</v>
      </c>
      <c r="B2711" s="4" t="s">
        <v>5401</v>
      </c>
      <c r="C2711" s="16" t="str">
        <f>IFERROR(__xludf.DUMMYFUNCTION(""""""""" &amp; REGEXEXTRACT(B2711, ""/detail/([^/?]+)"") &amp; """""","""),"""lheaanfghanpnholfnckoompcbdandjk"",")</f>
        <v>"lheaanfghanpnholfnckoompcbdandjk",</v>
      </c>
    </row>
    <row r="2712">
      <c r="A2712" s="4" t="s">
        <v>21894</v>
      </c>
      <c r="B2712" s="4" t="s">
        <v>5403</v>
      </c>
      <c r="C2712" s="16" t="str">
        <f>IFERROR(__xludf.DUMMYFUNCTION(""""""""" &amp; REGEXEXTRACT(B2712, ""/detail/([^/?]+)"") &amp; """""","""),"""lhhocifdmhogpekeppdjamkelohahbop"",")</f>
        <v>"lhhocifdmhogpekeppdjamkelohahbop",</v>
      </c>
    </row>
    <row r="2713">
      <c r="A2713" s="4" t="s">
        <v>21895</v>
      </c>
      <c r="B2713" s="4" t="s">
        <v>5405</v>
      </c>
      <c r="C2713" s="16" t="str">
        <f>IFERROR(__xludf.DUMMYFUNCTION(""""""""" &amp; REGEXEXTRACT(B2713, ""/detail/([^/?]+)"") &amp; """""","""),"""lifnhhhbkmkobgokokejfjnfpgcnappe"",")</f>
        <v>"lifnhhhbkmkobgokokejfjnfpgcnappe",</v>
      </c>
    </row>
    <row r="2714">
      <c r="A2714" s="4" t="s">
        <v>21896</v>
      </c>
      <c r="B2714" s="4" t="s">
        <v>5407</v>
      </c>
      <c r="C2714" s="16" t="str">
        <f>IFERROR(__xludf.DUMMYFUNCTION(""""""""" &amp; REGEXEXTRACT(B2714, ""/detail/([^/?]+)"") &amp; """""","""),"""lijeilcglmadpkbengpkfnkpmcehecfe"",")</f>
        <v>"lijeilcglmadpkbengpkfnkpmcehecfe",</v>
      </c>
    </row>
    <row r="2715">
      <c r="A2715" s="4" t="s">
        <v>21897</v>
      </c>
      <c r="B2715" s="4" t="s">
        <v>5409</v>
      </c>
      <c r="C2715" s="16" t="str">
        <f>IFERROR(__xludf.DUMMYFUNCTION(""""""""" &amp; REGEXEXTRACT(B2715, ""/detail/([^/?]+)"") &amp; """""","""),"""lipgmjpepegfmijhpkoedhckijlelkgl"",")</f>
        <v>"lipgmjpepegfmijhpkoedhckijlelkgl",</v>
      </c>
    </row>
    <row r="2716">
      <c r="A2716" s="4" t="s">
        <v>21898</v>
      </c>
      <c r="B2716" s="4" t="s">
        <v>5411</v>
      </c>
      <c r="C2716" s="16" t="str">
        <f>IFERROR(__xludf.DUMMYFUNCTION(""""""""" &amp; REGEXEXTRACT(B2716, ""/detail/([^/?]+)"") &amp; """""","""),"""lkfbpmilmogbplanpheiejbofpeafbof"",")</f>
        <v>"lkfbpmilmogbplanpheiejbofpeafbof",</v>
      </c>
    </row>
    <row r="2717">
      <c r="A2717" s="4" t="s">
        <v>21899</v>
      </c>
      <c r="B2717" s="4" t="s">
        <v>5413</v>
      </c>
      <c r="C2717" s="16" t="str">
        <f>IFERROR(__xludf.DUMMYFUNCTION(""""""""" &amp; REGEXEXTRACT(B2717, ""/detail/([^/?]+)"") &amp; """""","""),"""llbdehgkjokeodpffneagciojeegphdc"",")</f>
        <v>"llbdehgkjokeodpffneagciojeegphdc",</v>
      </c>
    </row>
    <row r="2718">
      <c r="A2718" s="4" t="s">
        <v>21900</v>
      </c>
      <c r="B2718" s="4" t="s">
        <v>5415</v>
      </c>
      <c r="C2718" s="16" t="str">
        <f>IFERROR(__xludf.DUMMYFUNCTION(""""""""" &amp; REGEXEXTRACT(B2718, ""/detail/([^/?]+)"") &amp; """""","""),"""lljgneahfmgjmpglpbhmkangancgdgeb"",")</f>
        <v>"lljgneahfmgjmpglpbhmkangancgdgeb",</v>
      </c>
    </row>
    <row r="2719">
      <c r="A2719" s="4" t="s">
        <v>21901</v>
      </c>
      <c r="B2719" s="4" t="s">
        <v>5417</v>
      </c>
      <c r="C2719" s="16" t="str">
        <f>IFERROR(__xludf.DUMMYFUNCTION(""""""""" &amp; REGEXEXTRACT(B2719, ""/detail/([^/?]+)"") &amp; """""","""),"""lnkcbfimmmgcemkbgfghlpoamhoakdif"",")</f>
        <v>"lnkcbfimmmgcemkbgfghlpoamhoakdif",</v>
      </c>
    </row>
    <row r="2720">
      <c r="A2720" s="4" t="s">
        <v>21902</v>
      </c>
      <c r="B2720" s="4" t="s">
        <v>5419</v>
      </c>
      <c r="C2720" s="16" t="str">
        <f>IFERROR(__xludf.DUMMYFUNCTION(""""""""" &amp; REGEXEXTRACT(B2720, ""/detail/([^/?]+)"") &amp; """""","""),"""loeapdhmokmdkoklhijjmpgjdcieebgj"",")</f>
        <v>"loeapdhmokmdkoklhijjmpgjdcieebgj",</v>
      </c>
    </row>
    <row r="2721">
      <c r="A2721" s="4" t="s">
        <v>21903</v>
      </c>
      <c r="B2721" s="4" t="s">
        <v>5421</v>
      </c>
      <c r="C2721" s="16" t="str">
        <f>IFERROR(__xludf.DUMMYFUNCTION(""""""""" &amp; REGEXEXTRACT(B2721, ""/detail/([^/?]+)"") &amp; """""","""),"""lpcccgcdjibejkgiaeijbmkpbnbkglkb"",")</f>
        <v>"lpcccgcdjibejkgiaeijbmkpbnbkglkb",</v>
      </c>
    </row>
    <row r="2722">
      <c r="A2722" s="4" t="s">
        <v>21904</v>
      </c>
      <c r="B2722" s="4" t="s">
        <v>5423</v>
      </c>
      <c r="C2722" s="16" t="str">
        <f>IFERROR(__xludf.DUMMYFUNCTION(""""""""" &amp; REGEXEXTRACT(B2722, ""/detail/([^/?]+)"") &amp; """""","""),"""mbmniljdacmobchkdodbbimnnfemgjda"",")</f>
        <v>"mbmniljdacmobchkdodbbimnnfemgjda",</v>
      </c>
    </row>
    <row r="2723">
      <c r="A2723" s="4" t="s">
        <v>21905</v>
      </c>
      <c r="B2723" s="4" t="s">
        <v>5425</v>
      </c>
      <c r="C2723" s="16" t="str">
        <f>IFERROR(__xludf.DUMMYFUNCTION(""""""""" &amp; REGEXEXTRACT(B2723, ""/detail/([^/?]+)"") &amp; """""","""),"""mdpfkohgfpidohkakdbpmnngaocglmhl"",")</f>
        <v>"mdpfkohgfpidohkakdbpmnngaocglmhl",</v>
      </c>
    </row>
    <row r="2724">
      <c r="A2724" s="4" t="s">
        <v>21906</v>
      </c>
      <c r="B2724" s="4" t="s">
        <v>5427</v>
      </c>
      <c r="C2724" s="16" t="str">
        <f>IFERROR(__xludf.DUMMYFUNCTION(""""""""" &amp; REGEXEXTRACT(B2724, ""/detail/([^/?]+)"") &amp; """""","""),"""medbfmklifghknhgfajeaepbnhcimpjk"",")</f>
        <v>"medbfmklifghknhgfajeaepbnhcimpjk",</v>
      </c>
    </row>
    <row r="2725">
      <c r="A2725" s="4" t="s">
        <v>21907</v>
      </c>
      <c r="B2725" s="4" t="s">
        <v>5429</v>
      </c>
      <c r="C2725" s="16" t="str">
        <f>IFERROR(__xludf.DUMMYFUNCTION(""""""""" &amp; REGEXEXTRACT(B2725, ""/detail/([^/?]+)"") &amp; """""","""),"""meebenkoljjgogkbnlabbmdbbhpeifck"",")</f>
        <v>"meebenkoljjgogkbnlabbmdbbhpeifck",</v>
      </c>
    </row>
    <row r="2726">
      <c r="A2726" s="4" t="s">
        <v>21908</v>
      </c>
      <c r="B2726" s="4" t="s">
        <v>5431</v>
      </c>
      <c r="C2726" s="16" t="str">
        <f>IFERROR(__xludf.DUMMYFUNCTION(""""""""" &amp; REGEXEXTRACT(B2726, ""/detail/([^/?]+)"") &amp; """""","""),"""meefekdbnfknopenfokiacipalgnkdee"",")</f>
        <v>"meefekdbnfknopenfokiacipalgnkdee",</v>
      </c>
    </row>
    <row r="2727">
      <c r="A2727" s="4" t="s">
        <v>21909</v>
      </c>
      <c r="B2727" s="4" t="s">
        <v>5433</v>
      </c>
      <c r="C2727" s="16" t="str">
        <f>IFERROR(__xludf.DUMMYFUNCTION(""""""""" &amp; REGEXEXTRACT(B2727, ""/detail/([^/?]+)"") &amp; """""","""),"""memijejgibaodndkimcclfapfladdchj"",")</f>
        <v>"memijejgibaodndkimcclfapfladdchj",</v>
      </c>
    </row>
    <row r="2728">
      <c r="A2728" s="4" t="s">
        <v>21910</v>
      </c>
      <c r="B2728" s="4" t="s">
        <v>5435</v>
      </c>
      <c r="C2728" s="16" t="str">
        <f>IFERROR(__xludf.DUMMYFUNCTION(""""""""" &amp; REGEXEXTRACT(B2728, ""/detail/([^/?]+)"") &amp; """""","""),"""mfdbhfpaedhhgglcahhmhgannefehicb"",")</f>
        <v>"mfdbhfpaedhhgglcahhmhgannefehicb",</v>
      </c>
    </row>
    <row r="2729">
      <c r="A2729" s="4" t="s">
        <v>21911</v>
      </c>
      <c r="B2729" s="4" t="s">
        <v>5437</v>
      </c>
      <c r="C2729" s="16" t="str">
        <f>IFERROR(__xludf.DUMMYFUNCTION(""""""""" &amp; REGEXEXTRACT(B2729, ""/detail/([^/?]+)"") &amp; """""","""),"""mfdnhgjejhhnfnpjhndlpibhbfmdcbch"",")</f>
        <v>"mfdnhgjejhhnfnpjhndlpibhbfmdcbch",</v>
      </c>
    </row>
    <row r="2730">
      <c r="A2730" s="4" t="s">
        <v>21912</v>
      </c>
      <c r="B2730" s="4" t="s">
        <v>5439</v>
      </c>
      <c r="C2730" s="16" t="str">
        <f>IFERROR(__xludf.DUMMYFUNCTION(""""""""" &amp; REGEXEXTRACT(B2730, ""/detail/([^/?]+)"") &amp; """""","""),"""mhgiefelomcdfcdbknkkohpibdpbdhmo"",")</f>
        <v>"mhgiefelomcdfcdbknkkohpibdpbdhmo",</v>
      </c>
    </row>
    <row r="2731">
      <c r="A2731" s="4" t="s">
        <v>21913</v>
      </c>
      <c r="B2731" s="4" t="s">
        <v>5441</v>
      </c>
      <c r="C2731" s="16" t="str">
        <f>IFERROR(__xludf.DUMMYFUNCTION(""""""""" &amp; REGEXEXTRACT(B2731, ""/detail/([^/?]+)"") &amp; """""","""),"""migmknbcmbejjmalfbmkieiamadapdmo"",")</f>
        <v>"migmknbcmbejjmalfbmkieiamadapdmo",</v>
      </c>
    </row>
    <row r="2732">
      <c r="A2732" s="4" t="s">
        <v>21914</v>
      </c>
      <c r="B2732" s="4" t="s">
        <v>5443</v>
      </c>
      <c r="C2732" s="16" t="str">
        <f>IFERROR(__xludf.DUMMYFUNCTION(""""""""" &amp; REGEXEXTRACT(B2732, ""/detail/([^/?]+)"") &amp; """""","""),"""mjcffemmfdpcjekgonelgmphacdhhbod"",")</f>
        <v>"mjcffemmfdpcjekgonelgmphacdhhbod",</v>
      </c>
    </row>
    <row r="2733">
      <c r="A2733" s="4" t="s">
        <v>21915</v>
      </c>
      <c r="B2733" s="4" t="s">
        <v>5445</v>
      </c>
      <c r="C2733" s="16" t="str">
        <f>IFERROR(__xludf.DUMMYFUNCTION(""""""""" &amp; REGEXEXTRACT(B2733, ""/detail/([^/?]+)"") &amp; """""","""),"""mkhmkjcbidkifopffebieonhhkondlfe"",")</f>
        <v>"mkhmkjcbidkifopffebieonhhkondlfe",</v>
      </c>
    </row>
    <row r="2734">
      <c r="A2734" s="4" t="s">
        <v>21916</v>
      </c>
      <c r="B2734" s="4" t="s">
        <v>5447</v>
      </c>
      <c r="C2734" s="16" t="str">
        <f>IFERROR(__xludf.DUMMYFUNCTION(""""""""" &amp; REGEXEXTRACT(B2734, ""/detail/([^/?]+)"") &amp; """""","""),"""mmifbbohghecjloeklpbinkjpbplfalb"",")</f>
        <v>"mmifbbohghecjloeklpbinkjpbplfalb",</v>
      </c>
    </row>
    <row r="2735">
      <c r="A2735" s="4" t="s">
        <v>21917</v>
      </c>
      <c r="B2735" s="4" t="s">
        <v>5449</v>
      </c>
      <c r="C2735" s="16" t="str">
        <f>IFERROR(__xludf.DUMMYFUNCTION(""""""""" &amp; REGEXEXTRACT(B2735, ""/detail/([^/?]+)"") &amp; """""","""),"""mohaicophfnifehkkkdbcejkflmgfkof"",")</f>
        <v>"mohaicophfnifehkkkdbcejkflmgfkof",</v>
      </c>
    </row>
    <row r="2736">
      <c r="A2736" s="4" t="s">
        <v>21918</v>
      </c>
      <c r="B2736" s="4" t="s">
        <v>5451</v>
      </c>
      <c r="C2736" s="16" t="str">
        <f>IFERROR(__xludf.DUMMYFUNCTION(""""""""" &amp; REGEXEXTRACT(B2736, ""/detail/([^/?]+)"") &amp; """""","""),"""mojbfofholnnfgdkcgabcfkjelblkgmh"",")</f>
        <v>"mojbfofholnnfgdkcgabcfkjelblkgmh",</v>
      </c>
    </row>
    <row r="2737">
      <c r="A2737" s="4" t="s">
        <v>21919</v>
      </c>
      <c r="B2737" s="4" t="s">
        <v>5453</v>
      </c>
      <c r="C2737" s="16" t="str">
        <f>IFERROR(__xludf.DUMMYFUNCTION(""""""""" &amp; REGEXEXTRACT(B2737, ""/detail/([^/?]+)"") &amp; """""","""),"""mpejfoghnejnbfkpbiafklkmlhebkapb"",")</f>
        <v>"mpejfoghnejnbfkpbiafklkmlhebkapb",</v>
      </c>
    </row>
    <row r="2738">
      <c r="A2738" s="4" t="s">
        <v>21920</v>
      </c>
      <c r="B2738" s="4" t="s">
        <v>5455</v>
      </c>
      <c r="C2738" s="16" t="str">
        <f>IFERROR(__xludf.DUMMYFUNCTION(""""""""" &amp; REGEXEXTRACT(B2738, ""/detail/([^/?]+)"") &amp; """""","""),"""mphdppdgoagghpmmhodmfajjlloijnbd"",")</f>
        <v>"mphdppdgoagghpmmhodmfajjlloijnbd",</v>
      </c>
    </row>
    <row r="2739">
      <c r="A2739" s="4" t="s">
        <v>21921</v>
      </c>
      <c r="B2739" s="4" t="s">
        <v>5457</v>
      </c>
      <c r="C2739" s="16" t="str">
        <f>IFERROR(__xludf.DUMMYFUNCTION(""""""""" &amp; REGEXEXTRACT(B2739, ""/detail/([^/?]+)"") &amp; """""","""),"""nadpbbdaaifbaebnniobcfpiifbfokij"",")</f>
        <v>"nadpbbdaaifbaebnniobcfpiifbfokij",</v>
      </c>
    </row>
    <row r="2740">
      <c r="A2740" s="4" t="s">
        <v>21922</v>
      </c>
      <c r="B2740" s="4" t="s">
        <v>5459</v>
      </c>
      <c r="C2740" s="16" t="str">
        <f>IFERROR(__xludf.DUMMYFUNCTION(""""""""" &amp; REGEXEXTRACT(B2740, ""/detail/([^/?]+)"") &amp; """""","""),"""nbcbmhabgcajfdcfdkmoibecllfpijcj"",")</f>
        <v>"nbcbmhabgcajfdcfdkmoibecllfpijcj",</v>
      </c>
    </row>
    <row r="2741">
      <c r="A2741" s="4" t="s">
        <v>21923</v>
      </c>
      <c r="B2741" s="4" t="s">
        <v>5461</v>
      </c>
      <c r="C2741" s="16" t="str">
        <f>IFERROR(__xludf.DUMMYFUNCTION(""""""""" &amp; REGEXEXTRACT(B2741, ""/detail/([^/?]+)"") &amp; """""","""),"""nbjajjpleonofjhcholjhjakpdmgfgga"",")</f>
        <v>"nbjajjpleonofjhcholjhjakpdmgfgga",</v>
      </c>
    </row>
    <row r="2742">
      <c r="A2742" s="4" t="s">
        <v>21924</v>
      </c>
      <c r="B2742" s="4" t="s">
        <v>5463</v>
      </c>
      <c r="C2742" s="16" t="str">
        <f>IFERROR(__xludf.DUMMYFUNCTION(""""""""" &amp; REGEXEXTRACT(B2742, ""/detail/([^/?]+)"") &amp; """""","""),"""ncdifkcipeniikkbckejmnbbcofdheig"",")</f>
        <v>"ncdifkcipeniikkbckejmnbbcofdheig",</v>
      </c>
    </row>
    <row r="2743">
      <c r="A2743" s="4" t="s">
        <v>21925</v>
      </c>
      <c r="B2743" s="4" t="s">
        <v>5465</v>
      </c>
      <c r="C2743" s="16" t="str">
        <f>IFERROR(__xludf.DUMMYFUNCTION(""""""""" &amp; REGEXEXTRACT(B2743, ""/detail/([^/?]+)"") &amp; """""","""),"""ncedobpgnmkhcmnnkcimnobpfepidadl"",")</f>
        <v>"ncedobpgnmkhcmnnkcimnobpfepidadl",</v>
      </c>
    </row>
    <row r="2744">
      <c r="A2744" s="4" t="s">
        <v>21926</v>
      </c>
      <c r="B2744" s="4" t="s">
        <v>5467</v>
      </c>
      <c r="C2744" s="16" t="str">
        <f>IFERROR(__xludf.DUMMYFUNCTION(""""""""" &amp; REGEXEXTRACT(B2744, ""/detail/([^/?]+)"") &amp; """""","""),"""ncopbeadajoekpedjllcakdmbmgnfgph"",")</f>
        <v>"ncopbeadajoekpedjllcakdmbmgnfgph",</v>
      </c>
    </row>
    <row r="2745">
      <c r="A2745" s="4" t="s">
        <v>21927</v>
      </c>
      <c r="B2745" s="4" t="s">
        <v>5469</v>
      </c>
      <c r="C2745" s="16" t="str">
        <f>IFERROR(__xludf.DUMMYFUNCTION(""""""""" &amp; REGEXEXTRACT(B2745, ""/detail/([^/?]+)"") &amp; """""","""),"""ndjhbhcchlkpdgpnekdhmeoogmoakidf"",")</f>
        <v>"ndjhbhcchlkpdgpnekdhmeoogmoakidf",</v>
      </c>
    </row>
    <row r="2746">
      <c r="A2746" s="4" t="s">
        <v>21928</v>
      </c>
      <c r="B2746" s="4" t="s">
        <v>5471</v>
      </c>
      <c r="C2746" s="16" t="str">
        <f>IFERROR(__xludf.DUMMYFUNCTION(""""""""" &amp; REGEXEXTRACT(B2746, ""/detail/([^/?]+)"") &amp; """""","""),"""nehbekcijblfffffinpjfoicfcjbcjen"",")</f>
        <v>"nehbekcijblfffffinpjfoicfcjbcjen",</v>
      </c>
    </row>
    <row r="2747">
      <c r="A2747" s="4" t="s">
        <v>21929</v>
      </c>
      <c r="B2747" s="4" t="s">
        <v>5473</v>
      </c>
      <c r="C2747" s="16" t="str">
        <f>IFERROR(__xludf.DUMMYFUNCTION(""""""""" &amp; REGEXEXTRACT(B2747, ""/detail/([^/?]+)"") &amp; """""","""),"""nggnllipjhjadjehkjcfgcomahomninl"",")</f>
        <v>"nggnllipjhjadjehkjcfgcomahomninl",</v>
      </c>
    </row>
    <row r="2748">
      <c r="A2748" s="4" t="s">
        <v>21930</v>
      </c>
      <c r="B2748" s="4" t="s">
        <v>5475</v>
      </c>
      <c r="C2748" s="16" t="str">
        <f>IFERROR(__xludf.DUMMYFUNCTION(""""""""" &amp; REGEXEXTRACT(B2748, ""/detail/([^/?]+)"") &amp; """""","""),"""nhhdkapljemlnpbdhjnbmacblgbnkebe"",")</f>
        <v>"nhhdkapljemlnpbdhjnbmacblgbnkebe",</v>
      </c>
    </row>
    <row r="2749">
      <c r="A2749" s="4" t="s">
        <v>21931</v>
      </c>
      <c r="B2749" s="4" t="s">
        <v>5477</v>
      </c>
      <c r="C2749" s="16" t="str">
        <f>IFERROR(__xludf.DUMMYFUNCTION(""""""""" &amp; REGEXEXTRACT(B2749, ""/detail/([^/?]+)"") &amp; """""","""),"""nhmckipmafnikgjnaeadpngccggobaej"",")</f>
        <v>"nhmckipmafnikgjnaeadpngccggobaej",</v>
      </c>
    </row>
    <row r="2750">
      <c r="A2750" s="4" t="s">
        <v>21932</v>
      </c>
      <c r="B2750" s="4" t="s">
        <v>5479</v>
      </c>
      <c r="C2750" s="16" t="str">
        <f>IFERROR(__xludf.DUMMYFUNCTION(""""""""" &amp; REGEXEXTRACT(B2750, ""/detail/([^/?]+)"") &amp; """""","""),"""niifcleepdmiglkgdbjddeilclfdella"",")</f>
        <v>"niifcleepdmiglkgdbjddeilclfdella",</v>
      </c>
    </row>
    <row r="2751">
      <c r="A2751" s="4" t="s">
        <v>21933</v>
      </c>
      <c r="B2751" s="4" t="s">
        <v>5481</v>
      </c>
      <c r="C2751" s="16" t="str">
        <f>IFERROR(__xludf.DUMMYFUNCTION(""""""""" &amp; REGEXEXTRACT(B2751, ""/detail/([^/?]+)"") &amp; """""","""),"""niooegglpelonkgbeejcplccleadcfdc"",")</f>
        <v>"niooegglpelonkgbeejcplccleadcfdc",</v>
      </c>
    </row>
    <row r="2752">
      <c r="A2752" s="4" t="s">
        <v>21934</v>
      </c>
      <c r="B2752" s="4" t="s">
        <v>5483</v>
      </c>
      <c r="C2752" s="16" t="str">
        <f>IFERROR(__xludf.DUMMYFUNCTION(""""""""" &amp; REGEXEXTRACT(B2752, ""/detail/([^/?]+)"") &amp; """""","""),"""njodpoefbejllnijefababpjlkhologo"",")</f>
        <v>"njodpoefbejllnijefababpjlkhologo",</v>
      </c>
    </row>
    <row r="2753">
      <c r="A2753" s="4" t="s">
        <v>21935</v>
      </c>
      <c r="B2753" s="4" t="s">
        <v>5485</v>
      </c>
      <c r="C2753" s="16" t="str">
        <f>IFERROR(__xludf.DUMMYFUNCTION(""""""""" &amp; REGEXEXTRACT(B2753, ""/detail/([^/?]+)"") &amp; """""","""),"""nkoipdagfegeelgahfaakgpkekhnlnme"",")</f>
        <v>"nkoipdagfegeelgahfaakgpkekhnlnme",</v>
      </c>
    </row>
    <row r="2754">
      <c r="A2754" s="4" t="s">
        <v>21936</v>
      </c>
      <c r="B2754" s="4" t="s">
        <v>5487</v>
      </c>
      <c r="C2754" s="16" t="str">
        <f>IFERROR(__xludf.DUMMYFUNCTION(""""""""" &amp; REGEXEXTRACT(B2754, ""/detail/([^/?]+)"") &amp; """""","""),"""nlbogimjpbkdemejcldggipfglbcflmn"",")</f>
        <v>"nlbogimjpbkdemejcldggipfglbcflmn",</v>
      </c>
    </row>
    <row r="2755">
      <c r="A2755" s="4" t="s">
        <v>21937</v>
      </c>
      <c r="B2755" s="4" t="s">
        <v>5489</v>
      </c>
      <c r="C2755" s="16" t="str">
        <f>IFERROR(__xludf.DUMMYFUNCTION(""""""""" &amp; REGEXEXTRACT(B2755, ""/detail/([^/?]+)"") &amp; """""","""),"""nolbmjhicibknokpnbdaleabonbmioil"",")</f>
        <v>"nolbmjhicibknokpnbdaleabonbmioil",</v>
      </c>
    </row>
    <row r="2756">
      <c r="A2756" s="4" t="s">
        <v>21938</v>
      </c>
      <c r="B2756" s="4" t="s">
        <v>5491</v>
      </c>
      <c r="C2756" s="16" t="str">
        <f>IFERROR(__xludf.DUMMYFUNCTION(""""""""" &amp; REGEXEXTRACT(B2756, ""/detail/([^/?]+)"") &amp; """""","""),"""nonbdfmekapigdafeajhmhbkbnfibfhg"",")</f>
        <v>"nonbdfmekapigdafeajhmhbkbnfibfhg",</v>
      </c>
    </row>
    <row r="2757">
      <c r="A2757" s="4" t="s">
        <v>21939</v>
      </c>
      <c r="B2757" s="4" t="s">
        <v>5493</v>
      </c>
      <c r="C2757" s="16" t="str">
        <f>IFERROR(__xludf.DUMMYFUNCTION(""""""""" &amp; REGEXEXTRACT(B2757, ""/detail/([^/?]+)"") &amp; """""","""),"""oakhnpcgdembaopakdnfkejfcaeipeik"",")</f>
        <v>"oakhnpcgdembaopakdnfkejfcaeipeik",</v>
      </c>
    </row>
    <row r="2758">
      <c r="A2758" s="4" t="s">
        <v>21940</v>
      </c>
      <c r="B2758" s="4" t="s">
        <v>5495</v>
      </c>
      <c r="C2758" s="16" t="str">
        <f>IFERROR(__xludf.DUMMYFUNCTION(""""""""" &amp; REGEXEXTRACT(B2758, ""/detail/([^/?]+)"") &amp; """""","""),"""obghclocpdgcekcognpkblghkedcpdgd"",")</f>
        <v>"obghclocpdgcekcognpkblghkedcpdgd",</v>
      </c>
    </row>
    <row r="2759">
      <c r="A2759" s="4" t="s">
        <v>21941</v>
      </c>
      <c r="B2759" s="4" t="s">
        <v>5497</v>
      </c>
      <c r="C2759" s="16" t="str">
        <f>IFERROR(__xludf.DUMMYFUNCTION(""""""""" &amp; REGEXEXTRACT(B2759, ""/detail/([^/?]+)"") &amp; """""","""),"""oceapojkdgeophkjdijkpbjifdnfimdh"",")</f>
        <v>"oceapojkdgeophkjdijkpbjifdnfimdh",</v>
      </c>
    </row>
    <row r="2760">
      <c r="A2760" s="4" t="s">
        <v>21942</v>
      </c>
      <c r="B2760" s="4" t="s">
        <v>5499</v>
      </c>
      <c r="C2760" s="16" t="str">
        <f>IFERROR(__xludf.DUMMYFUNCTION(""""""""" &amp; REGEXEXTRACT(B2760, ""/detail/([^/?]+)"") &amp; """""","""),"""oclhidoialnpdfmfcebdehleffhjkafm"",")</f>
        <v>"oclhidoialnpdfmfcebdehleffhjkafm",</v>
      </c>
    </row>
    <row r="2761">
      <c r="A2761" s="4" t="s">
        <v>21943</v>
      </c>
      <c r="B2761" s="4" t="s">
        <v>5501</v>
      </c>
      <c r="C2761" s="16" t="str">
        <f>IFERROR(__xludf.DUMMYFUNCTION(""""""""" &amp; REGEXEXTRACT(B2761, ""/detail/([^/?]+)"") &amp; """""","""),"""ofjegoecgdcdjepdijahaimjmkemeghj"",")</f>
        <v>"ofjegoecgdcdjepdijahaimjmkemeghj",</v>
      </c>
    </row>
    <row r="2762">
      <c r="A2762" s="4" t="s">
        <v>21944</v>
      </c>
      <c r="B2762" s="4" t="s">
        <v>5503</v>
      </c>
      <c r="C2762" s="16" t="str">
        <f>IFERROR(__xludf.DUMMYFUNCTION(""""""""" &amp; REGEXEXTRACT(B2762, ""/detail/([^/?]+)"") &amp; """""","""),"""ogdpmndhefljkmmfchnekenfamicgepf"",")</f>
        <v>"ogdpmndhefljkmmfchnekenfamicgepf",</v>
      </c>
    </row>
    <row r="2763">
      <c r="A2763" s="4" t="s">
        <v>21945</v>
      </c>
      <c r="B2763" s="4" t="s">
        <v>5505</v>
      </c>
      <c r="C2763" s="16" t="str">
        <f>IFERROR(__xludf.DUMMYFUNCTION(""""""""" &amp; REGEXEXTRACT(B2763, ""/detail/([^/?]+)"") &amp; """""","""),"""ohndmfaecddmecehfdidjhncfdajjeed"",")</f>
        <v>"ohndmfaecddmecehfdidjhncfdajjeed",</v>
      </c>
    </row>
    <row r="2764">
      <c r="A2764" s="4" t="s">
        <v>21946</v>
      </c>
      <c r="B2764" s="4" t="s">
        <v>5507</v>
      </c>
      <c r="C2764" s="16" t="str">
        <f>IFERROR(__xludf.DUMMYFUNCTION(""""""""" &amp; REGEXEXTRACT(B2764, ""/detail/([^/?]+)"") &amp; """""","""),"""oiiohfpnbijbgdidjfcpcljcfbmkaooi"",")</f>
        <v>"oiiohfpnbijbgdidjfcpcljcfbmkaooi",</v>
      </c>
    </row>
    <row r="2765">
      <c r="A2765" s="4" t="s">
        <v>21947</v>
      </c>
      <c r="B2765" s="4" t="s">
        <v>5509</v>
      </c>
      <c r="C2765" s="16" t="str">
        <f>IFERROR(__xludf.DUMMYFUNCTION(""""""""" &amp; REGEXEXTRACT(B2765, ""/detail/([^/?]+)"") &amp; """""","""),"""oinopeelpidbddmdhhllmpifaohjdkom"",")</f>
        <v>"oinopeelpidbddmdhhllmpifaohjdkom",</v>
      </c>
    </row>
    <row r="2766">
      <c r="A2766" s="4" t="s">
        <v>21948</v>
      </c>
      <c r="B2766" s="4" t="s">
        <v>5511</v>
      </c>
      <c r="C2766" s="16" t="str">
        <f>IFERROR(__xludf.DUMMYFUNCTION(""""""""" &amp; REGEXEXTRACT(B2766, ""/detail/([^/?]+)"") &amp; """""","""),"""okecofhlheppfglpgakbmhhohicoikcm"",")</f>
        <v>"okecofhlheppfglpgakbmhhohicoikcm",</v>
      </c>
    </row>
    <row r="2767">
      <c r="A2767" s="4" t="s">
        <v>21949</v>
      </c>
      <c r="B2767" s="4" t="s">
        <v>5513</v>
      </c>
      <c r="C2767" s="16" t="str">
        <f>IFERROR(__xludf.DUMMYFUNCTION(""""""""" &amp; REGEXEXTRACT(B2767, ""/detail/([^/?]+)"") &amp; """""","""),"""okfdckomkajiaeejefanbonnhppmplpo"",")</f>
        <v>"okfdckomkajiaeejefanbonnhppmplpo",</v>
      </c>
    </row>
    <row r="2768">
      <c r="A2768" s="4" t="s">
        <v>21950</v>
      </c>
      <c r="B2768" s="4" t="s">
        <v>5515</v>
      </c>
      <c r="C2768" s="16" t="str">
        <f>IFERROR(__xludf.DUMMYFUNCTION(""""""""" &amp; REGEXEXTRACT(B2768, ""/detail/([^/?]+)"") &amp; """""","""),"""okkobeojihghldlofbhjoenijjblmiag"",")</f>
        <v>"okkobeojihghldlofbhjoenijjblmiag",</v>
      </c>
    </row>
    <row r="2769">
      <c r="A2769" s="4" t="s">
        <v>21951</v>
      </c>
      <c r="B2769" s="4" t="s">
        <v>5517</v>
      </c>
      <c r="C2769" s="16" t="str">
        <f>IFERROR(__xludf.DUMMYFUNCTION(""""""""" &amp; REGEXEXTRACT(B2769, ""/detail/([^/?]+)"") &amp; """""","""),"""omnmfbjgmackkcedkabbpdpcijahechl"",")</f>
        <v>"omnmfbjgmackkcedkabbpdpcijahechl",</v>
      </c>
    </row>
    <row r="2770">
      <c r="A2770" s="4" t="s">
        <v>21952</v>
      </c>
      <c r="B2770" s="4" t="s">
        <v>5519</v>
      </c>
      <c r="C2770" s="16" t="str">
        <f>IFERROR(__xludf.DUMMYFUNCTION(""""""""" &amp; REGEXEXTRACT(B2770, ""/detail/([^/?]+)"") &amp; """""","""),"""onnbmgmepodkilcbdodhfepllfmafmlj"",")</f>
        <v>"onnbmgmepodkilcbdodhfepllfmafmlj",</v>
      </c>
    </row>
    <row r="2771">
      <c r="A2771" s="4" t="s">
        <v>21953</v>
      </c>
      <c r="B2771" s="4" t="s">
        <v>5521</v>
      </c>
      <c r="C2771" s="16" t="str">
        <f>IFERROR(__xludf.DUMMYFUNCTION(""""""""" &amp; REGEXEXTRACT(B2771, ""/detail/([^/?]+)"") &amp; """""","""),"""ooajenhhhbdbcolenhmmkgmkcocfdahd"",")</f>
        <v>"ooajenhhhbdbcolenhmmkgmkcocfdahd",</v>
      </c>
    </row>
    <row r="2772">
      <c r="A2772" s="4" t="s">
        <v>21954</v>
      </c>
      <c r="B2772" s="4" t="s">
        <v>5523</v>
      </c>
      <c r="C2772" s="16" t="str">
        <f>IFERROR(__xludf.DUMMYFUNCTION(""""""""" &amp; REGEXEXTRACT(B2772, ""/detail/([^/?]+)"") &amp; """""","""),"""ooakmpmnagdmgngeicgmaopeiknckopn"",")</f>
        <v>"ooakmpmnagdmgngeicgmaopeiknckopn",</v>
      </c>
    </row>
    <row r="2773">
      <c r="A2773" s="4" t="s">
        <v>21955</v>
      </c>
      <c r="B2773" s="4" t="s">
        <v>5525</v>
      </c>
      <c r="C2773" s="16" t="str">
        <f>IFERROR(__xludf.DUMMYFUNCTION(""""""""" &amp; REGEXEXTRACT(B2773, ""/detail/([^/?]+)"") &amp; """""","""),"""paojnnpimjmgppnibpnphlkoeomcfffn"",")</f>
        <v>"paojnnpimjmgppnibpnphlkoeomcfffn",</v>
      </c>
    </row>
    <row r="2774">
      <c r="A2774" s="4" t="s">
        <v>21956</v>
      </c>
      <c r="B2774" s="4" t="s">
        <v>5527</v>
      </c>
      <c r="C2774" s="16" t="str">
        <f>IFERROR(__xludf.DUMMYFUNCTION(""""""""" &amp; REGEXEXTRACT(B2774, ""/detail/([^/?]+)"") &amp; """""","""),"""pbdkaekoljplbgncigpmddkjlfoomkha"",")</f>
        <v>"pbdkaekoljplbgncigpmddkjlfoomkha",</v>
      </c>
    </row>
    <row r="2775">
      <c r="A2775" s="4" t="s">
        <v>21957</v>
      </c>
      <c r="B2775" s="4" t="s">
        <v>5529</v>
      </c>
      <c r="C2775" s="16" t="str">
        <f>IFERROR(__xludf.DUMMYFUNCTION(""""""""" &amp; REGEXEXTRACT(B2775, ""/detail/([^/?]+)"") &amp; """""","""),"""pbhldkcipcaeniadfnhhdaealdfjgbpj"",")</f>
        <v>"pbhldkcipcaeniadfnhhdaealdfjgbpj",</v>
      </c>
    </row>
    <row r="2776">
      <c r="A2776" s="4" t="s">
        <v>21958</v>
      </c>
      <c r="B2776" s="4" t="s">
        <v>5531</v>
      </c>
      <c r="C2776" s="16" t="str">
        <f>IFERROR(__xludf.DUMMYFUNCTION(""""""""" &amp; REGEXEXTRACT(B2776, ""/detail/([^/?]+)"") &amp; """""","""),"""pcgmedbmchghfgikplcimdmfldfnecec"",")</f>
        <v>"pcgmedbmchghfgikplcimdmfldfnecec",</v>
      </c>
    </row>
    <row r="2777">
      <c r="A2777" s="4" t="s">
        <v>21959</v>
      </c>
      <c r="B2777" s="4" t="s">
        <v>5533</v>
      </c>
      <c r="C2777" s="16" t="str">
        <f>IFERROR(__xludf.DUMMYFUNCTION(""""""""" &amp; REGEXEXTRACT(B2777, ""/detail/([^/?]+)"") &amp; """""","""),"""pcofajehbfbjnloomppmdfcjpoaemhmd"",")</f>
        <v>"pcofajehbfbjnloomppmdfcjpoaemhmd",</v>
      </c>
    </row>
    <row r="2778">
      <c r="A2778" s="4" t="s">
        <v>21960</v>
      </c>
      <c r="B2778" s="4" t="s">
        <v>5535</v>
      </c>
      <c r="C2778" s="16" t="str">
        <f>IFERROR(__xludf.DUMMYFUNCTION(""""""""" &amp; REGEXEXTRACT(B2778, ""/detail/([^/?]+)"") &amp; """""","""),"""pcpddmeglhedjeedfglodbfkcagcnjfb"",")</f>
        <v>"pcpddmeglhedjeedfglodbfkcagcnjfb",</v>
      </c>
    </row>
    <row r="2779">
      <c r="A2779" s="4" t="s">
        <v>21961</v>
      </c>
      <c r="B2779" s="4" t="s">
        <v>5537</v>
      </c>
      <c r="C2779" s="16" t="str">
        <f>IFERROR(__xludf.DUMMYFUNCTION(""""""""" &amp; REGEXEXTRACT(B2779, ""/detail/([^/?]+)"") &amp; """""","""),"""peoapnglceoafojobbkpohnojniabmkd"",")</f>
        <v>"peoapnglceoafojobbkpohnojniabmkd",</v>
      </c>
    </row>
    <row r="2780">
      <c r="A2780" s="4" t="s">
        <v>21962</v>
      </c>
      <c r="B2780" s="4" t="s">
        <v>5539</v>
      </c>
      <c r="C2780" s="16" t="str">
        <f>IFERROR(__xludf.DUMMYFUNCTION(""""""""" &amp; REGEXEXTRACT(B2780, ""/detail/([^/?]+)"") &amp; """""","""),"""peoodjkcnljekllfedckepfejklfomed"",")</f>
        <v>"peoodjkcnljekllfedckepfejklfomed",</v>
      </c>
    </row>
    <row r="2781">
      <c r="A2781" s="4" t="s">
        <v>21963</v>
      </c>
      <c r="B2781" s="4" t="s">
        <v>5540</v>
      </c>
      <c r="C2781" s="16" t="str">
        <f>IFERROR(__xludf.DUMMYFUNCTION(""""""""" &amp; REGEXEXTRACT(B2781, ""/detail/([^/?]+)"") &amp; """""","""),"""pfkpgccmeafapmchhknifkncoehlnnfj"",")</f>
        <v>"pfkpgccmeafapmchhknifkncoehlnnfj",</v>
      </c>
    </row>
    <row r="2782">
      <c r="A2782" s="4" t="s">
        <v>21964</v>
      </c>
      <c r="B2782" s="4" t="s">
        <v>5542</v>
      </c>
      <c r="C2782" s="16" t="str">
        <f>IFERROR(__xludf.DUMMYFUNCTION(""""""""" &amp; REGEXEXTRACT(B2782, ""/detail/([^/?]+)"") &amp; """""","""),"""pflcdcelbkdhfjglfpgiodfknhpdcmjl"",")</f>
        <v>"pflcdcelbkdhfjglfpgiodfknhpdcmjl",</v>
      </c>
    </row>
    <row r="2783">
      <c r="A2783" s="4" t="s">
        <v>21965</v>
      </c>
      <c r="B2783" s="4" t="s">
        <v>5544</v>
      </c>
      <c r="C2783" s="16" t="str">
        <f>IFERROR(__xludf.DUMMYFUNCTION(""""""""" &amp; REGEXEXTRACT(B2783, ""/detail/([^/?]+)"") &amp; """""","""),"""pgdjbeehbeajkcaflkboflehcdbidode"",")</f>
        <v>"pgdjbeehbeajkcaflkboflehcdbidode",</v>
      </c>
    </row>
    <row r="2784">
      <c r="A2784" s="4" t="s">
        <v>21966</v>
      </c>
      <c r="B2784" s="4" t="s">
        <v>5546</v>
      </c>
      <c r="C2784" s="16" t="str">
        <f>IFERROR(__xludf.DUMMYFUNCTION(""""""""" &amp; REGEXEXTRACT(B2784, ""/detail/([^/?]+)"") &amp; """""","""),"""pgkfdknjaidahdoiodilffcnafbfffjo"",")</f>
        <v>"pgkfdknjaidahdoiodilffcnafbfffjo",</v>
      </c>
    </row>
    <row r="2785">
      <c r="A2785" s="4" t="s">
        <v>21967</v>
      </c>
      <c r="B2785" s="4" t="s">
        <v>5548</v>
      </c>
      <c r="C2785" s="16" t="str">
        <f>IFERROR(__xludf.DUMMYFUNCTION(""""""""" &amp; REGEXEXTRACT(B2785, ""/detail/([^/?]+)"") &amp; """""","""),"""pihneiihahcfmjfegfjodnbiienlbpkm"",")</f>
        <v>"pihneiihahcfmjfegfjodnbiienlbpkm",</v>
      </c>
    </row>
    <row r="2786">
      <c r="A2786" s="4" t="s">
        <v>21968</v>
      </c>
      <c r="B2786" s="4" t="s">
        <v>5550</v>
      </c>
      <c r="C2786" s="16" t="str">
        <f>IFERROR(__xludf.DUMMYFUNCTION(""""""""" &amp; REGEXEXTRACT(B2786, ""/detail/([^/?]+)"") &amp; """""","""),"""plcnnpdmhobdfbponjpedobekiogmbco"",")</f>
        <v>"plcnnpdmhobdfbponjpedobekiogmbco",</v>
      </c>
    </row>
    <row r="2787">
      <c r="A2787" s="4" t="s">
        <v>21969</v>
      </c>
      <c r="B2787" s="4" t="s">
        <v>5552</v>
      </c>
      <c r="C2787" s="16" t="str">
        <f>IFERROR(__xludf.DUMMYFUNCTION(""""""""" &amp; REGEXEXTRACT(B2787, ""/detail/([^/?]+)"") &amp; """""","""),"""pmebbadefknbmnhkkagaleehhoijfdhh"",")</f>
        <v>"pmebbadefknbmnhkkagaleehhoijfdhh",</v>
      </c>
    </row>
    <row r="2788">
      <c r="A2788" s="4" t="s">
        <v>21970</v>
      </c>
      <c r="B2788" s="4" t="s">
        <v>5554</v>
      </c>
      <c r="C2788" s="16" t="str">
        <f>IFERROR(__xludf.DUMMYFUNCTION(""""""""" &amp; REGEXEXTRACT(B2788, ""/detail/([^/?]+)"") &amp; """""","""),"""pmihmdfpaajgmbdggejokbhkabhopnmd"",")</f>
        <v>"pmihmdfpaajgmbdggejokbhkabhopnmd",</v>
      </c>
    </row>
    <row r="2789">
      <c r="A2789" s="4" t="s">
        <v>21971</v>
      </c>
      <c r="B2789" s="4" t="s">
        <v>5556</v>
      </c>
      <c r="C2789" s="16" t="str">
        <f>IFERROR(__xludf.DUMMYFUNCTION(""""""""" &amp; REGEXEXTRACT(B2789, ""/detail/([^/?]+)"") &amp; """""","""),"""pnkdnemmobffmkgcmnbndclmcjobmlpf"",")</f>
        <v>"pnkdnemmobffmkgcmnbndclmcjobmlpf",</v>
      </c>
    </row>
    <row r="2790">
      <c r="A2790" s="4" t="s">
        <v>21972</v>
      </c>
      <c r="B2790" s="4" t="s">
        <v>5558</v>
      </c>
      <c r="C2790" s="16" t="str">
        <f>IFERROR(__xludf.DUMMYFUNCTION(""""""""" &amp; REGEXEXTRACT(B2790, ""/detail/([^/?]+)"") &amp; """""","""),"""pnocmgimjhoepacoohdlhmhhmphnbgoc"",")</f>
        <v>"pnocmgimjhoepacoohdlhmhhmphnbgoc",</v>
      </c>
    </row>
    <row r="2791">
      <c r="A2791" s="4" t="s">
        <v>21973</v>
      </c>
      <c r="B2791" s="4" t="s">
        <v>5560</v>
      </c>
      <c r="C2791" s="16" t="str">
        <f>IFERROR(__xludf.DUMMYFUNCTION(""""""""" &amp; REGEXEXTRACT(B2791, ""/detail/([^/?]+)"") &amp; """""","""),"""poplnlhpljnfdfgbnahmffgcgafflopj"",")</f>
        <v>"poplnlhpljnfdfgbnahmffgcgafflopj",</v>
      </c>
    </row>
    <row r="2792">
      <c r="A2792" s="4" t="s">
        <v>21974</v>
      </c>
      <c r="B2792" s="4" t="s">
        <v>5562</v>
      </c>
      <c r="C2792" s="16" t="str">
        <f>IFERROR(__xludf.DUMMYFUNCTION(""""""""" &amp; REGEXEXTRACT(B2792, ""/detail/([^/?]+)"") &amp; """""","""),"""aacnakggjhpkobmgcbngbljobfaejaoi"",")</f>
        <v>"aacnakggjhpkobmgcbngbljobfaejaoi",</v>
      </c>
    </row>
    <row r="2793">
      <c r="A2793" s="4" t="s">
        <v>21975</v>
      </c>
      <c r="B2793" s="4" t="s">
        <v>5564</v>
      </c>
      <c r="C2793" s="16" t="str">
        <f>IFERROR(__xludf.DUMMYFUNCTION(""""""""" &amp; REGEXEXTRACT(B2793, ""/detail/([^/?]+)"") &amp; """""","""),"""aaloejogbofkmmonaddiaogjjjdjlpcd"",")</f>
        <v>"aaloejogbofkmmonaddiaogjjjdjlpcd",</v>
      </c>
    </row>
    <row r="2794">
      <c r="A2794" s="4" t="s">
        <v>21976</v>
      </c>
      <c r="B2794" s="4" t="s">
        <v>5566</v>
      </c>
      <c r="C2794" s="16" t="str">
        <f>IFERROR(__xludf.DUMMYFUNCTION(""""""""" &amp; REGEXEXTRACT(B2794, ""/detail/([^/?]+)"") &amp; """""","""),"""aaoedoanmdcohhdbadkgjjfdmbbmiffe"",")</f>
        <v>"aaoedoanmdcohhdbadkgjjfdmbbmiffe",</v>
      </c>
    </row>
    <row r="2795">
      <c r="A2795" s="4" t="s">
        <v>21977</v>
      </c>
      <c r="B2795" s="4" t="s">
        <v>5568</v>
      </c>
      <c r="C2795" s="16" t="str">
        <f>IFERROR(__xludf.DUMMYFUNCTION(""""""""" &amp; REGEXEXTRACT(B2795, ""/detail/([^/?]+)"") &amp; """""","""),"""aaompibpddahnlhaklkapjkgiajbfkhm"",")</f>
        <v>"aaompibpddahnlhaklkapjkgiajbfkhm",</v>
      </c>
    </row>
    <row r="2796">
      <c r="A2796" s="4" t="s">
        <v>21978</v>
      </c>
      <c r="B2796" s="4" t="s">
        <v>5570</v>
      </c>
      <c r="C2796" s="16" t="str">
        <f>IFERROR(__xludf.DUMMYFUNCTION(""""""""" &amp; REGEXEXTRACT(B2796, ""/detail/([^/?]+)"") &amp; """""","""),"""abbjgieefhoknlhpjjbbejhhjfgjeife"",")</f>
        <v>"abbjgieefhoknlhpjjbbejhhjfgjeife",</v>
      </c>
    </row>
    <row r="2797">
      <c r="A2797" s="4" t="s">
        <v>21979</v>
      </c>
      <c r="B2797" s="4" t="s">
        <v>5572</v>
      </c>
      <c r="C2797" s="16" t="str">
        <f>IFERROR(__xludf.DUMMYFUNCTION(""""""""" &amp; REGEXEXTRACT(B2797, ""/detail/([^/?]+)"") &amp; """""","""),"""aboenfjacedibonlehnlmonjibinfcgl"",")</f>
        <v>"aboenfjacedibonlehnlmonjibinfcgl",</v>
      </c>
    </row>
    <row r="2798">
      <c r="A2798" s="4" t="s">
        <v>21980</v>
      </c>
      <c r="B2798" s="4" t="s">
        <v>5574</v>
      </c>
      <c r="C2798" s="16" t="str">
        <f>IFERROR(__xludf.DUMMYFUNCTION(""""""""" &amp; REGEXEXTRACT(B2798, ""/detail/([^/?]+)"") &amp; """""","""),"""acdfkjjfbghehjbojgnmjijpbgahmhee"",")</f>
        <v>"acdfkjjfbghehjbojgnmjijpbgahmhee",</v>
      </c>
    </row>
    <row r="2799">
      <c r="A2799" s="4" t="s">
        <v>21981</v>
      </c>
      <c r="B2799" s="4" t="s">
        <v>5576</v>
      </c>
      <c r="C2799" s="16" t="str">
        <f>IFERROR(__xludf.DUMMYFUNCTION(""""""""" &amp; REGEXEXTRACT(B2799, ""/detail/([^/?]+)"") &amp; """""","""),"""acgecdfblegjbbejckcbldclahcdpgdp"",")</f>
        <v>"acgecdfblegjbbejckcbldclahcdpgdp",</v>
      </c>
    </row>
    <row r="2800">
      <c r="A2800" s="4" t="s">
        <v>21982</v>
      </c>
      <c r="B2800" s="4" t="s">
        <v>5578</v>
      </c>
      <c r="C2800" s="16" t="str">
        <f>IFERROR(__xludf.DUMMYFUNCTION(""""""""" &amp; REGEXEXTRACT(B2800, ""/detail/([^/?]+)"") &amp; """""","""),"""admokidfeboogldpfhheflggdligklpl"",")</f>
        <v>"admokidfeboogldpfhheflggdligklpl",</v>
      </c>
    </row>
    <row r="2801">
      <c r="A2801" s="4" t="s">
        <v>21983</v>
      </c>
      <c r="B2801" s="4" t="s">
        <v>5580</v>
      </c>
      <c r="C2801" s="16" t="str">
        <f>IFERROR(__xludf.DUMMYFUNCTION(""""""""" &amp; REGEXEXTRACT(B2801, ""/detail/([^/?]+)"") &amp; """""","""),"""aecddkbjfdcefeiagnimheencdkmkefm"",")</f>
        <v>"aecddkbjfdcefeiagnimheencdkmkefm",</v>
      </c>
    </row>
    <row r="2802">
      <c r="A2802" s="4" t="s">
        <v>21984</v>
      </c>
      <c r="B2802" s="4" t="s">
        <v>5582</v>
      </c>
      <c r="C2802" s="16" t="str">
        <f>IFERROR(__xludf.DUMMYFUNCTION(""""""""" &amp; REGEXEXTRACT(B2802, ""/detail/([^/?]+)"") &amp; """""","""),"""afmhfdkkjmddchbkdlhgejiclbbpgfbf"",")</f>
        <v>"afmhfdkkjmddchbkdlhgejiclbbpgfbf",</v>
      </c>
    </row>
    <row r="2803">
      <c r="A2803" s="4" t="s">
        <v>21985</v>
      </c>
      <c r="B2803" s="4" t="s">
        <v>5584</v>
      </c>
      <c r="C2803" s="16" t="str">
        <f>IFERROR(__xludf.DUMMYFUNCTION(""""""""" &amp; REGEXEXTRACT(B2803, ""/detail/([^/?]+)"") &amp; """""","""),"""afppminkfnfngihdocacbgeajbbdklkf"",")</f>
        <v>"afppminkfnfngihdocacbgeajbbdklkf",</v>
      </c>
    </row>
    <row r="2804">
      <c r="A2804" s="4" t="s">
        <v>21986</v>
      </c>
      <c r="B2804" s="4" t="s">
        <v>5585</v>
      </c>
      <c r="C2804" s="16" t="str">
        <f>IFERROR(__xludf.DUMMYFUNCTION(""""""""" &amp; REGEXEXTRACT(B2804, ""/detail/([^/?]+)"") &amp; """""","""),"""agddlcilhjaiekablhdnaojfagkpnnjg"",")</f>
        <v>"agddlcilhjaiekablhdnaojfagkpnnjg",</v>
      </c>
    </row>
    <row r="2805">
      <c r="A2805" s="4" t="s">
        <v>21987</v>
      </c>
      <c r="B2805" s="4" t="s">
        <v>5587</v>
      </c>
      <c r="C2805" s="16" t="str">
        <f>IFERROR(__xludf.DUMMYFUNCTION(""""""""" &amp; REGEXEXTRACT(B2805, ""/detail/([^/?]+)"") &amp; """""","""),"""aihjpkojknmkmmpeceojgaeccoeeaddo"",")</f>
        <v>"aihjpkojknmkmmpeceojgaeccoeeaddo",</v>
      </c>
    </row>
    <row r="2806">
      <c r="A2806" s="4" t="s">
        <v>21988</v>
      </c>
      <c r="B2806" s="4" t="s">
        <v>5589</v>
      </c>
      <c r="C2806" s="16" t="str">
        <f>IFERROR(__xludf.DUMMYFUNCTION(""""""""" &amp; REGEXEXTRACT(B2806, ""/detail/([^/?]+)"") &amp; """""","""),"""aiocpnokjcmpelmlmekbjjblcompckhe"",")</f>
        <v>"aiocpnokjcmpelmlmekbjjblcompckhe",</v>
      </c>
    </row>
    <row r="2807">
      <c r="A2807" s="4" t="s">
        <v>21989</v>
      </c>
      <c r="B2807" s="4" t="s">
        <v>5591</v>
      </c>
      <c r="C2807" s="16" t="str">
        <f>IFERROR(__xludf.DUMMYFUNCTION(""""""""" &amp; REGEXEXTRACT(B2807, ""/detail/([^/?]+)"") &amp; """""","""),"""ajfbflclpnpbjkfibijekgcombcgehbi"",")</f>
        <v>"ajfbflclpnpbjkfibijekgcombcgehbi",</v>
      </c>
    </row>
    <row r="2808">
      <c r="A2808" s="4" t="s">
        <v>21990</v>
      </c>
      <c r="B2808" s="4" t="s">
        <v>5593</v>
      </c>
      <c r="C2808" s="16" t="str">
        <f>IFERROR(__xludf.DUMMYFUNCTION(""""""""" &amp; REGEXEXTRACT(B2808, ""/detail/([^/?]+)"") &amp; """""","""),"""akbdooghbmenilbdgkpapgliaplhgjeb"",")</f>
        <v>"akbdooghbmenilbdgkpapgliaplhgjeb",</v>
      </c>
    </row>
    <row r="2809">
      <c r="A2809" s="4" t="s">
        <v>21991</v>
      </c>
      <c r="B2809" s="4" t="s">
        <v>5595</v>
      </c>
      <c r="C2809" s="16" t="str">
        <f>IFERROR(__xludf.DUMMYFUNCTION(""""""""" &amp; REGEXEXTRACT(B2809, ""/detail/([^/?]+)"") &amp; """""","""),"""akgbekdpgegfglbmldaljbeihfcgbofl"",")</f>
        <v>"akgbekdpgegfglbmldaljbeihfcgbofl",</v>
      </c>
    </row>
    <row r="2810">
      <c r="A2810" s="4" t="s">
        <v>21992</v>
      </c>
      <c r="B2810" s="4" t="s">
        <v>5597</v>
      </c>
      <c r="C2810" s="16" t="str">
        <f>IFERROR(__xludf.DUMMYFUNCTION(""""""""" &amp; REGEXEXTRACT(B2810, ""/detail/([^/?]+)"") &amp; """""","""),"""aknnfmghapkdmlimhhdgbpkbiefombni"",")</f>
        <v>"aknnfmghapkdmlimhhdgbpkbiefombni",</v>
      </c>
    </row>
    <row r="2811">
      <c r="A2811" s="4" t="s">
        <v>21993</v>
      </c>
      <c r="B2811" s="4" t="s">
        <v>5599</v>
      </c>
      <c r="C2811" s="16" t="str">
        <f>IFERROR(__xludf.DUMMYFUNCTION(""""""""" &amp; REGEXEXTRACT(B2811, ""/detail/([^/?]+)"") &amp; """""","""),"""amajpgnakbemacnkmnjbkoacbaephjfd"",")</f>
        <v>"amajpgnakbemacnkmnjbkoacbaephjfd",</v>
      </c>
    </row>
    <row r="2812">
      <c r="A2812" s="4" t="s">
        <v>21994</v>
      </c>
      <c r="B2812" s="4" t="s">
        <v>5601</v>
      </c>
      <c r="C2812" s="16" t="str">
        <f>IFERROR(__xludf.DUMMYFUNCTION(""""""""" &amp; REGEXEXTRACT(B2812, ""/detail/([^/?]+)"") &amp; """""","""),"""amdginnpaflghjbbdkfenpekaeifnpee"",")</f>
        <v>"amdginnpaflghjbbdkfenpekaeifnpee",</v>
      </c>
    </row>
    <row r="2813">
      <c r="A2813" s="4" t="s">
        <v>21995</v>
      </c>
      <c r="B2813" s="4" t="s">
        <v>5603</v>
      </c>
      <c r="C2813" s="16" t="str">
        <f>IFERROR(__xludf.DUMMYFUNCTION(""""""""" &amp; REGEXEXTRACT(B2813, ""/detail/([^/?]+)"") &amp; """""","""),"""amkdnibbgekpljlononmmglfppeihpdn"",")</f>
        <v>"amkdnibbgekpljlononmmglfppeihpdn",</v>
      </c>
    </row>
    <row r="2814">
      <c r="A2814" s="4" t="s">
        <v>21996</v>
      </c>
      <c r="B2814" s="4" t="s">
        <v>5605</v>
      </c>
      <c r="C2814" s="16" t="str">
        <f>IFERROR(__xludf.DUMMYFUNCTION(""""""""" &amp; REGEXEXTRACT(B2814, ""/detail/([^/?]+)"") &amp; """""","""),"""amoojkmllfodlpgmdnclkgdnejgpeada"",")</f>
        <v>"amoojkmllfodlpgmdnclkgdnejgpeada",</v>
      </c>
    </row>
    <row r="2815">
      <c r="A2815" s="4" t="s">
        <v>21997</v>
      </c>
      <c r="B2815" s="4" t="s">
        <v>5607</v>
      </c>
      <c r="C2815" s="16" t="str">
        <f>IFERROR(__xludf.DUMMYFUNCTION(""""""""" &amp; REGEXEXTRACT(B2815, ""/detail/([^/?]+)"") &amp; """""","""),"""annlhfjgbkfmbbejkbdpgbmpbcjnehbb"",")</f>
        <v>"annlhfjgbkfmbbejkbdpgbmpbcjnehbb",</v>
      </c>
    </row>
    <row r="2816">
      <c r="A2816" s="4" t="s">
        <v>21998</v>
      </c>
      <c r="B2816" s="4" t="s">
        <v>5609</v>
      </c>
      <c r="C2816" s="16" t="str">
        <f>IFERROR(__xludf.DUMMYFUNCTION(""""""""" &amp; REGEXEXTRACT(B2816, ""/detail/([^/?]+)"") &amp; """""","""),"""apkmkeppocbbebomnhdmhfenfifkhjfd"",")</f>
        <v>"apkmkeppocbbebomnhdmhfenfifkhjfd",</v>
      </c>
    </row>
    <row r="2817">
      <c r="A2817" s="4" t="s">
        <v>21999</v>
      </c>
      <c r="B2817" s="4" t="s">
        <v>5611</v>
      </c>
      <c r="C2817" s="16" t="str">
        <f>IFERROR(__xludf.DUMMYFUNCTION(""""""""" &amp; REGEXEXTRACT(B2817, ""/detail/([^/?]+)"") &amp; """""","""),"""bacddgiookhgfeeaiioiiifimomoknmj"",")</f>
        <v>"bacddgiookhgfeeaiioiiifimomoknmj",</v>
      </c>
    </row>
    <row r="2818">
      <c r="A2818" s="4" t="s">
        <v>22000</v>
      </c>
      <c r="B2818" s="4" t="s">
        <v>5613</v>
      </c>
      <c r="C2818" s="16" t="str">
        <f>IFERROR(__xludf.DUMMYFUNCTION(""""""""" &amp; REGEXEXTRACT(B2818, ""/detail/([^/?]+)"") &amp; """""","""),"""bcjkhhgcjlhfbkamaabehklnnnnneifi"",")</f>
        <v>"bcjkhhgcjlhfbkamaabehklnnnnneifi",</v>
      </c>
    </row>
    <row r="2819">
      <c r="A2819" s="4" t="s">
        <v>22001</v>
      </c>
      <c r="B2819" s="4" t="s">
        <v>5615</v>
      </c>
      <c r="C2819" s="16" t="str">
        <f>IFERROR(__xludf.DUMMYFUNCTION(""""""""" &amp; REGEXEXTRACT(B2819, ""/detail/([^/?]+)"") &amp; """""","""),"""bcobmoggclhhpkdckmnmhejleeihgmgk"",")</f>
        <v>"bcobmoggclhhpkdckmnmhejleeihgmgk",</v>
      </c>
    </row>
    <row r="2820">
      <c r="A2820" s="4" t="s">
        <v>22002</v>
      </c>
      <c r="B2820" s="4" t="s">
        <v>5617</v>
      </c>
      <c r="C2820" s="16" t="str">
        <f>IFERROR(__xludf.DUMMYFUNCTION(""""""""" &amp; REGEXEXTRACT(B2820, ""/detail/([^/?]+)"") &amp; """""","""),"""beafekehjfhnkpnnjegadfdncaipnljp"",")</f>
        <v>"beafekehjfhnkpnnjegadfdncaipnljp",</v>
      </c>
    </row>
    <row r="2821">
      <c r="A2821" s="4" t="s">
        <v>22003</v>
      </c>
      <c r="B2821" s="4" t="s">
        <v>5619</v>
      </c>
      <c r="C2821" s="16" t="str">
        <f>IFERROR(__xludf.DUMMYFUNCTION(""""""""" &amp; REGEXEXTRACT(B2821, ""/detail/([^/?]+)"") &amp; """""","""),"""bfbkaicljfncoidecpbgdjefionbahlp"",")</f>
        <v>"bfbkaicljfncoidecpbgdjefionbahlp",</v>
      </c>
    </row>
    <row r="2822">
      <c r="A2822" s="4" t="s">
        <v>22004</v>
      </c>
      <c r="B2822" s="4" t="s">
        <v>5621</v>
      </c>
      <c r="C2822" s="16" t="str">
        <f>IFERROR(__xludf.DUMMYFUNCTION(""""""""" &amp; REGEXEXTRACT(B2822, ""/detail/([^/?]+)"") &amp; """""","""),"""bfbobdlagdgbknpjoeidaefbhjcengjg"",")</f>
        <v>"bfbobdlagdgbknpjoeidaefbhjcengjg",</v>
      </c>
    </row>
    <row r="2823">
      <c r="A2823" s="4" t="s">
        <v>22005</v>
      </c>
      <c r="B2823" s="4" t="s">
        <v>5623</v>
      </c>
      <c r="C2823" s="16" t="str">
        <f>IFERROR(__xludf.DUMMYFUNCTION(""""""""" &amp; REGEXEXTRACT(B2823, ""/detail/([^/?]+)"") &amp; """""","""),"""bflolmfdngaflefhmapdbbjmclioljck"",")</f>
        <v>"bflolmfdngaflefhmapdbbjmclioljck",</v>
      </c>
    </row>
    <row r="2824">
      <c r="A2824" s="4" t="s">
        <v>22006</v>
      </c>
      <c r="B2824" s="4" t="s">
        <v>5625</v>
      </c>
      <c r="C2824" s="16" t="str">
        <f>IFERROR(__xludf.DUMMYFUNCTION(""""""""" &amp; REGEXEXTRACT(B2824, ""/detail/([^/?]+)"") &amp; """""","""),"""bgafccceonganlcmcojjacanoadnhmac"",")</f>
        <v>"bgafccceonganlcmcojjacanoadnhmac",</v>
      </c>
    </row>
    <row r="2825">
      <c r="A2825" s="4" t="s">
        <v>22007</v>
      </c>
      <c r="B2825" s="4" t="s">
        <v>5627</v>
      </c>
      <c r="C2825" s="16" t="str">
        <f>IFERROR(__xludf.DUMMYFUNCTION(""""""""" &amp; REGEXEXTRACT(B2825, ""/detail/([^/?]+)"") &amp; """""","""),"""bgcfdodiekfhjfdcamaelkanbbifepib"",")</f>
        <v>"bgcfdodiekfhjfdcamaelkanbbifepib",</v>
      </c>
    </row>
    <row r="2826">
      <c r="A2826" s="4" t="s">
        <v>22008</v>
      </c>
      <c r="B2826" s="4" t="s">
        <v>5629</v>
      </c>
      <c r="C2826" s="16" t="str">
        <f>IFERROR(__xludf.DUMMYFUNCTION(""""""""" &amp; REGEXEXTRACT(B2826, ""/detail/([^/?]+)"") &amp; """""","""),"""bhdnlmmgiplmbcdmkkdfplenecpegfno"",")</f>
        <v>"bhdnlmmgiplmbcdmkkdfplenecpegfno",</v>
      </c>
    </row>
    <row r="2827">
      <c r="A2827" s="4" t="s">
        <v>22009</v>
      </c>
      <c r="B2827" s="4" t="s">
        <v>5631</v>
      </c>
      <c r="C2827" s="16" t="str">
        <f>IFERROR(__xludf.DUMMYFUNCTION(""""""""" &amp; REGEXEXTRACT(B2827, ""/detail/([^/?]+)"") &amp; """""","""),"""bhhijgglehlaflknjkgjbhbjhbfgnpjm"",")</f>
        <v>"bhhijgglehlaflknjkgjbhbjhbfgnpjm",</v>
      </c>
    </row>
    <row r="2828">
      <c r="A2828" s="4" t="s">
        <v>22010</v>
      </c>
      <c r="B2828" s="4" t="s">
        <v>5633</v>
      </c>
      <c r="C2828" s="16" t="str">
        <f>IFERROR(__xludf.DUMMYFUNCTION(""""""""" &amp; REGEXEXTRACT(B2828, ""/detail/([^/?]+)"") &amp; """""","""),"""bhnfbnhpmnfacebccnjjoeecgmnbhjam"",")</f>
        <v>"bhnfbnhpmnfacebccnjjoeecgmnbhjam",</v>
      </c>
    </row>
    <row r="2829">
      <c r="A2829" s="4" t="s">
        <v>22011</v>
      </c>
      <c r="B2829" s="4" t="s">
        <v>5635</v>
      </c>
      <c r="C2829" s="16" t="str">
        <f>IFERROR(__xludf.DUMMYFUNCTION(""""""""" &amp; REGEXEXTRACT(B2829, ""/detail/([^/?]+)"") &amp; """""","""),"""bjbnpbcfdafpkplddacjlfiiimdhpkhd"",")</f>
        <v>"bjbnpbcfdafpkplddacjlfiiimdhpkhd",</v>
      </c>
    </row>
    <row r="2830">
      <c r="A2830" s="4" t="s">
        <v>22012</v>
      </c>
      <c r="B2830" s="4" t="s">
        <v>5637</v>
      </c>
      <c r="C2830" s="16" t="str">
        <f>IFERROR(__xludf.DUMMYFUNCTION(""""""""" &amp; REGEXEXTRACT(B2830, ""/detail/([^/?]+)"") &amp; """""","""),"""bjhigladkmnpmglhcnpeiplekpanekpi"",")</f>
        <v>"bjhigladkmnpmglhcnpeiplekpanekpi",</v>
      </c>
    </row>
    <row r="2831">
      <c r="A2831" s="4" t="s">
        <v>22013</v>
      </c>
      <c r="B2831" s="4" t="s">
        <v>5639</v>
      </c>
      <c r="C2831" s="16" t="str">
        <f>IFERROR(__xludf.DUMMYFUNCTION(""""""""" &amp; REGEXEXTRACT(B2831, ""/detail/([^/?]+)"") &amp; """""","""),"""bjkpenmobbeedaclipgbebdkkhdcndka"",")</f>
        <v>"bjkpenmobbeedaclipgbebdkkhdcndka",</v>
      </c>
    </row>
    <row r="2832">
      <c r="A2832" s="4" t="s">
        <v>22014</v>
      </c>
      <c r="B2832" s="4" t="s">
        <v>5641</v>
      </c>
      <c r="C2832" s="16" t="str">
        <f>IFERROR(__xludf.DUMMYFUNCTION(""""""""" &amp; REGEXEXTRACT(B2832, ""/detail/([^/?]+)"") &amp; """""","""),"""bjmlgmafibinjaenlecblghckooofkma"",")</f>
        <v>"bjmlgmafibinjaenlecblghckooofkma",</v>
      </c>
    </row>
    <row r="2833">
      <c r="A2833" s="4" t="s">
        <v>22015</v>
      </c>
      <c r="B2833" s="4" t="s">
        <v>5643</v>
      </c>
      <c r="C2833" s="16" t="str">
        <f>IFERROR(__xludf.DUMMYFUNCTION(""""""""" &amp; REGEXEXTRACT(B2833, ""/detail/([^/?]+)"") &amp; """""","""),"""bkbofjphmlieeijckncaopohipgminhc"",")</f>
        <v>"bkbofjphmlieeijckncaopohipgminhc",</v>
      </c>
    </row>
    <row r="2834">
      <c r="A2834" s="4" t="s">
        <v>22016</v>
      </c>
      <c r="B2834" s="4" t="s">
        <v>5645</v>
      </c>
      <c r="C2834" s="16" t="str">
        <f>IFERROR(__xludf.DUMMYFUNCTION(""""""""" &amp; REGEXEXTRACT(B2834, ""/detail/([^/?]+)"") &amp; """""","""),"""blabaldcgjcicckhojgankkjjfcjjefh"",")</f>
        <v>"blabaldcgjcicckhojgankkjjfcjjefh",</v>
      </c>
    </row>
    <row r="2835">
      <c r="A2835" s="4" t="s">
        <v>22017</v>
      </c>
      <c r="B2835" s="4" t="s">
        <v>5647</v>
      </c>
      <c r="C2835" s="16" t="str">
        <f>IFERROR(__xludf.DUMMYFUNCTION(""""""""" &amp; REGEXEXTRACT(B2835, ""/detail/([^/?]+)"") &amp; """""","""),"""blbiaonjllllhnnblbddfhncokpmogjh"",")</f>
        <v>"blbiaonjllllhnnblbddfhncokpmogjh",</v>
      </c>
    </row>
    <row r="2836">
      <c r="A2836" s="4" t="s">
        <v>22018</v>
      </c>
      <c r="B2836" s="4" t="s">
        <v>5649</v>
      </c>
      <c r="C2836" s="16" t="str">
        <f>IFERROR(__xludf.DUMMYFUNCTION(""""""""" &amp; REGEXEXTRACT(B2836, ""/detail/([^/?]+)"") &amp; """""","""),"""bmjdeaihnngnnnaldgakphcaanioohgn"",")</f>
        <v>"bmjdeaihnngnnnaldgakphcaanioohgn",</v>
      </c>
    </row>
    <row r="2837">
      <c r="A2837" s="4" t="s">
        <v>22019</v>
      </c>
      <c r="B2837" s="4" t="s">
        <v>5651</v>
      </c>
      <c r="C2837" s="16" t="str">
        <f>IFERROR(__xludf.DUMMYFUNCTION(""""""""" &amp; REGEXEXTRACT(B2837, ""/detail/([^/?]+)"") &amp; """""","""),"""boobfniiepghnbeplehgjjmjnfehmnba"",")</f>
        <v>"boobfniiepghnbeplehgjjmjnfehmnba",</v>
      </c>
    </row>
    <row r="2838">
      <c r="A2838" s="4" t="s">
        <v>22020</v>
      </c>
      <c r="B2838" s="4" t="s">
        <v>5653</v>
      </c>
      <c r="C2838" s="16" t="str">
        <f>IFERROR(__xludf.DUMMYFUNCTION(""""""""" &amp; REGEXEXTRACT(B2838, ""/detail/([^/?]+)"") &amp; """""","""),"""cabpifjghnpgidgabhhcglnmabpggcem"",")</f>
        <v>"cabpifjghnpgidgabhhcglnmabpggcem",</v>
      </c>
    </row>
    <row r="2839">
      <c r="A2839" s="4" t="s">
        <v>22021</v>
      </c>
      <c r="B2839" s="4" t="s">
        <v>5655</v>
      </c>
      <c r="C2839" s="16" t="str">
        <f>IFERROR(__xludf.DUMMYFUNCTION(""""""""" &amp; REGEXEXTRACT(B2839, ""/detail/([^/?]+)"") &amp; """""","""),"""cagjnmggjoldimomobkioelipinmoddn"",")</f>
        <v>"cagjnmggjoldimomobkioelipinmoddn",</v>
      </c>
    </row>
    <row r="2840">
      <c r="A2840" s="4" t="s">
        <v>22022</v>
      </c>
      <c r="B2840" s="4" t="s">
        <v>5657</v>
      </c>
      <c r="C2840" s="16" t="str">
        <f>IFERROR(__xludf.DUMMYFUNCTION(""""""""" &amp; REGEXEXTRACT(B2840, ""/detail/([^/?]+)"") &amp; """""","""),"""cbcmjpjgkjebibnojeedgapogoohckae"",")</f>
        <v>"cbcmjpjgkjebibnojeedgapogoohckae",</v>
      </c>
    </row>
    <row r="2841">
      <c r="A2841" s="4" t="s">
        <v>22023</v>
      </c>
      <c r="B2841" s="4" t="s">
        <v>5659</v>
      </c>
      <c r="C2841" s="16" t="str">
        <f>IFERROR(__xludf.DUMMYFUNCTION(""""""""" &amp; REGEXEXTRACT(B2841, ""/detail/([^/?]+)"") &amp; """""","""),"""cbjgpemimjmpbldgimfocbanmmkoefbi"",")</f>
        <v>"cbjgpemimjmpbldgimfocbanmmkoefbi",</v>
      </c>
    </row>
    <row r="2842">
      <c r="A2842" s="4" t="s">
        <v>22024</v>
      </c>
      <c r="B2842" s="4" t="s">
        <v>5661</v>
      </c>
      <c r="C2842" s="16" t="str">
        <f>IFERROR(__xludf.DUMMYFUNCTION(""""""""" &amp; REGEXEXTRACT(B2842, ""/detail/([^/?]+)"") &amp; """""","""),"""ccilmbdijoknlfpepncnebjkiclplhig"",")</f>
        <v>"ccilmbdijoknlfpepncnebjkiclplhig",</v>
      </c>
    </row>
    <row r="2843">
      <c r="A2843" s="4" t="s">
        <v>22025</v>
      </c>
      <c r="B2843" s="4" t="s">
        <v>5663</v>
      </c>
      <c r="C2843" s="16" t="str">
        <f>IFERROR(__xludf.DUMMYFUNCTION(""""""""" &amp; REGEXEXTRACT(B2843, ""/detail/([^/?]+)"") &amp; """""","""),"""ccpijdhjamhdeljmaepelipackhmiepd"",")</f>
        <v>"ccpijdhjamhdeljmaepelipackhmiepd",</v>
      </c>
    </row>
    <row r="2844">
      <c r="A2844" s="4" t="s">
        <v>22026</v>
      </c>
      <c r="B2844" s="4" t="s">
        <v>5665</v>
      </c>
      <c r="C2844" s="16" t="str">
        <f>IFERROR(__xludf.DUMMYFUNCTION(""""""""" &amp; REGEXEXTRACT(B2844, ""/detail/([^/?]+)"") &amp; """""","""),"""cdfideipbjhenjiijgmifpfgkhoneaic"",")</f>
        <v>"cdfideipbjhenjiijgmifpfgkhoneaic",</v>
      </c>
    </row>
    <row r="2845">
      <c r="A2845" s="4" t="s">
        <v>22027</v>
      </c>
      <c r="B2845" s="4" t="s">
        <v>5667</v>
      </c>
      <c r="C2845" s="16" t="str">
        <f>IFERROR(__xludf.DUMMYFUNCTION(""""""""" &amp; REGEXEXTRACT(B2845, ""/detail/([^/?]+)"") &amp; """""","""),"""ceffohncmfdlkdjbnojpdbmnfnigonba"",")</f>
        <v>"ceffohncmfdlkdjbnojpdbmnfnigonba",</v>
      </c>
    </row>
    <row r="2846">
      <c r="A2846" s="4" t="s">
        <v>22028</v>
      </c>
      <c r="B2846" s="4" t="s">
        <v>5669</v>
      </c>
      <c r="C2846" s="16" t="str">
        <f>IFERROR(__xludf.DUMMYFUNCTION(""""""""" &amp; REGEXEXTRACT(B2846, ""/detail/([^/?]+)"") &amp; """""","""),"""ceiihmdnpjglaoolchdmncoffhhbgodj"",")</f>
        <v>"ceiihmdnpjglaoolchdmncoffhhbgodj",</v>
      </c>
    </row>
    <row r="2847">
      <c r="A2847" s="4" t="s">
        <v>22029</v>
      </c>
      <c r="B2847" s="4" t="s">
        <v>5671</v>
      </c>
      <c r="C2847" s="16" t="str">
        <f>IFERROR(__xludf.DUMMYFUNCTION(""""""""" &amp; REGEXEXTRACT(B2847, ""/detail/([^/?]+)"") &amp; """""","""),"""cempkcjhopkkdjbhdcmogacchkllmkoi"",")</f>
        <v>"cempkcjhopkkdjbhdcmogacchkllmkoi",</v>
      </c>
    </row>
    <row r="2848">
      <c r="A2848" s="4" t="s">
        <v>22030</v>
      </c>
      <c r="B2848" s="4" t="s">
        <v>5673</v>
      </c>
      <c r="C2848" s="16" t="str">
        <f>IFERROR(__xludf.DUMMYFUNCTION(""""""""" &amp; REGEXEXTRACT(B2848, ""/detail/([^/?]+)"") &amp; """""","""),"""cfifjihfoegnccifkcdomdookdckhaah"",")</f>
        <v>"cfifjihfoegnccifkcdomdookdckhaah",</v>
      </c>
    </row>
    <row r="2849">
      <c r="A2849" s="4" t="s">
        <v>22031</v>
      </c>
      <c r="B2849" s="4" t="s">
        <v>5675</v>
      </c>
      <c r="C2849" s="16" t="str">
        <f>IFERROR(__xludf.DUMMYFUNCTION(""""""""" &amp; REGEXEXTRACT(B2849, ""/detail/([^/?]+)"") &amp; """""","""),"""cfioaajkjmmdpnebpkjanmpaffnahaai"",")</f>
        <v>"cfioaajkjmmdpnebpkjanmpaffnahaai",</v>
      </c>
    </row>
    <row r="2850">
      <c r="A2850" s="4" t="s">
        <v>22032</v>
      </c>
      <c r="B2850" s="4" t="s">
        <v>5677</v>
      </c>
      <c r="C2850" s="16" t="str">
        <f>IFERROR(__xludf.DUMMYFUNCTION(""""""""" &amp; REGEXEXTRACT(B2850, ""/detail/([^/?]+)"") &amp; """""","""),"""cfpodbpbpcaccakppfhhmocmjleehngd"",")</f>
        <v>"cfpodbpbpcaccakppfhhmocmjleehngd",</v>
      </c>
    </row>
    <row r="2851">
      <c r="A2851" s="4" t="s">
        <v>22033</v>
      </c>
      <c r="B2851" s="4" t="s">
        <v>5679</v>
      </c>
      <c r="C2851" s="16" t="str">
        <f>IFERROR(__xludf.DUMMYFUNCTION(""""""""" &amp; REGEXEXTRACT(B2851, ""/detail/([^/?]+)"") &amp; """""","""),"""cgkmhlnbmfjmlplmcdnannneiplmjiba"",")</f>
        <v>"cgkmhlnbmfjmlplmcdnannneiplmjiba",</v>
      </c>
    </row>
    <row r="2852">
      <c r="A2852" s="4" t="s">
        <v>22034</v>
      </c>
      <c r="B2852" s="4" t="s">
        <v>5681</v>
      </c>
      <c r="C2852" s="16" t="str">
        <f>IFERROR(__xludf.DUMMYFUNCTION(""""""""" &amp; REGEXEXTRACT(B2852, ""/detail/([^/?]+)"") &amp; """""","""),"""cgmllohkcppmnkfpijpngkplpdbikhlf"",")</f>
        <v>"cgmllohkcppmnkfpijpngkplpdbikhlf",</v>
      </c>
    </row>
    <row r="2853">
      <c r="A2853" s="4" t="s">
        <v>22035</v>
      </c>
      <c r="B2853" s="4" t="s">
        <v>5683</v>
      </c>
      <c r="C2853" s="16" t="str">
        <f>IFERROR(__xludf.DUMMYFUNCTION(""""""""" &amp; REGEXEXTRACT(B2853, ""/detail/([^/?]+)"") &amp; """""","""),"""cgplmlkapmilmmccefnmllkdhjlkiako"",")</f>
        <v>"cgplmlkapmilmmccefnmllkdhjlkiako",</v>
      </c>
    </row>
    <row r="2854">
      <c r="A2854" s="4" t="s">
        <v>22036</v>
      </c>
      <c r="B2854" s="4" t="s">
        <v>5685</v>
      </c>
      <c r="C2854" s="16" t="str">
        <f>IFERROR(__xludf.DUMMYFUNCTION(""""""""" &amp; REGEXEXTRACT(B2854, ""/detail/([^/?]+)"") &amp; """""","""),"""chhpogndpjcgjbnbcodhdnilklfanmfh"",")</f>
        <v>"chhpogndpjcgjbnbcodhdnilklfanmfh",</v>
      </c>
    </row>
    <row r="2855">
      <c r="A2855" s="4" t="s">
        <v>22037</v>
      </c>
      <c r="B2855" s="4" t="s">
        <v>5687</v>
      </c>
      <c r="C2855" s="16" t="str">
        <f>IFERROR(__xludf.DUMMYFUNCTION(""""""""" &amp; REGEXEXTRACT(B2855, ""/detail/([^/?]+)"") &amp; """""","""),"""chihjmmmhbapnhemoopibkekbojilhge"",")</f>
        <v>"chihjmmmhbapnhemoopibkekbojilhge",</v>
      </c>
    </row>
    <row r="2856">
      <c r="A2856" s="4" t="s">
        <v>22038</v>
      </c>
      <c r="B2856" s="4" t="s">
        <v>5689</v>
      </c>
      <c r="C2856" s="16" t="str">
        <f>IFERROR(__xludf.DUMMYFUNCTION(""""""""" &amp; REGEXEXTRACT(B2856, ""/detail/([^/?]+)"") &amp; """""","""),"""chnfcckibdbgjabhojhmdcnbiiogbleb"",")</f>
        <v>"chnfcckibdbgjabhojhmdcnbiiogbleb",</v>
      </c>
    </row>
    <row r="2857">
      <c r="A2857" s="4" t="s">
        <v>22039</v>
      </c>
      <c r="B2857" s="4" t="s">
        <v>5691</v>
      </c>
      <c r="C2857" s="16" t="str">
        <f>IFERROR(__xludf.DUMMYFUNCTION(""""""""" &amp; REGEXEXTRACT(B2857, ""/detail/([^/?]+)"") &amp; """""","""),"""cieekmjjdkckhpidgaffphlaljdfhhab"",")</f>
        <v>"cieekmjjdkckhpidgaffphlaljdfhhab",</v>
      </c>
    </row>
    <row r="2858">
      <c r="A2858" s="4" t="s">
        <v>22040</v>
      </c>
      <c r="B2858" s="4" t="s">
        <v>5693</v>
      </c>
      <c r="C2858" s="16" t="str">
        <f>IFERROR(__xludf.DUMMYFUNCTION(""""""""" &amp; REGEXEXTRACT(B2858, ""/detail/([^/?]+)"") &amp; """""","""),"""cioghjjkbkedmiipnkpopholijehcddj"",")</f>
        <v>"cioghjjkbkedmiipnkpopholijehcddj",</v>
      </c>
    </row>
    <row r="2859">
      <c r="A2859" s="4" t="s">
        <v>22041</v>
      </c>
      <c r="B2859" s="4" t="s">
        <v>5695</v>
      </c>
      <c r="C2859" s="16" t="str">
        <f>IFERROR(__xludf.DUMMYFUNCTION(""""""""" &amp; REGEXEXTRACT(B2859, ""/detail/([^/?]+)"") &amp; """""","""),"""ciomikhpohnecdfdpiakhjbmfbmjpmkf"",")</f>
        <v>"ciomikhpohnecdfdpiakhjbmfbmjpmkf",</v>
      </c>
    </row>
    <row r="2860">
      <c r="A2860" s="4" t="s">
        <v>22042</v>
      </c>
      <c r="B2860" s="4" t="s">
        <v>5697</v>
      </c>
      <c r="C2860" s="16" t="str">
        <f>IFERROR(__xludf.DUMMYFUNCTION(""""""""" &amp; REGEXEXTRACT(B2860, ""/detail/([^/?]+)"") &amp; """""","""),"""cjekpooehbkibbkgdbfmcnmhgegklnmj"",")</f>
        <v>"cjekpooehbkibbkgdbfmcnmhgegklnmj",</v>
      </c>
    </row>
    <row r="2861">
      <c r="A2861" s="4" t="s">
        <v>22043</v>
      </c>
      <c r="B2861" s="4" t="s">
        <v>5699</v>
      </c>
      <c r="C2861" s="16" t="str">
        <f>IFERROR(__xludf.DUMMYFUNCTION(""""""""" &amp; REGEXEXTRACT(B2861, ""/detail/([^/?]+)"") &amp; """""","""),"""cjmlnaabfplidoaeildcdndpnefcdhoh"",")</f>
        <v>"cjmlnaabfplidoaeildcdndpnefcdhoh",</v>
      </c>
    </row>
    <row r="2862">
      <c r="A2862" s="4" t="s">
        <v>22044</v>
      </c>
      <c r="B2862" s="4" t="s">
        <v>5701</v>
      </c>
      <c r="C2862" s="16" t="str">
        <f>IFERROR(__xludf.DUMMYFUNCTION(""""""""" &amp; REGEXEXTRACT(B2862, ""/detail/([^/?]+)"") &amp; """""","""),"""cjoidmhkohpfflneoadklkfkekihbjia"",")</f>
        <v>"cjoidmhkohpfflneoadklkfkekihbjia",</v>
      </c>
    </row>
    <row r="2863">
      <c r="A2863" s="4" t="s">
        <v>22045</v>
      </c>
      <c r="B2863" s="4" t="s">
        <v>5703</v>
      </c>
      <c r="C2863" s="16" t="str">
        <f>IFERROR(__xludf.DUMMYFUNCTION(""""""""" &amp; REGEXEXTRACT(B2863, ""/detail/([^/?]+)"") &amp; """""","""),"""ckfodameiahfhlainaclajkgfagkpodb"",")</f>
        <v>"ckfodameiahfhlainaclajkgfagkpodb",</v>
      </c>
    </row>
    <row r="2864">
      <c r="A2864" s="4" t="s">
        <v>22046</v>
      </c>
      <c r="B2864" s="4" t="s">
        <v>5705</v>
      </c>
      <c r="C2864" s="16" t="str">
        <f>IFERROR(__xludf.DUMMYFUNCTION(""""""""" &amp; REGEXEXTRACT(B2864, ""/detail/([^/?]+)"") &amp; """""","""),"""ckinimcmjlcaclahdpbeklbgfjidaeml"",")</f>
        <v>"ckinimcmjlcaclahdpbeklbgfjidaeml",</v>
      </c>
    </row>
    <row r="2865">
      <c r="A2865" s="4" t="s">
        <v>22047</v>
      </c>
      <c r="B2865" s="4" t="s">
        <v>5707</v>
      </c>
      <c r="C2865" s="16" t="str">
        <f>IFERROR(__xludf.DUMMYFUNCTION(""""""""" &amp; REGEXEXTRACT(B2865, ""/detail/([^/?]+)"") &amp; """""","""),"""clgddkmefkffmfinedklminbclibddlf"",")</f>
        <v>"clgddkmefkffmfinedklminbclibddlf",</v>
      </c>
    </row>
    <row r="2866">
      <c r="A2866" s="4" t="s">
        <v>22048</v>
      </c>
      <c r="B2866" s="4" t="s">
        <v>5709</v>
      </c>
      <c r="C2866" s="16" t="str">
        <f>IFERROR(__xludf.DUMMYFUNCTION(""""""""" &amp; REGEXEXTRACT(B2866, ""/detail/([^/?]+)"") &amp; """""","""),"""clkkaggocmafajhbcbknhcgnbmagjohi"",")</f>
        <v>"clkkaggocmafajhbcbknhcgnbmagjohi",</v>
      </c>
    </row>
    <row r="2867">
      <c r="A2867" s="4" t="s">
        <v>22049</v>
      </c>
      <c r="B2867" s="4" t="s">
        <v>5711</v>
      </c>
      <c r="C2867" s="16" t="str">
        <f>IFERROR(__xludf.DUMMYFUNCTION(""""""""" &amp; REGEXEXTRACT(B2867, ""/detail/([^/?]+)"") &amp; """""","""),"""clkkocmhcpfginlphpgjmgpdffihcbmm"",")</f>
        <v>"clkkocmhcpfginlphpgjmgpdffihcbmm",</v>
      </c>
    </row>
    <row r="2868">
      <c r="A2868" s="4" t="s">
        <v>22050</v>
      </c>
      <c r="B2868" s="4" t="s">
        <v>5713</v>
      </c>
      <c r="C2868" s="16" t="str">
        <f>IFERROR(__xludf.DUMMYFUNCTION(""""""""" &amp; REGEXEXTRACT(B2868, ""/detail/([^/?]+)"") &amp; """""","""),"""cnbelooiikkmhknahgkckaikndlmlhfd"",")</f>
        <v>"cnbelooiikkmhknahgkckaikndlmlhfd",</v>
      </c>
    </row>
    <row r="2869">
      <c r="A2869" s="4" t="s">
        <v>22051</v>
      </c>
      <c r="B2869" s="4" t="s">
        <v>5715</v>
      </c>
      <c r="C2869" s="16" t="str">
        <f>IFERROR(__xludf.DUMMYFUNCTION(""""""""" &amp; REGEXEXTRACT(B2869, ""/detail/([^/?]+)"") &amp; """""","""),"""cnkgefjeknjodlkfmfmjelgbmfbnkmma"",")</f>
        <v>"cnkgefjeknjodlkfmfmjelgbmfbnkmma",</v>
      </c>
    </row>
    <row r="2870">
      <c r="A2870" s="4" t="s">
        <v>22052</v>
      </c>
      <c r="B2870" s="4" t="s">
        <v>5717</v>
      </c>
      <c r="C2870" s="16" t="str">
        <f>IFERROR(__xludf.DUMMYFUNCTION(""""""""" &amp; REGEXEXTRACT(B2870, ""/detail/([^/?]+)"") &amp; """""","""),"""cnnffgdlkepdhppahlfeojbpjlbbpgep"",")</f>
        <v>"cnnffgdlkepdhppahlfeojbpjlbbpgep",</v>
      </c>
    </row>
    <row r="2871">
      <c r="A2871" s="4" t="s">
        <v>22053</v>
      </c>
      <c r="B2871" s="4" t="s">
        <v>5719</v>
      </c>
      <c r="C2871" s="16" t="str">
        <f>IFERROR(__xludf.DUMMYFUNCTION(""""""""" &amp; REGEXEXTRACT(B2871, ""/detail/([^/?]+)"") &amp; """""","""),"""coiigbmcndbjgabknjnaiangcommnnob"",")</f>
        <v>"coiigbmcndbjgabknjnaiangcommnnob",</v>
      </c>
    </row>
    <row r="2872">
      <c r="A2872" s="4" t="s">
        <v>22054</v>
      </c>
      <c r="B2872" s="4" t="s">
        <v>5721</v>
      </c>
      <c r="C2872" s="16" t="str">
        <f>IFERROR(__xludf.DUMMYFUNCTION(""""""""" &amp; REGEXEXTRACT(B2872, ""/detail/([^/?]+)"") &amp; """""","""),"""cpgoncheakfjhldfbebekijoeaabnfeb"",")</f>
        <v>"cpgoncheakfjhldfbebekijoeaabnfeb",</v>
      </c>
    </row>
    <row r="2873">
      <c r="A2873" s="4" t="s">
        <v>22055</v>
      </c>
      <c r="B2873" s="4" t="s">
        <v>5723</v>
      </c>
      <c r="C2873" s="16" t="str">
        <f>IFERROR(__xludf.DUMMYFUNCTION(""""""""" &amp; REGEXEXTRACT(B2873, ""/detail/([^/?]+)"") &amp; """""","""),"""damoaceajjhenadgpppcccgmanobikjh"",")</f>
        <v>"damoaceajjhenadgpppcccgmanobikjh",</v>
      </c>
    </row>
    <row r="2874">
      <c r="A2874" s="4" t="s">
        <v>22056</v>
      </c>
      <c r="B2874" s="4" t="s">
        <v>5725</v>
      </c>
      <c r="C2874" s="16" t="str">
        <f>IFERROR(__xludf.DUMMYFUNCTION(""""""""" &amp; REGEXEXTRACT(B2874, ""/detail/([^/?]+)"") &amp; """""","""),"""dannllckdimllhkiplchkcaoheibealk"",")</f>
        <v>"dannllckdimllhkiplchkcaoheibealk",</v>
      </c>
    </row>
    <row r="2875">
      <c r="A2875" s="4" t="s">
        <v>22057</v>
      </c>
      <c r="B2875" s="4" t="s">
        <v>5727</v>
      </c>
      <c r="C2875" s="16" t="str">
        <f>IFERROR(__xludf.DUMMYFUNCTION(""""""""" &amp; REGEXEXTRACT(B2875, ""/detail/([^/?]+)"") &amp; """""","""),"""dcccjojljijikdpgfollhdhfnmcedkkg"",")</f>
        <v>"dcccjojljijikdpgfollhdhfnmcedkkg",</v>
      </c>
    </row>
    <row r="2876">
      <c r="A2876" s="4" t="s">
        <v>22058</v>
      </c>
      <c r="B2876" s="4" t="s">
        <v>5729</v>
      </c>
      <c r="C2876" s="16" t="str">
        <f>IFERROR(__xludf.DUMMYFUNCTION(""""""""" &amp; REGEXEXTRACT(B2876, ""/detail/([^/?]+)"") &amp; """""","""),"""dcemlmncjcljhjfbijimcamijgfdgieb"",")</f>
        <v>"dcemlmncjcljhjfbijimcamijgfdgieb",</v>
      </c>
    </row>
    <row r="2877">
      <c r="A2877" s="4" t="s">
        <v>22059</v>
      </c>
      <c r="B2877" s="4" t="s">
        <v>5731</v>
      </c>
      <c r="C2877" s="16" t="str">
        <f>IFERROR(__xludf.DUMMYFUNCTION(""""""""" &amp; REGEXEXTRACT(B2877, ""/detail/([^/?]+)"") &amp; """""","""),"""dcfcbchldhelnhnohooelmmfdkkemnal"",")</f>
        <v>"dcfcbchldhelnhnohooelmmfdkkemnal",</v>
      </c>
    </row>
    <row r="2878">
      <c r="A2878" s="4" t="s">
        <v>22060</v>
      </c>
      <c r="B2878" s="4" t="s">
        <v>5733</v>
      </c>
      <c r="C2878" s="16" t="str">
        <f>IFERROR(__xludf.DUMMYFUNCTION(""""""""" &amp; REGEXEXTRACT(B2878, ""/detail/([^/?]+)"") &amp; """""","""),"""dcjnfaoifoefmnbhhlbppaebgnccfddf"",")</f>
        <v>"dcjnfaoifoefmnbhhlbppaebgnccfddf",</v>
      </c>
    </row>
    <row r="2879">
      <c r="A2879" s="4" t="s">
        <v>22061</v>
      </c>
      <c r="B2879" s="4" t="s">
        <v>5735</v>
      </c>
      <c r="C2879" s="16" t="str">
        <f>IFERROR(__xludf.DUMMYFUNCTION(""""""""" &amp; REGEXEXTRACT(B2879, ""/detail/([^/?]+)"") &amp; """""","""),"""dgogifpkoilgiofhhhodbodcfgomelhe"",")</f>
        <v>"dgogifpkoilgiofhhhodbodcfgomelhe",</v>
      </c>
    </row>
    <row r="2880">
      <c r="A2880" s="4" t="s">
        <v>22062</v>
      </c>
      <c r="B2880" s="4" t="s">
        <v>5737</v>
      </c>
      <c r="C2880" s="16" t="str">
        <f>IFERROR(__xludf.DUMMYFUNCTION(""""""""" &amp; REGEXEXTRACT(B2880, ""/detail/([^/?]+)"") &amp; """""","""),"""dhapdlckafkgfpdmiehjdmhnpjkaobfn"",")</f>
        <v>"dhapdlckafkgfpdmiehjdmhnpjkaobfn",</v>
      </c>
    </row>
    <row r="2881">
      <c r="A2881" s="4" t="s">
        <v>22063</v>
      </c>
      <c r="B2881" s="4" t="s">
        <v>5739</v>
      </c>
      <c r="C2881" s="16" t="str">
        <f>IFERROR(__xludf.DUMMYFUNCTION(""""""""" &amp; REGEXEXTRACT(B2881, ""/detail/([^/?]+)"") &amp; """""","""),"""dhhnfhlnfcmnamjbaljhahcklhajihln"",")</f>
        <v>"dhhnfhlnfcmnamjbaljhahcklhajihln",</v>
      </c>
    </row>
    <row r="2882">
      <c r="A2882" s="4" t="s">
        <v>22064</v>
      </c>
      <c r="B2882" s="4" t="s">
        <v>5741</v>
      </c>
      <c r="C2882" s="16" t="str">
        <f>IFERROR(__xludf.DUMMYFUNCTION(""""""""" &amp; REGEXEXTRACT(B2882, ""/detail/([^/?]+)"") &amp; """""","""),"""dhkkimcelcgopfjblmblfhbihlihhppe"",")</f>
        <v>"dhkkimcelcgopfjblmblfhbihlihhppe",</v>
      </c>
    </row>
    <row r="2883">
      <c r="A2883" s="4" t="s">
        <v>22065</v>
      </c>
      <c r="B2883" s="4" t="s">
        <v>5743</v>
      </c>
      <c r="C2883" s="16" t="str">
        <f>IFERROR(__xludf.DUMMYFUNCTION(""""""""" &amp; REGEXEXTRACT(B2883, ""/detail/([^/?]+)"") &amp; """""","""),"""dhlalbbccdkkonkpeaailagagppobblb"",")</f>
        <v>"dhlalbbccdkkonkpeaailagagppobblb",</v>
      </c>
    </row>
    <row r="2884">
      <c r="A2884" s="4" t="s">
        <v>22066</v>
      </c>
      <c r="B2884" s="4" t="s">
        <v>5745</v>
      </c>
      <c r="C2884" s="16" t="str">
        <f>IFERROR(__xludf.DUMMYFUNCTION(""""""""" &amp; REGEXEXTRACT(B2884, ""/detail/([^/?]+)"") &amp; """""","""),"""dhoomabpflmndikhoiolpogmjlnegben"",")</f>
        <v>"dhoomabpflmndikhoiolpogmjlnegben",</v>
      </c>
    </row>
    <row r="2885">
      <c r="A2885" s="4" t="s">
        <v>22067</v>
      </c>
      <c r="B2885" s="4" t="s">
        <v>5747</v>
      </c>
      <c r="C2885" s="16" t="str">
        <f>IFERROR(__xludf.DUMMYFUNCTION(""""""""" &amp; REGEXEXTRACT(B2885, ""/detail/([^/?]+)"") &amp; """""","""),"""dhpojdmnffaocepmljcdcongdmkjblan"",")</f>
        <v>"dhpojdmnffaocepmljcdcongdmkjblan",</v>
      </c>
    </row>
    <row r="2886">
      <c r="A2886" s="4" t="s">
        <v>22068</v>
      </c>
      <c r="B2886" s="4" t="s">
        <v>5749</v>
      </c>
      <c r="C2886" s="16" t="str">
        <f>IFERROR(__xludf.DUMMYFUNCTION(""""""""" &amp; REGEXEXTRACT(B2886, ""/detail/([^/?]+)"") &amp; """""","""),"""dicajblfgcpecbkhkjaljphlmkhohelc"",")</f>
        <v>"dicajblfgcpecbkhkjaljphlmkhohelc",</v>
      </c>
    </row>
    <row r="2887">
      <c r="A2887" s="4" t="s">
        <v>22069</v>
      </c>
      <c r="B2887" s="4" t="s">
        <v>5751</v>
      </c>
      <c r="C2887" s="16" t="str">
        <f>IFERROR(__xludf.DUMMYFUNCTION(""""""""" &amp; REGEXEXTRACT(B2887, ""/detail/([^/?]+)"") &amp; """""","""),"""dildejdbnjjfnpflnoplbfgcjpdlkjjm"",")</f>
        <v>"dildejdbnjjfnpflnoplbfgcjpdlkjjm",</v>
      </c>
    </row>
    <row r="2888">
      <c r="A2888" s="4" t="s">
        <v>22070</v>
      </c>
      <c r="B2888" s="4" t="s">
        <v>5753</v>
      </c>
      <c r="C2888" s="16" t="str">
        <f>IFERROR(__xludf.DUMMYFUNCTION(""""""""" &amp; REGEXEXTRACT(B2888, ""/detail/([^/?]+)"") &amp; """""","""),"""dilpkmipcjppflnkjifjidiammgiiaag"",")</f>
        <v>"dilpkmipcjppflnkjifjidiammgiiaag",</v>
      </c>
    </row>
    <row r="2889">
      <c r="A2889" s="4" t="s">
        <v>22071</v>
      </c>
      <c r="B2889" s="4" t="s">
        <v>5755</v>
      </c>
      <c r="C2889" s="16" t="str">
        <f>IFERROR(__xludf.DUMMYFUNCTION(""""""""" &amp; REGEXEXTRACT(B2889, ""/detail/([^/?]+)"") &amp; """""","""),"""djcheclpmmkcdkjcenfamalobdenmici"",")</f>
        <v>"djcheclpmmkcdkjcenfamalobdenmici",</v>
      </c>
    </row>
    <row r="2890">
      <c r="A2890" s="4" t="s">
        <v>22072</v>
      </c>
      <c r="B2890" s="4" t="s">
        <v>5757</v>
      </c>
      <c r="C2890" s="16" t="str">
        <f>IFERROR(__xludf.DUMMYFUNCTION(""""""""" &amp; REGEXEXTRACT(B2890, ""/detail/([^/?]+)"") &amp; """""","""),"""dkdedlpgdmmkkfjabffeganieamfklkm"",")</f>
        <v>"dkdedlpgdmmkkfjabffeganieamfklkm",</v>
      </c>
    </row>
    <row r="2891">
      <c r="A2891" s="4" t="s">
        <v>22073</v>
      </c>
      <c r="B2891" s="4" t="s">
        <v>5759</v>
      </c>
      <c r="C2891" s="16" t="str">
        <f>IFERROR(__xludf.DUMMYFUNCTION(""""""""" &amp; REGEXEXTRACT(B2891, ""/detail/([^/?]+)"") &amp; """""","""),"""dkikcapmobbpchilifibnfndebjdeilg"",")</f>
        <v>"dkikcapmobbpchilifibnfndebjdeilg",</v>
      </c>
    </row>
    <row r="2892">
      <c r="A2892" s="4" t="s">
        <v>22074</v>
      </c>
      <c r="B2892" s="4" t="s">
        <v>5761</v>
      </c>
      <c r="C2892" s="16" t="str">
        <f>IFERROR(__xludf.DUMMYFUNCTION(""""""""" &amp; REGEXEXTRACT(B2892, ""/detail/([^/?]+)"") &amp; """""","""),"""dleekicmcmdlfpmocbpllipgohgghhoj"",")</f>
        <v>"dleekicmcmdlfpmocbpllipgohgghhoj",</v>
      </c>
    </row>
    <row r="2893">
      <c r="A2893" s="4" t="s">
        <v>22075</v>
      </c>
      <c r="B2893" s="4" t="s">
        <v>5763</v>
      </c>
      <c r="C2893" s="16" t="str">
        <f>IFERROR(__xludf.DUMMYFUNCTION(""""""""" &amp; REGEXEXTRACT(B2893, ""/detail/([^/?]+)"") &amp; """""","""),"""dllbflhpdeinobodaaibnojmgejkkjii"",")</f>
        <v>"dllbflhpdeinobodaaibnojmgejkkjii",</v>
      </c>
    </row>
    <row r="2894">
      <c r="A2894" s="16" t="str">
        <f>+Roam 2020-04-21T13:45:30.000Z</f>
        <v>#ERROR!</v>
      </c>
      <c r="B2894" s="4" t="s">
        <v>5765</v>
      </c>
      <c r="C2894" s="16" t="str">
        <f>IFERROR(__xludf.DUMMYFUNCTION(""""""""" &amp; REGEXEXTRACT(B2894, ""/detail/([^/?]+)"") &amp; """""","""),"""dneehabidhbfdiohdhbhjbbljobchgab"",")</f>
        <v>"dneehabidhbfdiohdhbhjbbljobchgab",</v>
      </c>
    </row>
    <row r="2895">
      <c r="A2895" s="4" t="s">
        <v>22076</v>
      </c>
      <c r="B2895" s="4" t="s">
        <v>5767</v>
      </c>
      <c r="C2895" s="16" t="str">
        <f>IFERROR(__xludf.DUMMYFUNCTION(""""""""" &amp; REGEXEXTRACT(B2895, ""/detail/([^/?]+)"") &amp; """""","""),"""dnlfochnjjonhempkinfokflaclicokg"",")</f>
        <v>"dnlfochnjjonhempkinfokflaclicokg",</v>
      </c>
    </row>
    <row r="2896">
      <c r="A2896" s="4" t="s">
        <v>22077</v>
      </c>
      <c r="B2896" s="4" t="s">
        <v>5769</v>
      </c>
      <c r="C2896" s="16" t="str">
        <f>IFERROR(__xludf.DUMMYFUNCTION(""""""""" &amp; REGEXEXTRACT(B2896, ""/detail/([^/?]+)"") &amp; """""","""),"""dobolefimaffkkkohihlhdigcmjehoge"",")</f>
        <v>"dobolefimaffkkkohihlhdigcmjehoge",</v>
      </c>
    </row>
    <row r="2897">
      <c r="A2897" s="4" t="s">
        <v>22078</v>
      </c>
      <c r="B2897" s="4" t="s">
        <v>5771</v>
      </c>
      <c r="C2897" s="16" t="str">
        <f>IFERROR(__xludf.DUMMYFUNCTION(""""""""" &amp; REGEXEXTRACT(B2897, ""/detail/([^/?]+)"") &amp; """""","""),"""dpalpikdbngjpghphidcecanadfdnmfg"",")</f>
        <v>"dpalpikdbngjpghphidcecanadfdnmfg",</v>
      </c>
    </row>
    <row r="2898">
      <c r="A2898" s="4" t="s">
        <v>22079</v>
      </c>
      <c r="B2898" s="4" t="s">
        <v>5773</v>
      </c>
      <c r="C2898" s="16" t="str">
        <f>IFERROR(__xludf.DUMMYFUNCTION(""""""""" &amp; REGEXEXTRACT(B2898, ""/detail/([^/?]+)"") &amp; """""","""),"""dpijpplkkbkoeeennbogompkkehepfin"",")</f>
        <v>"dpijpplkkbkoeeennbogompkkehepfin",</v>
      </c>
    </row>
    <row r="2899">
      <c r="A2899" s="4" t="s">
        <v>22080</v>
      </c>
      <c r="B2899" s="4" t="s">
        <v>5775</v>
      </c>
      <c r="C2899" s="16" t="str">
        <f>IFERROR(__xludf.DUMMYFUNCTION(""""""""" &amp; REGEXEXTRACT(B2899, ""/detail/([^/?]+)"") &amp; """""","""),"""ealipkphbaohckcjcpgdepjibpceolmf"",")</f>
        <v>"ealipkphbaohckcjcpgdepjibpceolmf",</v>
      </c>
    </row>
    <row r="2900">
      <c r="A2900" s="4" t="s">
        <v>22081</v>
      </c>
      <c r="B2900" s="4" t="s">
        <v>5777</v>
      </c>
      <c r="C2900" s="16" t="str">
        <f>IFERROR(__xludf.DUMMYFUNCTION(""""""""" &amp; REGEXEXTRACT(B2900, ""/detail/([^/?]+)"") &amp; """""","""),"""eamncajdopiabocecbhclhannloflleo"",")</f>
        <v>"eamncajdopiabocecbhclhannloflleo",</v>
      </c>
    </row>
    <row r="2901">
      <c r="A2901" s="4" t="s">
        <v>22082</v>
      </c>
      <c r="B2901" s="4" t="s">
        <v>5779</v>
      </c>
      <c r="C2901" s="16" t="str">
        <f>IFERROR(__xludf.DUMMYFUNCTION(""""""""" &amp; REGEXEXTRACT(B2901, ""/detail/([^/?]+)"") &amp; """""","""),"""eaokgpjnifijoicnmjldjpekchljhbbp"",")</f>
        <v>"eaokgpjnifijoicnmjldjpekchljhbbp",</v>
      </c>
    </row>
    <row r="2902">
      <c r="A2902" s="4" t="s">
        <v>22083</v>
      </c>
      <c r="B2902" s="4" t="s">
        <v>5781</v>
      </c>
      <c r="C2902" s="16" t="str">
        <f>IFERROR(__xludf.DUMMYFUNCTION(""""""""" &amp; REGEXEXTRACT(B2902, ""/detail/([^/?]+)"") &amp; """""","""),"""ednjmeomfcmonkgaogcgmfeelgegkpma"",")</f>
        <v>"ednjmeomfcmonkgaogcgmfeelgegkpma",</v>
      </c>
    </row>
    <row r="2903">
      <c r="A2903" s="4" t="s">
        <v>22084</v>
      </c>
      <c r="B2903" s="4" t="s">
        <v>5783</v>
      </c>
      <c r="C2903" s="16" t="str">
        <f>IFERROR(__xludf.DUMMYFUNCTION(""""""""" &amp; REGEXEXTRACT(B2903, ""/detail/([^/?]+)"") &amp; """""","""),"""ednnkpljcbpjcoplcooifiblghkephlh"",")</f>
        <v>"ednnkpljcbpjcoplcooifiblghkephlh",</v>
      </c>
    </row>
    <row r="2904">
      <c r="A2904" s="4" t="s">
        <v>22085</v>
      </c>
      <c r="B2904" s="4" t="s">
        <v>5785</v>
      </c>
      <c r="C2904" s="16" t="str">
        <f>IFERROR(__xludf.DUMMYFUNCTION(""""""""" &amp; REGEXEXTRACT(B2904, ""/detail/([^/?]+)"") &amp; """""","""),"""eedabbfjpacefmdfbjcploljmhlgkcph"",")</f>
        <v>"eedabbfjpacefmdfbjcploljmhlgkcph",</v>
      </c>
    </row>
    <row r="2905">
      <c r="A2905" s="4" t="s">
        <v>22086</v>
      </c>
      <c r="B2905" s="4" t="s">
        <v>5787</v>
      </c>
      <c r="C2905" s="16" t="str">
        <f>IFERROR(__xludf.DUMMYFUNCTION(""""""""" &amp; REGEXEXTRACT(B2905, ""/detail/([^/?]+)"") &amp; """""","""),"""egeneelmedfcnakdkkpoflpfiogmgjhk"",")</f>
        <v>"egeneelmedfcnakdkkpoflpfiogmgjhk",</v>
      </c>
    </row>
    <row r="2906">
      <c r="A2906" s="4" t="s">
        <v>22087</v>
      </c>
      <c r="B2906" s="4" t="s">
        <v>5789</v>
      </c>
      <c r="C2906" s="16" t="str">
        <f>IFERROR(__xludf.DUMMYFUNCTION(""""""""" &amp; REGEXEXTRACT(B2906, ""/detail/([^/?]+)"") &amp; """""","""),"""egmilngkgddnnmkpkonkpkjkipiihmkh"",")</f>
        <v>"egmilngkgddnnmkpkonkpkjkipiihmkh",</v>
      </c>
    </row>
    <row r="2907">
      <c r="A2907" s="4" t="s">
        <v>22088</v>
      </c>
      <c r="B2907" s="4" t="s">
        <v>5791</v>
      </c>
      <c r="C2907" s="16" t="str">
        <f>IFERROR(__xludf.DUMMYFUNCTION(""""""""" &amp; REGEXEXTRACT(B2907, ""/detail/([^/?]+)"") &amp; """""","""),"""ehbcfilpfnlahficlpimomapmbccieoi"",")</f>
        <v>"ehbcfilpfnlahficlpimomapmbccieoi",</v>
      </c>
    </row>
    <row r="2908">
      <c r="A2908" s="4" t="s">
        <v>22089</v>
      </c>
      <c r="B2908" s="4" t="s">
        <v>5793</v>
      </c>
      <c r="C2908" s="16" t="str">
        <f>IFERROR(__xludf.DUMMYFUNCTION(""""""""" &amp; REGEXEXTRACT(B2908, ""/detail/([^/?]+)"") &amp; """""","""),"""ehiaijjfijdbaepbhgompjomellejfoj"",")</f>
        <v>"ehiaijjfijdbaepbhgompjomellejfoj",</v>
      </c>
    </row>
    <row r="2909">
      <c r="A2909" s="4" t="s">
        <v>22090</v>
      </c>
      <c r="B2909" s="4" t="s">
        <v>5795</v>
      </c>
      <c r="C2909" s="16" t="str">
        <f>IFERROR(__xludf.DUMMYFUNCTION(""""""""" &amp; REGEXEXTRACT(B2909, ""/detail/([^/?]+)"") &amp; """""","""),"""eichfopopofffkbhjgbabdegakcdmpkm"",")</f>
        <v>"eichfopopofffkbhjgbabdegakcdmpkm",</v>
      </c>
    </row>
    <row r="2910">
      <c r="A2910" s="4" t="s">
        <v>22091</v>
      </c>
      <c r="B2910" s="4" t="s">
        <v>5797</v>
      </c>
      <c r="C2910" s="16" t="str">
        <f>IFERROR(__xludf.DUMMYFUNCTION(""""""""" &amp; REGEXEXTRACT(B2910, ""/detail/([^/?]+)"") &amp; """""","""),"""eiiibfemcfcehadokcldlcdljfdlmolj"",")</f>
        <v>"eiiibfemcfcehadokcldlcdljfdlmolj",</v>
      </c>
    </row>
    <row r="2911">
      <c r="A2911" s="4" t="s">
        <v>22092</v>
      </c>
      <c r="B2911" s="4" t="s">
        <v>5799</v>
      </c>
      <c r="C2911" s="16" t="str">
        <f>IFERROR(__xludf.DUMMYFUNCTION(""""""""" &amp; REGEXEXTRACT(B2911, ""/detail/([^/?]+)"") &amp; """""","""),"""eipbidbihnpafjpfpcpnnfmlebiagola"",")</f>
        <v>"eipbidbihnpafjpfpcpnnfmlebiagola",</v>
      </c>
    </row>
    <row r="2912">
      <c r="A2912" s="4" t="s">
        <v>22093</v>
      </c>
      <c r="B2912" s="4" t="s">
        <v>5801</v>
      </c>
      <c r="C2912" s="16" t="str">
        <f>IFERROR(__xludf.DUMMYFUNCTION(""""""""" &amp; REGEXEXTRACT(B2912, ""/detail/([^/?]+)"") &amp; """""","""),"""ejbmfhgfpejndimejlfghaddkphononj"",")</f>
        <v>"ejbmfhgfpejndimejlfghaddkphononj",</v>
      </c>
    </row>
    <row r="2913">
      <c r="A2913" s="4" t="s">
        <v>22094</v>
      </c>
      <c r="B2913" s="4" t="s">
        <v>5803</v>
      </c>
      <c r="C2913" s="16" t="str">
        <f>IFERROR(__xludf.DUMMYFUNCTION(""""""""" &amp; REGEXEXTRACT(B2913, ""/detail/([^/?]+)"") &amp; """""","""),"""elejfbgccaknplepagepnbpflnoomioj"",")</f>
        <v>"elejfbgccaknplepagepnbpflnoomioj",</v>
      </c>
    </row>
    <row r="2914">
      <c r="A2914" s="4" t="s">
        <v>22095</v>
      </c>
      <c r="B2914" s="4" t="s">
        <v>5805</v>
      </c>
      <c r="C2914" s="16" t="str">
        <f>IFERROR(__xludf.DUMMYFUNCTION(""""""""" &amp; REGEXEXTRACT(B2914, ""/detail/([^/?]+)"") &amp; """""","""),"""emacifekhnajdlgeejloncjbcnoingnd"",")</f>
        <v>"emacifekhnajdlgeejloncjbcnoingnd",</v>
      </c>
    </row>
    <row r="2915">
      <c r="A2915" s="4" t="s">
        <v>22096</v>
      </c>
      <c r="B2915" s="4" t="s">
        <v>5807</v>
      </c>
      <c r="C2915" s="16" t="str">
        <f>IFERROR(__xludf.DUMMYFUNCTION(""""""""" &amp; REGEXEXTRACT(B2915, ""/detail/([^/?]+)"") &amp; """""","""),"""enmkdplopmpkfnlefdldpkbcmihgcdec"",")</f>
        <v>"enmkdplopmpkfnlefdldpkbcmihgcdec",</v>
      </c>
    </row>
    <row r="2916">
      <c r="A2916" s="4" t="s">
        <v>22097</v>
      </c>
      <c r="B2916" s="4" t="s">
        <v>5809</v>
      </c>
      <c r="C2916" s="16" t="str">
        <f>IFERROR(__xludf.DUMMYFUNCTION(""""""""" &amp; REGEXEXTRACT(B2916, ""/detail/([^/?]+)"") &amp; """""","""),"""eoflfhfpgdhgbegbpgckkailbndcgpod"",")</f>
        <v>"eoflfhfpgdhgbegbpgckkailbndcgpod",</v>
      </c>
    </row>
    <row r="2917">
      <c r="A2917" s="4" t="s">
        <v>22098</v>
      </c>
      <c r="B2917" s="4" t="s">
        <v>5811</v>
      </c>
      <c r="C2917" s="16" t="str">
        <f>IFERROR(__xludf.DUMMYFUNCTION(""""""""" &amp; REGEXEXTRACT(B2917, ""/detail/([^/?]+)"") &amp; """""","""),"""eofoblinhpjfhkjlfckmeidagfogclib"",")</f>
        <v>"eofoblinhpjfhkjlfckmeidagfogclib",</v>
      </c>
    </row>
    <row r="2918">
      <c r="A2918" s="4" t="s">
        <v>22099</v>
      </c>
      <c r="B2918" s="4" t="s">
        <v>5813</v>
      </c>
      <c r="C2918" s="16" t="str">
        <f>IFERROR(__xludf.DUMMYFUNCTION(""""""""" &amp; REGEXEXTRACT(B2918, ""/detail/([^/?]+)"") &amp; """""","""),"""epbimhhenalihknndiglmjaehfpifaeg"",")</f>
        <v>"epbimhhenalihknndiglmjaehfpifaeg",</v>
      </c>
    </row>
    <row r="2919">
      <c r="A2919" s="4" t="s">
        <v>22100</v>
      </c>
      <c r="B2919" s="4" t="s">
        <v>5815</v>
      </c>
      <c r="C2919" s="16" t="str">
        <f>IFERROR(__xludf.DUMMYFUNCTION(""""""""" &amp; REGEXEXTRACT(B2919, ""/detail/([^/?]+)"") &amp; """""","""),"""ephabedpajngbmeohfngglhabgfcjgjl"",")</f>
        <v>"ephabedpajngbmeohfngglhabgfcjgjl",</v>
      </c>
    </row>
    <row r="2920">
      <c r="A2920" s="4" t="s">
        <v>22101</v>
      </c>
      <c r="B2920" s="4" t="s">
        <v>5817</v>
      </c>
      <c r="C2920" s="16" t="str">
        <f>IFERROR(__xludf.DUMMYFUNCTION(""""""""" &amp; REGEXEXTRACT(B2920, ""/detail/([^/?]+)"") &amp; """""","""),"""fafnphaopehepcmfnakggljonnhkofpk"",")</f>
        <v>"fafnphaopehepcmfnakggljonnhkofpk",</v>
      </c>
    </row>
    <row r="2921">
      <c r="A2921" s="4" t="s">
        <v>22102</v>
      </c>
      <c r="B2921" s="4" t="s">
        <v>5819</v>
      </c>
      <c r="C2921" s="16" t="str">
        <f>IFERROR(__xludf.DUMMYFUNCTION(""""""""" &amp; REGEXEXTRACT(B2921, ""/detail/([^/?]+)"") &amp; """""","""),"""fapndfdannkgofolmaihpbigbolcobek"",")</f>
        <v>"fapndfdannkgofolmaihpbigbolcobek",</v>
      </c>
    </row>
    <row r="2922">
      <c r="A2922" s="4" t="s">
        <v>22103</v>
      </c>
      <c r="B2922" s="4" t="s">
        <v>5821</v>
      </c>
      <c r="C2922" s="16" t="str">
        <f>IFERROR(__xludf.DUMMYFUNCTION(""""""""" &amp; REGEXEXTRACT(B2922, ""/detail/([^/?]+)"") &amp; """""","""),"""fbhapfcojegildkbfcidlnknbamgibkl"",")</f>
        <v>"fbhapfcojegildkbfcidlnknbamgibkl",</v>
      </c>
    </row>
    <row r="2923">
      <c r="A2923" s="4" t="s">
        <v>22104</v>
      </c>
      <c r="B2923" s="4" t="s">
        <v>5823</v>
      </c>
      <c r="C2923" s="16" t="str">
        <f>IFERROR(__xludf.DUMMYFUNCTION(""""""""" &amp; REGEXEXTRACT(B2923, ""/detail/([^/?]+)"") &amp; """""","""),"""fbicpmopjallgdpklipffmihodimmcbe"",")</f>
        <v>"fbicpmopjallgdpklipffmihodimmcbe",</v>
      </c>
    </row>
    <row r="2924">
      <c r="A2924" s="4" t="s">
        <v>22105</v>
      </c>
      <c r="B2924" s="4" t="s">
        <v>5825</v>
      </c>
      <c r="C2924" s="16" t="str">
        <f>IFERROR(__xludf.DUMMYFUNCTION(""""""""" &amp; REGEXEXTRACT(B2924, ""/detail/([^/?]+)"") &amp; """""","""),"""fbmpipnebmifpjijhpbdcjjeebbaphao"",")</f>
        <v>"fbmpipnebmifpjijhpbdcjjeebbaphao",</v>
      </c>
    </row>
    <row r="2925">
      <c r="A2925" s="4" t="s">
        <v>22106</v>
      </c>
      <c r="B2925" s="4" t="s">
        <v>5827</v>
      </c>
      <c r="C2925" s="16" t="str">
        <f>IFERROR(__xludf.DUMMYFUNCTION(""""""""" &amp; REGEXEXTRACT(B2925, ""/detail/([^/?]+)"") &amp; """""","""),"""fdjlldokfdiglkajbadmgbmbnljokpag"",")</f>
        <v>"fdjlldokfdiglkajbadmgbmbnljokpag",</v>
      </c>
    </row>
    <row r="2926">
      <c r="A2926" s="4" t="s">
        <v>22107</v>
      </c>
      <c r="B2926" s="4" t="s">
        <v>5829</v>
      </c>
      <c r="C2926" s="16" t="str">
        <f>IFERROR(__xludf.DUMMYFUNCTION(""""""""" &amp; REGEXEXTRACT(B2926, ""/detail/([^/?]+)"") &amp; """""","""),"""fdkdhnmocjdpgbjofkmkcfnhkblmadce"",")</f>
        <v>"fdkdhnmocjdpgbjofkmkcfnhkblmadce",</v>
      </c>
    </row>
    <row r="2927">
      <c r="A2927" s="4" t="s">
        <v>22108</v>
      </c>
      <c r="B2927" s="4" t="s">
        <v>5831</v>
      </c>
      <c r="C2927" s="16" t="str">
        <f>IFERROR(__xludf.DUMMYFUNCTION(""""""""" &amp; REGEXEXTRACT(B2927, ""/detail/([^/?]+)"") &amp; """""","""),"""fdncdgdjflfnpbibedmlfdjafkinnfcl"",")</f>
        <v>"fdncdgdjflfnpbibedmlfdjafkinnfcl",</v>
      </c>
    </row>
    <row r="2928">
      <c r="A2928" s="4" t="s">
        <v>22109</v>
      </c>
      <c r="B2928" s="4" t="s">
        <v>5833</v>
      </c>
      <c r="C2928" s="16" t="str">
        <f>IFERROR(__xludf.DUMMYFUNCTION(""""""""" &amp; REGEXEXTRACT(B2928, ""/detail/([^/?]+)"") &amp; """""","""),"""fdnjiondibmefmnjdbokflohocecpeoa"",")</f>
        <v>"fdnjiondibmefmnjdbokflohocecpeoa",</v>
      </c>
    </row>
    <row r="2929">
      <c r="A2929" s="4" t="s">
        <v>22110</v>
      </c>
      <c r="B2929" s="4" t="s">
        <v>5835</v>
      </c>
      <c r="C2929" s="16" t="str">
        <f>IFERROR(__xludf.DUMMYFUNCTION(""""""""" &amp; REGEXEXTRACT(B2929, ""/detail/([^/?]+)"") &amp; """""","""),"""febgkbbbbocnmjpgblmhenpgnobanogi"",")</f>
        <v>"febgkbbbbocnmjpgblmhenpgnobanogi",</v>
      </c>
    </row>
    <row r="2930">
      <c r="A2930" s="4" t="s">
        <v>22111</v>
      </c>
      <c r="B2930" s="4" t="s">
        <v>5837</v>
      </c>
      <c r="C2930" s="16" t="str">
        <f>IFERROR(__xludf.DUMMYFUNCTION(""""""""" &amp; REGEXEXTRACT(B2930, ""/detail/([^/?]+)"") &amp; """""","""),"""ffeofhiiabipephomkglcjbhgglddeeg"",")</f>
        <v>"ffeofhiiabipephomkglcjbhgglddeeg",</v>
      </c>
    </row>
    <row r="2931">
      <c r="A2931" s="4" t="s">
        <v>22112</v>
      </c>
      <c r="B2931" s="4" t="s">
        <v>5839</v>
      </c>
      <c r="C2931" s="16" t="str">
        <f>IFERROR(__xludf.DUMMYFUNCTION(""""""""" &amp; REGEXEXTRACT(B2931, ""/detail/([^/?]+)"") &amp; """""","""),"""ffgphkdmeoodlppmdmlonohncngfgnnk"",")</f>
        <v>"ffgphkdmeoodlppmdmlonohncngfgnnk",</v>
      </c>
    </row>
    <row r="2932">
      <c r="A2932" s="4" t="s">
        <v>22113</v>
      </c>
      <c r="B2932" s="4" t="s">
        <v>5841</v>
      </c>
      <c r="C2932" s="16" t="str">
        <f>IFERROR(__xludf.DUMMYFUNCTION(""""""""" &amp; REGEXEXTRACT(B2932, ""/detail/([^/?]+)"") &amp; """""","""),"""fgbfnbkkollcgnpibaedekjjeenfjbdn"",")</f>
        <v>"fgbfnbkkollcgnpibaedekjjeenfjbdn",</v>
      </c>
    </row>
    <row r="2933">
      <c r="A2933" s="4" t="s">
        <v>22114</v>
      </c>
      <c r="B2933" s="4" t="s">
        <v>5843</v>
      </c>
      <c r="C2933" s="16" t="str">
        <f>IFERROR(__xludf.DUMMYFUNCTION(""""""""" &amp; REGEXEXTRACT(B2933, ""/detail/([^/?]+)"") &amp; """""","""),"""fgdlknkkknhcdldggojiooiemajodncl"",")</f>
        <v>"fgdlknkkknhcdldggojiooiemajodncl",</v>
      </c>
    </row>
    <row r="2934">
      <c r="A2934" s="4" t="s">
        <v>22115</v>
      </c>
      <c r="B2934" s="4" t="s">
        <v>5845</v>
      </c>
      <c r="C2934" s="16" t="str">
        <f>IFERROR(__xludf.DUMMYFUNCTION(""""""""" &amp; REGEXEXTRACT(B2934, ""/detail/([^/?]+)"") &amp; """""","""),"""fgmkbejeokkpojkldlieonblomokajnf"",")</f>
        <v>"fgmkbejeokkpojkldlieonblomokajnf",</v>
      </c>
    </row>
    <row r="2935">
      <c r="A2935" s="4" t="s">
        <v>22116</v>
      </c>
      <c r="B2935" s="4" t="s">
        <v>5847</v>
      </c>
      <c r="C2935" s="16" t="str">
        <f>IFERROR(__xludf.DUMMYFUNCTION(""""""""" &amp; REGEXEXTRACT(B2935, ""/detail/([^/?]+)"") &amp; """""","""),"""fhhappeemmamffhkmaebfhnimglfjkao"",")</f>
        <v>"fhhappeemmamffhkmaebfhnimglfjkao",</v>
      </c>
    </row>
    <row r="2936">
      <c r="A2936" s="4" t="s">
        <v>22117</v>
      </c>
      <c r="B2936" s="4" t="s">
        <v>5849</v>
      </c>
      <c r="C2936" s="16" t="str">
        <f>IFERROR(__xludf.DUMMYFUNCTION(""""""""" &amp; REGEXEXTRACT(B2936, ""/detail/([^/?]+)"") &amp; """""","""),"""filgdcpknaklibnfoejliopebdipligb"",")</f>
        <v>"filgdcpknaklibnfoejliopebdipligb",</v>
      </c>
    </row>
    <row r="2937">
      <c r="A2937" s="4" t="s">
        <v>22118</v>
      </c>
      <c r="B2937" s="4" t="s">
        <v>5851</v>
      </c>
      <c r="C2937" s="16" t="str">
        <f>IFERROR(__xludf.DUMMYFUNCTION(""""""""" &amp; REGEXEXTRACT(B2937, ""/detail/([^/?]+)"") &amp; """""","""),"""fimkjebbomamhcamiebchfaiaenggpka"",")</f>
        <v>"fimkjebbomamhcamiebchfaiaenggpka",</v>
      </c>
    </row>
    <row r="2938">
      <c r="A2938" s="4" t="s">
        <v>22119</v>
      </c>
      <c r="B2938" s="4" t="s">
        <v>5853</v>
      </c>
      <c r="C2938" s="16" t="str">
        <f>IFERROR(__xludf.DUMMYFUNCTION(""""""""" &amp; REGEXEXTRACT(B2938, ""/detail/([^/?]+)"") &amp; """""","""),"""fjloccpjmhaaejcfjhnlkgeankdjfhjo"",")</f>
        <v>"fjloccpjmhaaejcfjhnlkgeankdjfhjo",</v>
      </c>
    </row>
    <row r="2939">
      <c r="A2939" s="4" t="s">
        <v>22120</v>
      </c>
      <c r="B2939" s="4" t="s">
        <v>5855</v>
      </c>
      <c r="C2939" s="16" t="str">
        <f>IFERROR(__xludf.DUMMYFUNCTION(""""""""" &amp; REGEXEXTRACT(B2939, ""/detail/([^/?]+)"") &amp; """""","""),"""fkhnpccgeinkjjpfhpjeohobbmnpapkc"",")</f>
        <v>"fkhnpccgeinkjjpfhpjeohobbmnpapkc",</v>
      </c>
    </row>
    <row r="2940">
      <c r="A2940" s="4" t="s">
        <v>22121</v>
      </c>
      <c r="B2940" s="4" t="s">
        <v>5857</v>
      </c>
      <c r="C2940" s="16" t="str">
        <f>IFERROR(__xludf.DUMMYFUNCTION(""""""""" &amp; REGEXEXTRACT(B2940, ""/detail/([^/?]+)"") &amp; """""","""),"""flhdcaebggmmpnnaljiajhihdfconkbj"",")</f>
        <v>"flhdcaebggmmpnnaljiajhihdfconkbj",</v>
      </c>
    </row>
    <row r="2941">
      <c r="A2941" s="4" t="s">
        <v>22122</v>
      </c>
      <c r="B2941" s="4" t="s">
        <v>5859</v>
      </c>
      <c r="C2941" s="16" t="str">
        <f>IFERROR(__xludf.DUMMYFUNCTION(""""""""" &amp; REGEXEXTRACT(B2941, ""/detail/([^/?]+)"") &amp; """""","""),"""flnagcobkfofedknnnmofijmmkbgfamf"",")</f>
        <v>"flnagcobkfofedknnnmofijmmkbgfamf",</v>
      </c>
    </row>
    <row r="2942">
      <c r="A2942" s="4" t="s">
        <v>22123</v>
      </c>
      <c r="B2942" s="4" t="s">
        <v>5861</v>
      </c>
      <c r="C2942" s="16" t="str">
        <f>IFERROR(__xludf.DUMMYFUNCTION(""""""""" &amp; REGEXEXTRACT(B2942, ""/detail/([^/?]+)"") &amp; """""","""),"""floifiapkmdcpbnppnfjikpbmgbbdijf"",")</f>
        <v>"floifiapkmdcpbnppnfjikpbmgbbdijf",</v>
      </c>
    </row>
    <row r="2943">
      <c r="A2943" s="4" t="s">
        <v>22124</v>
      </c>
      <c r="B2943" s="4" t="s">
        <v>5863</v>
      </c>
      <c r="C2943" s="16" t="str">
        <f>IFERROR(__xludf.DUMMYFUNCTION(""""""""" &amp; REGEXEXTRACT(B2943, ""/detail/([^/?]+)"") &amp; """""","""),"""flookmlccbimcdpnbblpdjhpmjlblfgg"",")</f>
        <v>"flookmlccbimcdpnbblpdjhpmjlblfgg",</v>
      </c>
    </row>
    <row r="2944">
      <c r="A2944" s="4" t="s">
        <v>22125</v>
      </c>
      <c r="B2944" s="4" t="s">
        <v>5865</v>
      </c>
      <c r="C2944" s="16" t="str">
        <f>IFERROR(__xludf.DUMMYFUNCTION(""""""""" &amp; REGEXEXTRACT(B2944, ""/detail/([^/?]+)"") &amp; """""","""),"""flpcifoeceefgkgpmapjajdkoboidhmj"",")</f>
        <v>"flpcifoeceefgkgpmapjajdkoboidhmj",</v>
      </c>
    </row>
    <row r="2945">
      <c r="A2945" s="4" t="s">
        <v>22126</v>
      </c>
      <c r="B2945" s="4" t="s">
        <v>5867</v>
      </c>
      <c r="C2945" s="16" t="str">
        <f>IFERROR(__xludf.DUMMYFUNCTION(""""""""" &amp; REGEXEXTRACT(B2945, ""/detail/([^/?]+)"") &amp; """""","""),"""flpifgahbaopfmnlmcgkkodanhoifdpa"",")</f>
        <v>"flpifgahbaopfmnlmcgkkodanhoifdpa",</v>
      </c>
    </row>
    <row r="2946">
      <c r="A2946" s="4" t="s">
        <v>22127</v>
      </c>
      <c r="B2946" s="4" t="s">
        <v>5869</v>
      </c>
      <c r="C2946" s="16" t="str">
        <f>IFERROR(__xludf.DUMMYFUNCTION(""""""""" &amp; REGEXEXTRACT(B2946, ""/detail/([^/?]+)"") &amp; """""","""),"""fmaalognklkjmannniekhbbapoppcimk"",")</f>
        <v>"fmaalognklkjmannniekhbbapoppcimk",</v>
      </c>
    </row>
    <row r="2947">
      <c r="A2947" s="4" t="s">
        <v>22128</v>
      </c>
      <c r="B2947" s="4" t="s">
        <v>5871</v>
      </c>
      <c r="C2947" s="16" t="str">
        <f>IFERROR(__xludf.DUMMYFUNCTION(""""""""" &amp; REGEXEXTRACT(B2947, ""/detail/([^/?]+)"") &amp; """""","""),"""fmajmkhjmknoegfgdhpiflefolclojef"",")</f>
        <v>"fmajmkhjmknoegfgdhpiflefolclojef",</v>
      </c>
    </row>
    <row r="2948">
      <c r="A2948" s="4" t="s">
        <v>22129</v>
      </c>
      <c r="B2948" s="4" t="s">
        <v>5873</v>
      </c>
      <c r="C2948" s="16" t="str">
        <f>IFERROR(__xludf.DUMMYFUNCTION(""""""""" &amp; REGEXEXTRACT(B2948, ""/detail/([^/?]+)"") &amp; """""","""),"""fmdjpbfannegkalllfnlfhjplgdjdnei"",")</f>
        <v>"fmdjpbfannegkalllfnlfhjplgdjdnei",</v>
      </c>
    </row>
    <row r="2949">
      <c r="A2949" s="4" t="s">
        <v>22130</v>
      </c>
      <c r="B2949" s="4" t="s">
        <v>5875</v>
      </c>
      <c r="C2949" s="16" t="str">
        <f>IFERROR(__xludf.DUMMYFUNCTION(""""""""" &amp; REGEXEXTRACT(B2949, ""/detail/([^/?]+)"") &amp; """""","""),"""fmjkkhoegfianolbdbceddpgnidbfpmo"",")</f>
        <v>"fmjkkhoegfianolbdbceddpgnidbfpmo",</v>
      </c>
    </row>
    <row r="2950">
      <c r="A2950" s="4" t="s">
        <v>22131</v>
      </c>
      <c r="B2950" s="4" t="s">
        <v>5877</v>
      </c>
      <c r="C2950" s="16" t="str">
        <f>IFERROR(__xludf.DUMMYFUNCTION(""""""""" &amp; REGEXEXTRACT(B2950, ""/detail/([^/?]+)"") &amp; """""","""),"""fnbfedemccfdngpmeppjkkiglilfaifh"",")</f>
        <v>"fnbfedemccfdngpmeppjkkiglilfaifh",</v>
      </c>
    </row>
    <row r="2951">
      <c r="A2951" s="4" t="s">
        <v>22132</v>
      </c>
      <c r="B2951" s="4" t="s">
        <v>5879</v>
      </c>
      <c r="C2951" s="16" t="str">
        <f>IFERROR(__xludf.DUMMYFUNCTION(""""""""" &amp; REGEXEXTRACT(B2951, ""/detail/([^/?]+)"") &amp; """""","""),"""fnfkcaeloalplnglklappfjfjeafakeo"",")</f>
        <v>"fnfkcaeloalplnglklappfjfjeafakeo",</v>
      </c>
    </row>
    <row r="2952">
      <c r="A2952" s="4" t="s">
        <v>22133</v>
      </c>
      <c r="B2952" s="4" t="s">
        <v>5881</v>
      </c>
      <c r="C2952" s="16" t="str">
        <f>IFERROR(__xludf.DUMMYFUNCTION(""""""""" &amp; REGEXEXTRACT(B2952, ""/detail/([^/?]+)"") &amp; """""","""),"""fnhhahhihediajgefcnlpdmnogndblbi"",")</f>
        <v>"fnhhahhihediajgefcnlpdmnogndblbi",</v>
      </c>
    </row>
    <row r="2953">
      <c r="A2953" s="4" t="s">
        <v>22134</v>
      </c>
      <c r="B2953" s="4" t="s">
        <v>5883</v>
      </c>
      <c r="C2953" s="16" t="str">
        <f>IFERROR(__xludf.DUMMYFUNCTION(""""""""" &amp; REGEXEXTRACT(B2953, ""/detail/([^/?]+)"") &amp; """""","""),"""fofomggefchbeiemhdhacdojbefmkhfb"",")</f>
        <v>"fofomggefchbeiemhdhacdojbefmkhfb",</v>
      </c>
    </row>
    <row r="2954">
      <c r="A2954" s="4" t="s">
        <v>22135</v>
      </c>
      <c r="B2954" s="4" t="s">
        <v>5885</v>
      </c>
      <c r="C2954" s="16" t="str">
        <f>IFERROR(__xludf.DUMMYFUNCTION(""""""""" &amp; REGEXEXTRACT(B2954, ""/detail/([^/?]+)"") &amp; """""","""),"""fofomifmemjbnomlpjdnengjfddljcbe"",")</f>
        <v>"fofomifmemjbnomlpjdnengjfddljcbe",</v>
      </c>
    </row>
    <row r="2955">
      <c r="A2955" s="4" t="s">
        <v>22136</v>
      </c>
      <c r="B2955" s="4" t="s">
        <v>5887</v>
      </c>
      <c r="C2955" s="16" t="str">
        <f>IFERROR(__xludf.DUMMYFUNCTION(""""""""" &amp; REGEXEXTRACT(B2955, ""/detail/([^/?]+)"") &amp; """""","""),"""fpojonadgdgbdcliijkjibcapfbmllod"",")</f>
        <v>"fpojonadgdgbdcliijkjibcapfbmllod",</v>
      </c>
    </row>
    <row r="2956">
      <c r="A2956" s="4" t="s">
        <v>22137</v>
      </c>
      <c r="B2956" s="4" t="s">
        <v>5889</v>
      </c>
      <c r="C2956" s="16" t="str">
        <f>IFERROR(__xludf.DUMMYFUNCTION(""""""""" &amp; REGEXEXTRACT(B2956, ""/detail/([^/?]+)"") &amp; """""","""),"""gaedlpnklpnpgjonldlmmmnmhhadicnk"",")</f>
        <v>"gaedlpnklpnpgjonldlmmmnmhhadicnk",</v>
      </c>
    </row>
    <row r="2957">
      <c r="A2957" s="4" t="s">
        <v>22138</v>
      </c>
      <c r="B2957" s="4" t="s">
        <v>5891</v>
      </c>
      <c r="C2957" s="16" t="str">
        <f>IFERROR(__xludf.DUMMYFUNCTION(""""""""" &amp; REGEXEXTRACT(B2957, ""/detail/([^/?]+)"") &amp; """""","""),"""galcjdfminhddlmheppdgddbekgdofcm"",")</f>
        <v>"galcjdfminhddlmheppdgddbekgdofcm",</v>
      </c>
    </row>
    <row r="2958">
      <c r="A2958" s="4" t="s">
        <v>22139</v>
      </c>
      <c r="B2958" s="4" t="s">
        <v>5893</v>
      </c>
      <c r="C2958" s="16" t="str">
        <f>IFERROR(__xludf.DUMMYFUNCTION(""""""""" &amp; REGEXEXTRACT(B2958, ""/detail/([^/?]+)"") &amp; """""","""),"""ganlhgooidfbijjidcpkeaohjnkeicba"",")</f>
        <v>"ganlhgooidfbijjidcpkeaohjnkeicba",</v>
      </c>
    </row>
    <row r="2959">
      <c r="A2959" s="4" t="s">
        <v>22140</v>
      </c>
      <c r="B2959" s="4" t="s">
        <v>5895</v>
      </c>
      <c r="C2959" s="16" t="str">
        <f>IFERROR(__xludf.DUMMYFUNCTION(""""""""" &amp; REGEXEXTRACT(B2959, ""/detail/([^/?]+)"") &amp; """""","""),"""ganonoebdpdnhcbolgkelccfaffgmlpd"",")</f>
        <v>"ganonoebdpdnhcbolgkelccfaffgmlpd",</v>
      </c>
    </row>
    <row r="2960">
      <c r="A2960" s="4" t="s">
        <v>22141</v>
      </c>
      <c r="B2960" s="4" t="s">
        <v>5897</v>
      </c>
      <c r="C2960" s="16" t="str">
        <f>IFERROR(__xludf.DUMMYFUNCTION(""""""""" &amp; REGEXEXTRACT(B2960, ""/detail/([^/?]+)"") &amp; """""","""),"""gaodngaiillepoddeloolejnhjglabkn"",")</f>
        <v>"gaodngaiillepoddeloolejnhjglabkn",</v>
      </c>
    </row>
    <row r="2961">
      <c r="A2961" s="4" t="s">
        <v>22142</v>
      </c>
      <c r="B2961" s="4" t="s">
        <v>5899</v>
      </c>
      <c r="C2961" s="16" t="str">
        <f>IFERROR(__xludf.DUMMYFUNCTION(""""""""" &amp; REGEXEXTRACT(B2961, ""/detail/([^/?]+)"") &amp; """""","""),"""gapfkijlllenhmgddoldcfedfiiakfgg"",")</f>
        <v>"gapfkijlllenhmgddoldcfedfiiakfgg",</v>
      </c>
    </row>
    <row r="2962">
      <c r="A2962" s="4" t="s">
        <v>22143</v>
      </c>
      <c r="B2962" s="4" t="s">
        <v>5901</v>
      </c>
      <c r="C2962" s="16" t="str">
        <f>IFERROR(__xludf.DUMMYFUNCTION(""""""""" &amp; REGEXEXTRACT(B2962, ""/detail/([^/?]+)"") &amp; """""","""),"""gcaopcbfgkfmgofkkbfbmiajolihocoa"",")</f>
        <v>"gcaopcbfgkfmgofkkbfbmiajolihocoa",</v>
      </c>
    </row>
    <row r="2963">
      <c r="A2963" s="4" t="s">
        <v>22144</v>
      </c>
      <c r="B2963" s="4" t="s">
        <v>5903</v>
      </c>
      <c r="C2963" s="16" t="str">
        <f>IFERROR(__xludf.DUMMYFUNCTION(""""""""" &amp; REGEXEXTRACT(B2963, ""/detail/([^/?]+)"") &amp; """""","""),"""gccemnpihkbgkdmoogenkbkckppadcag"",")</f>
        <v>"gccemnpihkbgkdmoogenkbkckppadcag",</v>
      </c>
    </row>
    <row r="2964">
      <c r="A2964" s="4" t="s">
        <v>22145</v>
      </c>
      <c r="B2964" s="4" t="s">
        <v>5905</v>
      </c>
      <c r="C2964" s="16" t="str">
        <f>IFERROR(__xludf.DUMMYFUNCTION(""""""""" &amp; REGEXEXTRACT(B2964, ""/detail/([^/?]+)"") &amp; """""","""),"""gchmppebfedehcmemdmhojamlnanmafn"",")</f>
        <v>"gchmppebfedehcmemdmhojamlnanmafn",</v>
      </c>
    </row>
    <row r="2965">
      <c r="A2965" s="4" t="s">
        <v>22146</v>
      </c>
      <c r="B2965" s="4" t="s">
        <v>5907</v>
      </c>
      <c r="C2965" s="16" t="str">
        <f>IFERROR(__xludf.DUMMYFUNCTION(""""""""" &amp; REGEXEXTRACT(B2965, ""/detail/([^/?]+)"") &amp; """""","""),"""gdfcinoagafkodbnkjemaajfahnmfkhg"",")</f>
        <v>"gdfcinoagafkodbnkjemaajfahnmfkhg",</v>
      </c>
    </row>
    <row r="2966">
      <c r="A2966" s="4" t="s">
        <v>22147</v>
      </c>
      <c r="B2966" s="4" t="s">
        <v>5909</v>
      </c>
      <c r="C2966" s="16" t="str">
        <f>IFERROR(__xludf.DUMMYFUNCTION(""""""""" &amp; REGEXEXTRACT(B2966, ""/detail/([^/?]+)"") &amp; """""","""),"""gdhmefadngapdfphedlcimcdplachcip"",")</f>
        <v>"gdhmefadngapdfphedlcimcdplachcip",</v>
      </c>
    </row>
    <row r="2967">
      <c r="A2967" s="4" t="s">
        <v>22148</v>
      </c>
      <c r="B2967" s="4" t="s">
        <v>5911</v>
      </c>
      <c r="C2967" s="16" t="str">
        <f>IFERROR(__xludf.DUMMYFUNCTION(""""""""" &amp; REGEXEXTRACT(B2967, ""/detail/([^/?]+)"") &amp; """""","""),"""gfilnngoaebchcnkmppbnijaakeccdjc"",")</f>
        <v>"gfilnngoaebchcnkmppbnijaakeccdjc",</v>
      </c>
    </row>
    <row r="2968">
      <c r="A2968" s="4" t="s">
        <v>22149</v>
      </c>
      <c r="B2968" s="4" t="s">
        <v>5913</v>
      </c>
      <c r="C2968" s="16" t="str">
        <f>IFERROR(__xludf.DUMMYFUNCTION(""""""""" &amp; REGEXEXTRACT(B2968, ""/detail/([^/?]+)"") &amp; """""","""),"""gglhpbcdnlhflfpacllleoeofbipdgjl"",")</f>
        <v>"gglhpbcdnlhflfpacllleoeofbipdgjl",</v>
      </c>
    </row>
    <row r="2969">
      <c r="A2969" s="4" t="s">
        <v>22150</v>
      </c>
      <c r="B2969" s="4" t="s">
        <v>5915</v>
      </c>
      <c r="C2969" s="16" t="str">
        <f>IFERROR(__xludf.DUMMYFUNCTION(""""""""" &amp; REGEXEXTRACT(B2969, ""/detail/([^/?]+)"") &amp; """""","""),"""ghoehocgoliemjdnbjjcaohgofgpkfgg"",")</f>
        <v>"ghoehocgoliemjdnbjjcaohgofgpkfgg",</v>
      </c>
    </row>
    <row r="2970">
      <c r="A2970" s="4" t="s">
        <v>22151</v>
      </c>
      <c r="B2970" s="4" t="s">
        <v>5917</v>
      </c>
      <c r="C2970" s="16" t="str">
        <f>IFERROR(__xludf.DUMMYFUNCTION(""""""""" &amp; REGEXEXTRACT(B2970, ""/detail/([^/?]+)"") &amp; """""","""),"""gilkjbonaifnnghbdpjmbomjjfffabmn"",")</f>
        <v>"gilkjbonaifnnghbdpjmbomjjfffabmn",</v>
      </c>
    </row>
    <row r="2971">
      <c r="A2971" s="4" t="s">
        <v>22152</v>
      </c>
      <c r="B2971" s="4" t="s">
        <v>5919</v>
      </c>
      <c r="C2971" s="16" t="str">
        <f>IFERROR(__xludf.DUMMYFUNCTION(""""""""" &amp; REGEXEXTRACT(B2971, ""/detail/([^/?]+)"") &amp; """""","""),"""gjaliinpmkmkehebabkfkhpbfaekgljn"",")</f>
        <v>"gjaliinpmkmkehebabkfkhpbfaekgljn",</v>
      </c>
    </row>
    <row r="2972">
      <c r="A2972" s="10" t="s">
        <v>22153</v>
      </c>
      <c r="B2972" s="4" t="s">
        <v>5921</v>
      </c>
      <c r="C2972" s="16" t="str">
        <f>IFERROR(__xludf.DUMMYFUNCTION(""""""""" &amp; REGEXEXTRACT(B2972, ""/detail/([^/?]+)"") &amp; """""","""),"""gkancbhpmeiamiljkcfajhebcimjjbie"",")</f>
        <v>"gkancbhpmeiamiljkcfajhebcimjjbie",</v>
      </c>
    </row>
    <row r="2973">
      <c r="A2973" s="4" t="s">
        <v>22154</v>
      </c>
      <c r="B2973" s="4" t="s">
        <v>5923</v>
      </c>
      <c r="C2973" s="16" t="str">
        <f>IFERROR(__xludf.DUMMYFUNCTION(""""""""" &amp; REGEXEXTRACT(B2973, ""/detail/([^/?]+)"") &amp; """""","""),"""gkfdbfhccgafhdgeoojacffkljgofkml"",")</f>
        <v>"gkfdbfhccgafhdgeoojacffkljgofkml",</v>
      </c>
    </row>
    <row r="2974">
      <c r="A2974" s="4" t="s">
        <v>22155</v>
      </c>
      <c r="B2974" s="4" t="s">
        <v>5925</v>
      </c>
      <c r="C2974" s="16" t="str">
        <f>IFERROR(__xludf.DUMMYFUNCTION(""""""""" &amp; REGEXEXTRACT(B2974, ""/detail/([^/?]+)"") &amp; """""","""),"""gkgglahfccodheljaolemocokldjbnbh"",")</f>
        <v>"gkgglahfccodheljaolemocokldjbnbh",</v>
      </c>
    </row>
    <row r="2975">
      <c r="A2975" s="4" t="s">
        <v>22156</v>
      </c>
      <c r="B2975" s="4" t="s">
        <v>5927</v>
      </c>
      <c r="C2975" s="16" t="str">
        <f>IFERROR(__xludf.DUMMYFUNCTION(""""""""" &amp; REGEXEXTRACT(B2975, ""/detail/([^/?]+)"") &amp; """""","""),"""gkoadlaadbnnaipkigapbbgbclcdhkaf"",")</f>
        <v>"gkoadlaadbnnaipkigapbbgbclcdhkaf",</v>
      </c>
    </row>
    <row r="2976">
      <c r="A2976" s="4" t="s">
        <v>22157</v>
      </c>
      <c r="B2976" s="4" t="s">
        <v>5929</v>
      </c>
      <c r="C2976" s="16" t="str">
        <f>IFERROR(__xludf.DUMMYFUNCTION(""""""""" &amp; REGEXEXTRACT(B2976, ""/detail/([^/?]+)"") &amp; """""","""),"""gllmkcahdekdbapmdfnffclacbpnicaj"",")</f>
        <v>"gllmkcahdekdbapmdfnffclacbpnicaj",</v>
      </c>
    </row>
    <row r="2977">
      <c r="A2977" s="4" t="s">
        <v>22158</v>
      </c>
      <c r="B2977" s="4" t="s">
        <v>5931</v>
      </c>
      <c r="C2977" s="16" t="str">
        <f>IFERROR(__xludf.DUMMYFUNCTION(""""""""" &amp; REGEXEXTRACT(B2977, ""/detail/([^/?]+)"") &amp; """""","""),"""gmkdfchigicneikpcdakcoglhiecneak"",")</f>
        <v>"gmkdfchigicneikpcdakcoglhiecneak",</v>
      </c>
    </row>
    <row r="2978">
      <c r="A2978" s="4" t="s">
        <v>22159</v>
      </c>
      <c r="B2978" s="4" t="s">
        <v>5933</v>
      </c>
      <c r="C2978" s="16" t="str">
        <f>IFERROR(__xludf.DUMMYFUNCTION(""""""""" &amp; REGEXEXTRACT(B2978, ""/detail/([^/?]+)"") &amp; """""","""),"""gmkpigbaephkbabhogllilhepglikolk"",")</f>
        <v>"gmkpigbaephkbabhogllilhepglikolk",</v>
      </c>
    </row>
    <row r="2979">
      <c r="A2979" s="4" t="s">
        <v>22160</v>
      </c>
      <c r="B2979" s="4" t="s">
        <v>5935</v>
      </c>
      <c r="C2979" s="16" t="str">
        <f>IFERROR(__xludf.DUMMYFUNCTION(""""""""" &amp; REGEXEXTRACT(B2979, ""/detail/([^/?]+)"") &amp; """""","""),"""gnnmepchabebcpbopfnejhgfmpblafnf"",")</f>
        <v>"gnnmepchabebcpbopfnejhgfmpblafnf",</v>
      </c>
    </row>
    <row r="2980">
      <c r="A2980" s="4" t="s">
        <v>22161</v>
      </c>
      <c r="B2980" s="4" t="s">
        <v>5937</v>
      </c>
      <c r="C2980" s="16" t="str">
        <f>IFERROR(__xludf.DUMMYFUNCTION(""""""""" &amp; REGEXEXTRACT(B2980, ""/detail/([^/?]+)"") &amp; """""","""),"""gocpionhjoififoliaelkfheedcafgin"",")</f>
        <v>"gocpionhjoififoliaelkfheedcafgin",</v>
      </c>
    </row>
    <row r="2981">
      <c r="A2981" s="4" t="s">
        <v>22162</v>
      </c>
      <c r="B2981" s="4" t="s">
        <v>5939</v>
      </c>
      <c r="C2981" s="16" t="str">
        <f>IFERROR(__xludf.DUMMYFUNCTION(""""""""" &amp; REGEXEXTRACT(B2981, ""/detail/([^/?]+)"") &amp; """""","""),"""gpaagbhojejffmocmmjclhedfijjafja"",")</f>
        <v>"gpaagbhojejffmocmmjclhedfijjafja",</v>
      </c>
    </row>
    <row r="2982">
      <c r="A2982" s="4" t="s">
        <v>22163</v>
      </c>
      <c r="B2982" s="4" t="s">
        <v>5941</v>
      </c>
      <c r="C2982" s="16" t="str">
        <f>IFERROR(__xludf.DUMMYFUNCTION(""""""""" &amp; REGEXEXTRACT(B2982, ""/detail/([^/?]+)"") &amp; """""","""),"""gpcloglcoibdbkafhnmghmaeofdikpnm"",")</f>
        <v>"gpcloglcoibdbkafhnmghmaeofdikpnm",</v>
      </c>
    </row>
    <row r="2983">
      <c r="A2983" s="4" t="s">
        <v>22164</v>
      </c>
      <c r="B2983" s="4" t="s">
        <v>5943</v>
      </c>
      <c r="C2983" s="16" t="str">
        <f>IFERROR(__xludf.DUMMYFUNCTION(""""""""" &amp; REGEXEXTRACT(B2983, ""/detail/([^/?]+)"") &amp; """""","""),"""gppjmggcabclbfckbgmljnidgemfgjef"",")</f>
        <v>"gppjmggcabclbfckbgmljnidgemfgjef",</v>
      </c>
    </row>
    <row r="2984">
      <c r="A2984" s="4" t="s">
        <v>22165</v>
      </c>
      <c r="B2984" s="4" t="s">
        <v>5945</v>
      </c>
      <c r="C2984" s="16" t="str">
        <f>IFERROR(__xludf.DUMMYFUNCTION(""""""""" &amp; REGEXEXTRACT(B2984, ""/detail/([^/?]+)"") &amp; """""","""),"""hafeeaangmkbibcaahfjdmmmeappjbbp"",")</f>
        <v>"hafeeaangmkbibcaahfjdmmmeappjbbp",</v>
      </c>
    </row>
    <row r="2985">
      <c r="A2985" s="4" t="s">
        <v>22166</v>
      </c>
      <c r="B2985" s="4" t="s">
        <v>5947</v>
      </c>
      <c r="C2985" s="16" t="str">
        <f>IFERROR(__xludf.DUMMYFUNCTION(""""""""" &amp; REGEXEXTRACT(B2985, ""/detail/([^/?]+)"") &amp; """""","""),"""hbdmelobmfcompinikjdaiphhonbgfpn"",")</f>
        <v>"hbdmelobmfcompinikjdaiphhonbgfpn",</v>
      </c>
    </row>
    <row r="2986">
      <c r="A2986" s="4" t="s">
        <v>22167</v>
      </c>
      <c r="B2986" s="4" t="s">
        <v>5949</v>
      </c>
      <c r="C2986" s="16" t="str">
        <f>IFERROR(__xludf.DUMMYFUNCTION(""""""""" &amp; REGEXEXTRACT(B2986, ""/detail/([^/?]+)"") &amp; """""","""),"""hdommeagcldeibnepgadkfbhiofkndgf"",")</f>
        <v>"hdommeagcldeibnepgadkfbhiofkndgf",</v>
      </c>
    </row>
    <row r="2987">
      <c r="A2987" s="4" t="s">
        <v>22168</v>
      </c>
      <c r="B2987" s="4" t="s">
        <v>5951</v>
      </c>
      <c r="C2987" s="16" t="str">
        <f>IFERROR(__xludf.DUMMYFUNCTION(""""""""" &amp; REGEXEXTRACT(B2987, ""/detail/([^/?]+)"") &amp; """""","""),"""heclkjfhijjcnikjhncnihdbcokfdono"",")</f>
        <v>"heclkjfhijjcnikjhncnihdbcokfdono",</v>
      </c>
    </row>
    <row r="2988">
      <c r="A2988" s="4" t="s">
        <v>22169</v>
      </c>
      <c r="B2988" s="4" t="s">
        <v>5953</v>
      </c>
      <c r="C2988" s="16" t="str">
        <f>IFERROR(__xludf.DUMMYFUNCTION(""""""""" &amp; REGEXEXTRACT(B2988, ""/detail/([^/?]+)"") &amp; """""","""),"""hemgkbfmploojfhljdcpbloffgkfamlb"",")</f>
        <v>"hemgkbfmploojfhljdcpbloffgkfamlb",</v>
      </c>
    </row>
    <row r="2989">
      <c r="A2989" s="4" t="s">
        <v>22170</v>
      </c>
      <c r="B2989" s="4" t="s">
        <v>5955</v>
      </c>
      <c r="C2989" s="16" t="str">
        <f>IFERROR(__xludf.DUMMYFUNCTION(""""""""" &amp; REGEXEXTRACT(B2989, ""/detail/([^/?]+)"") &amp; """""","""),"""hfbgaebkpgmceelecplahfjcmpbllpjh"",")</f>
        <v>"hfbgaebkpgmceelecplahfjcmpbllpjh",</v>
      </c>
    </row>
    <row r="2990">
      <c r="A2990" s="4" t="s">
        <v>22171</v>
      </c>
      <c r="B2990" s="4" t="s">
        <v>5957</v>
      </c>
      <c r="C2990" s="16" t="str">
        <f>IFERROR(__xludf.DUMMYFUNCTION(""""""""" &amp; REGEXEXTRACT(B2990, ""/detail/([^/?]+)"") &amp; """""","""),"""hflapaedaljpdhhdcdgkmhgmcncdchca"",")</f>
        <v>"hflapaedaljpdhhdcdgkmhgmcncdchca",</v>
      </c>
    </row>
    <row r="2991">
      <c r="A2991" s="4" t="s">
        <v>22172</v>
      </c>
      <c r="B2991" s="4" t="s">
        <v>5959</v>
      </c>
      <c r="C2991" s="16" t="str">
        <f>IFERROR(__xludf.DUMMYFUNCTION(""""""""" &amp; REGEXEXTRACT(B2991, ""/detail/([^/?]+)"") &amp; """""","""),"""hfllfiimcgelfjkiedbcakabjekfldig"",")</f>
        <v>"hfllfiimcgelfjkiedbcakabjekfldig",</v>
      </c>
    </row>
    <row r="2992">
      <c r="A2992" s="4" t="s">
        <v>22173</v>
      </c>
      <c r="B2992" s="4" t="s">
        <v>5961</v>
      </c>
      <c r="C2992" s="16" t="str">
        <f>IFERROR(__xludf.DUMMYFUNCTION(""""""""" &amp; REGEXEXTRACT(B2992, ""/detail/([^/?]+)"") &amp; """""","""),"""hgknnlekfojmhgcaianhcoggcklinnic"",")</f>
        <v>"hgknnlekfojmhgcaianhcoggcklinnic",</v>
      </c>
    </row>
    <row r="2993">
      <c r="A2993" s="4" t="s">
        <v>22174</v>
      </c>
      <c r="B2993" s="4" t="s">
        <v>5963</v>
      </c>
      <c r="C2993" s="16" t="str">
        <f>IFERROR(__xludf.DUMMYFUNCTION(""""""""" &amp; REGEXEXTRACT(B2993, ""/detail/([^/?]+)"") &amp; """""","""),"""hglmpnnkhfjpnoheioijdpleijlmfcfb"",")</f>
        <v>"hglmpnnkhfjpnoheioijdpleijlmfcfb",</v>
      </c>
    </row>
    <row r="2994">
      <c r="A2994" s="4" t="s">
        <v>22175</v>
      </c>
      <c r="B2994" s="4" t="s">
        <v>5965</v>
      </c>
      <c r="C2994" s="16" t="str">
        <f>IFERROR(__xludf.DUMMYFUNCTION(""""""""" &amp; REGEXEXTRACT(B2994, ""/detail/([^/?]+)"") &amp; """""","""),"""hgnnllcclhhigideaknjkbbmnokfocgd"",")</f>
        <v>"hgnnllcclhhigideaknjkbbmnokfocgd",</v>
      </c>
    </row>
    <row r="2995">
      <c r="A2995" s="4" t="s">
        <v>22176</v>
      </c>
      <c r="B2995" s="4" t="s">
        <v>5967</v>
      </c>
      <c r="C2995" s="16" t="str">
        <f>IFERROR(__xludf.DUMMYFUNCTION(""""""""" &amp; REGEXEXTRACT(B2995, ""/detail/([^/?]+)"") &amp; """""","""),"""hiagbhcincnckilkbbglilfchoehldmj"",")</f>
        <v>"hiagbhcincnckilkbbglilfchoehldmj",</v>
      </c>
    </row>
    <row r="2996">
      <c r="A2996" s="4" t="s">
        <v>22177</v>
      </c>
      <c r="B2996" s="4" t="s">
        <v>5969</v>
      </c>
      <c r="C2996" s="16" t="str">
        <f>IFERROR(__xludf.DUMMYFUNCTION(""""""""" &amp; REGEXEXTRACT(B2996, ""/detail/([^/?]+)"") &amp; """""","""),"""hiaoiehpkillodoeillmodjcadmfmcbg"",")</f>
        <v>"hiaoiehpkillodoeillmodjcadmfmcbg",</v>
      </c>
    </row>
    <row r="2997">
      <c r="A2997" s="4" t="s">
        <v>22178</v>
      </c>
      <c r="B2997" s="4" t="s">
        <v>5971</v>
      </c>
      <c r="C2997" s="16" t="str">
        <f>IFERROR(__xludf.DUMMYFUNCTION(""""""""" &amp; REGEXEXTRACT(B2997, ""/detail/([^/?]+)"") &amp; """""","""),"""hkciiohohfimeecpjoidoipjpalbabld"",")</f>
        <v>"hkciiohohfimeecpjoidoipjpalbabld",</v>
      </c>
    </row>
    <row r="2998">
      <c r="A2998" s="4" t="s">
        <v>22179</v>
      </c>
      <c r="B2998" s="4" t="s">
        <v>5973</v>
      </c>
      <c r="C2998" s="16" t="str">
        <f>IFERROR(__xludf.DUMMYFUNCTION(""""""""" &amp; REGEXEXTRACT(B2998, ""/detail/([^/?]+)"") &amp; """""","""),"""hlcgjkbdmlnfmelambncafejbemlfodl"",")</f>
        <v>"hlcgjkbdmlnfmelambncafejbemlfodl",</v>
      </c>
    </row>
    <row r="2999">
      <c r="A2999" s="4" t="s">
        <v>22180</v>
      </c>
      <c r="B2999" s="4" t="s">
        <v>5975</v>
      </c>
      <c r="C2999" s="16" t="str">
        <f>IFERROR(__xludf.DUMMYFUNCTION(""""""""" &amp; REGEXEXTRACT(B2999, ""/detail/([^/?]+)"") &amp; """""","""),"""hlpgiileennpalklffkdgjodnppfnccd"",")</f>
        <v>"hlpgiileennpalklffkdgjodnppfnccd",</v>
      </c>
    </row>
    <row r="3000">
      <c r="A3000" s="4" t="s">
        <v>22181</v>
      </c>
      <c r="B3000" s="4" t="s">
        <v>5977</v>
      </c>
      <c r="C3000" s="16" t="str">
        <f>IFERROR(__xludf.DUMMYFUNCTION(""""""""" &amp; REGEXEXTRACT(B3000, ""/detail/([^/?]+)"") &amp; """""","""),"""hmmahfccoaoebmjhmcnbbomomkimomhi"",")</f>
        <v>"hmmahfccoaoebmjhmcnbbomomkimomhi",</v>
      </c>
    </row>
    <row r="3001">
      <c r="A3001" s="4" t="s">
        <v>22182</v>
      </c>
      <c r="B3001" s="4" t="s">
        <v>5979</v>
      </c>
      <c r="C3001" s="16" t="str">
        <f>IFERROR(__xludf.DUMMYFUNCTION(""""""""" &amp; REGEXEXTRACT(B3001, ""/detail/([^/?]+)"") &amp; """""","""),"""hohdkaanpmcooenkhecbakblkepcnfop"",")</f>
        <v>"hohdkaanpmcooenkhecbakblkepcnfop",</v>
      </c>
    </row>
    <row r="3002">
      <c r="A3002" s="4" t="s">
        <v>22183</v>
      </c>
      <c r="B3002" s="4" t="s">
        <v>5981</v>
      </c>
      <c r="C3002" s="16" t="str">
        <f>IFERROR(__xludf.DUMMYFUNCTION(""""""""" &amp; REGEXEXTRACT(B3002, ""/detail/([^/?]+)"") &amp; """""","""),"""hoijhdloilmokgoenciedbokagejpdam"",")</f>
        <v>"hoijhdloilmokgoenciedbokagejpdam",</v>
      </c>
    </row>
    <row r="3003">
      <c r="A3003" s="4" t="s">
        <v>22184</v>
      </c>
      <c r="B3003" s="4" t="s">
        <v>5983</v>
      </c>
      <c r="C3003" s="16" t="str">
        <f>IFERROR(__xludf.DUMMYFUNCTION(""""""""" &amp; REGEXEXTRACT(B3003, ""/detail/([^/?]+)"") &amp; """""","""),"""hpgmmcbcpgjlkfpdelbidecgohplfcck"",")</f>
        <v>"hpgmmcbcpgjlkfpdelbidecgohplfcck",</v>
      </c>
    </row>
    <row r="3004">
      <c r="A3004" s="4" t="s">
        <v>22185</v>
      </c>
      <c r="B3004" s="4" t="s">
        <v>5985</v>
      </c>
      <c r="C3004" s="16" t="str">
        <f>IFERROR(__xludf.DUMMYFUNCTION(""""""""" &amp; REGEXEXTRACT(B3004, ""/detail/([^/?]+)"") &amp; """""","""),"""iaefpjibipfaofmigecedfapfgplmplo"",")</f>
        <v>"iaefpjibipfaofmigecedfapfgplmplo",</v>
      </c>
    </row>
    <row r="3005">
      <c r="A3005" s="4" t="s">
        <v>22186</v>
      </c>
      <c r="B3005" s="4" t="s">
        <v>5987</v>
      </c>
      <c r="C3005" s="16" t="str">
        <f>IFERROR(__xludf.DUMMYFUNCTION(""""""""" &amp; REGEXEXTRACT(B3005, ""/detail/([^/?]+)"") &amp; """""","""),"""iajpapiodpjcgiocblamfbdollecekmh"",")</f>
        <v>"iajpapiodpjcgiocblamfbdollecekmh",</v>
      </c>
    </row>
    <row r="3006">
      <c r="A3006" s="4" t="s">
        <v>22187</v>
      </c>
      <c r="B3006" s="4" t="s">
        <v>5989</v>
      </c>
      <c r="C3006" s="16" t="str">
        <f>IFERROR(__xludf.DUMMYFUNCTION(""""""""" &amp; REGEXEXTRACT(B3006, ""/detail/([^/?]+)"") &amp; """""","""),"""iapcgihppihpcegfmjobpeeongnnfodc"",")</f>
        <v>"iapcgihppihpcegfmjobpeeongnnfodc",</v>
      </c>
    </row>
    <row r="3007">
      <c r="A3007" s="4" t="s">
        <v>22188</v>
      </c>
      <c r="B3007" s="4" t="s">
        <v>5991</v>
      </c>
      <c r="C3007" s="16" t="str">
        <f>IFERROR(__xludf.DUMMYFUNCTION(""""""""" &amp; REGEXEXTRACT(B3007, ""/detail/([^/?]+)"") &amp; """""","""),"""ibjbhbhcgbkiohfmddokjmmbkbgpfgnl"",")</f>
        <v>"ibjbhbhcgbkiohfmddokjmmbkbgpfgnl",</v>
      </c>
    </row>
    <row r="3008">
      <c r="A3008" s="4" t="s">
        <v>22189</v>
      </c>
      <c r="B3008" s="4" t="s">
        <v>5993</v>
      </c>
      <c r="C3008" s="16" t="str">
        <f>IFERROR(__xludf.DUMMYFUNCTION(""""""""" &amp; REGEXEXTRACT(B3008, ""/detail/([^/?]+)"") &amp; """""","""),"""ibkcolodejfkapecfacofdibcaoldbjf"",")</f>
        <v>"ibkcolodejfkapecfacofdibcaoldbjf",</v>
      </c>
    </row>
    <row r="3009">
      <c r="A3009" s="4" t="s">
        <v>22190</v>
      </c>
      <c r="B3009" s="4" t="s">
        <v>5995</v>
      </c>
      <c r="C3009" s="16" t="str">
        <f>IFERROR(__xludf.DUMMYFUNCTION(""""""""" &amp; REGEXEXTRACT(B3009, ""/detail/([^/?]+)"") &amp; """""","""),"""ibkdocnpanhgcbbfadninaflpgjecmod"",")</f>
        <v>"ibkdocnpanhgcbbfadninaflpgjecmod",</v>
      </c>
    </row>
    <row r="3010">
      <c r="A3010" s="4" t="s">
        <v>22191</v>
      </c>
      <c r="B3010" s="4" t="s">
        <v>5997</v>
      </c>
      <c r="C3010" s="16" t="str">
        <f>IFERROR(__xludf.DUMMYFUNCTION(""""""""" &amp; REGEXEXTRACT(B3010, ""/detail/([^/?]+)"") &amp; """""","""),"""ibkdphopcbimokejnhhgelcancfabhba"",")</f>
        <v>"ibkdphopcbimokejnhhgelcancfabhba",</v>
      </c>
    </row>
    <row r="3011">
      <c r="A3011" s="4" t="s">
        <v>22192</v>
      </c>
      <c r="B3011" s="4" t="s">
        <v>5999</v>
      </c>
      <c r="C3011" s="16" t="str">
        <f>IFERROR(__xludf.DUMMYFUNCTION(""""""""" &amp; REGEXEXTRACT(B3011, ""/detail/([^/?]+)"") &amp; """""","""),"""ibnkhbkkelpcgofjlfnlanbigclpldad"",")</f>
        <v>"ibnkhbkkelpcgofjlfnlanbigclpldad",</v>
      </c>
    </row>
    <row r="3012">
      <c r="A3012" s="4" t="s">
        <v>22193</v>
      </c>
      <c r="B3012" s="4" t="s">
        <v>6001</v>
      </c>
      <c r="C3012" s="16" t="str">
        <f>IFERROR(__xludf.DUMMYFUNCTION(""""""""" &amp; REGEXEXTRACT(B3012, ""/detail/([^/?]+)"") &amp; """""","""),"""icklgohmolmmdagbigdkhhcgdechbeje"",")</f>
        <v>"icklgohmolmmdagbigdkhhcgdechbeje",</v>
      </c>
    </row>
    <row r="3013">
      <c r="A3013" s="4" t="s">
        <v>22194</v>
      </c>
      <c r="B3013" s="4" t="s">
        <v>6003</v>
      </c>
      <c r="C3013" s="16" t="str">
        <f>IFERROR(__xludf.DUMMYFUNCTION(""""""""" &amp; REGEXEXTRACT(B3013, ""/detail/([^/?]+)"") &amp; """""","""),"""iebkeiopbbfnmieadmojmocohdmaghmb"",")</f>
        <v>"iebkeiopbbfnmieadmojmocohdmaghmb",</v>
      </c>
    </row>
    <row r="3014">
      <c r="A3014" s="4" t="s">
        <v>22195</v>
      </c>
      <c r="B3014" s="4" t="s">
        <v>6005</v>
      </c>
      <c r="C3014" s="16" t="str">
        <f>IFERROR(__xludf.DUMMYFUNCTION(""""""""" &amp; REGEXEXTRACT(B3014, ""/detail/([^/?]+)"") &amp; """""","""),"""iepcfehgcfcoildehjncoefphpdfahhp"",")</f>
        <v>"iepcfehgcfcoildehjncoefphpdfahhp",</v>
      </c>
    </row>
    <row r="3015">
      <c r="A3015" s="4" t="s">
        <v>22196</v>
      </c>
      <c r="B3015" s="4" t="s">
        <v>6007</v>
      </c>
      <c r="C3015" s="16" t="str">
        <f>IFERROR(__xludf.DUMMYFUNCTION(""""""""" &amp; REGEXEXTRACT(B3015, ""/detail/([^/?]+)"") &amp; """""","""),"""ifeljkoeopnppmdlaofbgepbghddigpf"",")</f>
        <v>"ifeljkoeopnppmdlaofbgepbghddigpf",</v>
      </c>
    </row>
    <row r="3016">
      <c r="A3016" s="4" t="s">
        <v>22197</v>
      </c>
      <c r="B3016" s="4" t="s">
        <v>6009</v>
      </c>
      <c r="C3016" s="16" t="str">
        <f>IFERROR(__xludf.DUMMYFUNCTION(""""""""" &amp; REGEXEXTRACT(B3016, ""/detail/([^/?]+)"") &amp; """""","""),"""ifiilbfgcemdapeibjfohnfpfmfblmpd"",")</f>
        <v>"ifiilbfgcemdapeibjfohnfpfmfblmpd",</v>
      </c>
    </row>
    <row r="3017">
      <c r="A3017" s="4" t="s">
        <v>22198</v>
      </c>
      <c r="B3017" s="4" t="s">
        <v>6011</v>
      </c>
      <c r="C3017" s="16" t="str">
        <f>IFERROR(__xludf.DUMMYFUNCTION(""""""""" &amp; REGEXEXTRACT(B3017, ""/detail/([^/?]+)"") &amp; """""","""),"""ifmbfjgnachickfhchheghlmannlgcma"",")</f>
        <v>"ifmbfjgnachickfhchheghlmannlgcma",</v>
      </c>
    </row>
    <row r="3018">
      <c r="A3018" s="4" t="s">
        <v>22199</v>
      </c>
      <c r="B3018" s="4" t="s">
        <v>6013</v>
      </c>
      <c r="C3018" s="16" t="str">
        <f>IFERROR(__xludf.DUMMYFUNCTION(""""""""" &amp; REGEXEXTRACT(B3018, ""/detail/([^/?]+)"") &amp; """""","""),"""ifnpgfoniiadhamkbgdiokjefenpacjm"",")</f>
        <v>"ifnpgfoniiadhamkbgdiokjefenpacjm",</v>
      </c>
    </row>
    <row r="3019">
      <c r="A3019" s="4" t="s">
        <v>22200</v>
      </c>
      <c r="B3019" s="4" t="s">
        <v>6015</v>
      </c>
      <c r="C3019" s="16" t="str">
        <f>IFERROR(__xludf.DUMMYFUNCTION(""""""""" &amp; REGEXEXTRACT(B3019, ""/detail/([^/?]+)"") &amp; """""","""),"""igibeccagmmhpoaidmcfpkhgaagpmnef"",")</f>
        <v>"igibeccagmmhpoaidmcfpkhgaagpmnef",</v>
      </c>
    </row>
    <row r="3020">
      <c r="A3020" s="4" t="s">
        <v>22201</v>
      </c>
      <c r="B3020" s="4" t="s">
        <v>6017</v>
      </c>
      <c r="C3020" s="16" t="str">
        <f>IFERROR(__xludf.DUMMYFUNCTION(""""""""" &amp; REGEXEXTRACT(B3020, ""/detail/([^/?]+)"") &amp; """""","""),"""igopmeppmijehcoikklecabcdflhopgh"",")</f>
        <v>"igopmeppmijehcoikklecabcdflhopgh",</v>
      </c>
    </row>
    <row r="3021">
      <c r="A3021" s="4" t="s">
        <v>22202</v>
      </c>
      <c r="B3021" s="4" t="s">
        <v>6019</v>
      </c>
      <c r="C3021" s="16" t="str">
        <f>IFERROR(__xludf.DUMMYFUNCTION(""""""""" &amp; REGEXEXTRACT(B3021, ""/detail/([^/?]+)"") &amp; """""","""),"""ihhpifdmgophogphhddppiclngkbhnal"",")</f>
        <v>"ihhpifdmgophogphhddppiclngkbhnal",</v>
      </c>
    </row>
    <row r="3022">
      <c r="A3022" s="4" t="s">
        <v>22203</v>
      </c>
      <c r="B3022" s="4" t="s">
        <v>6021</v>
      </c>
      <c r="C3022" s="16" t="str">
        <f>IFERROR(__xludf.DUMMYFUNCTION(""""""""" &amp; REGEXEXTRACT(B3022, ""/detail/([^/?]+)"") &amp; """""","""),"""iiojelkcnhebcbofcnfilpcclfhkfhhh"",")</f>
        <v>"iiojelkcnhebcbofcnfilpcclfhkfhhh",</v>
      </c>
    </row>
    <row r="3023">
      <c r="A3023" s="4" t="s">
        <v>22204</v>
      </c>
      <c r="B3023" s="4" t="s">
        <v>6023</v>
      </c>
      <c r="C3023" s="16" t="str">
        <f>IFERROR(__xludf.DUMMYFUNCTION(""""""""" &amp; REGEXEXTRACT(B3023, ""/detail/([^/?]+)"") &amp; """""","""),"""ijjegnfpommcmglgjpifikbhnlbboikl"",")</f>
        <v>"ijjegnfpommcmglgjpifikbhnlbboikl",</v>
      </c>
    </row>
    <row r="3024">
      <c r="A3024" s="4" t="s">
        <v>22205</v>
      </c>
      <c r="B3024" s="4" t="s">
        <v>6025</v>
      </c>
      <c r="C3024" s="16" t="str">
        <f>IFERROR(__xludf.DUMMYFUNCTION(""""""""" &amp; REGEXEXTRACT(B3024, ""/detail/([^/?]+)"") &amp; """""","""),"""ikbddjmmdbonmkdablliminbkbcecmmd"",")</f>
        <v>"ikbddjmmdbonmkdablliminbkbcecmmd",</v>
      </c>
    </row>
    <row r="3025">
      <c r="A3025" s="4" t="s">
        <v>22206</v>
      </c>
      <c r="B3025" s="4" t="s">
        <v>6027</v>
      </c>
      <c r="C3025" s="16" t="str">
        <f>IFERROR(__xludf.DUMMYFUNCTION(""""""""" &amp; REGEXEXTRACT(B3025, ""/detail/([^/?]+)"") &amp; """""","""),"""ikfbpappjhegehjflebknjbhdocbgkdi"",")</f>
        <v>"ikfbpappjhegehjflebknjbhdocbgkdi",</v>
      </c>
    </row>
    <row r="3026">
      <c r="A3026" s="4" t="s">
        <v>22207</v>
      </c>
      <c r="B3026" s="4" t="s">
        <v>6029</v>
      </c>
      <c r="C3026" s="16" t="str">
        <f>IFERROR(__xludf.DUMMYFUNCTION(""""""""" &amp; REGEXEXTRACT(B3026, ""/detail/([^/?]+)"") &amp; """""","""),"""ikihojdapjkjkglimjpnoenohodhacbk"",")</f>
        <v>"ikihojdapjkjkglimjpnoenohodhacbk",</v>
      </c>
    </row>
    <row r="3027">
      <c r="A3027" s="4" t="s">
        <v>22208</v>
      </c>
      <c r="B3027" s="4" t="s">
        <v>6031</v>
      </c>
      <c r="C3027" s="16" t="str">
        <f>IFERROR(__xludf.DUMMYFUNCTION(""""""""" &amp; REGEXEXTRACT(B3027, ""/detail/([^/?]+)"") &amp; """""","""),"""ikofeeinmcingcdchnhkeljfmbigmjnp"",")</f>
        <v>"ikofeeinmcingcdchnhkeljfmbigmjnp",</v>
      </c>
    </row>
    <row r="3028">
      <c r="A3028" s="4" t="s">
        <v>22209</v>
      </c>
      <c r="B3028" s="4" t="s">
        <v>6033</v>
      </c>
      <c r="C3028" s="16" t="str">
        <f>IFERROR(__xludf.DUMMYFUNCTION(""""""""" &amp; REGEXEXTRACT(B3028, ""/detail/([^/?]+)"") &amp; """""","""),"""ilocfjnmkngcmoonmlpmdiigiddlloea"",")</f>
        <v>"ilocfjnmkngcmoonmlpmdiigiddlloea",</v>
      </c>
    </row>
    <row r="3029">
      <c r="A3029" s="4" t="s">
        <v>22210</v>
      </c>
      <c r="B3029" s="4" t="s">
        <v>6035</v>
      </c>
      <c r="C3029" s="16" t="str">
        <f>IFERROR(__xludf.DUMMYFUNCTION(""""""""" &amp; REGEXEXTRACT(B3029, ""/detail/([^/?]+)"") &amp; """""","""),"""imkeopbmlpnjdgniafkbkpdhbdigmdbk"",")</f>
        <v>"imkeopbmlpnjdgniafkbkpdhbdigmdbk",</v>
      </c>
    </row>
    <row r="3030">
      <c r="A3030" s="4" t="s">
        <v>22211</v>
      </c>
      <c r="B3030" s="4" t="s">
        <v>6037</v>
      </c>
      <c r="C3030" s="16" t="str">
        <f>IFERROR(__xludf.DUMMYFUNCTION(""""""""" &amp; REGEXEXTRACT(B3030, ""/detail/([^/?]+)"") &amp; """""","""),"""ipkflbbmmgipgkeokeejadapmdeoldgp"",")</f>
        <v>"ipkflbbmmgipgkeokeejadapmdeoldgp",</v>
      </c>
    </row>
    <row r="3031">
      <c r="A3031" s="4" t="s">
        <v>22212</v>
      </c>
      <c r="B3031" s="4" t="s">
        <v>6039</v>
      </c>
      <c r="C3031" s="16" t="str">
        <f>IFERROR(__xludf.DUMMYFUNCTION(""""""""" &amp; REGEXEXTRACT(B3031, ""/detail/([^/?]+)"") &amp; """""","""),"""ipkhkglhpmngdkgclngmlpkekkpplbgm"",")</f>
        <v>"ipkhkglhpmngdkgclngmlpkekkpplbgm",</v>
      </c>
    </row>
    <row r="3032">
      <c r="A3032" s="4" t="s">
        <v>22213</v>
      </c>
      <c r="B3032" s="4" t="s">
        <v>6041</v>
      </c>
      <c r="C3032" s="16" t="str">
        <f>IFERROR(__xludf.DUMMYFUNCTION(""""""""" &amp; REGEXEXTRACT(B3032, ""/detail/([^/?]+)"") &amp; """""","""),"""ipmmkccdccnephfilbjdnmnfcbopbpaj"",")</f>
        <v>"ipmmkccdccnephfilbjdnmnfcbopbpaj",</v>
      </c>
    </row>
    <row r="3033">
      <c r="A3033" s="4" t="s">
        <v>22214</v>
      </c>
      <c r="B3033" s="4" t="s">
        <v>6043</v>
      </c>
      <c r="C3033" s="16" t="str">
        <f>IFERROR(__xludf.DUMMYFUNCTION(""""""""" &amp; REGEXEXTRACT(B3033, ""/detail/([^/?]+)"") &amp; """""","""),"""ippapidnnboiophakmmhkdlchoccbgje"",")</f>
        <v>"ippapidnnboiophakmmhkdlchoccbgje",</v>
      </c>
    </row>
    <row r="3034">
      <c r="A3034" s="4" t="s">
        <v>22215</v>
      </c>
      <c r="B3034" s="4" t="s">
        <v>6045</v>
      </c>
      <c r="C3034" s="16" t="str">
        <f>IFERROR(__xludf.DUMMYFUNCTION(""""""""" &amp; REGEXEXTRACT(B3034, ""/detail/([^/?]+)"") &amp; """""","""),"""ippcpkdkcjdghdnodahajpjdolfibjon"",")</f>
        <v>"ippcpkdkcjdghdnodahajpjdolfibjon",</v>
      </c>
    </row>
    <row r="3035">
      <c r="A3035" s="4" t="s">
        <v>22216</v>
      </c>
      <c r="B3035" s="4" t="s">
        <v>6047</v>
      </c>
      <c r="C3035" s="16" t="str">
        <f>IFERROR(__xludf.DUMMYFUNCTION(""""""""" &amp; REGEXEXTRACT(B3035, ""/detail/([^/?]+)"") &amp; """""","""),"""jbfdnmiljibiadikgcigcgcfdeehphmi"",")</f>
        <v>"jbfdnmiljibiadikgcigcgcfdeehphmi",</v>
      </c>
    </row>
    <row r="3036">
      <c r="A3036" s="4" t="s">
        <v>22217</v>
      </c>
      <c r="B3036" s="4" t="s">
        <v>6049</v>
      </c>
      <c r="C3036" s="16" t="str">
        <f>IFERROR(__xludf.DUMMYFUNCTION(""""""""" &amp; REGEXEXTRACT(B3036, ""/detail/([^/?]+)"") &amp; """""","""),"""jbplakkefflidgnjhckoahendgekokfc"",")</f>
        <v>"jbplakkefflidgnjhckoahendgekokfc",</v>
      </c>
    </row>
    <row r="3037">
      <c r="A3037" s="4" t="s">
        <v>22218</v>
      </c>
      <c r="B3037" s="4" t="s">
        <v>6051</v>
      </c>
      <c r="C3037" s="16" t="str">
        <f>IFERROR(__xludf.DUMMYFUNCTION(""""""""" &amp; REGEXEXTRACT(B3037, ""/detail/([^/?]+)"") &amp; """""","""),"""jcgbfnkjigkdllodnaecmdipcojhopfc"",")</f>
        <v>"jcgbfnkjigkdllodnaecmdipcojhopfc",</v>
      </c>
    </row>
    <row r="3038">
      <c r="A3038" s="4" t="s">
        <v>22219</v>
      </c>
      <c r="B3038" s="4" t="s">
        <v>6053</v>
      </c>
      <c r="C3038" s="16" t="str">
        <f>IFERROR(__xludf.DUMMYFUNCTION(""""""""" &amp; REGEXEXTRACT(B3038, ""/detail/([^/?]+)"") &amp; """""","""),"""jckpaobldaolbbchaeicopkcljcaiaka"",")</f>
        <v>"jckpaobldaolbbchaeicopkcljcaiaka",</v>
      </c>
    </row>
    <row r="3039">
      <c r="A3039" s="4" t="s">
        <v>22220</v>
      </c>
      <c r="B3039" s="4" t="s">
        <v>6054</v>
      </c>
      <c r="C3039" s="16" t="str">
        <f>IFERROR(__xludf.DUMMYFUNCTION(""""""""" &amp; REGEXEXTRACT(B3039, ""/detail/([^/?]+)"") &amp; """""","""),"""jcmgkikfgdbehjdajjdnebnnmmknfblm"",")</f>
        <v>"jcmgkikfgdbehjdajjdnebnnmmknfblm",</v>
      </c>
    </row>
    <row r="3040">
      <c r="A3040" s="4" t="s">
        <v>22221</v>
      </c>
      <c r="B3040" s="4" t="s">
        <v>6056</v>
      </c>
      <c r="C3040" s="16" t="str">
        <f>IFERROR(__xludf.DUMMYFUNCTION(""""""""" &amp; REGEXEXTRACT(B3040, ""/detail/([^/?]+)"") &amp; """""","""),"""jcpmmhaffdebnmkjelaohgjmndeongip"",")</f>
        <v>"jcpmmhaffdebnmkjelaohgjmndeongip",</v>
      </c>
    </row>
    <row r="3041">
      <c r="A3041" s="4" t="s">
        <v>22222</v>
      </c>
      <c r="B3041" s="4" t="s">
        <v>6058</v>
      </c>
      <c r="C3041" s="16" t="str">
        <f>IFERROR(__xludf.DUMMYFUNCTION(""""""""" &amp; REGEXEXTRACT(B3041, ""/detail/([^/?]+)"") &amp; """""","""),"""jdlppncbmfbloihpaegmcomnfoibmpnj"",")</f>
        <v>"jdlppncbmfbloihpaegmcomnfoibmpnj",</v>
      </c>
    </row>
    <row r="3042">
      <c r="A3042" s="4" t="s">
        <v>22223</v>
      </c>
      <c r="B3042" s="4" t="s">
        <v>6060</v>
      </c>
      <c r="C3042" s="16" t="str">
        <f>IFERROR(__xludf.DUMMYFUNCTION(""""""""" &amp; REGEXEXTRACT(B3042, ""/detail/([^/?]+)"") &amp; """""","""),"""jefhcdbdiekhoggnankdaaplnlehknkg"",")</f>
        <v>"jefhcdbdiekhoggnankdaaplnlehknkg",</v>
      </c>
    </row>
    <row r="3043">
      <c r="A3043" s="4" t="s">
        <v>22224</v>
      </c>
      <c r="B3043" s="4" t="s">
        <v>6062</v>
      </c>
      <c r="C3043" s="16" t="str">
        <f>IFERROR(__xludf.DUMMYFUNCTION(""""""""" &amp; REGEXEXTRACT(B3043, ""/detail/([^/?]+)"") &amp; """""","""),"""jemjppnfnbmdlnpndcmpcjgmkmkbiall"",")</f>
        <v>"jemjppnfnbmdlnpndcmpcjgmkmkbiall",</v>
      </c>
    </row>
    <row r="3044">
      <c r="A3044" s="4" t="s">
        <v>22225</v>
      </c>
      <c r="B3044" s="4" t="s">
        <v>6064</v>
      </c>
      <c r="C3044" s="16" t="str">
        <f>IFERROR(__xludf.DUMMYFUNCTION(""""""""" &amp; REGEXEXTRACT(B3044, ""/detail/([^/?]+)"") &amp; """""","""),"""jfacjbibcobdehekkieokkloinlfdomg"",")</f>
        <v>"jfacjbibcobdehekkieokkloinlfdomg",</v>
      </c>
    </row>
    <row r="3045">
      <c r="A3045" s="4" t="s">
        <v>22226</v>
      </c>
      <c r="B3045" s="4" t="s">
        <v>6066</v>
      </c>
      <c r="C3045" s="16" t="str">
        <f>IFERROR(__xludf.DUMMYFUNCTION(""""""""" &amp; REGEXEXTRACT(B3045, ""/detail/([^/?]+)"") &amp; """""","""),"""jfcmbgcnangoalgpopaakignejjfpcmo"",")</f>
        <v>"jfcmbgcnangoalgpopaakignejjfpcmo",</v>
      </c>
    </row>
    <row r="3046">
      <c r="A3046" s="4" t="s">
        <v>22227</v>
      </c>
      <c r="B3046" s="4" t="s">
        <v>6068</v>
      </c>
      <c r="C3046" s="16" t="str">
        <f>IFERROR(__xludf.DUMMYFUNCTION(""""""""" &amp; REGEXEXTRACT(B3046, ""/detail/([^/?]+)"") &amp; """""","""),"""jfpoennlpiaeplmoahaacgnknnllninp"",")</f>
        <v>"jfpoennlpiaeplmoahaacgnknnllninp",</v>
      </c>
    </row>
    <row r="3047">
      <c r="A3047" s="4" t="s">
        <v>22228</v>
      </c>
      <c r="B3047" s="4" t="s">
        <v>6070</v>
      </c>
      <c r="C3047" s="16" t="str">
        <f>IFERROR(__xludf.DUMMYFUNCTION(""""""""" &amp; REGEXEXTRACT(B3047, ""/detail/([^/?]+)"") &amp; """""","""),"""jghdppgkpdccfpobmilnnhgahhpjhbne"",")</f>
        <v>"jghdppgkpdccfpobmilnnhgahhpjhbne",</v>
      </c>
    </row>
    <row r="3048">
      <c r="A3048" s="4" t="s">
        <v>22229</v>
      </c>
      <c r="B3048" s="4" t="s">
        <v>6072</v>
      </c>
      <c r="C3048" s="16" t="str">
        <f>IFERROR(__xludf.DUMMYFUNCTION(""""""""" &amp; REGEXEXTRACT(B3048, ""/detail/([^/?]+)"") &amp; """""","""),"""jgjhamliocfhehbocekgcddfjpgdjnje"",")</f>
        <v>"jgjhamliocfhehbocekgcddfjpgdjnje",</v>
      </c>
    </row>
    <row r="3049">
      <c r="A3049" s="4" t="s">
        <v>22230</v>
      </c>
      <c r="B3049" s="4" t="s">
        <v>6074</v>
      </c>
      <c r="C3049" s="16" t="str">
        <f>IFERROR(__xludf.DUMMYFUNCTION(""""""""" &amp; REGEXEXTRACT(B3049, ""/detail/([^/?]+)"") &amp; """""","""),"""jhbepelanbbipbinkkjcadbjjinjmiec"",")</f>
        <v>"jhbepelanbbipbinkkjcadbjjinjmiec",</v>
      </c>
    </row>
    <row r="3050">
      <c r="A3050" s="4" t="s">
        <v>22231</v>
      </c>
      <c r="B3050" s="4" t="s">
        <v>6076</v>
      </c>
      <c r="C3050" s="16" t="str">
        <f>IFERROR(__xludf.DUMMYFUNCTION(""""""""" &amp; REGEXEXTRACT(B3050, ""/detail/([^/?]+)"") &amp; """""","""),"""jigpnmkhillllgkkjndpmepocpglgdgh"",")</f>
        <v>"jigpnmkhillllgkkjndpmepocpglgdgh",</v>
      </c>
    </row>
    <row r="3051">
      <c r="A3051" s="4" t="s">
        <v>22232</v>
      </c>
      <c r="B3051" s="4" t="s">
        <v>6078</v>
      </c>
      <c r="C3051" s="16" t="str">
        <f>IFERROR(__xludf.DUMMYFUNCTION(""""""""" &amp; REGEXEXTRACT(B3051, ""/detail/([^/?]+)"") &amp; """""","""),"""jjcgaodnmocmejpebjkokngdbcmnefln"",")</f>
        <v>"jjcgaodnmocmejpebjkokngdbcmnefln",</v>
      </c>
    </row>
    <row r="3052">
      <c r="A3052" s="4" t="s">
        <v>22233</v>
      </c>
      <c r="B3052" s="4" t="s">
        <v>6080</v>
      </c>
      <c r="C3052" s="16" t="str">
        <f>IFERROR(__xludf.DUMMYFUNCTION(""""""""" &amp; REGEXEXTRACT(B3052, ""/detail/([^/?]+)"") &amp; """""","""),"""jjckapnhmbdlhjlcakfidneengcpikpa"",")</f>
        <v>"jjckapnhmbdlhjlcakfidneengcpikpa",</v>
      </c>
    </row>
    <row r="3053">
      <c r="A3053" s="4" t="s">
        <v>22234</v>
      </c>
      <c r="B3053" s="4" t="s">
        <v>6082</v>
      </c>
      <c r="C3053" s="16" t="str">
        <f>IFERROR(__xludf.DUMMYFUNCTION(""""""""" &amp; REGEXEXTRACT(B3053, ""/detail/([^/?]+)"") &amp; """""","""),"""jjmphadcgcmpdnombcomlmmbmojccmcf"",")</f>
        <v>"jjmphadcgcmpdnombcomlmmbmojccmcf",</v>
      </c>
    </row>
    <row r="3054">
      <c r="A3054" s="4" t="s">
        <v>22235</v>
      </c>
      <c r="B3054" s="4" t="s">
        <v>6084</v>
      </c>
      <c r="C3054" s="16" t="str">
        <f>IFERROR(__xludf.DUMMYFUNCTION(""""""""" &amp; REGEXEXTRACT(B3054, ""/detail/([^/?]+)"") &amp; """""","""),"""jkapcfbicpbhigopkhpielmbkgfchdgh"",")</f>
        <v>"jkapcfbicpbhigopkhpielmbkgfchdgh",</v>
      </c>
    </row>
    <row r="3055">
      <c r="A3055" s="4" t="s">
        <v>22236</v>
      </c>
      <c r="B3055" s="4" t="s">
        <v>6086</v>
      </c>
      <c r="C3055" s="16" t="str">
        <f>IFERROR(__xludf.DUMMYFUNCTION(""""""""" &amp; REGEXEXTRACT(B3055, ""/detail/([^/?]+)"") &amp; """""","""),"""jkkccmdilclkdkhkfdmcbdiagpibmpne"",")</f>
        <v>"jkkccmdilclkdkhkfdmcbdiagpibmpne",</v>
      </c>
    </row>
    <row r="3056">
      <c r="A3056" s="4" t="s">
        <v>22237</v>
      </c>
      <c r="B3056" s="4" t="s">
        <v>6088</v>
      </c>
      <c r="C3056" s="16" t="str">
        <f>IFERROR(__xludf.DUMMYFUNCTION(""""""""" &amp; REGEXEXTRACT(B3056, ""/detail/([^/?]+)"") &amp; """""","""),"""jkpahjicmehopmlkbenbkmckcedlcmhk"",")</f>
        <v>"jkpahjicmehopmlkbenbkmckcedlcmhk",</v>
      </c>
    </row>
    <row r="3057">
      <c r="A3057" s="4" t="s">
        <v>22238</v>
      </c>
      <c r="B3057" s="4" t="s">
        <v>6090</v>
      </c>
      <c r="C3057" s="16" t="str">
        <f>IFERROR(__xludf.DUMMYFUNCTION(""""""""" &amp; REGEXEXTRACT(B3057, ""/detail/([^/?]+)"") &amp; """""","""),"""jmjdcajkhmddfnfjhghodnijajdmcloe"",")</f>
        <v>"jmjdcajkhmddfnfjhghodnijajdmcloe",</v>
      </c>
    </row>
    <row r="3058">
      <c r="A3058" s="4" t="s">
        <v>22239</v>
      </c>
      <c r="B3058" s="4" t="s">
        <v>6092</v>
      </c>
      <c r="C3058" s="16" t="str">
        <f>IFERROR(__xludf.DUMMYFUNCTION(""""""""" &amp; REGEXEXTRACT(B3058, ""/detail/([^/?]+)"") &amp; """""","""),"""jnjlgikhlncikdjaggpkefenokgjknik"",")</f>
        <v>"jnjlgikhlncikdjaggpkefenokgjknik",</v>
      </c>
    </row>
    <row r="3059">
      <c r="A3059" s="4" t="s">
        <v>22240</v>
      </c>
      <c r="B3059" s="4" t="s">
        <v>6094</v>
      </c>
      <c r="C3059" s="16" t="str">
        <f>IFERROR(__xludf.DUMMYFUNCTION(""""""""" &amp; REGEXEXTRACT(B3059, ""/detail/([^/?]+)"") &amp; """""","""),"""jobakbebljifplmcapcooffdbdmfdbjh"",")</f>
        <v>"jobakbebljifplmcapcooffdbdmfdbjh",</v>
      </c>
    </row>
    <row r="3060">
      <c r="A3060" s="4" t="s">
        <v>22241</v>
      </c>
      <c r="B3060" s="4" t="s">
        <v>6096</v>
      </c>
      <c r="C3060" s="16" t="str">
        <f>IFERROR(__xludf.DUMMYFUNCTION(""""""""" &amp; REGEXEXTRACT(B3060, ""/detail/([^/?]+)"") &amp; """""","""),"""jpefkkpmalfnilnbghfnjodceifpemdb"",")</f>
        <v>"jpefkkpmalfnilnbghfnjodceifpemdb",</v>
      </c>
    </row>
    <row r="3061">
      <c r="A3061" s="4" t="s">
        <v>22242</v>
      </c>
      <c r="B3061" s="4" t="s">
        <v>6098</v>
      </c>
      <c r="C3061" s="16" t="str">
        <f>IFERROR(__xludf.DUMMYFUNCTION(""""""""" &amp; REGEXEXTRACT(B3061, ""/detail/([^/?]+)"") &amp; """""","""),"""kabejgcoafnliefbhejpfahdecimjcje"",")</f>
        <v>"kabejgcoafnliefbhejpfahdecimjcje",</v>
      </c>
    </row>
    <row r="3062">
      <c r="A3062" s="4" t="s">
        <v>22243</v>
      </c>
      <c r="B3062" s="4" t="s">
        <v>6100</v>
      </c>
      <c r="C3062" s="16" t="str">
        <f>IFERROR(__xludf.DUMMYFUNCTION(""""""""" &amp; REGEXEXTRACT(B3062, ""/detail/([^/?]+)"") &amp; """""","""),"""kbjkbnakcaaohhjmhbidbbhoecklidae"",")</f>
        <v>"kbjkbnakcaaohhjmhbidbbhoecklidae",</v>
      </c>
    </row>
    <row r="3063">
      <c r="A3063" s="4" t="s">
        <v>22244</v>
      </c>
      <c r="B3063" s="4" t="s">
        <v>6102</v>
      </c>
      <c r="C3063" s="16" t="str">
        <f>IFERROR(__xludf.DUMMYFUNCTION(""""""""" &amp; REGEXEXTRACT(B3063, ""/detail/([^/?]+)"") &amp; """""","""),"""kcklikpoajnpdpjgamjfepagpdkhahpn"",")</f>
        <v>"kcklikpoajnpdpjgamjfepagpdkhahpn",</v>
      </c>
    </row>
    <row r="3064">
      <c r="A3064" s="4" t="s">
        <v>22245</v>
      </c>
      <c r="B3064" s="4" t="s">
        <v>6104</v>
      </c>
      <c r="C3064" s="16" t="str">
        <f>IFERROR(__xludf.DUMMYFUNCTION(""""""""" &amp; REGEXEXTRACT(B3064, ""/detail/([^/?]+)"") &amp; """""","""),"""kclbpbfpfddcglkinajbcfcldhpdkmmk"",")</f>
        <v>"kclbpbfpfddcglkinajbcfcldhpdkmmk",</v>
      </c>
    </row>
    <row r="3065">
      <c r="A3065" s="4" t="s">
        <v>22246</v>
      </c>
      <c r="B3065" s="4" t="s">
        <v>6106</v>
      </c>
      <c r="C3065" s="16" t="str">
        <f>IFERROR(__xludf.DUMMYFUNCTION(""""""""" &amp; REGEXEXTRACT(B3065, ""/detail/([^/?]+)"") &amp; """""","""),"""kcohlfofdggbjmbjoiopaddbjjblgnkl"",")</f>
        <v>"kcohlfofdggbjmbjoiopaddbjjblgnkl",</v>
      </c>
    </row>
    <row r="3066">
      <c r="A3066" s="4" t="s">
        <v>22247</v>
      </c>
      <c r="B3066" s="4" t="s">
        <v>6108</v>
      </c>
      <c r="C3066" s="16" t="str">
        <f>IFERROR(__xludf.DUMMYFUNCTION(""""""""" &amp; REGEXEXTRACT(B3066, ""/detail/([^/?]+)"") &amp; """""","""),"""kconeelhhdbnjombompadmclijkcfbph"",")</f>
        <v>"kconeelhhdbnjombompadmclijkcfbph",</v>
      </c>
    </row>
    <row r="3067">
      <c r="A3067" s="4" t="s">
        <v>22248</v>
      </c>
      <c r="B3067" s="4" t="s">
        <v>6110</v>
      </c>
      <c r="C3067" s="16" t="str">
        <f>IFERROR(__xludf.DUMMYFUNCTION(""""""""" &amp; REGEXEXTRACT(B3067, ""/detail/([^/?]+)"") &amp; """""","""),"""kdddlmfedcpcblakijdkfindjedklikb"",")</f>
        <v>"kdddlmfedcpcblakijdkfindjedklikb",</v>
      </c>
    </row>
    <row r="3068">
      <c r="A3068" s="4" t="s">
        <v>22249</v>
      </c>
      <c r="B3068" s="4" t="s">
        <v>6112</v>
      </c>
      <c r="C3068" s="16" t="str">
        <f>IFERROR(__xludf.DUMMYFUNCTION(""""""""" &amp; REGEXEXTRACT(B3068, ""/detail/([^/?]+)"") &amp; """""","""),"""kglapfficgodpkmenjfpfcignofghanc"",")</f>
        <v>"kglapfficgodpkmenjfpfcignofghanc",</v>
      </c>
    </row>
    <row r="3069">
      <c r="A3069" s="4" t="s">
        <v>22250</v>
      </c>
      <c r="B3069" s="4" t="s">
        <v>6114</v>
      </c>
      <c r="C3069" s="16" t="str">
        <f>IFERROR(__xludf.DUMMYFUNCTION(""""""""" &amp; REGEXEXTRACT(B3069, ""/detail/([^/?]+)"") &amp; """""","""),"""kgmbjoakninmbejgngppphhlbcjelcif"",")</f>
        <v>"kgmbjoakninmbejgngppphhlbcjelcif",</v>
      </c>
    </row>
    <row r="3070">
      <c r="A3070" s="4" t="s">
        <v>22251</v>
      </c>
      <c r="B3070" s="4" t="s">
        <v>6116</v>
      </c>
      <c r="C3070" s="16" t="str">
        <f>IFERROR(__xludf.DUMMYFUNCTION(""""""""" &amp; REGEXEXTRACT(B3070, ""/detail/([^/?]+)"") &amp; """""","""),"""khpbeljaehgajdlenemdebfmdmfdmmgj"",")</f>
        <v>"khpbeljaehgajdlenemdebfmdmfdmmgj",</v>
      </c>
    </row>
    <row r="3071">
      <c r="A3071" s="4" t="s">
        <v>22252</v>
      </c>
      <c r="B3071" s="4" t="s">
        <v>6118</v>
      </c>
      <c r="C3071" s="16" t="str">
        <f>IFERROR(__xludf.DUMMYFUNCTION(""""""""" &amp; REGEXEXTRACT(B3071, ""/detail/([^/?]+)"") &amp; """""","""),"""kibalnfonkjeflihncmfdngdeekcmfel"",")</f>
        <v>"kibalnfonkjeflihncmfdngdeekcmfel",</v>
      </c>
    </row>
    <row r="3072">
      <c r="A3072" s="4" t="s">
        <v>22253</v>
      </c>
      <c r="B3072" s="4" t="s">
        <v>6120</v>
      </c>
      <c r="C3072" s="16" t="str">
        <f>IFERROR(__xludf.DUMMYFUNCTION(""""""""" &amp; REGEXEXTRACT(B3072, ""/detail/([^/?]+)"") &amp; """""","""),"""kinakejknkolmphmemahohadokadjcil"",")</f>
        <v>"kinakejknkolmphmemahohadokadjcil",</v>
      </c>
    </row>
    <row r="3073">
      <c r="A3073" s="4" t="s">
        <v>22254</v>
      </c>
      <c r="B3073" s="4" t="s">
        <v>6122</v>
      </c>
      <c r="C3073" s="16" t="str">
        <f>IFERROR(__xludf.DUMMYFUNCTION(""""""""" &amp; REGEXEXTRACT(B3073, ""/detail/([^/?]+)"") &amp; """""","""),"""kioakkagkemhjepoflhccjmabkhbiepp"",")</f>
        <v>"kioakkagkemhjepoflhccjmabkhbiepp",</v>
      </c>
    </row>
    <row r="3074">
      <c r="A3074" s="4" t="s">
        <v>22255</v>
      </c>
      <c r="B3074" s="4" t="s">
        <v>6124</v>
      </c>
      <c r="C3074" s="16" t="str">
        <f>IFERROR(__xludf.DUMMYFUNCTION(""""""""" &amp; REGEXEXTRACT(B3074, ""/detail/([^/?]+)"") &amp; """""","""),"""kkknjljffdiobgejpmpcagehcpenklnd"",")</f>
        <v>"kkknjljffdiobgejpmpcagehcpenklnd",</v>
      </c>
    </row>
    <row r="3075">
      <c r="A3075" s="4" t="s">
        <v>22256</v>
      </c>
      <c r="B3075" s="4" t="s">
        <v>6126</v>
      </c>
      <c r="C3075" s="16" t="str">
        <f>IFERROR(__xludf.DUMMYFUNCTION(""""""""" &amp; REGEXEXTRACT(B3075, ""/detail/([^/?]+)"") &amp; """""","""),"""kloedcdpipobfmidkoafhmmmlpfjjehl"",")</f>
        <v>"kloedcdpipobfmidkoafhmmmlpfjjehl",</v>
      </c>
    </row>
    <row r="3076">
      <c r="A3076" s="4" t="s">
        <v>22257</v>
      </c>
      <c r="B3076" s="4" t="s">
        <v>6128</v>
      </c>
      <c r="C3076" s="16" t="str">
        <f>IFERROR(__xludf.DUMMYFUNCTION(""""""""" &amp; REGEXEXTRACT(B3076, ""/detail/([^/?]+)"") &amp; """""","""),"""kmhljmlnmkpkfidhceknegheeplgmngg"",")</f>
        <v>"kmhljmlnmkpkfidhceknegheeplgmngg",</v>
      </c>
    </row>
    <row r="3077">
      <c r="A3077" s="4" t="s">
        <v>22258</v>
      </c>
      <c r="B3077" s="4" t="s">
        <v>6130</v>
      </c>
      <c r="C3077" s="16" t="str">
        <f>IFERROR(__xludf.DUMMYFUNCTION(""""""""" &amp; REGEXEXTRACT(B3077, ""/detail/([^/?]+)"") &amp; """""","""),"""knijlkhfongiklhihkeoaipfhhlhpohb"",")</f>
        <v>"knijlkhfongiklhihkeoaipfhhlhpohb",</v>
      </c>
    </row>
    <row r="3078">
      <c r="A3078" s="4" t="s">
        <v>22259</v>
      </c>
      <c r="B3078" s="4" t="s">
        <v>6132</v>
      </c>
      <c r="C3078" s="16" t="str">
        <f>IFERROR(__xludf.DUMMYFUNCTION(""""""""" &amp; REGEXEXTRACT(B3078, ""/detail/([^/?]+)"") &amp; """""","""),"""knmnopfmccchnnfdoiddbihbcboeedll"",")</f>
        <v>"knmnopfmccchnnfdoiddbihbcboeedll",</v>
      </c>
    </row>
    <row r="3079">
      <c r="A3079" s="4" t="s">
        <v>22260</v>
      </c>
      <c r="B3079" s="4" t="s">
        <v>6134</v>
      </c>
      <c r="C3079" s="16" t="str">
        <f>IFERROR(__xludf.DUMMYFUNCTION(""""""""" &amp; REGEXEXTRACT(B3079, ""/detail/([^/?]+)"") &amp; """""","""),"""kobhgndjbalfbieppfglfamlglgdfmah"",")</f>
        <v>"kobhgndjbalfbieppfglfamlglgdfmah",</v>
      </c>
    </row>
    <row r="3080">
      <c r="A3080" s="4" t="s">
        <v>22261</v>
      </c>
      <c r="B3080" s="4" t="s">
        <v>6136</v>
      </c>
      <c r="C3080" s="16" t="str">
        <f>IFERROR(__xludf.DUMMYFUNCTION(""""""""" &amp; REGEXEXTRACT(B3080, ""/detail/([^/?]+)"") &amp; """""","""),"""kpbgbcocfgjbmnpplcjlcammjdkgogba"",")</f>
        <v>"kpbgbcocfgjbmnpplcjlcammjdkgogba",</v>
      </c>
    </row>
    <row r="3081">
      <c r="A3081" s="4" t="s">
        <v>22262</v>
      </c>
      <c r="B3081" s="4" t="s">
        <v>6138</v>
      </c>
      <c r="C3081" s="16" t="str">
        <f>IFERROR(__xludf.DUMMYFUNCTION(""""""""" &amp; REGEXEXTRACT(B3081, ""/detail/([^/?]+)"") &amp; """""","""),"""kpdinddojclpdndplpblgckkfepjplie"",")</f>
        <v>"kpdinddojclpdndplpblgckkfepjplie",</v>
      </c>
    </row>
    <row r="3082">
      <c r="A3082" s="4" t="s">
        <v>22263</v>
      </c>
      <c r="B3082" s="4" t="s">
        <v>6140</v>
      </c>
      <c r="C3082" s="16" t="str">
        <f>IFERROR(__xludf.DUMMYFUNCTION(""""""""" &amp; REGEXEXTRACT(B3082, ""/detail/([^/?]+)"") &amp; """""","""),"""kpnpeakbgaamfdapfedfgpbnkfhaalgg"",")</f>
        <v>"kpnpeakbgaamfdapfedfgpbnkfhaalgg",</v>
      </c>
    </row>
    <row r="3083">
      <c r="A3083" s="4" t="s">
        <v>22264</v>
      </c>
      <c r="B3083" s="4" t="s">
        <v>6142</v>
      </c>
      <c r="C3083" s="16" t="str">
        <f>IFERROR(__xludf.DUMMYFUNCTION(""""""""" &amp; REGEXEXTRACT(B3083, ""/detail/([^/?]+)"") &amp; """""","""),"""ladhbdfdpfjaeonkdmdnogplgbpoiaja"",")</f>
        <v>"ladhbdfdpfjaeonkdmdnogplgbpoiaja",</v>
      </c>
    </row>
    <row r="3084">
      <c r="A3084" s="4" t="s">
        <v>22265</v>
      </c>
      <c r="B3084" s="4" t="s">
        <v>6144</v>
      </c>
      <c r="C3084" s="16" t="str">
        <f>IFERROR(__xludf.DUMMYFUNCTION(""""""""" &amp; REGEXEXTRACT(B3084, ""/detail/([^/?]+)"") &amp; """""","""),"""ladmdjdnjfflielmgnmcnljncjpnlklk"",")</f>
        <v>"ladmdjdnjfflielmgnmcnljncjpnlklk",</v>
      </c>
    </row>
    <row r="3085">
      <c r="A3085" s="4" t="s">
        <v>22266</v>
      </c>
      <c r="B3085" s="4" t="s">
        <v>6146</v>
      </c>
      <c r="C3085" s="16" t="str">
        <f>IFERROR(__xludf.DUMMYFUNCTION(""""""""" &amp; REGEXEXTRACT(B3085, ""/detail/([^/?]+)"") &amp; """""","""),"""lakkbciakcddnjmpenppddehppgjmdno"",")</f>
        <v>"lakkbciakcddnjmpenppddehppgjmdno",</v>
      </c>
    </row>
    <row r="3086">
      <c r="A3086" s="4" t="s">
        <v>22267</v>
      </c>
      <c r="B3086" s="4" t="s">
        <v>6148</v>
      </c>
      <c r="C3086" s="16" t="str">
        <f>IFERROR(__xludf.DUMMYFUNCTION(""""""""" &amp; REGEXEXTRACT(B3086, ""/detail/([^/?]+)"") &amp; """""","""),"""lbcjaollbgiecemkpbllpkbeffegcllo"",")</f>
        <v>"lbcjaollbgiecemkpbllpkbeffegcllo",</v>
      </c>
    </row>
    <row r="3087">
      <c r="A3087" s="4" t="s">
        <v>22268</v>
      </c>
      <c r="B3087" s="4" t="s">
        <v>6150</v>
      </c>
      <c r="C3087" s="16" t="str">
        <f>IFERROR(__xludf.DUMMYFUNCTION(""""""""" &amp; REGEXEXTRACT(B3087, ""/detail/([^/?]+)"") &amp; """""","""),"""lbedjfknabfhnfchndcipdipllmmkljm"",")</f>
        <v>"lbedjfknabfhnfchndcipdipllmmkljm",</v>
      </c>
    </row>
    <row r="3088">
      <c r="A3088" s="4" t="s">
        <v>22269</v>
      </c>
      <c r="B3088" s="4" t="s">
        <v>6152</v>
      </c>
      <c r="C3088" s="16" t="str">
        <f>IFERROR(__xludf.DUMMYFUNCTION(""""""""" &amp; REGEXEXTRACT(B3088, ""/detail/([^/?]+)"") &amp; """""","""),"""lbhgdbhopkhialmcnhdcpomjpekkekpf"",")</f>
        <v>"lbhgdbhopkhialmcnhdcpomjpekkekpf",</v>
      </c>
    </row>
    <row r="3089">
      <c r="A3089" s="4" t="s">
        <v>22270</v>
      </c>
      <c r="B3089" s="4" t="s">
        <v>6154</v>
      </c>
      <c r="C3089" s="16" t="str">
        <f>IFERROR(__xludf.DUMMYFUNCTION(""""""""" &amp; REGEXEXTRACT(B3089, ""/detail/([^/?]+)"") &amp; """""","""),"""lcgdpfaiipaelnpepigdafiogebaeedg"",")</f>
        <v>"lcgdpfaiipaelnpepigdafiogebaeedg",</v>
      </c>
    </row>
    <row r="3090">
      <c r="A3090" s="4" t="s">
        <v>22271</v>
      </c>
      <c r="B3090" s="4" t="s">
        <v>6156</v>
      </c>
      <c r="C3090" s="16" t="str">
        <f>IFERROR(__xludf.DUMMYFUNCTION(""""""""" &amp; REGEXEXTRACT(B3090, ""/detail/([^/?]+)"") &amp; """""","""),"""ldbemkmafmibhpncgagpegmhbhpolnlp"",")</f>
        <v>"ldbemkmafmibhpncgagpegmhbhpolnlp",</v>
      </c>
    </row>
    <row r="3091">
      <c r="A3091" s="4" t="s">
        <v>22272</v>
      </c>
      <c r="B3091" s="4" t="s">
        <v>6158</v>
      </c>
      <c r="C3091" s="16" t="str">
        <f>IFERROR(__xludf.DUMMYFUNCTION(""""""""" &amp; REGEXEXTRACT(B3091, ""/detail/([^/?]+)"") &amp; """""","""),"""ldioohgilefagnheacoadblbnijeicln"",")</f>
        <v>"ldioohgilefagnheacoadblbnijeicln",</v>
      </c>
    </row>
    <row r="3092">
      <c r="A3092" s="4" t="s">
        <v>22273</v>
      </c>
      <c r="B3092" s="4" t="s">
        <v>6160</v>
      </c>
      <c r="C3092" s="16" t="str">
        <f>IFERROR(__xludf.DUMMYFUNCTION(""""""""" &amp; REGEXEXTRACT(B3092, ""/detail/([^/?]+)"") &amp; """""","""),"""ldolgfmfhlgpgnmplmblipcdmojfhbld"",")</f>
        <v>"ldolgfmfhlgpgnmplmblipcdmojfhbld",</v>
      </c>
    </row>
    <row r="3093">
      <c r="A3093" s="4" t="s">
        <v>22274</v>
      </c>
      <c r="B3093" s="4" t="s">
        <v>6162</v>
      </c>
      <c r="C3093" s="16" t="str">
        <f>IFERROR(__xludf.DUMMYFUNCTION(""""""""" &amp; REGEXEXTRACT(B3093, ""/detail/([^/?]+)"") &amp; """""","""),"""lfaegjjpmoccjblndpnlgkkaikkcjhhi"",")</f>
        <v>"lfaegjjpmoccjblndpnlgkkaikkcjhhi",</v>
      </c>
    </row>
    <row r="3094">
      <c r="A3094" s="4" t="s">
        <v>22275</v>
      </c>
      <c r="B3094" s="4" t="s">
        <v>6164</v>
      </c>
      <c r="C3094" s="16" t="str">
        <f>IFERROR(__xludf.DUMMYFUNCTION(""""""""" &amp; REGEXEXTRACT(B3094, ""/detail/([^/?]+)"") &amp; """""","""),"""lhjppngegpcocmjoflncllmpcldjnbmk"",")</f>
        <v>"lhjppngegpcocmjoflncllmpcldjnbmk",</v>
      </c>
    </row>
    <row r="3095">
      <c r="A3095" s="4" t="s">
        <v>22276</v>
      </c>
      <c r="B3095" s="4" t="s">
        <v>6166</v>
      </c>
      <c r="C3095" s="16" t="str">
        <f>IFERROR(__xludf.DUMMYFUNCTION(""""""""" &amp; REGEXEXTRACT(B3095, ""/detail/([^/?]+)"") &amp; """""","""),"""lhmkiondbkdipiamhlejekifohkchahl"",")</f>
        <v>"lhmkiondbkdipiamhlejekifohkchahl",</v>
      </c>
    </row>
    <row r="3096">
      <c r="A3096" s="4" t="s">
        <v>22277</v>
      </c>
      <c r="B3096" s="4" t="s">
        <v>6168</v>
      </c>
      <c r="C3096" s="16" t="str">
        <f>IFERROR(__xludf.DUMMYFUNCTION(""""""""" &amp; REGEXEXTRACT(B3096, ""/detail/([^/?]+)"") &amp; """""","""),"""liabdglniakbjkmeljnanknablieadkg"",")</f>
        <v>"liabdglniakbjkmeljnanknablieadkg",</v>
      </c>
    </row>
    <row r="3097">
      <c r="A3097" s="4" t="s">
        <v>22278</v>
      </c>
      <c r="B3097" s="4" t="s">
        <v>6170</v>
      </c>
      <c r="C3097" s="16" t="str">
        <f>IFERROR(__xludf.DUMMYFUNCTION(""""""""" &amp; REGEXEXTRACT(B3097, ""/detail/([^/?]+)"") &amp; """""","""),"""libkeepfhbgiamhpajlgfcoljimloknk"",")</f>
        <v>"libkeepfhbgiamhpajlgfcoljimloknk",</v>
      </c>
    </row>
    <row r="3098">
      <c r="A3098" s="4" t="s">
        <v>22279</v>
      </c>
      <c r="B3098" s="4" t="s">
        <v>6172</v>
      </c>
      <c r="C3098" s="16" t="str">
        <f>IFERROR(__xludf.DUMMYFUNCTION(""""""""" &amp; REGEXEXTRACT(B3098, ""/detail/([^/?]+)"") &amp; """""","""),"""lijdblodiicfbnabekcfgnfdohphbogb"",")</f>
        <v>"lijdblodiicfbnabekcfgnfdohphbogb",</v>
      </c>
    </row>
    <row r="3099">
      <c r="A3099" s="4" t="s">
        <v>22280</v>
      </c>
      <c r="B3099" s="4" t="s">
        <v>6174</v>
      </c>
      <c r="C3099" s="16" t="str">
        <f>IFERROR(__xludf.DUMMYFUNCTION(""""""""" &amp; REGEXEXTRACT(B3099, ""/detail/([^/?]+)"") &amp; """""","""),"""likiiimmebiicjdadpepiifoknjfddfj"",")</f>
        <v>"likiiimmebiicjdadpepiifoknjfddfj",</v>
      </c>
    </row>
    <row r="3100">
      <c r="A3100" s="4" t="s">
        <v>22281</v>
      </c>
      <c r="B3100" s="4" t="s">
        <v>6176</v>
      </c>
      <c r="C3100" s="16" t="str">
        <f>IFERROR(__xludf.DUMMYFUNCTION(""""""""" &amp; REGEXEXTRACT(B3100, ""/detail/([^/?]+)"") &amp; """""","""),"""lipchhllklhmehlnknonpkjgaolabkfd"",")</f>
        <v>"lipchhllklhmehlnknonpkjgaolabkfd",</v>
      </c>
    </row>
    <row r="3101">
      <c r="A3101" s="4" t="s">
        <v>22282</v>
      </c>
      <c r="B3101" s="4" t="s">
        <v>6178</v>
      </c>
      <c r="C3101" s="16" t="str">
        <f>IFERROR(__xludf.DUMMYFUNCTION(""""""""" &amp; REGEXEXTRACT(B3101, ""/detail/([^/?]+)"") &amp; """""","""),"""ljafjhbjenhgcgnikniijchkngljgjda"",")</f>
        <v>"ljafjhbjenhgcgnikniijchkngljgjda",</v>
      </c>
    </row>
    <row r="3102">
      <c r="A3102" s="4" t="s">
        <v>22283</v>
      </c>
      <c r="B3102" s="4" t="s">
        <v>6180</v>
      </c>
      <c r="C3102" s="16" t="str">
        <f>IFERROR(__xludf.DUMMYFUNCTION(""""""""" &amp; REGEXEXTRACT(B3102, ""/detail/([^/?]+)"") &amp; """""","""),"""ljociicifligbnfpobemibmmecnbbmla"",")</f>
        <v>"ljociicifligbnfpobemibmmecnbbmla",</v>
      </c>
    </row>
    <row r="3103">
      <c r="A3103" s="4" t="s">
        <v>22284</v>
      </c>
      <c r="B3103" s="4" t="s">
        <v>6182</v>
      </c>
      <c r="C3103" s="16" t="str">
        <f>IFERROR(__xludf.DUMMYFUNCTION(""""""""" &amp; REGEXEXTRACT(B3103, ""/detail/([^/?]+)"") &amp; """""","""),"""lkpiolleljimgohflbgekkbeoiajighj"",")</f>
        <v>"lkpiolleljimgohflbgekkbeoiajighj",</v>
      </c>
    </row>
    <row r="3104">
      <c r="A3104" s="4" t="s">
        <v>22285</v>
      </c>
      <c r="B3104" s="4" t="s">
        <v>6184</v>
      </c>
      <c r="C3104" s="16" t="str">
        <f>IFERROR(__xludf.DUMMYFUNCTION(""""""""" &amp; REGEXEXTRACT(B3104, ""/detail/([^/?]+)"") &amp; """""","""),"""lleedlmnoojfhnkaecmgkhemapcgpppl"",")</f>
        <v>"lleedlmnoojfhnkaecmgkhemapcgpppl",</v>
      </c>
    </row>
    <row r="3105">
      <c r="A3105" s="4" t="s">
        <v>22286</v>
      </c>
      <c r="B3105" s="4" t="s">
        <v>6186</v>
      </c>
      <c r="C3105" s="16" t="str">
        <f>IFERROR(__xludf.DUMMYFUNCTION(""""""""" &amp; REGEXEXTRACT(B3105, ""/detail/([^/?]+)"") &amp; """""","""),"""llondniabnmnappjekpflmgcikaiilmh"",")</f>
        <v>"llondniabnmnappjekpflmgcikaiilmh",</v>
      </c>
    </row>
    <row r="3106">
      <c r="A3106" s="4" t="s">
        <v>22287</v>
      </c>
      <c r="B3106" s="4" t="s">
        <v>6188</v>
      </c>
      <c r="C3106" s="16" t="str">
        <f>IFERROR(__xludf.DUMMYFUNCTION(""""""""" &amp; REGEXEXTRACT(B3106, ""/detail/([^/?]+)"") &amp; """""","""),"""lmelmdoimijenelaokcdhhebmfhpjipd"",")</f>
        <v>"lmelmdoimijenelaokcdhhebmfhpjipd",</v>
      </c>
    </row>
    <row r="3107">
      <c r="A3107" s="4" t="s">
        <v>22288</v>
      </c>
      <c r="B3107" s="4" t="s">
        <v>6190</v>
      </c>
      <c r="C3107" s="16" t="str">
        <f>IFERROR(__xludf.DUMMYFUNCTION(""""""""" &amp; REGEXEXTRACT(B3107, ""/detail/([^/?]+)"") &amp; """""","""),"""lnbaadooobnmoahpcgljfioimghcnfje"",")</f>
        <v>"lnbaadooobnmoahpcgljfioimghcnfje",</v>
      </c>
    </row>
    <row r="3108">
      <c r="A3108" s="4" t="s">
        <v>22289</v>
      </c>
      <c r="B3108" s="4" t="s">
        <v>6192</v>
      </c>
      <c r="C3108" s="16" t="str">
        <f>IFERROR(__xludf.DUMMYFUNCTION(""""""""" &amp; REGEXEXTRACT(B3108, ""/detail/([^/?]+)"") &amp; """""","""),"""lndmkajeoopejggihiomoaepinlhblmm"",")</f>
        <v>"lndmkajeoopejggihiomoaepinlhblmm",</v>
      </c>
    </row>
    <row r="3109">
      <c r="A3109" s="4" t="s">
        <v>22290</v>
      </c>
      <c r="B3109" s="4" t="s">
        <v>6194</v>
      </c>
      <c r="C3109" s="16" t="str">
        <f>IFERROR(__xludf.DUMMYFUNCTION(""""""""" &amp; REGEXEXTRACT(B3109, ""/detail/([^/?]+)"") &amp; """""","""),"""maljbdebgffplibkcchbjahfjhppkpmp"",")</f>
        <v>"maljbdebgffplibkcchbjahfjhppkpmp",</v>
      </c>
    </row>
    <row r="3110">
      <c r="A3110" s="4" t="s">
        <v>22291</v>
      </c>
      <c r="B3110" s="4" t="s">
        <v>6196</v>
      </c>
      <c r="C3110" s="16" t="str">
        <f>IFERROR(__xludf.DUMMYFUNCTION(""""""""" &amp; REGEXEXTRACT(B3110, ""/detail/([^/?]+)"") &amp; """""","""),"""maoigfcibanjdgnepaiiadjhgmejclea"",")</f>
        <v>"maoigfcibanjdgnepaiiadjhgmejclea",</v>
      </c>
    </row>
    <row r="3111">
      <c r="A3111" s="4" t="s">
        <v>22292</v>
      </c>
      <c r="B3111" s="4" t="s">
        <v>6198</v>
      </c>
      <c r="C3111" s="16" t="str">
        <f>IFERROR(__xludf.DUMMYFUNCTION(""""""""" &amp; REGEXEXTRACT(B3111, ""/detail/([^/?]+)"") &amp; """""","""),"""mcljfnnepfafdljkpfacdbohjobjhbmo"",")</f>
        <v>"mcljfnnepfafdljkpfacdbohjobjhbmo",</v>
      </c>
    </row>
    <row r="3112">
      <c r="A3112" s="4" t="s">
        <v>22293</v>
      </c>
      <c r="B3112" s="4" t="s">
        <v>6200</v>
      </c>
      <c r="C3112" s="16" t="str">
        <f>IFERROR(__xludf.DUMMYFUNCTION(""""""""" &amp; REGEXEXTRACT(B3112, ""/detail/([^/?]+)"") &amp; """""","""),"""mdcgnhlfpnbeieiiccmebgkfdebafodo"",")</f>
        <v>"mdcgnhlfpnbeieiiccmebgkfdebafodo",</v>
      </c>
    </row>
    <row r="3113">
      <c r="A3113" s="4" t="s">
        <v>22294</v>
      </c>
      <c r="B3113" s="4" t="s">
        <v>6202</v>
      </c>
      <c r="C3113" s="16" t="str">
        <f>IFERROR(__xludf.DUMMYFUNCTION(""""""""" &amp; REGEXEXTRACT(B3113, ""/detail/([^/?]+)"") &amp; """""","""),"""mdpfffijdiaiooefbiojcjilebamggig"",")</f>
        <v>"mdpfffijdiaiooefbiojcjilebamggig",</v>
      </c>
    </row>
    <row r="3114">
      <c r="A3114" s="4" t="s">
        <v>22295</v>
      </c>
      <c r="B3114" s="4" t="s">
        <v>6204</v>
      </c>
      <c r="C3114" s="16" t="str">
        <f>IFERROR(__xludf.DUMMYFUNCTION(""""""""" &amp; REGEXEXTRACT(B3114, ""/detail/([^/?]+)"") &amp; """""","""),"""megchchilhekbbnfcklodmndefbhkbco"",")</f>
        <v>"megchchilhekbbnfcklodmndefbhkbco",</v>
      </c>
    </row>
    <row r="3115">
      <c r="A3115" s="4" t="s">
        <v>22296</v>
      </c>
      <c r="B3115" s="4" t="s">
        <v>6206</v>
      </c>
      <c r="C3115" s="16" t="str">
        <f>IFERROR(__xludf.DUMMYFUNCTION(""""""""" &amp; REGEXEXTRACT(B3115, ""/detail/([^/?]+)"") &amp; """""","""),"""meonopfejondoahgndhocmaenpcebkhb"",")</f>
        <v>"meonopfejondoahgndhocmaenpcebkhb",</v>
      </c>
    </row>
    <row r="3116">
      <c r="A3116" s="4" t="s">
        <v>22297</v>
      </c>
      <c r="B3116" s="4" t="s">
        <v>6208</v>
      </c>
      <c r="C3116" s="16" t="str">
        <f>IFERROR(__xludf.DUMMYFUNCTION(""""""""" &amp; REGEXEXTRACT(B3116, ""/detail/([^/?]+)"") &amp; """""","""),"""mfcddagpdnfokfnbnoeephmfoifgdbid"",")</f>
        <v>"mfcddagpdnfokfnbnoeephmfoifgdbid",</v>
      </c>
    </row>
    <row r="3117">
      <c r="A3117" s="4" t="s">
        <v>22298</v>
      </c>
      <c r="B3117" s="4" t="s">
        <v>6210</v>
      </c>
      <c r="C3117" s="16" t="str">
        <f>IFERROR(__xludf.DUMMYFUNCTION(""""""""" &amp; REGEXEXTRACT(B3117, ""/detail/([^/?]+)"") &amp; """""","""),"""mgbmndipjhghcencokiedbkfgbomdpmd"",")</f>
        <v>"mgbmndipjhghcencokiedbkfgbomdpmd",</v>
      </c>
    </row>
    <row r="3118">
      <c r="A3118" s="4" t="s">
        <v>22299</v>
      </c>
      <c r="B3118" s="4" t="s">
        <v>6212</v>
      </c>
      <c r="C3118" s="16" t="str">
        <f>IFERROR(__xludf.DUMMYFUNCTION(""""""""" &amp; REGEXEXTRACT(B3118, ""/detail/([^/?]+)"") &amp; """""","""),"""mgmjbodjgijnebfgohlnjkegdpbdjgin"",")</f>
        <v>"mgmjbodjgijnebfgohlnjkegdpbdjgin",</v>
      </c>
    </row>
    <row r="3119">
      <c r="A3119" s="4" t="s">
        <v>22300</v>
      </c>
      <c r="B3119" s="4" t="s">
        <v>6214</v>
      </c>
      <c r="C3119" s="16" t="str">
        <f>IFERROR(__xludf.DUMMYFUNCTION(""""""""" &amp; REGEXEXTRACT(B3119, ""/detail/([^/?]+)"") &amp; """""","""),"""mhdcjcilknaincbghadamlbdfgnpcebg"",")</f>
        <v>"mhdcjcilknaincbghadamlbdfgnpcebg",</v>
      </c>
    </row>
    <row r="3120">
      <c r="A3120" s="4" t="s">
        <v>22301</v>
      </c>
      <c r="B3120" s="4" t="s">
        <v>6216</v>
      </c>
      <c r="C3120" s="16" t="str">
        <f>IFERROR(__xludf.DUMMYFUNCTION(""""""""" &amp; REGEXEXTRACT(B3120, ""/detail/([^/?]+)"") &amp; """""","""),"""mjbgoobglbjpjmjkocghjmpkcponiemh"",")</f>
        <v>"mjbgoobglbjpjmjkocghjmpkcponiemh",</v>
      </c>
    </row>
    <row r="3121">
      <c r="A3121" s="4" t="s">
        <v>22302</v>
      </c>
      <c r="B3121" s="4" t="s">
        <v>6218</v>
      </c>
      <c r="C3121" s="16" t="str">
        <f>IFERROR(__xludf.DUMMYFUNCTION(""""""""" &amp; REGEXEXTRACT(B3121, ""/detail/([^/?]+)"") &amp; """""","""),"""mjffedinmmdbebmljeoobdiccmoldidg"",")</f>
        <v>"mjffedinmmdbebmljeoobdiccmoldidg",</v>
      </c>
    </row>
    <row r="3122">
      <c r="A3122" s="4" t="s">
        <v>22303</v>
      </c>
      <c r="B3122" s="4" t="s">
        <v>6220</v>
      </c>
      <c r="C3122" s="16" t="str">
        <f>IFERROR(__xludf.DUMMYFUNCTION(""""""""" &amp; REGEXEXTRACT(B3122, ""/detail/([^/?]+)"") &amp; """""","""),"""mjpehbafabejicbgnchgmhnleppcbgfi"",")</f>
        <v>"mjpehbafabejicbgnchgmhnleppcbgfi",</v>
      </c>
    </row>
    <row r="3123">
      <c r="A3123" s="4" t="s">
        <v>22304</v>
      </c>
      <c r="B3123" s="4" t="s">
        <v>6222</v>
      </c>
      <c r="C3123" s="16" t="str">
        <f>IFERROR(__xludf.DUMMYFUNCTION(""""""""" &amp; REGEXEXTRACT(B3123, ""/detail/([^/?]+)"") &amp; """""","""),"""mkepenkbhepjelljcfiooignmpfgochi"",")</f>
        <v>"mkepenkbhepjelljcfiooignmpfgochi",</v>
      </c>
    </row>
    <row r="3124">
      <c r="A3124" s="4" t="s">
        <v>22305</v>
      </c>
      <c r="B3124" s="4" t="s">
        <v>6224</v>
      </c>
      <c r="C3124" s="16" t="str">
        <f>IFERROR(__xludf.DUMMYFUNCTION(""""""""" &amp; REGEXEXTRACT(B3124, ""/detail/([^/?]+)"") &amp; """""","""),"""mkjcjbkackpifmmpmhjfojjindefnffk"",")</f>
        <v>"mkjcjbkackpifmmpmhjfojjindefnffk",</v>
      </c>
    </row>
    <row r="3125">
      <c r="A3125" s="4" t="s">
        <v>22306</v>
      </c>
      <c r="B3125" s="4" t="s">
        <v>6226</v>
      </c>
      <c r="C3125" s="16" t="str">
        <f>IFERROR(__xludf.DUMMYFUNCTION(""""""""" &amp; REGEXEXTRACT(B3125, ""/detail/([^/?]+)"") &amp; """""","""),"""mkjmfnfelagifmamhjibjpggdidpjnjj"",")</f>
        <v>"mkjmfnfelagifmamhjibjpggdidpjnjj",</v>
      </c>
    </row>
    <row r="3126">
      <c r="A3126" s="4" t="s">
        <v>22307</v>
      </c>
      <c r="B3126" s="4" t="s">
        <v>6228</v>
      </c>
      <c r="C3126" s="16" t="str">
        <f>IFERROR(__xludf.DUMMYFUNCTION(""""""""" &amp; REGEXEXTRACT(B3126, ""/detail/([^/?]+)"") &amp; """""","""),"""mklfhpmcnamcncipgjdildbffdjdfdol"",")</f>
        <v>"mklfhpmcnamcncipgjdildbffdjdfdol",</v>
      </c>
    </row>
    <row r="3127">
      <c r="A3127" s="4" t="s">
        <v>22308</v>
      </c>
      <c r="B3127" s="4" t="s">
        <v>6230</v>
      </c>
      <c r="C3127" s="16" t="str">
        <f>IFERROR(__xludf.DUMMYFUNCTION(""""""""" &amp; REGEXEXTRACT(B3127, ""/detail/([^/?]+)"") &amp; """""","""),"""mlhndmhjkoeggdhifdlglkldgppjifpf"",")</f>
        <v>"mlhndmhjkoeggdhifdlglkldgppjifpf",</v>
      </c>
    </row>
    <row r="3128">
      <c r="A3128" s="4" t="s">
        <v>22309</v>
      </c>
      <c r="B3128" s="4" t="s">
        <v>6232</v>
      </c>
      <c r="C3128" s="16" t="str">
        <f>IFERROR(__xludf.DUMMYFUNCTION(""""""""" &amp; REGEXEXTRACT(B3128, ""/detail/([^/?]+)"") &amp; """""","""),"""mmbiohbmijkiimgcgijfomelgpmdiigb"",")</f>
        <v>"mmbiohbmijkiimgcgijfomelgpmdiigb",</v>
      </c>
    </row>
    <row r="3129">
      <c r="A3129" s="4" t="s">
        <v>22310</v>
      </c>
      <c r="B3129" s="4" t="s">
        <v>6234</v>
      </c>
      <c r="C3129" s="16" t="str">
        <f>IFERROR(__xludf.DUMMYFUNCTION(""""""""" &amp; REGEXEXTRACT(B3129, ""/detail/([^/?]+)"") &amp; """""","""),"""mmcgnaachjapbbchcpjihhgjhpfcnoan"",")</f>
        <v>"mmcgnaachjapbbchcpjihhgjhpfcnoan",</v>
      </c>
    </row>
    <row r="3130">
      <c r="A3130" s="4" t="s">
        <v>22311</v>
      </c>
      <c r="B3130" s="4" t="s">
        <v>6236</v>
      </c>
      <c r="C3130" s="16" t="str">
        <f>IFERROR(__xludf.DUMMYFUNCTION(""""""""" &amp; REGEXEXTRACT(B3130, ""/detail/([^/?]+)"") &amp; """""","""),"""mmehkkgdjeabomkpmpfkemcomagemjfn"",")</f>
        <v>"mmehkkgdjeabomkpmpfkemcomagemjfn",</v>
      </c>
    </row>
    <row r="3131">
      <c r="A3131" s="4" t="s">
        <v>22312</v>
      </c>
      <c r="B3131" s="4" t="s">
        <v>6238</v>
      </c>
      <c r="C3131" s="16" t="str">
        <f>IFERROR(__xludf.DUMMYFUNCTION(""""""""" &amp; REGEXEXTRACT(B3131, ""/detail/([^/?]+)"") &amp; """""","""),"""mmephpcmjcplemnjjjohocfgijndcnbn"",")</f>
        <v>"mmephpcmjcplemnjjjohocfgijndcnbn",</v>
      </c>
    </row>
    <row r="3132">
      <c r="A3132" s="4" t="s">
        <v>22313</v>
      </c>
      <c r="B3132" s="4" t="s">
        <v>6240</v>
      </c>
      <c r="C3132" s="16" t="str">
        <f>IFERROR(__xludf.DUMMYFUNCTION(""""""""" &amp; REGEXEXTRACT(B3132, ""/detail/([^/?]+)"") &amp; """""","""),"""mnellcecpgpeniolniglgfdfphfeoffo"",")</f>
        <v>"mnellcecpgpeniolniglgfdfphfeoffo",</v>
      </c>
    </row>
    <row r="3133">
      <c r="A3133" s="4" t="s">
        <v>22314</v>
      </c>
      <c r="B3133" s="4" t="s">
        <v>6242</v>
      </c>
      <c r="C3133" s="16" t="str">
        <f>IFERROR(__xludf.DUMMYFUNCTION(""""""""" &amp; REGEXEXTRACT(B3133, ""/detail/([^/?]+)"") &amp; """""","""),"""mnenbmhckgnahghjhelklajobocdiijf"",")</f>
        <v>"mnenbmhckgnahghjhelklajobocdiijf",</v>
      </c>
    </row>
    <row r="3134">
      <c r="A3134" s="4" t="s">
        <v>22315</v>
      </c>
      <c r="B3134" s="4" t="s">
        <v>6244</v>
      </c>
      <c r="C3134" s="16" t="str">
        <f>IFERROR(__xludf.DUMMYFUNCTION(""""""""" &amp; REGEXEXTRACT(B3134, ""/detail/([^/?]+)"") &amp; """""","""),"""moebmmkeehmohghiialcoemcmebekbap"",")</f>
        <v>"moebmmkeehmohghiialcoemcmebekbap",</v>
      </c>
    </row>
    <row r="3135">
      <c r="A3135" s="4" t="s">
        <v>22316</v>
      </c>
      <c r="B3135" s="4" t="s">
        <v>6246</v>
      </c>
      <c r="C3135" s="16" t="str">
        <f>IFERROR(__xludf.DUMMYFUNCTION(""""""""" &amp; REGEXEXTRACT(B3135, ""/detail/([^/?]+)"") &amp; """""","""),"""mopoebekmlkmahpfjjgibkbnciooimhn"",")</f>
        <v>"mopoebekmlkmahpfjjgibkbnciooimhn",</v>
      </c>
    </row>
    <row r="3136">
      <c r="A3136" s="4" t="s">
        <v>22317</v>
      </c>
      <c r="B3136" s="4" t="s">
        <v>6248</v>
      </c>
      <c r="C3136" s="16" t="str">
        <f>IFERROR(__xludf.DUMMYFUNCTION(""""""""" &amp; REGEXEXTRACT(B3136, ""/detail/([^/?]+)"") &amp; """""","""),"""naabbdmohmekdgecllphidjiaobnekcc"",")</f>
        <v>"naabbdmohmekdgecllphidjiaobnekcc",</v>
      </c>
    </row>
    <row r="3137">
      <c r="A3137" s="4" t="s">
        <v>22318</v>
      </c>
      <c r="B3137" s="4" t="s">
        <v>6250</v>
      </c>
      <c r="C3137" s="16" t="str">
        <f>IFERROR(__xludf.DUMMYFUNCTION(""""""""" &amp; REGEXEXTRACT(B3137, ""/detail/([^/?]+)"") &amp; """""","""),"""nacgpnjabcgfbnbgahakofjoebbknhao"",")</f>
        <v>"nacgpnjabcgfbnbgahakofjoebbknhao",</v>
      </c>
    </row>
    <row r="3138">
      <c r="A3138" s="4" t="s">
        <v>22319</v>
      </c>
      <c r="B3138" s="4" t="s">
        <v>6252</v>
      </c>
      <c r="C3138" s="16" t="str">
        <f>IFERROR(__xludf.DUMMYFUNCTION(""""""""" &amp; REGEXEXTRACT(B3138, ""/detail/([^/?]+)"") &amp; """""","""),"""nahdeimiheknmpknkenfkmhonnlboeim"",")</f>
        <v>"nahdeimiheknmpknkenfkmhonnlboeim",</v>
      </c>
    </row>
    <row r="3139">
      <c r="A3139" s="4" t="s">
        <v>22320</v>
      </c>
      <c r="B3139" s="4" t="s">
        <v>6254</v>
      </c>
      <c r="C3139" s="16" t="str">
        <f>IFERROR(__xludf.DUMMYFUNCTION(""""""""" &amp; REGEXEXTRACT(B3139, ""/detail/([^/?]+)"") &amp; """""","""),"""naiegljfmojjaphollbjobpedcdnkkfp"",")</f>
        <v>"naiegljfmojjaphollbjobpedcdnkkfp",</v>
      </c>
    </row>
    <row r="3140">
      <c r="A3140" s="4" t="s">
        <v>22321</v>
      </c>
      <c r="B3140" s="4" t="s">
        <v>6256</v>
      </c>
      <c r="C3140" s="16" t="str">
        <f>IFERROR(__xludf.DUMMYFUNCTION(""""""""" &amp; REGEXEXTRACT(B3140, ""/detail/([^/?]+)"") &amp; """""","""),"""naipbdlipiclagppfadakpfhfpmjpmae"",")</f>
        <v>"naipbdlipiclagppfadakpfhfpmjpmae",</v>
      </c>
    </row>
    <row r="3141">
      <c r="A3141" s="4" t="s">
        <v>22322</v>
      </c>
      <c r="B3141" s="4" t="s">
        <v>6258</v>
      </c>
      <c r="C3141" s="16" t="str">
        <f>IFERROR(__xludf.DUMMYFUNCTION(""""""""" &amp; REGEXEXTRACT(B3141, ""/detail/([^/?]+)"") &amp; """""","""),"""nbefemlknofkcmjaacjbfebcodllpncj"",")</f>
        <v>"nbefemlknofkcmjaacjbfebcodllpncj",</v>
      </c>
    </row>
    <row r="3142">
      <c r="A3142" s="4" t="s">
        <v>22323</v>
      </c>
      <c r="B3142" s="4" t="s">
        <v>6260</v>
      </c>
      <c r="C3142" s="16" t="str">
        <f>IFERROR(__xludf.DUMMYFUNCTION(""""""""" &amp; REGEXEXTRACT(B3142, ""/detail/([^/?]+)"") &amp; """""","""),"""nbiajhhibgfgkjegbnflpdccejocmbbn"",")</f>
        <v>"nbiajhhibgfgkjegbnflpdccejocmbbn",</v>
      </c>
    </row>
    <row r="3143">
      <c r="A3143" s="4" t="s">
        <v>22324</v>
      </c>
      <c r="B3143" s="4" t="s">
        <v>6262</v>
      </c>
      <c r="C3143" s="16" t="str">
        <f>IFERROR(__xludf.DUMMYFUNCTION(""""""""" &amp; REGEXEXTRACT(B3143, ""/detail/([^/?]+)"") &amp; """""","""),"""nbomnjapnclaocillijpceooehonajnk"",")</f>
        <v>"nbomnjapnclaocillijpceooehonajnk",</v>
      </c>
    </row>
    <row r="3144">
      <c r="A3144" s="4" t="s">
        <v>22325</v>
      </c>
      <c r="B3144" s="4" t="s">
        <v>6264</v>
      </c>
      <c r="C3144" s="16" t="str">
        <f>IFERROR(__xludf.DUMMYFUNCTION(""""""""" &amp; REGEXEXTRACT(B3144, ""/detail/([^/?]+)"") &amp; """""","""),"""nedmgahpcodjodffangidkibceihkdhn"",")</f>
        <v>"nedmgahpcodjodffangidkibceihkdhn",</v>
      </c>
    </row>
    <row r="3145">
      <c r="A3145" s="4" t="s">
        <v>22326</v>
      </c>
      <c r="B3145" s="4" t="s">
        <v>6266</v>
      </c>
      <c r="C3145" s="16" t="str">
        <f>IFERROR(__xludf.DUMMYFUNCTION(""""""""" &amp; REGEXEXTRACT(B3145, ""/detail/([^/?]+)"") &amp; """""","""),"""neefikeccjlabaelikoghiiknjdbckal"",")</f>
        <v>"neefikeccjlabaelikoghiiknjdbckal",</v>
      </c>
    </row>
    <row r="3146">
      <c r="A3146" s="4" t="s">
        <v>22327</v>
      </c>
      <c r="B3146" s="4" t="s">
        <v>6268</v>
      </c>
      <c r="C3146" s="16" t="str">
        <f>IFERROR(__xludf.DUMMYFUNCTION(""""""""" &amp; REGEXEXTRACT(B3146, ""/detail/([^/?]+)"") &amp; """""","""),"""nehmaijilccnklmhkjlmmcnbjobdodhp"",")</f>
        <v>"nehmaijilccnklmhkjlmmcnbjobdodhp",</v>
      </c>
    </row>
    <row r="3147">
      <c r="A3147" s="4" t="s">
        <v>22328</v>
      </c>
      <c r="B3147" s="4" t="s">
        <v>6270</v>
      </c>
      <c r="C3147" s="16" t="str">
        <f>IFERROR(__xludf.DUMMYFUNCTION(""""""""" &amp; REGEXEXTRACT(B3147, ""/detail/([^/?]+)"") &amp; """""","""),"""nenoggmhpdbhlankidnhgmmpbhgdnnai"",")</f>
        <v>"nenoggmhpdbhlankidnhgmmpbhgdnnai",</v>
      </c>
    </row>
    <row r="3148">
      <c r="A3148" s="4" t="s">
        <v>22329</v>
      </c>
      <c r="B3148" s="4" t="s">
        <v>6272</v>
      </c>
      <c r="C3148" s="16" t="str">
        <f>IFERROR(__xludf.DUMMYFUNCTION(""""""""" &amp; REGEXEXTRACT(B3148, ""/detail/([^/?]+)"") &amp; """""","""),"""nepgdloeceldecnoaaegljlichnfognh"",")</f>
        <v>"nepgdloeceldecnoaaegljlichnfognh",</v>
      </c>
    </row>
    <row r="3149">
      <c r="A3149" s="4" t="s">
        <v>22330</v>
      </c>
      <c r="B3149" s="4" t="s">
        <v>6274</v>
      </c>
      <c r="C3149" s="16" t="str">
        <f>IFERROR(__xludf.DUMMYFUNCTION(""""""""" &amp; REGEXEXTRACT(B3149, ""/detail/([^/?]+)"") &amp; """""","""),"""nfcldgholonecfckicgfmekkecmnopbi"",")</f>
        <v>"nfcldgholonecfckicgfmekkecmnopbi",</v>
      </c>
    </row>
    <row r="3150">
      <c r="A3150" s="4" t="s">
        <v>22331</v>
      </c>
      <c r="B3150" s="4" t="s">
        <v>6276</v>
      </c>
      <c r="C3150" s="16" t="str">
        <f>IFERROR(__xludf.DUMMYFUNCTION(""""""""" &amp; REGEXEXTRACT(B3150, ""/detail/([^/?]+)"") &amp; """""","""),"""nfcnjkekppjddipfnfbbohdocpgjnmee"",")</f>
        <v>"nfcnjkekppjddipfnfbbohdocpgjnmee",</v>
      </c>
    </row>
    <row r="3151">
      <c r="A3151" s="4" t="s">
        <v>22332</v>
      </c>
      <c r="B3151" s="4" t="s">
        <v>6278</v>
      </c>
      <c r="C3151" s="16" t="str">
        <f>IFERROR(__xludf.DUMMYFUNCTION(""""""""" &amp; REGEXEXTRACT(B3151, ""/detail/([^/?]+)"") &amp; """""","""),"""nfhfkijfhpnnpiojakclepbbpjhefgla"",")</f>
        <v>"nfhfkijfhpnnpiojakclepbbpjhefgla",</v>
      </c>
    </row>
    <row r="3152">
      <c r="A3152" s="4" t="s">
        <v>22333</v>
      </c>
      <c r="B3152" s="4" t="s">
        <v>6280</v>
      </c>
      <c r="C3152" s="16" t="str">
        <f>IFERROR(__xludf.DUMMYFUNCTION(""""""""" &amp; REGEXEXTRACT(B3152, ""/detail/([^/?]+)"") &amp; """""","""),"""nflhamjkngakbdnihackfkjoabknmooi"",")</f>
        <v>"nflhamjkngakbdnihackfkjoabknmooi",</v>
      </c>
    </row>
    <row r="3153">
      <c r="A3153" s="4" t="s">
        <v>22334</v>
      </c>
      <c r="B3153" s="4" t="s">
        <v>6282</v>
      </c>
      <c r="C3153" s="16" t="str">
        <f>IFERROR(__xludf.DUMMYFUNCTION(""""""""" &amp; REGEXEXTRACT(B3153, ""/detail/([^/?]+)"") &amp; """""","""),"""nfpglclbdnldbkeiicnnnodjbjclejem"",")</f>
        <v>"nfpglclbdnldbkeiicnnnodjbjclejem",</v>
      </c>
    </row>
    <row r="3154">
      <c r="A3154" s="4" t="s">
        <v>22335</v>
      </c>
      <c r="B3154" s="4" t="s">
        <v>6284</v>
      </c>
      <c r="C3154" s="16" t="str">
        <f>IFERROR(__xludf.DUMMYFUNCTION(""""""""" &amp; REGEXEXTRACT(B3154, ""/detail/([^/?]+)"") &amp; """""","""),"""ngfmobbhhdnhlafjcliaddmgcafbihcd"",")</f>
        <v>"ngfmobbhhdnhlafjcliaddmgcafbihcd",</v>
      </c>
    </row>
    <row r="3155">
      <c r="A3155" s="4" t="s">
        <v>22336</v>
      </c>
      <c r="B3155" s="4" t="s">
        <v>6286</v>
      </c>
      <c r="C3155" s="16" t="str">
        <f>IFERROR(__xludf.DUMMYFUNCTION(""""""""" &amp; REGEXEXTRACT(B3155, ""/detail/([^/?]+)"") &amp; """""","""),"""ngifhofemdmpebnnffnljccfdaiaoppd"",")</f>
        <v>"ngifhofemdmpebnnffnljccfdaiaoppd",</v>
      </c>
    </row>
    <row r="3156">
      <c r="A3156" s="4" t="s">
        <v>22337</v>
      </c>
      <c r="B3156" s="4" t="s">
        <v>6288</v>
      </c>
      <c r="C3156" s="16" t="str">
        <f>IFERROR(__xludf.DUMMYFUNCTION(""""""""" &amp; REGEXEXTRACT(B3156, ""/detail/([^/?]+)"") &amp; """""","""),"""ngjddnobeppdekpmimhiamkoonoaccdf"",")</f>
        <v>"ngjddnobeppdekpmimhiamkoonoaccdf",</v>
      </c>
    </row>
    <row r="3157">
      <c r="A3157" s="4" t="s">
        <v>22338</v>
      </c>
      <c r="B3157" s="4" t="s">
        <v>6290</v>
      </c>
      <c r="C3157" s="16" t="str">
        <f>IFERROR(__xludf.DUMMYFUNCTION(""""""""" &amp; REGEXEXTRACT(B3157, ""/detail/([^/?]+)"") &amp; """""","""),"""nhcaihbjbbggebncffmeemegdmkamppc"",")</f>
        <v>"nhcaihbjbbggebncffmeemegdmkamppc",</v>
      </c>
    </row>
    <row r="3158">
      <c r="A3158" s="4" t="s">
        <v>22339</v>
      </c>
      <c r="B3158" s="4" t="s">
        <v>6292</v>
      </c>
      <c r="C3158" s="16" t="str">
        <f>IFERROR(__xludf.DUMMYFUNCTION(""""""""" &amp; REGEXEXTRACT(B3158, ""/detail/([^/?]+)"") &amp; """""","""),"""nhndampajkkhamolmmnalddigpojomph"",")</f>
        <v>"nhndampajkkhamolmmnalddigpojomph",</v>
      </c>
    </row>
    <row r="3159">
      <c r="A3159" s="4" t="s">
        <v>22340</v>
      </c>
      <c r="B3159" s="4" t="s">
        <v>6294</v>
      </c>
      <c r="C3159" s="16" t="str">
        <f>IFERROR(__xludf.DUMMYFUNCTION(""""""""" &amp; REGEXEXTRACT(B3159, ""/detail/([^/?]+)"") &amp; """""","""),"""nibjplbnmmklkfnkpecgbffkifmdbjed"",")</f>
        <v>"nibjplbnmmklkfnkpecgbffkifmdbjed",</v>
      </c>
    </row>
    <row r="3160">
      <c r="A3160" s="4" t="s">
        <v>22341</v>
      </c>
      <c r="B3160" s="4" t="s">
        <v>6296</v>
      </c>
      <c r="C3160" s="16" t="str">
        <f>IFERROR(__xludf.DUMMYFUNCTION(""""""""" &amp; REGEXEXTRACT(B3160, ""/detail/([^/?]+)"") &amp; """""","""),"""nimeojfecmndgolmlmjghjmbpdkhhogl"",")</f>
        <v>"nimeojfecmndgolmlmjghjmbpdkhhogl",</v>
      </c>
    </row>
    <row r="3161">
      <c r="A3161" s="4" t="s">
        <v>22342</v>
      </c>
      <c r="B3161" s="4" t="s">
        <v>6298</v>
      </c>
      <c r="C3161" s="16" t="str">
        <f>IFERROR(__xludf.DUMMYFUNCTION(""""""""" &amp; REGEXEXTRACT(B3161, ""/detail/([^/?]+)"") &amp; """""","""),"""njhgppihgleonhgjanbjojnpgjkfmijo"",")</f>
        <v>"njhgppihgleonhgjanbjojnpgjkfmijo",</v>
      </c>
    </row>
    <row r="3162">
      <c r="A3162" s="4" t="s">
        <v>22343</v>
      </c>
      <c r="B3162" s="4" t="s">
        <v>6300</v>
      </c>
      <c r="C3162" s="16" t="str">
        <f>IFERROR(__xludf.DUMMYFUNCTION(""""""""" &amp; REGEXEXTRACT(B3162, ""/detail/([^/?]+)"") &amp; """""","""),"""nkcckgodpfgkpcekfejhnjgmaobklaff"",")</f>
        <v>"nkcckgodpfgkpcekfejhnjgmaobklaff",</v>
      </c>
    </row>
    <row r="3163">
      <c r="A3163" s="4" t="s">
        <v>22344</v>
      </c>
      <c r="B3163" s="4" t="s">
        <v>6302</v>
      </c>
      <c r="C3163" s="16" t="str">
        <f>IFERROR(__xludf.DUMMYFUNCTION(""""""""" &amp; REGEXEXTRACT(B3163, ""/detail/([^/?]+)"") &amp; """""","""),"""nlmjokbigoalhligphdopakiodopbckj"",")</f>
        <v>"nlmjokbigoalhligphdopakiodopbckj",</v>
      </c>
    </row>
    <row r="3164">
      <c r="A3164" s="4" t="s">
        <v>22345</v>
      </c>
      <c r="B3164" s="4" t="s">
        <v>6304</v>
      </c>
      <c r="C3164" s="16" t="str">
        <f>IFERROR(__xludf.DUMMYFUNCTION(""""""""" &amp; REGEXEXTRACT(B3164, ""/detail/([^/?]+)"") &amp; """""","""),"""nneejgmhfoecfeoffakdnolopppbbkfi"",")</f>
        <v>"nneejgmhfoecfeoffakdnolopppbbkfi",</v>
      </c>
    </row>
    <row r="3165">
      <c r="A3165" s="4" t="s">
        <v>22346</v>
      </c>
      <c r="B3165" s="4" t="s">
        <v>6306</v>
      </c>
      <c r="C3165" s="16" t="str">
        <f>IFERROR(__xludf.DUMMYFUNCTION(""""""""" &amp; REGEXEXTRACT(B3165, ""/detail/([^/?]+)"") &amp; """""","""),"""nnmmmhcflgbendklbhknkkacnjempijd"",")</f>
        <v>"nnmmmhcflgbendklbhknkkacnjempijd",</v>
      </c>
    </row>
    <row r="3166">
      <c r="A3166" s="4" t="s">
        <v>22347</v>
      </c>
      <c r="B3166" s="4" t="s">
        <v>6308</v>
      </c>
      <c r="C3166" s="16" t="str">
        <f>IFERROR(__xludf.DUMMYFUNCTION(""""""""" &amp; REGEXEXTRACT(B3166, ""/detail/([^/?]+)"") &amp; """""","""),"""nnnnnpmcdcloafmfkiihafnjidjkfmek"",")</f>
        <v>"nnnnnpmcdcloafmfkiihafnjidjkfmek",</v>
      </c>
    </row>
    <row r="3167">
      <c r="A3167" s="4" t="s">
        <v>22348</v>
      </c>
      <c r="B3167" s="4" t="s">
        <v>6310</v>
      </c>
      <c r="C3167" s="16" t="str">
        <f>IFERROR(__xludf.DUMMYFUNCTION(""""""""" &amp; REGEXEXTRACT(B3167, ""/detail/([^/?]+)"") &amp; """""","""),"""nodbcjhlapenofbimeinhpojlcfaeobe"",")</f>
        <v>"nodbcjhlapenofbimeinhpojlcfaeobe",</v>
      </c>
    </row>
    <row r="3168">
      <c r="A3168" s="4" t="s">
        <v>22349</v>
      </c>
      <c r="B3168" s="4" t="s">
        <v>6311</v>
      </c>
      <c r="C3168" s="16" t="str">
        <f>IFERROR(__xludf.DUMMYFUNCTION(""""""""" &amp; REGEXEXTRACT(B3168, ""/detail/([^/?]+)"") &amp; """""","""),"""noehfcgcdhbabgbmhbahipodfpndjedc"",")</f>
        <v>"noehfcgcdhbabgbmhbahipodfpndjedc",</v>
      </c>
    </row>
    <row r="3169">
      <c r="A3169" s="4" t="s">
        <v>22350</v>
      </c>
      <c r="B3169" s="4" t="s">
        <v>6313</v>
      </c>
      <c r="C3169" s="16" t="str">
        <f>IFERROR(__xludf.DUMMYFUNCTION(""""""""" &amp; REGEXEXTRACT(B3169, ""/detail/([^/?]+)"") &amp; """""","""),"""nofeohbnmmegdlalmkbjhkcjgkgegblf"",")</f>
        <v>"nofeohbnmmegdlalmkbjhkcjgkgegblf",</v>
      </c>
    </row>
    <row r="3170">
      <c r="A3170" s="4" t="s">
        <v>22351</v>
      </c>
      <c r="B3170" s="4" t="s">
        <v>6315</v>
      </c>
      <c r="C3170" s="16" t="str">
        <f>IFERROR(__xludf.DUMMYFUNCTION(""""""""" &amp; REGEXEXTRACT(B3170, ""/detail/([^/?]+)"") &amp; """""","""),"""npbgohkhpjcilfkglmmnkhelkbmmdloj"",")</f>
        <v>"npbgohkhpjcilfkglmmnkhelkbmmdloj",</v>
      </c>
    </row>
    <row r="3171">
      <c r="A3171" s="4" t="s">
        <v>22352</v>
      </c>
      <c r="B3171" s="4" t="s">
        <v>6317</v>
      </c>
      <c r="C3171" s="16" t="str">
        <f>IFERROR(__xludf.DUMMYFUNCTION(""""""""" &amp; REGEXEXTRACT(B3171, ""/detail/([^/?]+)"") &amp; """""","""),"""npigckpiilmfjkgngcffloobgehgmfme"",")</f>
        <v>"npigckpiilmfjkgngcffloobgehgmfme",</v>
      </c>
    </row>
    <row r="3172">
      <c r="A3172" s="4" t="s">
        <v>22353</v>
      </c>
      <c r="B3172" s="4" t="s">
        <v>6319</v>
      </c>
      <c r="C3172" s="16" t="str">
        <f>IFERROR(__xludf.DUMMYFUNCTION(""""""""" &amp; REGEXEXTRACT(B3172, ""/detail/([^/?]+)"") &amp; """""","""),"""obhjfdbfdbgdgfcmllkkenicklkpeebc"",")</f>
        <v>"obhjfdbfdbgdgfcmllkkenicklkpeebc",</v>
      </c>
    </row>
    <row r="3173">
      <c r="A3173" s="4" t="s">
        <v>22354</v>
      </c>
      <c r="B3173" s="4" t="s">
        <v>6321</v>
      </c>
      <c r="C3173" s="16" t="str">
        <f>IFERROR(__xludf.DUMMYFUNCTION(""""""""" &amp; REGEXEXTRACT(B3173, ""/detail/([^/?]+)"") &amp; """""","""),"""objjglckenggfelflfbgbgpdfljhiaah"",")</f>
        <v>"objjglckenggfelflfbgbgpdfljhiaah",</v>
      </c>
    </row>
    <row r="3174">
      <c r="A3174" s="4" t="s">
        <v>22355</v>
      </c>
      <c r="B3174" s="4" t="s">
        <v>6323</v>
      </c>
      <c r="C3174" s="16" t="str">
        <f>IFERROR(__xludf.DUMMYFUNCTION(""""""""" &amp; REGEXEXTRACT(B3174, ""/detail/([^/?]+)"") &amp; """""","""),"""ocbhjemiokgibfojkkjapfealnbmgoek"",")</f>
        <v>"ocbhjemiokgibfojkkjapfealnbmgoek",</v>
      </c>
    </row>
    <row r="3175">
      <c r="A3175" s="4" t="s">
        <v>22356</v>
      </c>
      <c r="B3175" s="4" t="s">
        <v>6325</v>
      </c>
      <c r="C3175" s="16" t="str">
        <f>IFERROR(__xludf.DUMMYFUNCTION(""""""""" &amp; REGEXEXTRACT(B3175, ""/detail/([^/?]+)"") &amp; """""","""),"""ocmhoiiilbobfmailfagflkbgagjddem"",")</f>
        <v>"ocmhoiiilbobfmailfagflkbgagjddem",</v>
      </c>
    </row>
    <row r="3176">
      <c r="A3176" s="4" t="s">
        <v>22357</v>
      </c>
      <c r="B3176" s="4" t="s">
        <v>6327</v>
      </c>
      <c r="C3176" s="16" t="str">
        <f>IFERROR(__xludf.DUMMYFUNCTION(""""""""" &amp; REGEXEXTRACT(B3176, ""/detail/([^/?]+)"") &amp; """""","""),"""odklofidedfkjjgjnobmpipmobmlgkel"",")</f>
        <v>"odklofidedfkjjgjnobmpipmobmlgkel",</v>
      </c>
    </row>
    <row r="3177">
      <c r="A3177" s="4" t="s">
        <v>22358</v>
      </c>
      <c r="B3177" s="4" t="s">
        <v>6329</v>
      </c>
      <c r="C3177" s="16" t="str">
        <f>IFERROR(__xludf.DUMMYFUNCTION(""""""""" &amp; REGEXEXTRACT(B3177, ""/detail/([^/?]+)"") &amp; """""","""),"""ododnaepjbicadkebdookecppfhjdmhp"",")</f>
        <v>"ododnaepjbicadkebdookecppfhjdmhp",</v>
      </c>
    </row>
    <row r="3178">
      <c r="A3178" s="4" t="s">
        <v>22359</v>
      </c>
      <c r="B3178" s="4" t="s">
        <v>6331</v>
      </c>
      <c r="C3178" s="16" t="str">
        <f>IFERROR(__xludf.DUMMYFUNCTION(""""""""" &amp; REGEXEXTRACT(B3178, ""/detail/([^/?]+)"") &amp; """""","""),"""oelfkekhpcninmpedocgakolepcflfko"",")</f>
        <v>"oelfkekhpcninmpedocgakolepcflfko",</v>
      </c>
    </row>
    <row r="3179">
      <c r="A3179" s="4" t="s">
        <v>22360</v>
      </c>
      <c r="B3179" s="4" t="s">
        <v>6333</v>
      </c>
      <c r="C3179" s="16" t="str">
        <f>IFERROR(__xludf.DUMMYFUNCTION(""""""""" &amp; REGEXEXTRACT(B3179, ""/detail/([^/?]+)"") &amp; """""","""),"""oelplgmhagacafchcofdknhlfiinkjnj"",")</f>
        <v>"oelplgmhagacafchcofdknhlfiinkjnj",</v>
      </c>
    </row>
    <row r="3180">
      <c r="A3180" s="4" t="s">
        <v>22361</v>
      </c>
      <c r="B3180" s="4" t="s">
        <v>6335</v>
      </c>
      <c r="C3180" s="16" t="str">
        <f>IFERROR(__xludf.DUMMYFUNCTION(""""""""" &amp; REGEXEXTRACT(B3180, ""/detail/([^/?]+)"") &amp; """""","""),"""offpnjldifddbopdmimolhcjniloicin"",")</f>
        <v>"offpnjldifddbopdmimolhcjniloicin",</v>
      </c>
    </row>
    <row r="3181">
      <c r="A3181" s="4" t="s">
        <v>22362</v>
      </c>
      <c r="B3181" s="4" t="s">
        <v>6337</v>
      </c>
      <c r="C3181" s="16" t="str">
        <f>IFERROR(__xludf.DUMMYFUNCTION(""""""""" &amp; REGEXEXTRACT(B3181, ""/detail/([^/?]+)"") &amp; """""","""),"""ogkcgcbjhhpamnmaaplbafkmedigofaa"",")</f>
        <v>"ogkcgcbjhhpamnmaaplbafkmedigofaa",</v>
      </c>
    </row>
    <row r="3182">
      <c r="A3182" s="4" t="s">
        <v>22363</v>
      </c>
      <c r="B3182" s="4" t="s">
        <v>6339</v>
      </c>
      <c r="C3182" s="16" t="str">
        <f>IFERROR(__xludf.DUMMYFUNCTION(""""""""" &amp; REGEXEXTRACT(B3182, ""/detail/([^/?]+)"") &amp; """""","""),"""ogliegjmpalokmaaeckcdgbhdeedcnmf"",")</f>
        <v>"ogliegjmpalokmaaeckcdgbhdeedcnmf",</v>
      </c>
    </row>
    <row r="3183">
      <c r="A3183" s="4" t="s">
        <v>22364</v>
      </c>
      <c r="B3183" s="4" t="s">
        <v>6341</v>
      </c>
      <c r="C3183" s="16" t="str">
        <f>IFERROR(__xludf.DUMMYFUNCTION(""""""""" &amp; REGEXEXTRACT(B3183, ""/detail/([^/?]+)"") &amp; """""","""),"""ohbfcdioplpccjeafjgapdmjcephkdif"",")</f>
        <v>"ohbfcdioplpccjeafjgapdmjcephkdif",</v>
      </c>
    </row>
    <row r="3184">
      <c r="A3184" s="4" t="s">
        <v>22365</v>
      </c>
      <c r="B3184" s="4" t="s">
        <v>6343</v>
      </c>
      <c r="C3184" s="16" t="str">
        <f>IFERROR(__xludf.DUMMYFUNCTION(""""""""" &amp; REGEXEXTRACT(B3184, ""/detail/([^/?]+)"") &amp; """""","""),"""ohkkpdodpaopjnbnkjhkbjijgimgpclk"",")</f>
        <v>"ohkkpdodpaopjnbnkjhkbjijgimgpclk",</v>
      </c>
    </row>
    <row r="3185">
      <c r="A3185" s="10" t="s">
        <v>22366</v>
      </c>
      <c r="B3185" s="4" t="s">
        <v>6345</v>
      </c>
      <c r="C3185" s="16" t="str">
        <f>IFERROR(__xludf.DUMMYFUNCTION(""""""""" &amp; REGEXEXTRACT(B3185, ""/detail/([^/?]+)"") &amp; """""","""),"""ohncdkkhephpakbbecnkclhjkmbjnmlo"",")</f>
        <v>"ohncdkkhephpakbbecnkclhjkmbjnmlo",</v>
      </c>
    </row>
    <row r="3186">
      <c r="A3186" s="4" t="s">
        <v>22367</v>
      </c>
      <c r="B3186" s="4" t="s">
        <v>6347</v>
      </c>
      <c r="C3186" s="16" t="str">
        <f>IFERROR(__xludf.DUMMYFUNCTION(""""""""" &amp; REGEXEXTRACT(B3186, ""/detail/([^/?]+)"") &amp; """""","""),"""ohpiacnomiacdnhcfalghggiankgknak"",")</f>
        <v>"ohpiacnomiacdnhcfalghggiankgknak",</v>
      </c>
    </row>
    <row r="3187">
      <c r="A3187" s="4" t="s">
        <v>22368</v>
      </c>
      <c r="B3187" s="4" t="s">
        <v>6349</v>
      </c>
      <c r="C3187" s="16" t="str">
        <f>IFERROR(__xludf.DUMMYFUNCTION(""""""""" &amp; REGEXEXTRACT(B3187, ""/detail/([^/?]+)"") &amp; """""","""),"""oifbpnmoaigfdjgpndhealhnnbbncmon"",")</f>
        <v>"oifbpnmoaigfdjgpndhealhnnbbncmon",</v>
      </c>
    </row>
    <row r="3188">
      <c r="A3188" s="4" t="s">
        <v>22369</v>
      </c>
      <c r="B3188" s="4" t="s">
        <v>6351</v>
      </c>
      <c r="C3188" s="16" t="str">
        <f>IFERROR(__xludf.DUMMYFUNCTION(""""""""" &amp; REGEXEXTRACT(B3188, ""/detail/([^/?]+)"") &amp; """""","""),"""ojaclcbknieckfcapcbifaijoocfmpaj"",")</f>
        <v>"ojaclcbknieckfcapcbifaijoocfmpaj",</v>
      </c>
    </row>
    <row r="3189">
      <c r="A3189" s="4" t="s">
        <v>22370</v>
      </c>
      <c r="B3189" s="4" t="s">
        <v>6353</v>
      </c>
      <c r="C3189" s="16" t="str">
        <f>IFERROR(__xludf.DUMMYFUNCTION(""""""""" &amp; REGEXEXTRACT(B3189, ""/detail/([^/?]+)"") &amp; """""","""),"""ojlocjfaheiilmgjdgnoehhdigfedhjl"",")</f>
        <v>"ojlocjfaheiilmgjdgnoehhdigfedhjl",</v>
      </c>
    </row>
    <row r="3190">
      <c r="A3190" s="4" t="s">
        <v>22371</v>
      </c>
      <c r="B3190" s="4" t="s">
        <v>6355</v>
      </c>
      <c r="C3190" s="16" t="str">
        <f>IFERROR(__xludf.DUMMYFUNCTION(""""""""" &amp; REGEXEXTRACT(B3190, ""/detail/([^/?]+)"") &amp; """""","""),"""ojooeaohlmgpcjajikhmibcnbebfenid"",")</f>
        <v>"ojooeaohlmgpcjajikhmibcnbebfenid",</v>
      </c>
    </row>
    <row r="3191">
      <c r="A3191" s="4" t="s">
        <v>22372</v>
      </c>
      <c r="B3191" s="4" t="s">
        <v>6357</v>
      </c>
      <c r="C3191" s="16" t="str">
        <f>IFERROR(__xludf.DUMMYFUNCTION(""""""""" &amp; REGEXEXTRACT(B3191, ""/detail/([^/?]+)"") &amp; """""","""),"""ojpnimfglaagmipdcdabpfnehbbbaonm"",")</f>
        <v>"ojpnimfglaagmipdcdabpfnehbbbaonm",</v>
      </c>
    </row>
    <row r="3192">
      <c r="A3192" s="4" t="s">
        <v>22373</v>
      </c>
      <c r="B3192" s="4" t="s">
        <v>6359</v>
      </c>
      <c r="C3192" s="16" t="str">
        <f>IFERROR(__xludf.DUMMYFUNCTION(""""""""" &amp; REGEXEXTRACT(B3192, ""/detail/([^/?]+)"") &amp; """""","""),"""okgfglgogpkomipfflpajohdkaflndoh"",")</f>
        <v>"okgfglgogpkomipfflpajohdkaflndoh",</v>
      </c>
    </row>
    <row r="3193">
      <c r="A3193" s="4" t="s">
        <v>22374</v>
      </c>
      <c r="B3193" s="4" t="s">
        <v>6361</v>
      </c>
      <c r="C3193" s="16" t="str">
        <f>IFERROR(__xludf.DUMMYFUNCTION(""""""""" &amp; REGEXEXTRACT(B3193, ""/detail/([^/?]+)"") &amp; """""","""),"""olccdihofjbikcpbejfgipnighnpabai"",")</f>
        <v>"olccdihofjbikcpbejfgipnighnpabai",</v>
      </c>
    </row>
    <row r="3194">
      <c r="A3194" s="4" t="s">
        <v>22375</v>
      </c>
      <c r="B3194" s="4" t="s">
        <v>6363</v>
      </c>
      <c r="C3194" s="16" t="str">
        <f>IFERROR(__xludf.DUMMYFUNCTION(""""""""" &amp; REGEXEXTRACT(B3194, ""/detail/([^/?]+)"") &amp; """""","""),"""olkmpnafmgcfindlljhgnminkhkfcckl"",")</f>
        <v>"olkmpnafmgcfindlljhgnminkhkfcckl",</v>
      </c>
    </row>
    <row r="3195">
      <c r="A3195" s="4" t="s">
        <v>22376</v>
      </c>
      <c r="B3195" s="4" t="s">
        <v>6365</v>
      </c>
      <c r="C3195" s="16" t="str">
        <f>IFERROR(__xludf.DUMMYFUNCTION(""""""""" &amp; REGEXEXTRACT(B3195, ""/detail/([^/?]+)"") &amp; """""","""),"""onaeegcgechoaflpkpmdcbgmdfhbbibp"",")</f>
        <v>"onaeegcgechoaflpkpmdcbgmdfhbbibp",</v>
      </c>
    </row>
    <row r="3196">
      <c r="A3196" s="4" t="s">
        <v>22377</v>
      </c>
      <c r="B3196" s="4" t="s">
        <v>6367</v>
      </c>
      <c r="C3196" s="16" t="str">
        <f>IFERROR(__xludf.DUMMYFUNCTION(""""""""" &amp; REGEXEXTRACT(B3196, ""/detail/([^/?]+)"") &amp; """""","""),"""onanhgahgihhhhjppnopocjglpbplkbc"",")</f>
        <v>"onanhgahgihhhhjppnopocjglpbplkbc",</v>
      </c>
    </row>
    <row r="3197">
      <c r="A3197" s="4" t="s">
        <v>22378</v>
      </c>
      <c r="B3197" s="4" t="s">
        <v>6369</v>
      </c>
      <c r="C3197" s="16" t="str">
        <f>IFERROR(__xludf.DUMMYFUNCTION(""""""""" &amp; REGEXEXTRACT(B3197, ""/detail/([^/?]+)"") &amp; """""","""),"""opepgmgohfgekifjilijmdldmccfbgke"",")</f>
        <v>"opepgmgohfgekifjilijmdldmccfbgke",</v>
      </c>
    </row>
    <row r="3198">
      <c r="A3198" s="4" t="s">
        <v>22379</v>
      </c>
      <c r="B3198" s="4" t="s">
        <v>6371</v>
      </c>
      <c r="C3198" s="16" t="str">
        <f>IFERROR(__xludf.DUMMYFUNCTION(""""""""" &amp; REGEXEXTRACT(B3198, ""/detail/([^/?]+)"") &amp; """""","""),"""opgcocnebgmkhcafcclmgfldjhlnacjd"",")</f>
        <v>"opgcocnebgmkhcafcclmgfldjhlnacjd",</v>
      </c>
    </row>
    <row r="3199">
      <c r="A3199" s="4" t="s">
        <v>22380</v>
      </c>
      <c r="B3199" s="4" t="s">
        <v>6373</v>
      </c>
      <c r="C3199" s="16" t="str">
        <f>IFERROR(__xludf.DUMMYFUNCTION(""""""""" &amp; REGEXEXTRACT(B3199, ""/detail/([^/?]+)"") &amp; """""","""),"""opkjbkcbngimnacfmollcfldnpkdjhle"",")</f>
        <v>"opkjbkcbngimnacfmollcfldnpkdjhle",</v>
      </c>
    </row>
    <row r="3200">
      <c r="A3200" s="4" t="s">
        <v>22381</v>
      </c>
      <c r="B3200" s="4" t="s">
        <v>6375</v>
      </c>
      <c r="C3200" s="16" t="str">
        <f>IFERROR(__xludf.DUMMYFUNCTION(""""""""" &amp; REGEXEXTRACT(B3200, ""/detail/([^/?]+)"") &amp; """""","""),"""opmmhbgndkjfloemfinlmklapbdebdcg"",")</f>
        <v>"opmmhbgndkjfloemfinlmklapbdebdcg",</v>
      </c>
    </row>
    <row r="3201">
      <c r="A3201" s="4" t="s">
        <v>22382</v>
      </c>
      <c r="B3201" s="4" t="s">
        <v>6377</v>
      </c>
      <c r="C3201" s="16" t="str">
        <f>IFERROR(__xludf.DUMMYFUNCTION(""""""""" &amp; REGEXEXTRACT(B3201, ""/detail/([^/?]+)"") &amp; """""","""),"""paeeebcnfgiekoajpjllamdjihpbmokn"",")</f>
        <v>"paeeebcnfgiekoajpjllamdjihpbmokn",</v>
      </c>
    </row>
    <row r="3202">
      <c r="A3202" s="4" t="s">
        <v>22383</v>
      </c>
      <c r="B3202" s="4" t="s">
        <v>6379</v>
      </c>
      <c r="C3202" s="16" t="str">
        <f>IFERROR(__xludf.DUMMYFUNCTION(""""""""" &amp; REGEXEXTRACT(B3202, ""/detail/([^/?]+)"") &amp; """""","""),"""paflchebahgbgeambpbhoieeanaddehf"",")</f>
        <v>"paflchebahgbgeambpbhoieeanaddehf",</v>
      </c>
    </row>
    <row r="3203">
      <c r="A3203" s="4" t="s">
        <v>22384</v>
      </c>
      <c r="B3203" s="4" t="s">
        <v>6381</v>
      </c>
      <c r="C3203" s="16" t="str">
        <f>IFERROR(__xludf.DUMMYFUNCTION(""""""""" &amp; REGEXEXTRACT(B3203, ""/detail/([^/?]+)"") &amp; """""","""),"""pakhjhphleppgakhlffhlfhbekfnobbk"",")</f>
        <v>"pakhjhphleppgakhlffhlfhbekfnobbk",</v>
      </c>
    </row>
    <row r="3204">
      <c r="A3204" s="4" t="s">
        <v>22385</v>
      </c>
      <c r="B3204" s="4" t="s">
        <v>6383</v>
      </c>
      <c r="C3204" s="16" t="str">
        <f>IFERROR(__xludf.DUMMYFUNCTION(""""""""" &amp; REGEXEXTRACT(B3204, ""/detail/([^/?]+)"") &amp; """""","""),"""palmdpiephigbbghebiffdcilobkggab"",")</f>
        <v>"palmdpiephigbbghebiffdcilobkggab",</v>
      </c>
    </row>
    <row r="3205">
      <c r="A3205" s="4" t="s">
        <v>22386</v>
      </c>
      <c r="B3205" s="4" t="s">
        <v>6385</v>
      </c>
      <c r="C3205" s="16" t="str">
        <f>IFERROR(__xludf.DUMMYFUNCTION(""""""""" &amp; REGEXEXTRACT(B3205, ""/detail/([^/?]+)"") &amp; """""","""),"""pbkobmcegbmmjnfhholeonfacmfkpcja"",")</f>
        <v>"pbkobmcegbmmjnfhholeonfacmfkpcja",</v>
      </c>
    </row>
    <row r="3206">
      <c r="A3206" s="4" t="s">
        <v>22387</v>
      </c>
      <c r="B3206" s="4" t="s">
        <v>6387</v>
      </c>
      <c r="C3206" s="16" t="str">
        <f>IFERROR(__xludf.DUMMYFUNCTION(""""""""" &amp; REGEXEXTRACT(B3206, ""/detail/([^/?]+)"") &amp; """""","""),"""pchnedaeogijkjjkjigbijhbcanbdjkc"",")</f>
        <v>"pchnedaeogijkjjkjigbijhbcanbdjkc",</v>
      </c>
    </row>
    <row r="3207">
      <c r="A3207" s="4" t="s">
        <v>22388</v>
      </c>
      <c r="B3207" s="4" t="s">
        <v>6389</v>
      </c>
      <c r="C3207" s="16" t="str">
        <f>IFERROR(__xludf.DUMMYFUNCTION(""""""""" &amp; REGEXEXTRACT(B3207, ""/detail/([^/?]+)"") &amp; """""","""),"""pdfladlchakneeclhmpoboohikpbchkj"",")</f>
        <v>"pdfladlchakneeclhmpoboohikpbchkj",</v>
      </c>
    </row>
    <row r="3208">
      <c r="A3208" s="4" t="s">
        <v>22389</v>
      </c>
      <c r="B3208" s="4" t="s">
        <v>6391</v>
      </c>
      <c r="C3208" s="16" t="str">
        <f>IFERROR(__xludf.DUMMYFUNCTION(""""""""" &amp; REGEXEXTRACT(B3208, ""/detail/([^/?]+)"") &amp; """""","""),"""pdjihecpdkkgkocecgomaambbpbioeao"",")</f>
        <v>"pdjihecpdkkgkocecgomaambbpbioeao",</v>
      </c>
    </row>
    <row r="3209">
      <c r="A3209" s="4" t="s">
        <v>22390</v>
      </c>
      <c r="B3209" s="4" t="s">
        <v>6393</v>
      </c>
      <c r="C3209" s="16" t="str">
        <f>IFERROR(__xludf.DUMMYFUNCTION(""""""""" &amp; REGEXEXTRACT(B3209, ""/detail/([^/?]+)"") &amp; """""","""),"""pdoebgohinaejdpncadbahijijgoffke"",")</f>
        <v>"pdoebgohinaejdpncadbahijijgoffke",</v>
      </c>
    </row>
    <row r="3210">
      <c r="A3210" s="4" t="s">
        <v>22391</v>
      </c>
      <c r="B3210" s="4" t="s">
        <v>6395</v>
      </c>
      <c r="C3210" s="16" t="str">
        <f>IFERROR(__xludf.DUMMYFUNCTION(""""""""" &amp; REGEXEXTRACT(B3210, ""/detail/([^/?]+)"") &amp; """""","""),"""penhhnlldkmlfappgmgjhhfkgeekdmpl"",")</f>
        <v>"penhhnlldkmlfappgmgjhhfkgeekdmpl",</v>
      </c>
    </row>
    <row r="3211">
      <c r="A3211" s="4" t="s">
        <v>22392</v>
      </c>
      <c r="B3211" s="4" t="s">
        <v>6397</v>
      </c>
      <c r="C3211" s="16" t="str">
        <f>IFERROR(__xludf.DUMMYFUNCTION(""""""""" &amp; REGEXEXTRACT(B3211, ""/detail/([^/?]+)"") &amp; """""","""),"""pfbeenngglcojppheoegjjjomfkejibg"",")</f>
        <v>"pfbeenngglcojppheoegjjjomfkejibg",</v>
      </c>
    </row>
    <row r="3212">
      <c r="A3212" s="4" t="s">
        <v>22393</v>
      </c>
      <c r="B3212" s="4" t="s">
        <v>6399</v>
      </c>
      <c r="C3212" s="16" t="str">
        <f>IFERROR(__xludf.DUMMYFUNCTION(""""""""" &amp; REGEXEXTRACT(B3212, ""/detail/([^/?]+)"") &amp; """""","""),"""pgaabedmnacicfkgnbfdodgmdmpbcnpk"",")</f>
        <v>"pgaabedmnacicfkgnbfdodgmdmpbcnpk",</v>
      </c>
    </row>
    <row r="3213">
      <c r="A3213" s="4" t="s">
        <v>22394</v>
      </c>
      <c r="B3213" s="4" t="s">
        <v>6401</v>
      </c>
      <c r="C3213" s="16" t="str">
        <f>IFERROR(__xludf.DUMMYFUNCTION(""""""""" &amp; REGEXEXTRACT(B3213, ""/detail/([^/?]+)"") &amp; """""","""),"""pgkfjobhhfckamidemkddfnnkknomobe"",")</f>
        <v>"pgkfjobhhfckamidemkddfnnkknomobe",</v>
      </c>
    </row>
    <row r="3214">
      <c r="A3214" s="4" t="s">
        <v>22395</v>
      </c>
      <c r="B3214" s="4" t="s">
        <v>6403</v>
      </c>
      <c r="C3214" s="16" t="str">
        <f>IFERROR(__xludf.DUMMYFUNCTION(""""""""" &amp; REGEXEXTRACT(B3214, ""/detail/([^/?]+)"") &amp; """""","""),"""phabfadigilgfagiclfpjnjljedbjclf"",")</f>
        <v>"phabfadigilgfagiclfpjnjljedbjclf",</v>
      </c>
    </row>
    <row r="3215">
      <c r="A3215" s="4" t="s">
        <v>22396</v>
      </c>
      <c r="B3215" s="4" t="s">
        <v>6405</v>
      </c>
      <c r="C3215" s="16" t="str">
        <f>IFERROR(__xludf.DUMMYFUNCTION(""""""""" &amp; REGEXEXTRACT(B3215, ""/detail/([^/?]+)"") &amp; """""","""),"""phpfkeikhkofikgikkgkhlafelljmpii"",")</f>
        <v>"phpfkeikhkofikgikkgkhlafelljmpii",</v>
      </c>
    </row>
    <row r="3216">
      <c r="A3216" s="4" t="s">
        <v>22397</v>
      </c>
      <c r="B3216" s="4" t="s">
        <v>6407</v>
      </c>
      <c r="C3216" s="16" t="str">
        <f>IFERROR(__xludf.DUMMYFUNCTION(""""""""" &amp; REGEXEXTRACT(B3216, ""/detail/([^/?]+)"") &amp; """""","""),"""piidfhkmlknfcpenlollfnbhfeamonmm"",")</f>
        <v>"piidfhkmlknfcpenlollfnbhfeamonmm",</v>
      </c>
    </row>
    <row r="3217">
      <c r="A3217" s="4" t="s">
        <v>22398</v>
      </c>
      <c r="B3217" s="4" t="s">
        <v>6409</v>
      </c>
      <c r="C3217" s="16" t="str">
        <f>IFERROR(__xludf.DUMMYFUNCTION(""""""""" &amp; REGEXEXTRACT(B3217, ""/detail/([^/?]+)"") &amp; """""","""),"""pjcclpcnpfkpdkblgajbbjlmojdllmdi"",")</f>
        <v>"pjcclpcnpfkpdkblgajbbjlmojdllmdi",</v>
      </c>
    </row>
    <row r="3218">
      <c r="A3218" s="4" t="s">
        <v>22399</v>
      </c>
      <c r="B3218" s="4" t="s">
        <v>6411</v>
      </c>
      <c r="C3218" s="16" t="str">
        <f>IFERROR(__xludf.DUMMYFUNCTION(""""""""" &amp; REGEXEXTRACT(B3218, ""/detail/([^/?]+)"") &amp; """""","""),"""pkhdocodnaconhfddcgdgkhkommjemic"",")</f>
        <v>"pkhdocodnaconhfddcgdgkhkommjemic",</v>
      </c>
    </row>
    <row r="3219">
      <c r="A3219" s="4" t="s">
        <v>22400</v>
      </c>
      <c r="B3219" s="4" t="s">
        <v>6413</v>
      </c>
      <c r="C3219" s="16" t="str">
        <f>IFERROR(__xludf.DUMMYFUNCTION(""""""""" &amp; REGEXEXTRACT(B3219, ""/detail/([^/?]+)"") &amp; """""","""),"""plpkmjcnhhnpkblimgenmdhghfgghdpp"",")</f>
        <v>"plpkmjcnhhnpkblimgenmdhghfgghdpp",</v>
      </c>
    </row>
    <row r="3220">
      <c r="A3220" s="4" t="s">
        <v>22401</v>
      </c>
      <c r="B3220" s="4" t="s">
        <v>6415</v>
      </c>
      <c r="C3220" s="16" t="str">
        <f>IFERROR(__xludf.DUMMYFUNCTION(""""""""" &amp; REGEXEXTRACT(B3220, ""/detail/([^/?]+)"") &amp; """""","""),"""pmoglnmodacnbbofbgcagndelmgaclel"",")</f>
        <v>"pmoglnmodacnbbofbgcagndelmgaclel",</v>
      </c>
    </row>
    <row r="3221">
      <c r="A3221" s="4" t="s">
        <v>22402</v>
      </c>
      <c r="B3221" s="4" t="s">
        <v>6417</v>
      </c>
      <c r="C3221" s="16" t="str">
        <f>IFERROR(__xludf.DUMMYFUNCTION(""""""""" &amp; REGEXEXTRACT(B3221, ""/detail/([^/?]+)"") &amp; """""","""),"""pocokkgjockoghhdjanddeclpedkpdni"",")</f>
        <v>"pocokkgjockoghhdjanddeclpedkpdni",</v>
      </c>
    </row>
    <row r="3222">
      <c r="A3222" s="4" t="s">
        <v>22403</v>
      </c>
      <c r="B3222" s="4" t="s">
        <v>6419</v>
      </c>
      <c r="C3222" s="16" t="str">
        <f>IFERROR(__xludf.DUMMYFUNCTION(""""""""" &amp; REGEXEXTRACT(B3222, ""/detail/([^/?]+)"") &amp; """""","""),"""poobpimndkmecgplnmojjpnmmgafbkph"",")</f>
        <v>"poobpimndkmecgplnmojjpnmmgafbkph",</v>
      </c>
    </row>
    <row r="3223">
      <c r="A3223" s="4" t="s">
        <v>22404</v>
      </c>
      <c r="B3223" s="4" t="s">
        <v>6421</v>
      </c>
      <c r="C3223" s="16" t="str">
        <f>IFERROR(__xludf.DUMMYFUNCTION(""""""""" &amp; REGEXEXTRACT(B3223, ""/detail/([^/?]+)"") &amp; """""","""),"""ppmoihbfiilgkkgcogbblhhanjjaocil"",")</f>
        <v>"ppmoihbfiilgkkgcogbblhhanjjaocil",</v>
      </c>
    </row>
    <row r="3224">
      <c r="A3224" s="4" t="s">
        <v>22405</v>
      </c>
      <c r="B3224" s="4" t="s">
        <v>6429</v>
      </c>
      <c r="C3224" s="16" t="str">
        <f>IFERROR(__xludf.DUMMYFUNCTION(""""""""" &amp; REGEXEXTRACT(B3224, ""/detail/([^/?]+)"") &amp; """""","""),"""aaafaichkdancmiadaonoglfjeodjkik"",")</f>
        <v>"aaafaichkdancmiadaonoglfjeodjkik",</v>
      </c>
    </row>
    <row r="3225">
      <c r="A3225" s="4" t="s">
        <v>22406</v>
      </c>
      <c r="B3225" s="4" t="s">
        <v>6431</v>
      </c>
      <c r="C3225" s="16" t="str">
        <f>IFERROR(__xludf.DUMMYFUNCTION(""""""""" &amp; REGEXEXTRACT(B3225, ""/detail/([^/?]+)"") &amp; """""","""),"""aaighaoobppofhhfoakhmhpgdagfbdgc"",")</f>
        <v>"aaighaoobppofhhfoakhmhpgdagfbdgc",</v>
      </c>
    </row>
    <row r="3226">
      <c r="A3226" s="4" t="s">
        <v>22407</v>
      </c>
      <c r="B3226" s="4" t="s">
        <v>6433</v>
      </c>
      <c r="C3226" s="16" t="str">
        <f>IFERROR(__xludf.DUMMYFUNCTION(""""""""" &amp; REGEXEXTRACT(B3226, ""/detail/([^/?]+)"") &amp; """""","""),"""abfejejjdbkmhigbgcmgmoihbjckiklb"",")</f>
        <v>"abfejejjdbkmhigbgcmgmoihbjckiklb",</v>
      </c>
    </row>
    <row r="3227">
      <c r="A3227" s="4" t="s">
        <v>22408</v>
      </c>
      <c r="B3227" s="4" t="s">
        <v>6435</v>
      </c>
      <c r="C3227" s="16" t="str">
        <f>IFERROR(__xludf.DUMMYFUNCTION(""""""""" &amp; REGEXEXTRACT(B3227, ""/detail/([^/?]+)"") &amp; """""","""),"""acohddgjcjfelbhaodiebiabljoadldk"",")</f>
        <v>"acohddgjcjfelbhaodiebiabljoadldk",</v>
      </c>
    </row>
    <row r="3228">
      <c r="A3228" s="10" t="s">
        <v>22409</v>
      </c>
      <c r="B3228" s="4" t="s">
        <v>6437</v>
      </c>
      <c r="C3228" s="16" t="str">
        <f>IFERROR(__xludf.DUMMYFUNCTION(""""""""" &amp; REGEXEXTRACT(B3228, ""/detail/([^/?]+)"") &amp; """""","""),"""admjdaoijfccdllogfnddnllkghmkpfb"",")</f>
        <v>"admjdaoijfccdllogfnddnllkghmkpfb",</v>
      </c>
    </row>
    <row r="3229">
      <c r="A3229" s="4" t="s">
        <v>22410</v>
      </c>
      <c r="B3229" s="4" t="s">
        <v>6439</v>
      </c>
      <c r="C3229" s="16" t="str">
        <f>IFERROR(__xludf.DUMMYFUNCTION(""""""""" &amp; REGEXEXTRACT(B3229, ""/detail/([^/?]+)"") &amp; """""","""),"""adnclnmfdlbkemdddekdhmofeippakhf"",")</f>
        <v>"adnclnmfdlbkemdddekdhmofeippakhf",</v>
      </c>
    </row>
    <row r="3230">
      <c r="A3230" s="4" t="s">
        <v>22411</v>
      </c>
      <c r="B3230" s="4" t="s">
        <v>6441</v>
      </c>
      <c r="C3230" s="16" t="str">
        <f>IFERROR(__xludf.DUMMYFUNCTION(""""""""" &amp; REGEXEXTRACT(B3230, ""/detail/([^/?]+)"") &amp; """""","""),"""adnheflgkdelinknpflldgdapjpoampc"",")</f>
        <v>"adnheflgkdelinknpflldgdapjpoampc",</v>
      </c>
    </row>
    <row r="3231">
      <c r="A3231" s="4" t="s">
        <v>22412</v>
      </c>
      <c r="B3231" s="4" t="s">
        <v>6443</v>
      </c>
      <c r="C3231" s="16" t="str">
        <f>IFERROR(__xludf.DUMMYFUNCTION(""""""""" &amp; REGEXEXTRACT(B3231, ""/detail/([^/?]+)"") &amp; """""","""),"""aedgoefpkibhaiigkbjjgccgncldoice"",")</f>
        <v>"aedgoefpkibhaiigkbjjgccgncldoice",</v>
      </c>
    </row>
    <row r="3232">
      <c r="A3232" s="4" t="s">
        <v>22413</v>
      </c>
      <c r="B3232" s="4" t="s">
        <v>6445</v>
      </c>
      <c r="C3232" s="16" t="str">
        <f>IFERROR(__xludf.DUMMYFUNCTION(""""""""" &amp; REGEXEXTRACT(B3232, ""/detail/([^/?]+)"") &amp; """""","""),"""aeeiilbigdgkjonfhkpeajhdlhchokmo"",")</f>
        <v>"aeeiilbigdgkjonfhkpeajhdlhchokmo",</v>
      </c>
    </row>
    <row r="3233">
      <c r="A3233" s="4" t="s">
        <v>22414</v>
      </c>
      <c r="B3233" s="4" t="s">
        <v>6447</v>
      </c>
      <c r="C3233" s="16" t="str">
        <f>IFERROR(__xludf.DUMMYFUNCTION(""""""""" &amp; REGEXEXTRACT(B3233, ""/detail/([^/?]+)"") &amp; """""","""),"""aemcokmmdpmcgfegnllnjfnocamllleh"",")</f>
        <v>"aemcokmmdpmcgfegnllnjfnocamllleh",</v>
      </c>
    </row>
    <row r="3234">
      <c r="A3234" s="4" t="s">
        <v>22415</v>
      </c>
      <c r="B3234" s="4" t="s">
        <v>6449</v>
      </c>
      <c r="C3234" s="16" t="str">
        <f>IFERROR(__xludf.DUMMYFUNCTION(""""""""" &amp; REGEXEXTRACT(B3234, ""/detail/([^/?]+)"") &amp; """""","""),"""afdannbjainhcddbjjlhamdgnojibeoi"",")</f>
        <v>"afdannbjainhcddbjjlhamdgnojibeoi",</v>
      </c>
    </row>
    <row r="3235">
      <c r="A3235" s="4" t="s">
        <v>22416</v>
      </c>
      <c r="B3235" s="4" t="s">
        <v>6451</v>
      </c>
      <c r="C3235" s="16" t="str">
        <f>IFERROR(__xludf.DUMMYFUNCTION(""""""""" &amp; REGEXEXTRACT(B3235, ""/detail/([^/?]+)"") &amp; """""","""),"""aflocdggkpgjglpbmdaabpkeklghkahl"",")</f>
        <v>"aflocdggkpgjglpbmdaabpkeklghkahl",</v>
      </c>
    </row>
    <row r="3236">
      <c r="A3236" s="4" t="s">
        <v>22417</v>
      </c>
      <c r="B3236" s="4" t="s">
        <v>6453</v>
      </c>
      <c r="C3236" s="16" t="str">
        <f>IFERROR(__xludf.DUMMYFUNCTION(""""""""" &amp; REGEXEXTRACT(B3236, ""/detail/([^/?]+)"") &amp; """""","""),"""agedeoibceidbaeajbehgiejlekicbfd"",")</f>
        <v>"agedeoibceidbaeajbehgiejlekicbfd",</v>
      </c>
    </row>
    <row r="3237">
      <c r="A3237" s="4" t="s">
        <v>22418</v>
      </c>
      <c r="B3237" s="4" t="s">
        <v>6455</v>
      </c>
      <c r="C3237" s="16" t="str">
        <f>IFERROR(__xludf.DUMMYFUNCTION(""""""""" &amp; REGEXEXTRACT(B3237, ""/detail/([^/?]+)"") &amp; """""","""),"""ageglinjmdhkgnaldlfaojgannkojcie"",")</f>
        <v>"ageglinjmdhkgnaldlfaojgannkojcie",</v>
      </c>
    </row>
    <row r="3238">
      <c r="A3238" s="4" t="s">
        <v>22419</v>
      </c>
      <c r="B3238" s="4" t="s">
        <v>6457</v>
      </c>
      <c r="C3238" s="16" t="str">
        <f>IFERROR(__xludf.DUMMYFUNCTION(""""""""" &amp; REGEXEXTRACT(B3238, ""/detail/([^/?]+)"") &amp; """""","""),"""ahajhopfbfpekcljjjppolcmapaidldc"",")</f>
        <v>"ahajhopfbfpekcljjjppolcmapaidldc",</v>
      </c>
    </row>
    <row r="3239">
      <c r="A3239" s="4" t="s">
        <v>22420</v>
      </c>
      <c r="B3239" s="4" t="s">
        <v>6459</v>
      </c>
      <c r="C3239" s="16" t="str">
        <f>IFERROR(__xludf.DUMMYFUNCTION(""""""""" &amp; REGEXEXTRACT(B3239, ""/detail/([^/?]+)"") &amp; """""","""),"""ahkmaoddmipjgkfhcfpljkiibpekmehn"",")</f>
        <v>"ahkmaoddmipjgkfhcfpljkiibpekmehn",</v>
      </c>
    </row>
    <row r="3240">
      <c r="A3240" s="4" t="s">
        <v>22421</v>
      </c>
      <c r="B3240" s="4" t="s">
        <v>6461</v>
      </c>
      <c r="C3240" s="16" t="str">
        <f>IFERROR(__xludf.DUMMYFUNCTION(""""""""" &amp; REGEXEXTRACT(B3240, ""/detail/([^/?]+)"") &amp; """""","""),"""aiapcdmdlkmmlcnjnoochgppbmbpobng"",")</f>
        <v>"aiapcdmdlkmmlcnjnoochgppbmbpobng",</v>
      </c>
    </row>
    <row r="3241">
      <c r="A3241" s="4" t="s">
        <v>22422</v>
      </c>
      <c r="B3241" s="4" t="s">
        <v>6463</v>
      </c>
      <c r="C3241" s="16" t="str">
        <f>IFERROR(__xludf.DUMMYFUNCTION(""""""""" &amp; REGEXEXTRACT(B3241, ""/detail/([^/?]+)"") &amp; """""","""),"""aiebakhanplhafhhhebkaekfdiiecoog"",")</f>
        <v>"aiebakhanplhafhhhebkaekfdiiecoog",</v>
      </c>
    </row>
    <row r="3242">
      <c r="A3242" s="4" t="s">
        <v>22423</v>
      </c>
      <c r="B3242" s="4" t="s">
        <v>6465</v>
      </c>
      <c r="C3242" s="16" t="str">
        <f>IFERROR(__xludf.DUMMYFUNCTION(""""""""" &amp; REGEXEXTRACT(B3242, ""/detail/([^/?]+)"") &amp; """""","""),"""aijfbconiilhjgfljolkoiaockgenpgn"",")</f>
        <v>"aijfbconiilhjgfljolkoiaockgenpgn",</v>
      </c>
    </row>
    <row r="3243">
      <c r="A3243" s="4" t="s">
        <v>22424</v>
      </c>
      <c r="B3243" s="4" t="s">
        <v>6467</v>
      </c>
      <c r="C3243" s="16" t="str">
        <f>IFERROR(__xludf.DUMMYFUNCTION(""""""""" &amp; REGEXEXTRACT(B3243, ""/detail/([^/?]+)"") &amp; """""","""),"""aiojhapcgfgmiacbbjfgedhlcchmpelh"",")</f>
        <v>"aiojhapcgfgmiacbbjfgedhlcchmpelh",</v>
      </c>
    </row>
    <row r="3244">
      <c r="A3244" s="4" t="s">
        <v>22425</v>
      </c>
      <c r="B3244" s="4" t="s">
        <v>6469</v>
      </c>
      <c r="C3244" s="16" t="str">
        <f>IFERROR(__xludf.DUMMYFUNCTION(""""""""" &amp; REGEXEXTRACT(B3244, ""/detail/([^/?]+)"") &amp; """""","""),"""ajklapihhlcmcoaeecfeegnfaibiahdg"",")</f>
        <v>"ajklapihhlcmcoaeecfeegnfaibiahdg",</v>
      </c>
    </row>
    <row r="3245">
      <c r="A3245" s="4" t="s">
        <v>22426</v>
      </c>
      <c r="B3245" s="4" t="s">
        <v>6471</v>
      </c>
      <c r="C3245" s="16" t="str">
        <f>IFERROR(__xludf.DUMMYFUNCTION(""""""""" &amp; REGEXEXTRACT(B3245, ""/detail/([^/?]+)"") &amp; """""","""),"""ajlbdflhaaflcepndpkdgejimggjcpnm"",")</f>
        <v>"ajlbdflhaaflcepndpkdgejimggjcpnm",</v>
      </c>
    </row>
    <row r="3246">
      <c r="A3246" s="4" t="s">
        <v>22427</v>
      </c>
      <c r="B3246" s="4" t="s">
        <v>6473</v>
      </c>
      <c r="C3246" s="16" t="str">
        <f>IFERROR(__xludf.DUMMYFUNCTION(""""""""" &amp; REGEXEXTRACT(B3246, ""/detail/([^/?]+)"") &amp; """""","""),"""ajmebljhmdndihimeodajeiicccpdfei"",")</f>
        <v>"ajmebljhmdndihimeodajeiicccpdfei",</v>
      </c>
    </row>
    <row r="3247">
      <c r="A3247" s="4" t="s">
        <v>22428</v>
      </c>
      <c r="B3247" s="4" t="s">
        <v>6475</v>
      </c>
      <c r="C3247" s="16" t="str">
        <f>IFERROR(__xludf.DUMMYFUNCTION(""""""""" &amp; REGEXEXTRACT(B3247, ""/detail/([^/?]+)"") &amp; """""","""),"""aklbjhncdccehkmomddjccjlpgfadegj"",")</f>
        <v>"aklbjhncdccehkmomddjccjlpgfadegj",</v>
      </c>
    </row>
    <row r="3248">
      <c r="A3248" s="4" t="s">
        <v>22429</v>
      </c>
      <c r="B3248" s="4" t="s">
        <v>6476</v>
      </c>
      <c r="C3248" s="16" t="str">
        <f>IFERROR(__xludf.DUMMYFUNCTION(""""""""" &amp; REGEXEXTRACT(B3248, ""/detail/([^/?]+)"") &amp; """""","""),"""akofeegpkdihaikifokhbilkaipgjboe"",")</f>
        <v>"akofeegpkdihaikifokhbilkaipgjboe",</v>
      </c>
    </row>
    <row r="3249">
      <c r="A3249" s="4" t="s">
        <v>22430</v>
      </c>
      <c r="B3249" s="4" t="s">
        <v>6478</v>
      </c>
      <c r="C3249" s="16" t="str">
        <f>IFERROR(__xludf.DUMMYFUNCTION(""""""""" &amp; REGEXEXTRACT(B3249, ""/detail/([^/?]+)"") &amp; """""","""),"""amlbbbgcijmiooecobhkjblcdkjldmdk"",")</f>
        <v>"amlbbbgcijmiooecobhkjblcdkjldmdk",</v>
      </c>
    </row>
    <row r="3250">
      <c r="A3250" s="4" t="s">
        <v>22431</v>
      </c>
      <c r="B3250" s="4" t="s">
        <v>6480</v>
      </c>
      <c r="C3250" s="16" t="str">
        <f>IFERROR(__xludf.DUMMYFUNCTION(""""""""" &amp; REGEXEXTRACT(B3250, ""/detail/([^/?]+)"") &amp; """""","""),"""amlphicekaahonoefoalobphkodkoalp"",")</f>
        <v>"amlphicekaahonoefoalobphkodkoalp",</v>
      </c>
    </row>
    <row r="3251">
      <c r="A3251" s="4" t="s">
        <v>22432</v>
      </c>
      <c r="B3251" s="4" t="s">
        <v>6482</v>
      </c>
      <c r="C3251" s="16" t="str">
        <f>IFERROR(__xludf.DUMMYFUNCTION(""""""""" &amp; REGEXEXTRACT(B3251, ""/detail/([^/?]+)"") &amp; """""","""),"""aogpohpdlalgbanndjocbimokbklkfbh"",")</f>
        <v>"aogpohpdlalgbanndjocbimokbklkfbh",</v>
      </c>
    </row>
    <row r="3252">
      <c r="A3252" s="4" t="s">
        <v>22433</v>
      </c>
      <c r="B3252" s="4" t="s">
        <v>6484</v>
      </c>
      <c r="C3252" s="16" t="str">
        <f>IFERROR(__xludf.DUMMYFUNCTION(""""""""" &amp; REGEXEXTRACT(B3252, ""/detail/([^/?]+)"") &amp; """""","""),"""aonhapalnnnjlonafnammcbnafmafmpg"",")</f>
        <v>"aonhapalnnnjlonafnammcbnafmafmpg",</v>
      </c>
    </row>
    <row r="3253">
      <c r="A3253" s="4" t="s">
        <v>22434</v>
      </c>
      <c r="B3253" s="4" t="s">
        <v>6486</v>
      </c>
      <c r="C3253" s="16" t="str">
        <f>IFERROR(__xludf.DUMMYFUNCTION(""""""""" &amp; REGEXEXTRACT(B3253, ""/detail/([^/?]+)"") &amp; """""","""),"""aoplmgafblbhcgmbcgdjlgckefefmpbg"",")</f>
        <v>"aoplmgafblbhcgmbcgdjlgckefefmpbg",</v>
      </c>
    </row>
    <row r="3254">
      <c r="A3254" s="4" t="s">
        <v>22435</v>
      </c>
      <c r="B3254" s="4" t="s">
        <v>6488</v>
      </c>
      <c r="C3254" s="16" t="str">
        <f>IFERROR(__xludf.DUMMYFUNCTION(""""""""" &amp; REGEXEXTRACT(B3254, ""/detail/([^/?]+)"") &amp; """""","""),"""apadkficecnpmnjmedbpdbkikcofdpim"",")</f>
        <v>"apadkficecnpmnjmedbpdbkikcofdpim",</v>
      </c>
    </row>
    <row r="3255">
      <c r="A3255" s="4" t="s">
        <v>22436</v>
      </c>
      <c r="B3255" s="4" t="s">
        <v>6490</v>
      </c>
      <c r="C3255" s="16" t="str">
        <f>IFERROR(__xludf.DUMMYFUNCTION(""""""""" &amp; REGEXEXTRACT(B3255, ""/detail/([^/?]+)"") &amp; """""","""),"""apdkepbhjfikeebchkdgljccbogjdmom"",")</f>
        <v>"apdkepbhjfikeebchkdgljccbogjdmom",</v>
      </c>
    </row>
    <row r="3256">
      <c r="A3256" s="4" t="s">
        <v>22437</v>
      </c>
      <c r="B3256" s="4" t="s">
        <v>6492</v>
      </c>
      <c r="C3256" s="16" t="str">
        <f>IFERROR(__xludf.DUMMYFUNCTION(""""""""" &amp; REGEXEXTRACT(B3256, ""/detail/([^/?]+)"") &amp; """""","""),"""aphphgiefmjmofabjffjdbhgiomkocil"",")</f>
        <v>"aphphgiefmjmofabjffjdbhgiomkocil",</v>
      </c>
    </row>
    <row r="3257">
      <c r="A3257" s="4" t="s">
        <v>22438</v>
      </c>
      <c r="B3257" s="4" t="s">
        <v>6494</v>
      </c>
      <c r="C3257" s="16" t="str">
        <f>IFERROR(__xludf.DUMMYFUNCTION(""""""""" &amp; REGEXEXTRACT(B3257, ""/detail/([^/?]+)"") &amp; """""","""),"""apkcacbhdpjmpgbioenjmjdlecijmbch"",")</f>
        <v>"apkcacbhdpjmpgbioenjmjdlecijmbch",</v>
      </c>
    </row>
    <row r="3258">
      <c r="A3258" s="4" t="s">
        <v>22439</v>
      </c>
      <c r="B3258" s="4" t="s">
        <v>6496</v>
      </c>
      <c r="C3258" s="16" t="str">
        <f>IFERROR(__xludf.DUMMYFUNCTION(""""""""" &amp; REGEXEXTRACT(B3258, ""/detail/([^/?]+)"") &amp; """""","""),"""apnenglknmpfjpfcdbobpjigmaapjoip"",")</f>
        <v>"apnenglknmpfjpfcdbobpjigmaapjoip",</v>
      </c>
    </row>
    <row r="3259">
      <c r="A3259" s="4" t="s">
        <v>22440</v>
      </c>
      <c r="B3259" s="4" t="s">
        <v>6498</v>
      </c>
      <c r="C3259" s="16" t="str">
        <f>IFERROR(__xludf.DUMMYFUNCTION(""""""""" &amp; REGEXEXTRACT(B3259, ""/detail/([^/?]+)"") &amp; """""","""),"""appogchhpnhejfnleocdbnbhdmmledgc"",")</f>
        <v>"appogchhpnhejfnleocdbnbhdmmledgc",</v>
      </c>
    </row>
    <row r="3260">
      <c r="A3260" s="4" t="s">
        <v>22441</v>
      </c>
      <c r="B3260" s="4" t="s">
        <v>6500</v>
      </c>
      <c r="C3260" s="16" t="str">
        <f>IFERROR(__xludf.DUMMYFUNCTION(""""""""" &amp; REGEXEXTRACT(B3260, ""/detail/([^/?]+)"") &amp; """""","""),"""baojhpeknpmkhplkcnpdcficcaaniaih"",")</f>
        <v>"baojhpeknpmkhplkcnpdcficcaaniaih",</v>
      </c>
    </row>
    <row r="3261">
      <c r="A3261" s="4" t="s">
        <v>22442</v>
      </c>
      <c r="B3261" s="4" t="s">
        <v>6502</v>
      </c>
      <c r="C3261" s="16" t="str">
        <f>IFERROR(__xludf.DUMMYFUNCTION(""""""""" &amp; REGEXEXTRACT(B3261, ""/detail/([^/?]+)"") &amp; """""","""),"""bappiabcodbpphnojdiaddhnilfnjmpm"",")</f>
        <v>"bappiabcodbpphnojdiaddhnilfnjmpm",</v>
      </c>
    </row>
    <row r="3262">
      <c r="A3262" s="4" t="s">
        <v>22443</v>
      </c>
      <c r="B3262" s="4" t="s">
        <v>6504</v>
      </c>
      <c r="C3262" s="16" t="str">
        <f>IFERROR(__xludf.DUMMYFUNCTION(""""""""" &amp; REGEXEXTRACT(B3262, ""/detail/([^/?]+)"") &amp; """""","""),"""bchmmfnbdgiijhplkbbkohfhpihmamac"",")</f>
        <v>"bchmmfnbdgiijhplkbbkohfhpihmamac",</v>
      </c>
    </row>
    <row r="3263">
      <c r="A3263" s="4" t="s">
        <v>22444</v>
      </c>
      <c r="B3263" s="4" t="s">
        <v>6506</v>
      </c>
      <c r="C3263" s="16" t="str">
        <f>IFERROR(__xludf.DUMMYFUNCTION(""""""""" &amp; REGEXEXTRACT(B3263, ""/detail/([^/?]+)"") &amp; """""","""),"""bckkmpmpogeglgfbdklgiknbglddloki"",")</f>
        <v>"bckkmpmpogeglgfbdklgiknbglddloki",</v>
      </c>
    </row>
    <row r="3264">
      <c r="A3264" s="4" t="s">
        <v>22445</v>
      </c>
      <c r="B3264" s="4" t="s">
        <v>6508</v>
      </c>
      <c r="C3264" s="16" t="str">
        <f>IFERROR(__xludf.DUMMYFUNCTION(""""""""" &amp; REGEXEXTRACT(B3264, ""/detail/([^/?]+)"") &amp; """""","""),"""bddbafgkmneiebpibclbakmdnijhgeim"",")</f>
        <v>"bddbafgkmneiebpibclbakmdnijhgeim",</v>
      </c>
    </row>
    <row r="3265">
      <c r="A3265" s="4" t="s">
        <v>22446</v>
      </c>
      <c r="B3265" s="4" t="s">
        <v>6510</v>
      </c>
      <c r="C3265" s="16" t="str">
        <f>IFERROR(__xludf.DUMMYFUNCTION(""""""""" &amp; REGEXEXTRACT(B3265, ""/detail/([^/?]+)"") &amp; """""","""),"""bdllbpaajbedehahefgjglijelgmmhjm"",")</f>
        <v>"bdllbpaajbedehahefgjglijelgmmhjm",</v>
      </c>
    </row>
    <row r="3266">
      <c r="A3266" s="4" t="s">
        <v>22447</v>
      </c>
      <c r="B3266" s="4" t="s">
        <v>6512</v>
      </c>
      <c r="C3266" s="16" t="str">
        <f>IFERROR(__xludf.DUMMYFUNCTION(""""""""" &amp; REGEXEXTRACT(B3266, ""/detail/([^/?]+)"") &amp; """""","""),"""bfdonckegflhbiamlmidciapolfccmmb"",")</f>
        <v>"bfdonckegflhbiamlmidciapolfccmmb",</v>
      </c>
    </row>
    <row r="3267">
      <c r="A3267" s="4" t="s">
        <v>22448</v>
      </c>
      <c r="B3267" s="4" t="s">
        <v>6514</v>
      </c>
      <c r="C3267" s="16" t="str">
        <f>IFERROR(__xludf.DUMMYFUNCTION(""""""""" &amp; REGEXEXTRACT(B3267, ""/detail/([^/?]+)"") &amp; """""","""),"""bfibdamncbfdindaeeecehmgkdjenjgb"",")</f>
        <v>"bfibdamncbfdindaeeecehmgkdjenjgb",</v>
      </c>
    </row>
    <row r="3268">
      <c r="A3268" s="4" t="s">
        <v>22449</v>
      </c>
      <c r="B3268" s="4" t="s">
        <v>6516</v>
      </c>
      <c r="C3268" s="16" t="str">
        <f>IFERROR(__xludf.DUMMYFUNCTION(""""""""" &amp; REGEXEXTRACT(B3268, ""/detail/([^/?]+)"") &amp; """""","""),"""bfpajabhojlnokoghgnpjibklipampab"",")</f>
        <v>"bfpajabhojlnokoghgnpjibklipampab",</v>
      </c>
    </row>
    <row r="3269">
      <c r="A3269" s="4" t="s">
        <v>22450</v>
      </c>
      <c r="B3269" s="4" t="s">
        <v>6518</v>
      </c>
      <c r="C3269" s="16" t="str">
        <f>IFERROR(__xludf.DUMMYFUNCTION(""""""""" &amp; REGEXEXTRACT(B3269, ""/detail/([^/?]+)"") &amp; """""","""),"""bgflddecjcadaapedngfifbkhghnpmep"",")</f>
        <v>"bgflddecjcadaapedngfifbkhghnpmep",</v>
      </c>
    </row>
    <row r="3270">
      <c r="A3270" s="4" t="s">
        <v>22451</v>
      </c>
      <c r="B3270" s="4" t="s">
        <v>6520</v>
      </c>
      <c r="C3270" s="16" t="str">
        <f>IFERROR(__xludf.DUMMYFUNCTION(""""""""" &amp; REGEXEXTRACT(B3270, ""/detail/([^/?]+)"") &amp; """""","""),"""bgjfbcjoaghcfdhnnnnaofkjbnelkkcm"",")</f>
        <v>"bgjfbcjoaghcfdhnnnnaofkjbnelkkcm",</v>
      </c>
    </row>
    <row r="3271">
      <c r="A3271" s="4" t="s">
        <v>22452</v>
      </c>
      <c r="B3271" s="4" t="s">
        <v>6522</v>
      </c>
      <c r="C3271" s="16" t="str">
        <f>IFERROR(__xludf.DUMMYFUNCTION(""""""""" &amp; REGEXEXTRACT(B3271, ""/detail/([^/?]+)"") &amp; """""","""),"""bgjmoeebomokfcfmopbappgncbhppmec"",")</f>
        <v>"bgjmoeebomokfcfmopbappgncbhppmec",</v>
      </c>
    </row>
    <row r="3272">
      <c r="A3272" s="4" t="s">
        <v>22453</v>
      </c>
      <c r="B3272" s="4" t="s">
        <v>6524</v>
      </c>
      <c r="C3272" s="16" t="str">
        <f>IFERROR(__xludf.DUMMYFUNCTION(""""""""" &amp; REGEXEXTRACT(B3272, ""/detail/([^/?]+)"") &amp; """""","""),"""bgldhlkimfdidhgmndninednbehpcenk"",")</f>
        <v>"bgldhlkimfdidhgmndninednbehpcenk",</v>
      </c>
    </row>
    <row r="3273">
      <c r="A3273" s="4" t="s">
        <v>22454</v>
      </c>
      <c r="B3273" s="4" t="s">
        <v>6526</v>
      </c>
      <c r="C3273" s="16" t="str">
        <f>IFERROR(__xludf.DUMMYFUNCTION(""""""""" &amp; REGEXEXTRACT(B3273, ""/detail/([^/?]+)"") &amp; """""","""),"""bhnlonlaadgnjhbmbjafmigneejilano"",")</f>
        <v>"bhnlonlaadgnjhbmbjafmigneejilano",</v>
      </c>
    </row>
    <row r="3274">
      <c r="A3274" s="4" t="s">
        <v>22455</v>
      </c>
      <c r="B3274" s="4" t="s">
        <v>6528</v>
      </c>
      <c r="C3274" s="16" t="str">
        <f>IFERROR(__xludf.DUMMYFUNCTION(""""""""" &amp; REGEXEXTRACT(B3274, ""/detail/([^/?]+)"") &amp; """""","""),"""bijmchgbjjmcmhldfpbamobldomjoioo"",")</f>
        <v>"bijmchgbjjmcmhldfpbamobldomjoioo",</v>
      </c>
    </row>
    <row r="3275">
      <c r="A3275" s="4" t="s">
        <v>22456</v>
      </c>
      <c r="B3275" s="4" t="s">
        <v>6530</v>
      </c>
      <c r="C3275" s="16" t="str">
        <f>IFERROR(__xludf.DUMMYFUNCTION(""""""""" &amp; REGEXEXTRACT(B3275, ""/detail/([^/?]+)"") &amp; """""","""),"""binboaimbgchaamickjnhgjdccohndin"",")</f>
        <v>"binboaimbgchaamickjnhgjdccohndin",</v>
      </c>
    </row>
    <row r="3276">
      <c r="A3276" s="4" t="s">
        <v>22457</v>
      </c>
      <c r="B3276" s="4" t="s">
        <v>6532</v>
      </c>
      <c r="C3276" s="16" t="str">
        <f>IFERROR(__xludf.DUMMYFUNCTION(""""""""" &amp; REGEXEXTRACT(B3276, ""/detail/([^/?]+)"") &amp; """""","""),"""bjdfpdlbeklikgponpiohccngpibjfeb"",")</f>
        <v>"bjdfpdlbeklikgponpiohccngpibjfeb",</v>
      </c>
    </row>
    <row r="3277">
      <c r="A3277" s="4" t="s">
        <v>22458</v>
      </c>
      <c r="B3277" s="4" t="s">
        <v>6534</v>
      </c>
      <c r="C3277" s="16" t="str">
        <f>IFERROR(__xludf.DUMMYFUNCTION(""""""""" &amp; REGEXEXTRACT(B3277, ""/detail/([^/?]+)"") &amp; """""","""),"""bjdkhikjbkefnnfkaghgeejggggplfbi"",")</f>
        <v>"bjdkhikjbkefnnfkaghgeejggggplfbi",</v>
      </c>
    </row>
    <row r="3278">
      <c r="A3278" s="4" t="s">
        <v>22459</v>
      </c>
      <c r="B3278" s="4" t="s">
        <v>6536</v>
      </c>
      <c r="C3278" s="16" t="str">
        <f>IFERROR(__xludf.DUMMYFUNCTION(""""""""" &amp; REGEXEXTRACT(B3278, ""/detail/([^/?]+)"") &amp; """""","""),"""bjigpljapjlemfipjmmeidlcbaabcffe"",")</f>
        <v>"bjigpljapjlemfipjmmeidlcbaabcffe",</v>
      </c>
    </row>
    <row r="3279">
      <c r="A3279" s="4" t="s">
        <v>22460</v>
      </c>
      <c r="B3279" s="4" t="s">
        <v>6538</v>
      </c>
      <c r="C3279" s="16" t="str">
        <f>IFERROR(__xludf.DUMMYFUNCTION(""""""""" &amp; REGEXEXTRACT(B3279, ""/detail/([^/?]+)"") &amp; """""","""),"""bjkkgiokpelbekeldjbjfklkjhfdbjgk"",")</f>
        <v>"bjkkgiokpelbekeldjbjfklkjhfdbjgk",</v>
      </c>
    </row>
    <row r="3280">
      <c r="A3280" s="4" t="s">
        <v>22461</v>
      </c>
      <c r="B3280" s="4" t="s">
        <v>6540</v>
      </c>
      <c r="C3280" s="16" t="str">
        <f>IFERROR(__xludf.DUMMYFUNCTION(""""""""" &amp; REGEXEXTRACT(B3280, ""/detail/([^/?]+)"") &amp; """""","""),"""bjkmldgdbbehjahimccnckggoofdommo"",")</f>
        <v>"bjkmldgdbbehjahimccnckggoofdommo",</v>
      </c>
    </row>
    <row r="3281">
      <c r="A3281" s="4" t="s">
        <v>22462</v>
      </c>
      <c r="B3281" s="4" t="s">
        <v>6542</v>
      </c>
      <c r="C3281" s="16" t="str">
        <f>IFERROR(__xludf.DUMMYFUNCTION(""""""""" &amp; REGEXEXTRACT(B3281, ""/detail/([^/?]+)"") &amp; """""","""),"""bjpokniooffiidjfhdofmalkpplpfeoa"",")</f>
        <v>"bjpokniooffiidjfhdofmalkpplpfeoa",</v>
      </c>
    </row>
    <row r="3282">
      <c r="A3282" s="4" t="s">
        <v>22463</v>
      </c>
      <c r="B3282" s="4" t="s">
        <v>6544</v>
      </c>
      <c r="C3282" s="16" t="str">
        <f>IFERROR(__xludf.DUMMYFUNCTION(""""""""" &amp; REGEXEXTRACT(B3282, ""/detail/([^/?]+)"") &amp; """""","""),"""bkegjcmidjgnmjbeninfbhoaelblpgic"",")</f>
        <v>"bkegjcmidjgnmjbeninfbhoaelblpgic",</v>
      </c>
    </row>
    <row r="3283">
      <c r="A3283" s="4" t="s">
        <v>22464</v>
      </c>
      <c r="B3283" s="4" t="s">
        <v>6546</v>
      </c>
      <c r="C3283" s="16" t="str">
        <f>IFERROR(__xludf.DUMMYFUNCTION(""""""""" &amp; REGEXEXTRACT(B3283, ""/detail/([^/?]+)"") &amp; """""","""),"""bkjeokcipbjcghinfpkeelfgnjffhpkf"",")</f>
        <v>"bkjeokcipbjcghinfpkeelfgnjffhpkf",</v>
      </c>
    </row>
    <row r="3284">
      <c r="A3284" s="4" t="s">
        <v>22465</v>
      </c>
      <c r="B3284" s="4" t="s">
        <v>6548</v>
      </c>
      <c r="C3284" s="16" t="str">
        <f>IFERROR(__xludf.DUMMYFUNCTION(""""""""" &amp; REGEXEXTRACT(B3284, ""/detail/([^/?]+)"") &amp; """""","""),"""bkkkofmilenhmllncomknceafibcpgkc"",")</f>
        <v>"bkkkofmilenhmllncomknceafibcpgkc",</v>
      </c>
    </row>
    <row r="3285">
      <c r="A3285" s="4" t="s">
        <v>22466</v>
      </c>
      <c r="B3285" s="4" t="s">
        <v>6550</v>
      </c>
      <c r="C3285" s="16" t="str">
        <f>IFERROR(__xludf.DUMMYFUNCTION(""""""""" &amp; REGEXEXTRACT(B3285, ""/detail/([^/?]+)"") &amp; """""","""),"""bkklifkecemccedpkhcebagjpehhabfb"",")</f>
        <v>"bkklifkecemccedpkhcebagjpehhabfb",</v>
      </c>
    </row>
    <row r="3286">
      <c r="A3286" s="4" t="s">
        <v>22467</v>
      </c>
      <c r="B3286" s="4" t="s">
        <v>6552</v>
      </c>
      <c r="C3286" s="16" t="str">
        <f>IFERROR(__xludf.DUMMYFUNCTION(""""""""" &amp; REGEXEXTRACT(B3286, ""/detail/([^/?]+)"") &amp; """""","""),"""bknaplcbimdibpjbabccgddcleoealam"",")</f>
        <v>"bknaplcbimdibpjbabccgddcleoealam",</v>
      </c>
    </row>
    <row r="3287">
      <c r="A3287" s="4" t="s">
        <v>22468</v>
      </c>
      <c r="B3287" s="4" t="s">
        <v>6554</v>
      </c>
      <c r="C3287" s="16" t="str">
        <f>IFERROR(__xludf.DUMMYFUNCTION(""""""""" &amp; REGEXEXTRACT(B3287, ""/detail/([^/?]+)"") &amp; """""","""),"""blabgegddnndfabfkcgibjomjliibapn"",")</f>
        <v>"blabgegddnndfabfkcgibjomjliibapn",</v>
      </c>
    </row>
    <row r="3288">
      <c r="A3288" s="4" t="s">
        <v>22469</v>
      </c>
      <c r="B3288" s="4" t="s">
        <v>6556</v>
      </c>
      <c r="C3288" s="16" t="str">
        <f>IFERROR(__xludf.DUMMYFUNCTION(""""""""" &amp; REGEXEXTRACT(B3288, ""/detail/([^/?]+)"") &amp; """""","""),"""blbifcidolpiceehdgfhcfcnainjmcmj"",")</f>
        <v>"blbifcidolpiceehdgfhcfcnainjmcmj",</v>
      </c>
    </row>
    <row r="3289">
      <c r="A3289" s="4" t="s">
        <v>22470</v>
      </c>
      <c r="B3289" s="4" t="s">
        <v>6558</v>
      </c>
      <c r="C3289" s="16" t="str">
        <f>IFERROR(__xludf.DUMMYFUNCTION(""""""""" &amp; REGEXEXTRACT(B3289, ""/detail/([^/?]+)"") &amp; """""","""),"""bldankcfaddopfeelafmbkjboflldjki"",")</f>
        <v>"bldankcfaddopfeelafmbkjboflldjki",</v>
      </c>
    </row>
    <row r="3290">
      <c r="A3290" s="4" t="s">
        <v>22471</v>
      </c>
      <c r="B3290" s="4" t="s">
        <v>6560</v>
      </c>
      <c r="C3290" s="16" t="str">
        <f>IFERROR(__xludf.DUMMYFUNCTION(""""""""" &amp; REGEXEXTRACT(B3290, ""/detail/([^/?]+)"") &amp; """""","""),"""blemhogdenfkkojlpghcinocbfjheioc"",")</f>
        <v>"blemhogdenfkkojlpghcinocbfjheioc",</v>
      </c>
    </row>
    <row r="3291">
      <c r="A3291" s="4" t="s">
        <v>22472</v>
      </c>
      <c r="B3291" s="4" t="s">
        <v>6562</v>
      </c>
      <c r="C3291" s="16" t="str">
        <f>IFERROR(__xludf.DUMMYFUNCTION(""""""""" &amp; REGEXEXTRACT(B3291, ""/detail/([^/?]+)"") &amp; """""","""),"""bmjjlaomahkobdcmgnbihomlipaoolnh"",")</f>
        <v>"bmjjlaomahkobdcmgnbihomlipaoolnh",</v>
      </c>
    </row>
    <row r="3292">
      <c r="A3292" s="4" t="s">
        <v>22473</v>
      </c>
      <c r="B3292" s="4" t="s">
        <v>6564</v>
      </c>
      <c r="C3292" s="16" t="str">
        <f>IFERROR(__xludf.DUMMYFUNCTION(""""""""" &amp; REGEXEXTRACT(B3292, ""/detail/([^/?]+)"") &amp; """""","""),"""bnocffbiglfjjcgmifcampfmcbkfbhgc"",")</f>
        <v>"bnocffbiglfjjcgmifcampfmcbkfbhgc",</v>
      </c>
    </row>
    <row r="3293">
      <c r="A3293" s="4" t="s">
        <v>22474</v>
      </c>
      <c r="B3293" s="4" t="s">
        <v>6566</v>
      </c>
      <c r="C3293" s="16" t="str">
        <f>IFERROR(__xludf.DUMMYFUNCTION(""""""""" &amp; REGEXEXTRACT(B3293, ""/detail/([^/?]+)"") &amp; """""","""),"""bodjneffehabmoepacpcomhfakbpagbe"",")</f>
        <v>"bodjneffehabmoepacpcomhfakbpagbe",</v>
      </c>
    </row>
    <row r="3294">
      <c r="A3294" s="4" t="s">
        <v>22475</v>
      </c>
      <c r="B3294" s="4" t="s">
        <v>6568</v>
      </c>
      <c r="C3294" s="16" t="str">
        <f>IFERROR(__xludf.DUMMYFUNCTION(""""""""" &amp; REGEXEXTRACT(B3294, ""/detail/([^/?]+)"") &amp; """""","""),"""boepmphdpbdnficfifejnkejlljcefjb"",")</f>
        <v>"boepmphdpbdnficfifejnkejlljcefjb",</v>
      </c>
    </row>
    <row r="3295">
      <c r="A3295" s="4" t="s">
        <v>22476</v>
      </c>
      <c r="B3295" s="4" t="s">
        <v>6570</v>
      </c>
      <c r="C3295" s="16" t="str">
        <f>IFERROR(__xludf.DUMMYFUNCTION(""""""""" &amp; REGEXEXTRACT(B3295, ""/detail/([^/?]+)"") &amp; """""","""),"""bponbdjkefbmgkfiiphhabghkkfocook"",")</f>
        <v>"bponbdjkefbmgkfiiphhabghkkfocook",</v>
      </c>
    </row>
    <row r="3296">
      <c r="A3296" s="4" t="s">
        <v>22477</v>
      </c>
      <c r="B3296" s="4" t="s">
        <v>6572</v>
      </c>
      <c r="C3296" s="16" t="str">
        <f>IFERROR(__xludf.DUMMYFUNCTION(""""""""" &amp; REGEXEXTRACT(B3296, ""/detail/([^/?]+)"") &amp; """""","""),"""caafhkjcgpbinkgnghkojaoipgdkbcbc"",")</f>
        <v>"caafhkjcgpbinkgnghkojaoipgdkbcbc",</v>
      </c>
    </row>
    <row r="3297">
      <c r="A3297" s="4" t="s">
        <v>22478</v>
      </c>
      <c r="B3297" s="4" t="s">
        <v>6574</v>
      </c>
      <c r="C3297" s="16" t="str">
        <f>IFERROR(__xludf.DUMMYFUNCTION(""""""""" &amp; REGEXEXTRACT(B3297, ""/detail/([^/?]+)"") &amp; """""","""),"""cacofhihgjfapcpaocgkaadkpmgfieki"",")</f>
        <v>"cacofhihgjfapcpaocgkaadkpmgfieki",</v>
      </c>
    </row>
    <row r="3298">
      <c r="A3298" s="4" t="s">
        <v>22479</v>
      </c>
      <c r="B3298" s="4" t="s">
        <v>6576</v>
      </c>
      <c r="C3298" s="16" t="str">
        <f>IFERROR(__xludf.DUMMYFUNCTION(""""""""" &amp; REGEXEXTRACT(B3298, ""/detail/([^/?]+)"") &amp; """""","""),"""cakhljgchfghghfapljifddkaomfijcn"",")</f>
        <v>"cakhljgchfghghfapljifddkaomfijcn",</v>
      </c>
    </row>
    <row r="3299">
      <c r="A3299" s="4" t="s">
        <v>22480</v>
      </c>
      <c r="B3299" s="4" t="s">
        <v>6578</v>
      </c>
      <c r="C3299" s="16" t="str">
        <f>IFERROR(__xludf.DUMMYFUNCTION(""""""""" &amp; REGEXEXTRACT(B3299, ""/detail/([^/?]+)"") &amp; """""","""),"""capkagcahfpeicbnbfepenbmognpecae"",")</f>
        <v>"capkagcahfpeicbnbfepenbmognpecae",</v>
      </c>
    </row>
    <row r="3300">
      <c r="A3300" s="4" t="s">
        <v>22481</v>
      </c>
      <c r="B3300" s="4" t="s">
        <v>6580</v>
      </c>
      <c r="C3300" s="16" t="str">
        <f>IFERROR(__xludf.DUMMYFUNCTION(""""""""" &amp; REGEXEXTRACT(B3300, ""/detail/([^/?]+)"") &amp; """""","""),"""capojgaalppngkaagaobmigigcgnidmn"",")</f>
        <v>"capojgaalppngkaagaobmigigcgnidmn",</v>
      </c>
    </row>
    <row r="3301">
      <c r="A3301" s="4" t="s">
        <v>22482</v>
      </c>
      <c r="B3301" s="4" t="s">
        <v>6582</v>
      </c>
      <c r="C3301" s="16" t="str">
        <f>IFERROR(__xludf.DUMMYFUNCTION(""""""""" &amp; REGEXEXTRACT(B3301, ""/detail/([^/?]+)"") &amp; """""","""),"""cbkdeoaaclnbidadjimofnhpbfhjakoe"",")</f>
        <v>"cbkdeoaaclnbidadjimofnhpbfhjakoe",</v>
      </c>
    </row>
    <row r="3302">
      <c r="A3302" s="4" t="s">
        <v>22483</v>
      </c>
      <c r="B3302" s="4" t="s">
        <v>6584</v>
      </c>
      <c r="C3302" s="16" t="str">
        <f>IFERROR(__xludf.DUMMYFUNCTION(""""""""" &amp; REGEXEXTRACT(B3302, ""/detail/([^/?]+)"") &amp; """""","""),"""cbomnmkpjmleifejmnjhfnfnpiileiin"",")</f>
        <v>"cbomnmkpjmleifejmnjhfnfnpiileiin",</v>
      </c>
    </row>
    <row r="3303">
      <c r="A3303" s="4" t="s">
        <v>22484</v>
      </c>
      <c r="B3303" s="4" t="s">
        <v>6586</v>
      </c>
      <c r="C3303" s="16" t="str">
        <f>IFERROR(__xludf.DUMMYFUNCTION(""""""""" &amp; REGEXEXTRACT(B3303, ""/detail/([^/?]+)"") &amp; """""","""),"""ccddopnnikeeoogpfbnfommfoeliaidg"",")</f>
        <v>"ccddopnnikeeoogpfbnfommfoeliaidg",</v>
      </c>
    </row>
    <row r="3304">
      <c r="A3304" s="4" t="s">
        <v>22485</v>
      </c>
      <c r="B3304" s="4" t="s">
        <v>6588</v>
      </c>
      <c r="C3304" s="16" t="str">
        <f>IFERROR(__xludf.DUMMYFUNCTION(""""""""" &amp; REGEXEXTRACT(B3304, ""/detail/([^/?]+)"") &amp; """""","""),"""cchjblhbdobgdokadbmaebmoiibllodl"",")</f>
        <v>"cchjblhbdobgdokadbmaebmoiibllodl",</v>
      </c>
    </row>
    <row r="3305">
      <c r="A3305" s="4" t="s">
        <v>22486</v>
      </c>
      <c r="B3305" s="4" t="s">
        <v>6590</v>
      </c>
      <c r="C3305" s="16" t="str">
        <f>IFERROR(__xludf.DUMMYFUNCTION(""""""""" &amp; REGEXEXTRACT(B3305, ""/detail/([^/?]+)"") &amp; """""","""),"""ccommbdjhehjihcilflmcdkooamhcncc"",")</f>
        <v>"ccommbdjhehjihcilflmcdkooamhcncc",</v>
      </c>
    </row>
    <row r="3306">
      <c r="A3306" s="4" t="s">
        <v>22487</v>
      </c>
      <c r="B3306" s="4" t="s">
        <v>6592</v>
      </c>
      <c r="C3306" s="16" t="str">
        <f>IFERROR(__xludf.DUMMYFUNCTION(""""""""" &amp; REGEXEXTRACT(B3306, ""/detail/([^/?]+)"") &amp; """""","""),"""cdfbiogeodmlhbdbonimjojagiodddej"",")</f>
        <v>"cdfbiogeodmlhbdbonimjojagiodddej",</v>
      </c>
    </row>
    <row r="3307">
      <c r="A3307" s="4" t="s">
        <v>22488</v>
      </c>
      <c r="B3307" s="4" t="s">
        <v>6594</v>
      </c>
      <c r="C3307" s="16" t="str">
        <f>IFERROR(__xludf.DUMMYFUNCTION(""""""""" &amp; REGEXEXTRACT(B3307, ""/detail/([^/?]+)"") &amp; """""","""),"""cdjhlfdiajgnadonhhdlekfcdoefomen"",")</f>
        <v>"cdjhlfdiajgnadonhhdlekfcdoefomen",</v>
      </c>
    </row>
    <row r="3308">
      <c r="A3308" s="4" t="s">
        <v>22489</v>
      </c>
      <c r="B3308" s="4" t="s">
        <v>6596</v>
      </c>
      <c r="C3308" s="16" t="str">
        <f>IFERROR(__xludf.DUMMYFUNCTION(""""""""" &amp; REGEXEXTRACT(B3308, ""/detail/([^/?]+)"") &amp; """""","""),"""cdnggghhipolhgompbcoofhkebpogdoe"",")</f>
        <v>"cdnggghhipolhgompbcoofhkebpogdoe",</v>
      </c>
    </row>
    <row r="3309">
      <c r="A3309" s="4" t="s">
        <v>22490</v>
      </c>
      <c r="B3309" s="4" t="s">
        <v>6598</v>
      </c>
      <c r="C3309" s="16" t="str">
        <f>IFERROR(__xludf.DUMMYFUNCTION(""""""""" &amp; REGEXEXTRACT(B3309, ""/detail/([^/?]+)"") &amp; """""","""),"""ceipgkongjnjgeckhcinapechblgchjb"",")</f>
        <v>"ceipgkongjnjgeckhcinapechblgchjb",</v>
      </c>
    </row>
    <row r="3310">
      <c r="A3310" s="4" t="s">
        <v>22491</v>
      </c>
      <c r="B3310" s="4" t="s">
        <v>6600</v>
      </c>
      <c r="C3310" s="16" t="str">
        <f>IFERROR(__xludf.DUMMYFUNCTION(""""""""" &amp; REGEXEXTRACT(B3310, ""/detail/([^/?]+)"") &amp; """""","""),"""cekafjbmkfofacenifehbglhmajimhjf"",")</f>
        <v>"cekafjbmkfofacenifehbglhmajimhjf",</v>
      </c>
    </row>
    <row r="3311">
      <c r="A3311" s="4" t="s">
        <v>22492</v>
      </c>
      <c r="B3311" s="4" t="s">
        <v>6602</v>
      </c>
      <c r="C3311" s="16" t="str">
        <f>IFERROR(__xludf.DUMMYFUNCTION(""""""""" &amp; REGEXEXTRACT(B3311, ""/detail/([^/?]+)"") &amp; """""","""),"""celbdinhikbidipcbkmphghkoibafbik"",")</f>
        <v>"celbdinhikbidipcbkmphghkoibafbik",</v>
      </c>
    </row>
    <row r="3312">
      <c r="A3312" s="4" t="s">
        <v>22493</v>
      </c>
      <c r="B3312" s="4" t="s">
        <v>6604</v>
      </c>
      <c r="C3312" s="16" t="str">
        <f>IFERROR(__xludf.DUMMYFUNCTION(""""""""" &amp; REGEXEXTRACT(B3312, ""/detail/([^/?]+)"") &amp; """""","""),"""cfjbdignpheklanjahlbdogdnbaklhig"",")</f>
        <v>"cfjbdignpheklanjahlbdogdnbaklhig",</v>
      </c>
    </row>
    <row r="3313">
      <c r="A3313" s="4" t="s">
        <v>22494</v>
      </c>
      <c r="B3313" s="4" t="s">
        <v>6606</v>
      </c>
      <c r="C3313" s="16" t="str">
        <f>IFERROR(__xludf.DUMMYFUNCTION(""""""""" &amp; REGEXEXTRACT(B3313, ""/detail/([^/?]+)"") &amp; """""","""),"""cfkhahgibalbckgminkacbbblpinfgoa"",")</f>
        <v>"cfkhahgibalbckgminkacbbblpinfgoa",</v>
      </c>
    </row>
    <row r="3314">
      <c r="A3314" s="4" t="s">
        <v>22495</v>
      </c>
      <c r="B3314" s="4" t="s">
        <v>6608</v>
      </c>
      <c r="C3314" s="16" t="str">
        <f>IFERROR(__xludf.DUMMYFUNCTION(""""""""" &amp; REGEXEXTRACT(B3314, ""/detail/([^/?]+)"") &amp; """""","""),"""cgaoglehhddipnfdhdjmpcopgpejpofg"",")</f>
        <v>"cgaoglehhddipnfdhdjmpcopgpejpofg",</v>
      </c>
    </row>
    <row r="3315">
      <c r="A3315" s="4" t="s">
        <v>22496</v>
      </c>
      <c r="B3315" s="4" t="s">
        <v>6610</v>
      </c>
      <c r="C3315" s="16" t="str">
        <f>IFERROR(__xludf.DUMMYFUNCTION(""""""""" &amp; REGEXEXTRACT(B3315, ""/detail/([^/?]+)"") &amp; """""","""),"""cgfnijlagkjceiojopgopojbenmecdgn"",")</f>
        <v>"cgfnijlagkjceiojopgopojbenmecdgn",</v>
      </c>
    </row>
    <row r="3316">
      <c r="A3316" s="4" t="s">
        <v>22497</v>
      </c>
      <c r="B3316" s="4" t="s">
        <v>6612</v>
      </c>
      <c r="C3316" s="16" t="str">
        <f>IFERROR(__xludf.DUMMYFUNCTION(""""""""" &amp; REGEXEXTRACT(B3316, ""/detail/([^/?]+)"") &amp; """""","""),"""cgopjgigkebmoobiijhnkdljjehckcpg"",")</f>
        <v>"cgopjgigkebmoobiijhnkdljjehckcpg",</v>
      </c>
    </row>
    <row r="3317">
      <c r="A3317" s="4" t="s">
        <v>22498</v>
      </c>
      <c r="B3317" s="4" t="s">
        <v>6614</v>
      </c>
      <c r="C3317" s="16" t="str">
        <f>IFERROR(__xludf.DUMMYFUNCTION(""""""""" &amp; REGEXEXTRACT(B3317, ""/detail/([^/?]+)"") &amp; """""","""),"""chpphekfimlabghbdankokcohcmnbmab"",")</f>
        <v>"chpphekfimlabghbdankokcohcmnbmab",</v>
      </c>
    </row>
    <row r="3318">
      <c r="A3318" s="4" t="s">
        <v>22499</v>
      </c>
      <c r="B3318" s="4" t="s">
        <v>6616</v>
      </c>
      <c r="C3318" s="16" t="str">
        <f>IFERROR(__xludf.DUMMYFUNCTION(""""""""" &amp; REGEXEXTRACT(B3318, ""/detail/([^/?]+)"") &amp; """""","""),"""cjlaagghmikageagedknpkmapcjodnno"",")</f>
        <v>"cjlaagghmikageagedknpkmapcjodnno",</v>
      </c>
    </row>
    <row r="3319">
      <c r="A3319" s="4" t="s">
        <v>22500</v>
      </c>
      <c r="B3319" s="4" t="s">
        <v>6618</v>
      </c>
      <c r="C3319" s="16" t="str">
        <f>IFERROR(__xludf.DUMMYFUNCTION(""""""""" &amp; REGEXEXTRACT(B3319, ""/detail/([^/?]+)"") &amp; """""","""),"""cjnnojbahbfmbhhpkcoihncbojdlhbnj"",")</f>
        <v>"cjnnojbahbfmbhhpkcoihncbojdlhbnj",</v>
      </c>
    </row>
    <row r="3320">
      <c r="A3320" s="4" t="s">
        <v>22501</v>
      </c>
      <c r="B3320" s="4" t="s">
        <v>6620</v>
      </c>
      <c r="C3320" s="16" t="str">
        <f>IFERROR(__xludf.DUMMYFUNCTION(""""""""" &amp; REGEXEXTRACT(B3320, ""/detail/([^/?]+)"") &amp; """""","""),"""ckaofffdgmblmfkglibpaleigpldjjem"",")</f>
        <v>"ckaofffdgmblmfkglibpaleigpldjjem",</v>
      </c>
    </row>
    <row r="3321">
      <c r="A3321" s="4" t="s">
        <v>22502</v>
      </c>
      <c r="B3321" s="4" t="s">
        <v>6622</v>
      </c>
      <c r="C3321" s="16" t="str">
        <f>IFERROR(__xludf.DUMMYFUNCTION(""""""""" &amp; REGEXEXTRACT(B3321, ""/detail/([^/?]+)"") &amp; """""","""),"""cklaghejbnabhfdlaelhbjdepkfodkcj"",")</f>
        <v>"cklaghejbnabhfdlaelhbjdepkfodkcj",</v>
      </c>
    </row>
    <row r="3322">
      <c r="A3322" s="4" t="s">
        <v>22503</v>
      </c>
      <c r="B3322" s="4" t="s">
        <v>6624</v>
      </c>
      <c r="C3322" s="16" t="str">
        <f>IFERROR(__xludf.DUMMYFUNCTION(""""""""" &amp; REGEXEXTRACT(B3322, ""/detail/([^/?]+)"") &amp; """""","""),"""cklfhmnfapocoofjpkkceaabdkimgkbf"",")</f>
        <v>"cklfhmnfapocoofjpkkceaabdkimgkbf",</v>
      </c>
    </row>
    <row r="3323">
      <c r="A3323" s="4" t="s">
        <v>22504</v>
      </c>
      <c r="B3323" s="4" t="s">
        <v>6626</v>
      </c>
      <c r="C3323" s="16" t="str">
        <f>IFERROR(__xludf.DUMMYFUNCTION(""""""""" &amp; REGEXEXTRACT(B3323, ""/detail/([^/?]+)"") &amp; """""","""),"""clbaflfnbbbgjppjogdmnhkgpiijamdg"",")</f>
        <v>"clbaflfnbbbgjppjogdmnhkgpiijamdg",</v>
      </c>
    </row>
    <row r="3324">
      <c r="A3324" s="4" t="s">
        <v>22505</v>
      </c>
      <c r="B3324" s="4" t="s">
        <v>6628</v>
      </c>
      <c r="C3324" s="16" t="str">
        <f>IFERROR(__xludf.DUMMYFUNCTION(""""""""" &amp; REGEXEXTRACT(B3324, ""/detail/([^/?]+)"") &amp; """""","""),"""clcbpepidaphghjahkionjhffkolcpek"",")</f>
        <v>"clcbpepidaphghjahkionjhffkolcpek",</v>
      </c>
    </row>
    <row r="3325">
      <c r="A3325" s="4" t="s">
        <v>22506</v>
      </c>
      <c r="B3325" s="4" t="s">
        <v>6630</v>
      </c>
      <c r="C3325" s="16" t="str">
        <f>IFERROR(__xludf.DUMMYFUNCTION(""""""""" &amp; REGEXEXTRACT(B3325, ""/detail/([^/?]+)"") &amp; """""","""),"""cmhdhpcfabppigjedlenkmleklplflhp"",")</f>
        <v>"cmhdhpcfabppigjedlenkmleklplflhp",</v>
      </c>
    </row>
    <row r="3326">
      <c r="A3326" s="4" t="s">
        <v>22507</v>
      </c>
      <c r="B3326" s="4" t="s">
        <v>6631</v>
      </c>
      <c r="C3326" s="16" t="str">
        <f>IFERROR(__xludf.DUMMYFUNCTION(""""""""" &amp; REGEXEXTRACT(B3326, ""/detail/([^/?]+)"") &amp; """""","""),"""cmjaflcjfodgbadocmpelolnfneppipe"",")</f>
        <v>"cmjaflcjfodgbadocmpelolnfneppipe",</v>
      </c>
    </row>
    <row r="3327">
      <c r="A3327" s="4" t="s">
        <v>22508</v>
      </c>
      <c r="B3327" s="4" t="s">
        <v>6633</v>
      </c>
      <c r="C3327" s="16" t="str">
        <f>IFERROR(__xludf.DUMMYFUNCTION(""""""""" &amp; REGEXEXTRACT(B3327, ""/detail/([^/?]+)"") &amp; """""","""),"""cnapdogghpeenfmlficdcbhflhemeoob"",")</f>
        <v>"cnapdogghpeenfmlficdcbhflhemeoob",</v>
      </c>
    </row>
    <row r="3328">
      <c r="A3328" s="4" t="s">
        <v>22509</v>
      </c>
      <c r="B3328" s="4" t="s">
        <v>6635</v>
      </c>
      <c r="C3328" s="16" t="str">
        <f>IFERROR(__xludf.DUMMYFUNCTION(""""""""" &amp; REGEXEXTRACT(B3328, ""/detail/([^/?]+)"") &amp; """""","""),"""cnffkgfknlbnbfhihojeagbmcdcfdcnb"",")</f>
        <v>"cnffkgfknlbnbfhihojeagbmcdcfdcnb",</v>
      </c>
    </row>
    <row r="3329">
      <c r="A3329" s="4" t="s">
        <v>22510</v>
      </c>
      <c r="B3329" s="4" t="s">
        <v>6637</v>
      </c>
      <c r="C3329" s="16" t="str">
        <f>IFERROR(__xludf.DUMMYFUNCTION(""""""""" &amp; REGEXEXTRACT(B3329, ""/detail/([^/?]+)"") &amp; """""","""),"""cnhfhjlfbaehncgjfnleejhehimhleip"",")</f>
        <v>"cnhfhjlfbaehncgjfnleejhehimhleip",</v>
      </c>
    </row>
    <row r="3330">
      <c r="A3330" s="4" t="s">
        <v>22511</v>
      </c>
      <c r="B3330" s="4" t="s">
        <v>6639</v>
      </c>
      <c r="C3330" s="16" t="str">
        <f>IFERROR(__xludf.DUMMYFUNCTION(""""""""" &amp; REGEXEXTRACT(B3330, ""/detail/([^/?]+)"") &amp; """""","""),"""comgdpdblghhphamnlfjdmcpfekanbke"",")</f>
        <v>"comgdpdblghhphamnlfjdmcpfekanbke",</v>
      </c>
    </row>
    <row r="3331">
      <c r="A3331" s="4" t="s">
        <v>22512</v>
      </c>
      <c r="B3331" s="4" t="s">
        <v>6641</v>
      </c>
      <c r="C3331" s="16" t="str">
        <f>IFERROR(__xludf.DUMMYFUNCTION(""""""""" &amp; REGEXEXTRACT(B3331, ""/detail/([^/?]+)"") &amp; """""","""),"""cpjmmjoehdjkicbaiikanabgecjbdoko"",")</f>
        <v>"cpjmmjoehdjkicbaiikanabgecjbdoko",</v>
      </c>
    </row>
    <row r="3332">
      <c r="A3332" s="4" t="s">
        <v>22513</v>
      </c>
      <c r="B3332" s="4" t="s">
        <v>6643</v>
      </c>
      <c r="C3332" s="16" t="str">
        <f>IFERROR(__xludf.DUMMYFUNCTION(""""""""" &amp; REGEXEXTRACT(B3332, ""/detail/([^/?]+)"") &amp; """""","""),"""dahicfbjacnkkdhphlloeeaadkenloaf"",")</f>
        <v>"dahicfbjacnkkdhphlloeeaadkenloaf",</v>
      </c>
    </row>
    <row r="3333">
      <c r="A3333" s="4" t="s">
        <v>22514</v>
      </c>
      <c r="B3333" s="4" t="s">
        <v>6645</v>
      </c>
      <c r="C3333" s="16" t="str">
        <f>IFERROR(__xludf.DUMMYFUNCTION(""""""""" &amp; REGEXEXTRACT(B3333, ""/detail/([^/?]+)"") &amp; """""","""),"""dahidcllknfnoleplldmphdnmacjglph"",")</f>
        <v>"dahidcllknfnoleplldmphdnmacjglph",</v>
      </c>
    </row>
    <row r="3334">
      <c r="A3334" s="4" t="s">
        <v>22515</v>
      </c>
      <c r="B3334" s="4" t="s">
        <v>6647</v>
      </c>
      <c r="C3334" s="16" t="str">
        <f>IFERROR(__xludf.DUMMYFUNCTION(""""""""" &amp; REGEXEXTRACT(B3334, ""/detail/([^/?]+)"") &amp; """""","""),"""dalfpgoflklogpfibbjelegbgfamlhof"",")</f>
        <v>"dalfpgoflklogpfibbjelegbgfamlhof",</v>
      </c>
    </row>
    <row r="3335">
      <c r="A3335" s="4" t="s">
        <v>22516</v>
      </c>
      <c r="B3335" s="4" t="s">
        <v>6649</v>
      </c>
      <c r="C3335" s="16" t="str">
        <f>IFERROR(__xludf.DUMMYFUNCTION(""""""""" &amp; REGEXEXTRACT(B3335, ""/detail/([^/?]+)"") &amp; """""","""),"""dapnjppagigkdklehjnihbflmgkpbapm"",")</f>
        <v>"dapnjppagigkdklehjnihbflmgkpbapm",</v>
      </c>
    </row>
    <row r="3336">
      <c r="A3336" s="4" t="s">
        <v>22517</v>
      </c>
      <c r="B3336" s="4" t="s">
        <v>6651</v>
      </c>
      <c r="C3336" s="16" t="str">
        <f>IFERROR(__xludf.DUMMYFUNCTION(""""""""" &amp; REGEXEXTRACT(B3336, ""/detail/([^/?]+)"") &amp; """""","""),"""dbaahnceahihnikjnogoijfdccdonlia"",")</f>
        <v>"dbaahnceahihnikjnogoijfdccdonlia",</v>
      </c>
    </row>
    <row r="3337">
      <c r="A3337" s="4" t="s">
        <v>22518</v>
      </c>
      <c r="B3337" s="4" t="s">
        <v>6653</v>
      </c>
      <c r="C3337" s="16" t="str">
        <f>IFERROR(__xludf.DUMMYFUNCTION(""""""""" &amp; REGEXEXTRACT(B3337, ""/detail/([^/?]+)"") &amp; """""","""),"""dbhkpibloniaemkipklamlepffjihaom"",")</f>
        <v>"dbhkpibloniaemkipklamlepffjihaom",</v>
      </c>
    </row>
    <row r="3338">
      <c r="A3338" s="4" t="s">
        <v>22519</v>
      </c>
      <c r="B3338" s="4" t="s">
        <v>6655</v>
      </c>
      <c r="C3338" s="16" t="str">
        <f>IFERROR(__xludf.DUMMYFUNCTION(""""""""" &amp; REGEXEXTRACT(B3338, ""/detail/([^/?]+)"") &amp; """""","""),"""dbimlbkcbphdbocgfkdanelhejpcbpfj"",")</f>
        <v>"dbimlbkcbphdbocgfkdanelhejpcbpfj",</v>
      </c>
    </row>
    <row r="3339">
      <c r="A3339" s="4" t="s">
        <v>22520</v>
      </c>
      <c r="B3339" s="4" t="s">
        <v>6657</v>
      </c>
      <c r="C3339" s="16" t="str">
        <f>IFERROR(__xludf.DUMMYFUNCTION(""""""""" &amp; REGEXEXTRACT(B3339, ""/detail/([^/?]+)"") &amp; """""","""),"""dbjilbkolbodebenablpomgeihnclgel"",")</f>
        <v>"dbjilbkolbodebenablpomgeihnclgel",</v>
      </c>
    </row>
    <row r="3340">
      <c r="A3340" s="4" t="s">
        <v>22521</v>
      </c>
      <c r="B3340" s="4" t="s">
        <v>6659</v>
      </c>
      <c r="C3340" s="16" t="str">
        <f>IFERROR(__xludf.DUMMYFUNCTION(""""""""" &amp; REGEXEXTRACT(B3340, ""/detail/([^/?]+)"") &amp; """""","""),"""dbooaamklijfogllbgookpiliaphkahb"",")</f>
        <v>"dbooaamklijfogllbgookpiliaphkahb",</v>
      </c>
    </row>
    <row r="3341">
      <c r="A3341" s="4" t="s">
        <v>22522</v>
      </c>
      <c r="B3341" s="4" t="s">
        <v>6661</v>
      </c>
      <c r="C3341" s="16" t="str">
        <f>IFERROR(__xludf.DUMMYFUNCTION(""""""""" &amp; REGEXEXTRACT(B3341, ""/detail/([^/?]+)"") &amp; """""","""),"""dcbhlmadhngmgbnjlegflhpbijcbbdde"",")</f>
        <v>"dcbhlmadhngmgbnjlegflhpbijcbbdde",</v>
      </c>
    </row>
    <row r="3342">
      <c r="A3342" s="4" t="s">
        <v>22523</v>
      </c>
      <c r="B3342" s="4" t="s">
        <v>6663</v>
      </c>
      <c r="C3342" s="16" t="str">
        <f>IFERROR(__xludf.DUMMYFUNCTION(""""""""" &amp; REGEXEXTRACT(B3342, ""/detail/([^/?]+)"") &amp; """""","""),"""dccddkkncdbglmlfmfjcgmhbppgddkag"",")</f>
        <v>"dccddkkncdbglmlfmfjcgmhbppgddkag",</v>
      </c>
    </row>
    <row r="3343">
      <c r="A3343" s="4" t="s">
        <v>22524</v>
      </c>
      <c r="B3343" s="4" t="s">
        <v>6664</v>
      </c>
      <c r="C3343" s="16" t="str">
        <f>IFERROR(__xludf.DUMMYFUNCTION(""""""""" &amp; REGEXEXTRACT(B3343, ""/detail/([^/?]+)"") &amp; """""","""),"""dcecmgaholkhgdkebcpgdjemmcmflpmf"",")</f>
        <v>"dcecmgaholkhgdkebcpgdjemmcmflpmf",</v>
      </c>
    </row>
    <row r="3344">
      <c r="A3344" s="4" t="s">
        <v>22525</v>
      </c>
      <c r="B3344" s="4" t="s">
        <v>6666</v>
      </c>
      <c r="C3344" s="16" t="str">
        <f>IFERROR(__xludf.DUMMYFUNCTION(""""""""" &amp; REGEXEXTRACT(B3344, ""/detail/([^/?]+)"") &amp; """""","""),"""dcljefehlpjmoefgoohaobehbenocmkg"",")</f>
        <v>"dcljefehlpjmoefgoohaobehbenocmkg",</v>
      </c>
    </row>
    <row r="3345">
      <c r="A3345" s="4" t="s">
        <v>22526</v>
      </c>
      <c r="B3345" s="4" t="s">
        <v>6668</v>
      </c>
      <c r="C3345" s="16" t="str">
        <f>IFERROR(__xludf.DUMMYFUNCTION(""""""""" &amp; REGEXEXTRACT(B3345, ""/detail/([^/?]+)"") &amp; """""","""),"""dcmllfkiihingappljlkffafnlhdpbai"",")</f>
        <v>"dcmllfkiihingappljlkffafnlhdpbai",</v>
      </c>
    </row>
    <row r="3346">
      <c r="A3346" s="4" t="s">
        <v>22527</v>
      </c>
      <c r="B3346" s="4" t="s">
        <v>6670</v>
      </c>
      <c r="C3346" s="16" t="str">
        <f>IFERROR(__xludf.DUMMYFUNCTION(""""""""" &amp; REGEXEXTRACT(B3346, ""/detail/([^/?]+)"") &amp; """""","""),"""dddcejkalllobbpblapmkgnnehcfagdf"",")</f>
        <v>"dddcejkalllobbpblapmkgnnehcfagdf",</v>
      </c>
    </row>
    <row r="3347">
      <c r="A3347" s="4" t="s">
        <v>22528</v>
      </c>
      <c r="B3347" s="4" t="s">
        <v>6672</v>
      </c>
      <c r="C3347" s="16" t="str">
        <f>IFERROR(__xludf.DUMMYFUNCTION(""""""""" &amp; REGEXEXTRACT(B3347, ""/detail/([^/?]+)"") &amp; """""","""),"""ddjfolemleelcjeolkjafagchgibcekb"",")</f>
        <v>"ddjfolemleelcjeolkjafagchgibcekb",</v>
      </c>
    </row>
    <row r="3348">
      <c r="A3348" s="4" t="s">
        <v>22529</v>
      </c>
      <c r="B3348" s="4" t="s">
        <v>6674</v>
      </c>
      <c r="C3348" s="16" t="str">
        <f>IFERROR(__xludf.DUMMYFUNCTION(""""""""" &amp; REGEXEXTRACT(B3348, ""/detail/([^/?]+)"") &amp; """""","""),"""deiongpjjbocjmonefmnldjmmkgbpkmh"",")</f>
        <v>"deiongpjjbocjmonefmnldjmmkgbpkmh",</v>
      </c>
    </row>
    <row r="3349">
      <c r="A3349" s="4" t="s">
        <v>22530</v>
      </c>
      <c r="B3349" s="4" t="s">
        <v>6676</v>
      </c>
      <c r="C3349" s="16" t="str">
        <f>IFERROR(__xludf.DUMMYFUNCTION(""""""""" &amp; REGEXEXTRACT(B3349, ""/detail/([^/?]+)"") &amp; """""","""),"""dekjmbgmibnaghglnmmknjghlocibjbo"",")</f>
        <v>"dekjmbgmibnaghglnmmknjghlocibjbo",</v>
      </c>
    </row>
    <row r="3350">
      <c r="A3350" s="4" t="s">
        <v>22531</v>
      </c>
      <c r="B3350" s="4" t="s">
        <v>6678</v>
      </c>
      <c r="C3350" s="16" t="str">
        <f>IFERROR(__xludf.DUMMYFUNCTION(""""""""" &amp; REGEXEXTRACT(B3350, ""/detail/([^/?]+)"") &amp; """""","""),"""deknijehbgjmcifokgebbchmhpenfnee"",")</f>
        <v>"deknijehbgjmcifokgebbchmhpenfnee",</v>
      </c>
    </row>
    <row r="3351">
      <c r="A3351" s="4" t="s">
        <v>22532</v>
      </c>
      <c r="B3351" s="4" t="s">
        <v>6680</v>
      </c>
      <c r="C3351" s="16" t="str">
        <f>IFERROR(__xludf.DUMMYFUNCTION(""""""""" &amp; REGEXEXTRACT(B3351, ""/detail/([^/?]+)"") &amp; """""","""),"""dfemhmpfkfmcmfdfiknifofpainceiki"",")</f>
        <v>"dfemhmpfkfmcmfdfiknifofpainceiki",</v>
      </c>
    </row>
    <row r="3352">
      <c r="A3352" s="4" t="s">
        <v>22533</v>
      </c>
      <c r="B3352" s="4" t="s">
        <v>6682</v>
      </c>
      <c r="C3352" s="16" t="str">
        <f>IFERROR(__xludf.DUMMYFUNCTION(""""""""" &amp; REGEXEXTRACT(B3352, ""/detail/([^/?]+)"") &amp; """""","""),"""dflnhmchphajjkfadohcpiobjdhnfaed"",")</f>
        <v>"dflnhmchphajjkfadohcpiobjdhnfaed",</v>
      </c>
    </row>
    <row r="3353">
      <c r="A3353" s="4" t="s">
        <v>22534</v>
      </c>
      <c r="B3353" s="4" t="s">
        <v>6684</v>
      </c>
      <c r="C3353" s="16" t="str">
        <f>IFERROR(__xludf.DUMMYFUNCTION(""""""""" &amp; REGEXEXTRACT(B3353, ""/detail/([^/?]+)"") &amp; """""","""),"""dfoplpgihamfobjlgeefieflfbpnpffg"",")</f>
        <v>"dfoplpgihamfobjlgeefieflfbpnpffg",</v>
      </c>
    </row>
    <row r="3354">
      <c r="A3354" s="4" t="s">
        <v>22535</v>
      </c>
      <c r="B3354" s="4" t="s">
        <v>6686</v>
      </c>
      <c r="C3354" s="16" t="str">
        <f>IFERROR(__xludf.DUMMYFUNCTION(""""""""" &amp; REGEXEXTRACT(B3354, ""/detail/([^/?]+)"") &amp; """""","""),"""dgbkldehhidnhpecibnmabmbclnokikd"",")</f>
        <v>"dgbkldehhidnhpecibnmabmbclnokikd",</v>
      </c>
    </row>
    <row r="3355">
      <c r="A3355" s="4" t="s">
        <v>22536</v>
      </c>
      <c r="B3355" s="4" t="s">
        <v>6688</v>
      </c>
      <c r="C3355" s="16" t="str">
        <f>IFERROR(__xludf.DUMMYFUNCTION(""""""""" &amp; REGEXEXTRACT(B3355, ""/detail/([^/?]+)"") &amp; """""","""),"""dgcpabogbpfgndfnfhjkhkjaniaigclf"",")</f>
        <v>"dgcpabogbpfgndfnfhjkhkjaniaigclf",</v>
      </c>
    </row>
    <row r="3356">
      <c r="A3356" s="4" t="s">
        <v>22537</v>
      </c>
      <c r="B3356" s="4" t="s">
        <v>6690</v>
      </c>
      <c r="C3356" s="16" t="str">
        <f>IFERROR(__xludf.DUMMYFUNCTION(""""""""" &amp; REGEXEXTRACT(B3356, ""/detail/([^/?]+)"") &amp; """""","""),"""dhdfpijlmfebebnjcmpoeigbjekfmjmf"",")</f>
        <v>"dhdfpijlmfebebnjcmpoeigbjekfmjmf",</v>
      </c>
    </row>
    <row r="3357">
      <c r="A3357" s="4" t="s">
        <v>22538</v>
      </c>
      <c r="B3357" s="4" t="s">
        <v>6692</v>
      </c>
      <c r="C3357" s="16" t="str">
        <f>IFERROR(__xludf.DUMMYFUNCTION(""""""""" &amp; REGEXEXTRACT(B3357, ""/detail/([^/?]+)"") &amp; """""","""),"""dhgkdkollobnolailbckohhaikklnnki"",")</f>
        <v>"dhgkdkollobnolailbckohhaikklnnki",</v>
      </c>
    </row>
    <row r="3358">
      <c r="A3358" s="4" t="s">
        <v>22539</v>
      </c>
      <c r="B3358" s="4" t="s">
        <v>6694</v>
      </c>
      <c r="C3358" s="16" t="str">
        <f>IFERROR(__xludf.DUMMYFUNCTION(""""""""" &amp; REGEXEXTRACT(B3358, ""/detail/([^/?]+)"") &amp; """""","""),"""dhhoacdlegcbdglbfnhgnlchpkdlofkb"",")</f>
        <v>"dhhoacdlegcbdglbfnhgnlchpkdlofkb",</v>
      </c>
    </row>
    <row r="3359">
      <c r="A3359" s="4" t="s">
        <v>22540</v>
      </c>
      <c r="B3359" s="4" t="s">
        <v>6696</v>
      </c>
      <c r="C3359" s="16" t="str">
        <f>IFERROR(__xludf.DUMMYFUNCTION(""""""""" &amp; REGEXEXTRACT(B3359, ""/detail/([^/?]+)"") &amp; """""","""),"""dholphmppikkchmalilfkmfanembgbil"",")</f>
        <v>"dholphmppikkchmalilfkmfanembgbil",</v>
      </c>
    </row>
    <row r="3360">
      <c r="A3360" s="4" t="s">
        <v>22541</v>
      </c>
      <c r="B3360" s="4" t="s">
        <v>6698</v>
      </c>
      <c r="C3360" s="16" t="str">
        <f>IFERROR(__xludf.DUMMYFUNCTION(""""""""" &amp; REGEXEXTRACT(B3360, ""/detail/([^/?]+)"") &amp; """""","""),"""dibhjjgigjbgfdfgbjamcjminlflfgca"",")</f>
        <v>"dibhjjgigjbgfdfgbjamcjminlflfgca",</v>
      </c>
    </row>
    <row r="3361">
      <c r="A3361" s="4" t="s">
        <v>22542</v>
      </c>
      <c r="B3361" s="4" t="s">
        <v>6700</v>
      </c>
      <c r="C3361" s="16" t="str">
        <f>IFERROR(__xludf.DUMMYFUNCTION(""""""""" &amp; REGEXEXTRACT(B3361, ""/detail/([^/?]+)"") &amp; """""","""),"""dibjkbohhllnokliflkbicfdeommfgpg"",")</f>
        <v>"dibjkbohhllnokliflkbicfdeommfgpg",</v>
      </c>
    </row>
    <row r="3362">
      <c r="A3362" s="4" t="s">
        <v>22543</v>
      </c>
      <c r="B3362" s="4" t="s">
        <v>6702</v>
      </c>
      <c r="C3362" s="16" t="str">
        <f>IFERROR(__xludf.DUMMYFUNCTION(""""""""" &amp; REGEXEXTRACT(B3362, ""/detail/([^/?]+)"") &amp; """""","""),"""difkgogalighjoffonmipncaobobgnoj"",")</f>
        <v>"difkgogalighjoffonmipncaobobgnoj",</v>
      </c>
    </row>
    <row r="3363">
      <c r="A3363" s="4" t="s">
        <v>22544</v>
      </c>
      <c r="B3363" s="4" t="s">
        <v>6704</v>
      </c>
      <c r="C3363" s="16" t="str">
        <f>IFERROR(__xludf.DUMMYFUNCTION(""""""""" &amp; REGEXEXTRACT(B3363, ""/detail/([^/?]+)"") &amp; """""","""),"""dilnicbdbobeikfinkokehkdhoiomnoa"",")</f>
        <v>"dilnicbdbobeikfinkokehkdhoiomnoa",</v>
      </c>
    </row>
    <row r="3364">
      <c r="A3364" s="4" t="s">
        <v>22545</v>
      </c>
      <c r="B3364" s="4" t="s">
        <v>6706</v>
      </c>
      <c r="C3364" s="16" t="str">
        <f>IFERROR(__xludf.DUMMYFUNCTION(""""""""" &amp; REGEXEXTRACT(B3364, ""/detail/([^/?]+)"") &amp; """""","""),"""djamlokjblgcpopojpandilmhmlednie"",")</f>
        <v>"djamlokjblgcpopojpandilmhmlednie",</v>
      </c>
    </row>
    <row r="3365">
      <c r="A3365" s="4" t="s">
        <v>22546</v>
      </c>
      <c r="B3365" s="4" t="s">
        <v>6708</v>
      </c>
      <c r="C3365" s="16" t="str">
        <f>IFERROR(__xludf.DUMMYFUNCTION(""""""""" &amp; REGEXEXTRACT(B3365, ""/detail/([^/?]+)"") &amp; """""","""),"""djbemlbahoaipekaihggmelmhnalopih"",")</f>
        <v>"djbemlbahoaipekaihggmelmhnalopih",</v>
      </c>
    </row>
    <row r="3366">
      <c r="A3366" s="4" t="s">
        <v>22547</v>
      </c>
      <c r="B3366" s="4" t="s">
        <v>6710</v>
      </c>
      <c r="C3366" s="16" t="str">
        <f>IFERROR(__xludf.DUMMYFUNCTION(""""""""" &amp; REGEXEXTRACT(B3366, ""/detail/([^/?]+)"") &amp; """""","""),"""djpehmepgepfpoiaendmglmnjmmfalio"",")</f>
        <v>"djpehmepgepfpoiaendmglmnjmmfalio",</v>
      </c>
    </row>
    <row r="3367">
      <c r="A3367" s="4" t="s">
        <v>22548</v>
      </c>
      <c r="B3367" s="4" t="s">
        <v>6711</v>
      </c>
      <c r="C3367" s="16" t="str">
        <f>IFERROR(__xludf.DUMMYFUNCTION(""""""""" &amp; REGEXEXTRACT(B3367, ""/detail/([^/?]+)"") &amp; """""","""),"""dkabogmdcebincpnhjkblipnceehimch"",")</f>
        <v>"dkabogmdcebincpnhjkblipnceehimch",</v>
      </c>
    </row>
    <row r="3368">
      <c r="A3368" s="4" t="s">
        <v>22549</v>
      </c>
      <c r="B3368" s="4" t="s">
        <v>6713</v>
      </c>
      <c r="C3368" s="16" t="str">
        <f>IFERROR(__xludf.DUMMYFUNCTION(""""""""" &amp; REGEXEXTRACT(B3368, ""/detail/([^/?]+)"") &amp; """""","""),"""dkglikblegnhaglmhanneopiaednbehc"",")</f>
        <v>"dkglikblegnhaglmhanneopiaednbehc",</v>
      </c>
    </row>
    <row r="3369">
      <c r="A3369" s="4" t="s">
        <v>22550</v>
      </c>
      <c r="B3369" s="4" t="s">
        <v>6715</v>
      </c>
      <c r="C3369" s="16" t="str">
        <f>IFERROR(__xludf.DUMMYFUNCTION(""""""""" &amp; REGEXEXTRACT(B3369, ""/detail/([^/?]+)"") &amp; """""","""),"""dkmolnjgcflefpeajenclaejfddpcaml"",")</f>
        <v>"dkmolnjgcflefpeajenclaejfddpcaml",</v>
      </c>
    </row>
    <row r="3370">
      <c r="A3370" s="4" t="s">
        <v>22551</v>
      </c>
      <c r="B3370" s="4" t="s">
        <v>6717</v>
      </c>
      <c r="C3370" s="16" t="str">
        <f>IFERROR(__xludf.DUMMYFUNCTION(""""""""" &amp; REGEXEXTRACT(B3370, ""/detail/([^/?]+)"") &amp; """""","""),"""dlcjllapchpeedkecmhfnpfenpbglioo"",")</f>
        <v>"dlcjllapchpeedkecmhfnpfenpbglioo",</v>
      </c>
    </row>
    <row r="3371">
      <c r="A3371" s="4" t="s">
        <v>22552</v>
      </c>
      <c r="B3371" s="4" t="s">
        <v>6719</v>
      </c>
      <c r="C3371" s="16" t="str">
        <f>IFERROR(__xludf.DUMMYFUNCTION(""""""""" &amp; REGEXEXTRACT(B3371, ""/detail/([^/?]+)"") &amp; """""","""),"""dlmgniacaacmbccdegkadebbaphkonpb"",")</f>
        <v>"dlmgniacaacmbccdegkadebbaphkonpb",</v>
      </c>
    </row>
    <row r="3372">
      <c r="A3372" s="4" t="s">
        <v>22553</v>
      </c>
      <c r="B3372" s="4" t="s">
        <v>6721</v>
      </c>
      <c r="C3372" s="16" t="str">
        <f>IFERROR(__xludf.DUMMYFUNCTION(""""""""" &amp; REGEXEXTRACT(B3372, ""/detail/([^/?]+)"") &amp; """""","""),"""dmdidacioohghaemnkfhcmpjbmanmfok"",")</f>
        <v>"dmdidacioohghaemnkfhcmpjbmanmfok",</v>
      </c>
    </row>
    <row r="3373">
      <c r="A3373" s="4" t="s">
        <v>22554</v>
      </c>
      <c r="B3373" s="4" t="s">
        <v>6723</v>
      </c>
      <c r="C3373" s="16" t="str">
        <f>IFERROR(__xludf.DUMMYFUNCTION(""""""""" &amp; REGEXEXTRACT(B3373, ""/detail/([^/?]+)"") &amp; """""","""),"""dnemofhfmngncanaemmdnohjicnhjagb"",")</f>
        <v>"dnemofhfmngncanaemmdnohjicnhjagb",</v>
      </c>
    </row>
    <row r="3374">
      <c r="A3374" s="4" t="s">
        <v>22555</v>
      </c>
      <c r="B3374" s="4" t="s">
        <v>6725</v>
      </c>
      <c r="C3374" s="16" t="str">
        <f>IFERROR(__xludf.DUMMYFUNCTION(""""""""" &amp; REGEXEXTRACT(B3374, ""/detail/([^/?]+)"") &amp; """""","""),"""dnfbgicfhchdpogmafjifjgbcjdaikgn"",")</f>
        <v>"dnfbgicfhchdpogmafjifjgbcjdaikgn",</v>
      </c>
    </row>
    <row r="3375">
      <c r="A3375" s="4" t="s">
        <v>22556</v>
      </c>
      <c r="B3375" s="4" t="s">
        <v>6727</v>
      </c>
      <c r="C3375" s="16" t="str">
        <f>IFERROR(__xludf.DUMMYFUNCTION(""""""""" &amp; REGEXEXTRACT(B3375, ""/detail/([^/?]+)"") &amp; """""","""),"""dnfclojpjpcpkepcobligoibhnjfpllm"",")</f>
        <v>"dnfclojpjpcpkepcobligoibhnjfpllm",</v>
      </c>
    </row>
    <row r="3376">
      <c r="A3376" s="4" t="s">
        <v>22557</v>
      </c>
      <c r="B3376" s="4" t="s">
        <v>6729</v>
      </c>
      <c r="C3376" s="16" t="str">
        <f>IFERROR(__xludf.DUMMYFUNCTION(""""""""" &amp; REGEXEXTRACT(B3376, ""/detail/([^/?]+)"") &amp; """""","""),"""dodghoacmcolcigjioiapehcmpdadgmi"",")</f>
        <v>"dodghoacmcolcigjioiapehcmpdadgmi",</v>
      </c>
    </row>
    <row r="3377">
      <c r="A3377" s="4" t="s">
        <v>22558</v>
      </c>
      <c r="B3377" s="4" t="s">
        <v>6731</v>
      </c>
      <c r="C3377" s="16" t="str">
        <f>IFERROR(__xludf.DUMMYFUNCTION(""""""""" &amp; REGEXEXTRACT(B3377, ""/detail/([^/?]+)"") &amp; """""","""),"""dokkeckpdbodhnkncfjbbgbejdjcflhm"",")</f>
        <v>"dokkeckpdbodhnkncfjbbgbejdjcflhm",</v>
      </c>
    </row>
    <row r="3378">
      <c r="A3378" s="4" t="s">
        <v>22559</v>
      </c>
      <c r="B3378" s="4" t="s">
        <v>6733</v>
      </c>
      <c r="C3378" s="16" t="str">
        <f>IFERROR(__xludf.DUMMYFUNCTION(""""""""" &amp; REGEXEXTRACT(B3378, ""/detail/([^/?]+)"") &amp; """""","""),"""dopegccpneodjcmjigocogleccdmkkhl"",")</f>
        <v>"dopegccpneodjcmjigocogleccdmkkhl",</v>
      </c>
    </row>
    <row r="3379">
      <c r="A3379" s="4" t="s">
        <v>22560</v>
      </c>
      <c r="B3379" s="4" t="s">
        <v>6735</v>
      </c>
      <c r="C3379" s="16" t="str">
        <f>IFERROR(__xludf.DUMMYFUNCTION(""""""""" &amp; REGEXEXTRACT(B3379, ""/detail/([^/?]+)"") &amp; """""","""),"""dpbgkpijomoeagjakjllifnenpiodlkc"",")</f>
        <v>"dpbgkpijomoeagjakjllifnenpiodlkc",</v>
      </c>
    </row>
    <row r="3380">
      <c r="A3380" s="4" t="s">
        <v>22561</v>
      </c>
      <c r="B3380" s="4" t="s">
        <v>6737</v>
      </c>
      <c r="C3380" s="16" t="str">
        <f>IFERROR(__xludf.DUMMYFUNCTION(""""""""" &amp; REGEXEXTRACT(B3380, ""/detail/([^/?]+)"") &amp; """""","""),"""dpiecafonfminhngabegejbligdagjfc"",")</f>
        <v>"dpiecafonfminhngabegejbligdagjfc",</v>
      </c>
    </row>
    <row r="3381">
      <c r="A3381" s="4" t="s">
        <v>22562</v>
      </c>
      <c r="B3381" s="4" t="s">
        <v>6739</v>
      </c>
      <c r="C3381" s="16" t="str">
        <f>IFERROR(__xludf.DUMMYFUNCTION(""""""""" &amp; REGEXEXTRACT(B3381, ""/detail/([^/?]+)"") &amp; """""","""),"""dpmmngoajnhfhalbmdkglnekmkkijjap"",")</f>
        <v>"dpmmngoajnhfhalbmdkglnekmkkijjap",</v>
      </c>
    </row>
    <row r="3382">
      <c r="A3382" s="4" t="s">
        <v>22563</v>
      </c>
      <c r="B3382" s="4" t="s">
        <v>6741</v>
      </c>
      <c r="C3382" s="16" t="str">
        <f>IFERROR(__xludf.DUMMYFUNCTION(""""""""" &amp; REGEXEXTRACT(B3382, ""/detail/([^/?]+)"") &amp; """""","""),"""eageapgbnjicdjjihgclpclilenjbobi"",")</f>
        <v>"eageapgbnjicdjjihgclpclilenjbobi",</v>
      </c>
    </row>
    <row r="3383">
      <c r="A3383" s="4" t="s">
        <v>22564</v>
      </c>
      <c r="B3383" s="4" t="s">
        <v>6743</v>
      </c>
      <c r="C3383" s="16" t="str">
        <f>IFERROR(__xludf.DUMMYFUNCTION(""""""""" &amp; REGEXEXTRACT(B3383, ""/detail/([^/?]+)"") &amp; """""","""),"""eagjeakmfmpdfkbbecfkogodmllbgknh"",")</f>
        <v>"eagjeakmfmpdfkbbecfkogodmllbgknh",</v>
      </c>
    </row>
    <row r="3384">
      <c r="A3384" s="4" t="s">
        <v>22565</v>
      </c>
      <c r="B3384" s="4" t="s">
        <v>6745</v>
      </c>
      <c r="C3384" s="16" t="str">
        <f>IFERROR(__xludf.DUMMYFUNCTION(""""""""" &amp; REGEXEXTRACT(B3384, ""/detail/([^/?]+)"") &amp; """""","""),"""ebpcimigfdcgmpaiboiipfkmceejkekp"",")</f>
        <v>"ebpcimigfdcgmpaiboiipfkmceejkekp",</v>
      </c>
    </row>
    <row r="3385">
      <c r="A3385" s="4" t="s">
        <v>22566</v>
      </c>
      <c r="B3385" s="4" t="s">
        <v>6747</v>
      </c>
      <c r="C3385" s="16" t="str">
        <f>IFERROR(__xludf.DUMMYFUNCTION(""""""""" &amp; REGEXEXTRACT(B3385, ""/detail/([^/?]+)"") &amp; """""","""),"""eclakicbdanpgmpkecgmoeceghgjdeag"",")</f>
        <v>"eclakicbdanpgmpkecgmoeceghgjdeag",</v>
      </c>
    </row>
    <row r="3386">
      <c r="A3386" s="4" t="s">
        <v>22567</v>
      </c>
      <c r="B3386" s="4" t="s">
        <v>6749</v>
      </c>
      <c r="C3386" s="16" t="str">
        <f>IFERROR(__xludf.DUMMYFUNCTION(""""""""" &amp; REGEXEXTRACT(B3386, ""/detail/([^/?]+)"") &amp; """""","""),"""edknjdjielmpdlnllkdmaghlbpnmjmgb"",")</f>
        <v>"edknjdjielmpdlnllkdmaghlbpnmjmgb",</v>
      </c>
    </row>
    <row r="3387">
      <c r="A3387" s="4" t="s">
        <v>22568</v>
      </c>
      <c r="B3387" s="4" t="s">
        <v>6751</v>
      </c>
      <c r="C3387" s="16" t="str">
        <f>IFERROR(__xludf.DUMMYFUNCTION(""""""""" &amp; REGEXEXTRACT(B3387, ""/detail/([^/?]+)"") &amp; """""","""),"""edlnbadicpbdobbgcngggefpdbnbnkch"",")</f>
        <v>"edlnbadicpbdobbgcngggefpdbnbnkch",</v>
      </c>
    </row>
    <row r="3388">
      <c r="A3388" s="4" t="s">
        <v>22569</v>
      </c>
      <c r="B3388" s="4" t="s">
        <v>6753</v>
      </c>
      <c r="C3388" s="16" t="str">
        <f>IFERROR(__xludf.DUMMYFUNCTION(""""""""" &amp; REGEXEXTRACT(B3388, ""/detail/([^/?]+)"") &amp; """""","""),"""edmkmnjkagnlalaamoaoihblemaeedib"",")</f>
        <v>"edmkmnjkagnlalaamoaoihblemaeedib",</v>
      </c>
    </row>
    <row r="3389">
      <c r="A3389" s="4" t="s">
        <v>22570</v>
      </c>
      <c r="B3389" s="4" t="s">
        <v>6755</v>
      </c>
      <c r="C3389" s="16" t="str">
        <f>IFERROR(__xludf.DUMMYFUNCTION(""""""""" &amp; REGEXEXTRACT(B3389, ""/detail/([^/?]+)"") &amp; """""","""),"""eedjnccgojngdjcofkpkjcbopgcfkkjk"",")</f>
        <v>"eedjnccgojngdjcofkpkjcbopgcfkkjk",</v>
      </c>
    </row>
    <row r="3390">
      <c r="A3390" s="4" t="s">
        <v>22571</v>
      </c>
      <c r="B3390" s="4" t="s">
        <v>6757</v>
      </c>
      <c r="C3390" s="16" t="str">
        <f>IFERROR(__xludf.DUMMYFUNCTION(""""""""" &amp; REGEXEXTRACT(B3390, ""/detail/([^/?]+)"") &amp; """""","""),"""eeffaijobgkgngjemggokhbjfmhklcmi"",")</f>
        <v>"eeffaijobgkgngjemggokhbjfmhklcmi",</v>
      </c>
    </row>
    <row r="3391">
      <c r="A3391" s="4" t="s">
        <v>22572</v>
      </c>
      <c r="B3391" s="4" t="s">
        <v>6759</v>
      </c>
      <c r="C3391" s="16" t="str">
        <f>IFERROR(__xludf.DUMMYFUNCTION(""""""""" &amp; REGEXEXTRACT(B3391, ""/detail/([^/?]+)"") &amp; """""","""),"""eelhfeamoijglbkgkkfddgkngokfabde"",")</f>
        <v>"eelhfeamoijglbkgkkfddgkngokfabde",</v>
      </c>
    </row>
    <row r="3392">
      <c r="A3392" s="4" t="s">
        <v>22573</v>
      </c>
      <c r="B3392" s="4" t="s">
        <v>6761</v>
      </c>
      <c r="C3392" s="16" t="str">
        <f>IFERROR(__xludf.DUMMYFUNCTION(""""""""" &amp; REGEXEXTRACT(B3392, ""/detail/([^/?]+)"") &amp; """""","""),"""eencngjcaepgaaokekpnnabkecpfnchb"",")</f>
        <v>"eencngjcaepgaaokekpnnabkecpfnchb",</v>
      </c>
    </row>
    <row r="3393">
      <c r="A3393" s="4" t="s">
        <v>22574</v>
      </c>
      <c r="B3393" s="4" t="s">
        <v>6763</v>
      </c>
      <c r="C3393" s="16" t="str">
        <f>IFERROR(__xludf.DUMMYFUNCTION(""""""""" &amp; REGEXEXTRACT(B3393, ""/detail/([^/?]+)"") &amp; """""","""),"""efeikkcpimdfpdlmlbjdecnmkknjcfcp"",")</f>
        <v>"efeikkcpimdfpdlmlbjdecnmkknjcfcp",</v>
      </c>
    </row>
    <row r="3394">
      <c r="A3394" s="4" t="s">
        <v>22575</v>
      </c>
      <c r="B3394" s="4" t="s">
        <v>6765</v>
      </c>
      <c r="C3394" s="16" t="str">
        <f>IFERROR(__xludf.DUMMYFUNCTION(""""""""" &amp; REGEXEXTRACT(B3394, ""/detail/([^/?]+)"") &amp; """""","""),"""efkiamgopipogmbiedakafjdogfcipap"",")</f>
        <v>"efkiamgopipogmbiedakafjdogfcipap",</v>
      </c>
    </row>
    <row r="3395">
      <c r="A3395" s="4" t="s">
        <v>22576</v>
      </c>
      <c r="B3395" s="4" t="s">
        <v>6767</v>
      </c>
      <c r="C3395" s="16" t="str">
        <f>IFERROR(__xludf.DUMMYFUNCTION(""""""""" &amp; REGEXEXTRACT(B3395, ""/detail/([^/?]+)"") &amp; """""","""),"""efphljpdajpciigcmmfbhemjaanmoami"",")</f>
        <v>"efphljpdajpciigcmmfbhemjaanmoami",</v>
      </c>
    </row>
    <row r="3396">
      <c r="A3396" s="4" t="s">
        <v>22577</v>
      </c>
      <c r="B3396" s="4" t="s">
        <v>6769</v>
      </c>
      <c r="C3396" s="16" t="str">
        <f>IFERROR(__xludf.DUMMYFUNCTION(""""""""" &amp; REGEXEXTRACT(B3396, ""/detail/([^/?]+)"") &amp; """""","""),"""egnpebbaedhmkhdoachibnpiplmkjoke"",")</f>
        <v>"egnpebbaedhmkhdoachibnpiplmkjoke",</v>
      </c>
    </row>
    <row r="3397">
      <c r="A3397" s="4" t="s">
        <v>22578</v>
      </c>
      <c r="B3397" s="4" t="s">
        <v>6771</v>
      </c>
      <c r="C3397" s="16" t="str">
        <f>IFERROR(__xludf.DUMMYFUNCTION(""""""""" &amp; REGEXEXTRACT(B3397, ""/detail/([^/?]+)"") &amp; """""","""),"""ehlmnfeohfahemdjnakciaheggkojchf"",")</f>
        <v>"ehlmnfeohfahemdjnakciaheggkojchf",</v>
      </c>
    </row>
    <row r="3398">
      <c r="A3398" s="4" t="s">
        <v>22579</v>
      </c>
      <c r="B3398" s="4" t="s">
        <v>6773</v>
      </c>
      <c r="C3398" s="16" t="str">
        <f>IFERROR(__xludf.DUMMYFUNCTION(""""""""" &amp; REGEXEXTRACT(B3398, ""/detail/([^/?]+)"") &amp; """""","""),"""eilnaglmefieihnoliabhdbfldhimbog"",")</f>
        <v>"eilnaglmefieihnoliabhdbfldhimbog",</v>
      </c>
    </row>
    <row r="3399">
      <c r="A3399" s="4" t="s">
        <v>22580</v>
      </c>
      <c r="B3399" s="4" t="s">
        <v>6775</v>
      </c>
      <c r="C3399" s="16" t="str">
        <f>IFERROR(__xludf.DUMMYFUNCTION(""""""""" &amp; REGEXEXTRACT(B3399, ""/detail/([^/?]+)"") &amp; """""","""),"""eimpgjcahblfpdgiknmbmglcafegimil"",")</f>
        <v>"eimpgjcahblfpdgiknmbmglcafegimil",</v>
      </c>
    </row>
    <row r="3400">
      <c r="A3400" s="4" t="s">
        <v>22581</v>
      </c>
      <c r="B3400" s="4" t="s">
        <v>6777</v>
      </c>
      <c r="C3400" s="16" t="str">
        <f>IFERROR(__xludf.DUMMYFUNCTION(""""""""" &amp; REGEXEXTRACT(B3400, ""/detail/([^/?]+)"") &amp; """""","""),"""eipaedejipdbpekheidjdpiogbnbafjm"",")</f>
        <v>"eipaedejipdbpekheidjdpiogbnbafjm",</v>
      </c>
    </row>
    <row r="3401">
      <c r="A3401" s="4" t="s">
        <v>22582</v>
      </c>
      <c r="B3401" s="4" t="s">
        <v>6779</v>
      </c>
      <c r="C3401" s="16" t="str">
        <f>IFERROR(__xludf.DUMMYFUNCTION(""""""""" &amp; REGEXEXTRACT(B3401, ""/detail/([^/?]+)"") &amp; """""","""),"""eiphjjopllhmdfikjnhgcgigmobbehnm"",")</f>
        <v>"eiphjjopllhmdfikjnhgcgigmobbehnm",</v>
      </c>
    </row>
    <row r="3402">
      <c r="A3402" s="4" t="s">
        <v>22583</v>
      </c>
      <c r="B3402" s="4" t="s">
        <v>6781</v>
      </c>
      <c r="C3402" s="16" t="str">
        <f>IFERROR(__xludf.DUMMYFUNCTION(""""""""" &amp; REGEXEXTRACT(B3402, ""/detail/([^/?]+)"") &amp; """""","""),"""ejdcnikffjleeffpigekhccpepplaode"",")</f>
        <v>"ejdcnikffjleeffpigekhccpepplaode",</v>
      </c>
    </row>
    <row r="3403">
      <c r="A3403" s="4" t="s">
        <v>22584</v>
      </c>
      <c r="B3403" s="4" t="s">
        <v>6783</v>
      </c>
      <c r="C3403" s="16" t="str">
        <f>IFERROR(__xludf.DUMMYFUNCTION(""""""""" &amp; REGEXEXTRACT(B3403, ""/detail/([^/?]+)"") &amp; """""","""),"""ejignddmhjbhbflngofijehfekikpaba"",")</f>
        <v>"ejignddmhjbhbflngofijehfekikpaba",</v>
      </c>
    </row>
    <row r="3404">
      <c r="A3404" s="4" t="s">
        <v>22585</v>
      </c>
      <c r="B3404" s="4" t="s">
        <v>6785</v>
      </c>
      <c r="C3404" s="16" t="str">
        <f>IFERROR(__xludf.DUMMYFUNCTION(""""""""" &amp; REGEXEXTRACT(B3404, ""/detail/([^/?]+)"") &amp; """""","""),"""ejmpoclnkkdepgggmppdbjpblncajlno"",")</f>
        <v>"ejmpoclnkkdepgggmppdbjpblncajlno",</v>
      </c>
    </row>
    <row r="3405">
      <c r="A3405" s="4" t="s">
        <v>22586</v>
      </c>
      <c r="B3405" s="4" t="s">
        <v>6787</v>
      </c>
      <c r="C3405" s="16" t="str">
        <f>IFERROR(__xludf.DUMMYFUNCTION(""""""""" &amp; REGEXEXTRACT(B3405, ""/detail/([^/?]+)"") &amp; """""","""),"""ekcmgkhakdlcondlgmadpiogjnlggpne"",")</f>
        <v>"ekcmgkhakdlcondlgmadpiogjnlggpne",</v>
      </c>
    </row>
    <row r="3406">
      <c r="A3406" s="4" t="s">
        <v>22587</v>
      </c>
      <c r="B3406" s="4" t="s">
        <v>6789</v>
      </c>
      <c r="C3406" s="16" t="str">
        <f>IFERROR(__xludf.DUMMYFUNCTION(""""""""" &amp; REGEXEXTRACT(B3406, ""/detail/([^/?]+)"") &amp; """""","""),"""elajgiibdjhcnabbdeimegnpbbpdkgai"",")</f>
        <v>"elajgiibdjhcnabbdeimegnpbbpdkgai",</v>
      </c>
    </row>
    <row r="3407">
      <c r="A3407" s="4" t="s">
        <v>22588</v>
      </c>
      <c r="B3407" s="4" t="s">
        <v>6791</v>
      </c>
      <c r="C3407" s="16" t="str">
        <f>IFERROR(__xludf.DUMMYFUNCTION(""""""""" &amp; REGEXEXTRACT(B3407, ""/detail/([^/?]+)"") &amp; """""","""),"""elbnoifhdccmcgjbbagofcmnoibejgkc"",")</f>
        <v>"elbnoifhdccmcgjbbagofcmnoibejgkc",</v>
      </c>
    </row>
    <row r="3408">
      <c r="A3408" s="4" t="s">
        <v>22589</v>
      </c>
      <c r="B3408" s="4" t="s">
        <v>6793</v>
      </c>
      <c r="C3408" s="16" t="str">
        <f>IFERROR(__xludf.DUMMYFUNCTION(""""""""" &amp; REGEXEXTRACT(B3408, ""/detail/([^/?]+)"") &amp; """""","""),"""elihjfnjglabmkeonphlglkpjppchoco"",")</f>
        <v>"elihjfnjglabmkeonphlglkpjppchoco",</v>
      </c>
    </row>
    <row r="3409">
      <c r="A3409" s="4" t="s">
        <v>22590</v>
      </c>
      <c r="B3409" s="4" t="s">
        <v>6795</v>
      </c>
      <c r="C3409" s="16" t="str">
        <f>IFERROR(__xludf.DUMMYFUNCTION(""""""""" &amp; REGEXEXTRACT(B3409, ""/detail/([^/?]+)"") &amp; """""","""),"""ellabkgcnhflepncdcnelhgclfkgmanh"",")</f>
        <v>"ellabkgcnhflepncdcnelhgclfkgmanh",</v>
      </c>
    </row>
    <row r="3410">
      <c r="A3410" s="4" t="s">
        <v>22591</v>
      </c>
      <c r="B3410" s="4" t="s">
        <v>6797</v>
      </c>
      <c r="C3410" s="16" t="str">
        <f>IFERROR(__xludf.DUMMYFUNCTION(""""""""" &amp; REGEXEXTRACT(B3410, ""/detail/([^/?]+)"") &amp; """""","""),"""emaadbacogbhahpfbbcncccdmnjaanbd"",")</f>
        <v>"emaadbacogbhahpfbbcncccdmnjaanbd",</v>
      </c>
    </row>
    <row r="3411">
      <c r="A3411" s="4" t="s">
        <v>22592</v>
      </c>
      <c r="B3411" s="4" t="s">
        <v>6799</v>
      </c>
      <c r="C3411" s="16" t="str">
        <f>IFERROR(__xludf.DUMMYFUNCTION(""""""""" &amp; REGEXEXTRACT(B3411, ""/detail/([^/?]+)"") &amp; """""","""),"""enchjidoodnbfkmidpfjlbdbjjlomfkp"",")</f>
        <v>"enchjidoodnbfkmidpfjlbdbjjlomfkp",</v>
      </c>
    </row>
    <row r="3412">
      <c r="A3412" s="4" t="s">
        <v>22593</v>
      </c>
      <c r="B3412" s="4" t="s">
        <v>6801</v>
      </c>
      <c r="C3412" s="16" t="str">
        <f>IFERROR(__xludf.DUMMYFUNCTION(""""""""" &amp; REGEXEXTRACT(B3412, ""/detail/([^/?]+)"") &amp; """""","""),"""eneceapeknmndclhpphgniekmnnlajjb"",")</f>
        <v>"eneceapeknmndclhpphgniekmnnlajjb",</v>
      </c>
    </row>
    <row r="3413">
      <c r="A3413" s="4" t="s">
        <v>22594</v>
      </c>
      <c r="B3413" s="4" t="s">
        <v>6803</v>
      </c>
      <c r="C3413" s="16" t="str">
        <f>IFERROR(__xludf.DUMMYFUNCTION(""""""""" &amp; REGEXEXTRACT(B3413, ""/detail/([^/?]+)"") &amp; """""","""),"""enmbidembfifmcpbkknknhcpmmhnmgni"",")</f>
        <v>"enmbidembfifmcpbkknknhcpmmhnmgni",</v>
      </c>
    </row>
    <row r="3414">
      <c r="A3414" s="4" t="s">
        <v>22595</v>
      </c>
      <c r="B3414" s="4" t="s">
        <v>6805</v>
      </c>
      <c r="C3414" s="16" t="str">
        <f>IFERROR(__xludf.DUMMYFUNCTION(""""""""" &amp; REGEXEXTRACT(B3414, ""/detail/([^/?]+)"") &amp; """""","""),"""eojgfgeapephofifpjgapdlaopfdhceh"",")</f>
        <v>"eojgfgeapephofifpjgapdlaopfdhceh",</v>
      </c>
    </row>
    <row r="3415">
      <c r="A3415" s="4" t="s">
        <v>22596</v>
      </c>
      <c r="B3415" s="4" t="s">
        <v>6807</v>
      </c>
      <c r="C3415" s="16" t="str">
        <f>IFERROR(__xludf.DUMMYFUNCTION(""""""""" &amp; REGEXEXTRACT(B3415, ""/detail/([^/?]+)"") &amp; """""","""),"""epamhdpboimbcdgokgldffcdkfmbmajg"",")</f>
        <v>"epamhdpboimbcdgokgldffcdkfmbmajg",</v>
      </c>
    </row>
    <row r="3416">
      <c r="A3416" s="4" t="s">
        <v>22597</v>
      </c>
      <c r="B3416" s="4" t="s">
        <v>6809</v>
      </c>
      <c r="C3416" s="16" t="str">
        <f>IFERROR(__xludf.DUMMYFUNCTION(""""""""" &amp; REGEXEXTRACT(B3416, ""/detail/([^/?]+)"") &amp; """""","""),"""epclbcgdcfaiholkapkbaecldbffhhee"",")</f>
        <v>"epclbcgdcfaiholkapkbaecldbffhhee",</v>
      </c>
    </row>
    <row r="3417">
      <c r="A3417" s="4" t="s">
        <v>22598</v>
      </c>
      <c r="B3417" s="4" t="s">
        <v>6811</v>
      </c>
      <c r="C3417" s="16" t="str">
        <f>IFERROR(__xludf.DUMMYFUNCTION(""""""""" &amp; REGEXEXTRACT(B3417, ""/detail/([^/?]+)"") &amp; """""","""),"""epcolmlaegimilnokaddncgmdafacohf"",")</f>
        <v>"epcolmlaegimilnokaddncgmdafacohf",</v>
      </c>
    </row>
    <row r="3418">
      <c r="A3418" s="4" t="s">
        <v>22599</v>
      </c>
      <c r="B3418" s="4" t="s">
        <v>6813</v>
      </c>
      <c r="C3418" s="16" t="str">
        <f>IFERROR(__xludf.DUMMYFUNCTION(""""""""" &amp; REGEXEXTRACT(B3418, ""/detail/([^/?]+)"") &amp; """""","""),"""fadhljkllimaogegfkkjflfedliilkok"",")</f>
        <v>"fadhljkllimaogegfkkjflfedliilkok",</v>
      </c>
    </row>
    <row r="3419">
      <c r="A3419" s="4" t="s">
        <v>22600</v>
      </c>
      <c r="B3419" s="4" t="s">
        <v>6815</v>
      </c>
      <c r="C3419" s="16" t="str">
        <f>IFERROR(__xludf.DUMMYFUNCTION(""""""""" &amp; REGEXEXTRACT(B3419, ""/detail/([^/?]+)"") &amp; """""","""),"""fajnlldimiiipghabjgnbdidcnkghkgn"",")</f>
        <v>"fajnlldimiiipghabjgnbdidcnkghkgn",</v>
      </c>
    </row>
    <row r="3420">
      <c r="A3420" s="4" t="s">
        <v>22601</v>
      </c>
      <c r="B3420" s="4" t="s">
        <v>6817</v>
      </c>
      <c r="C3420" s="16" t="str">
        <f>IFERROR(__xludf.DUMMYFUNCTION(""""""""" &amp; REGEXEXTRACT(B3420, ""/detail/([^/?]+)"") &amp; """""","""),"""fbdlmbhemipjmnkikilolfjbdkpfogba"",")</f>
        <v>"fbdlmbhemipjmnkikilolfjbdkpfogba",</v>
      </c>
    </row>
    <row r="3421">
      <c r="A3421" s="4" t="s">
        <v>22602</v>
      </c>
      <c r="B3421" s="4" t="s">
        <v>6819</v>
      </c>
      <c r="C3421" s="16" t="str">
        <f>IFERROR(__xludf.DUMMYFUNCTION(""""""""" &amp; REGEXEXTRACT(B3421, ""/detail/([^/?]+)"") &amp; """""","""),"""fbgbekpggeldiacgjkacbkkcbjhmakea"",")</f>
        <v>"fbgbekpggeldiacgjkacbkkcbjhmakea",</v>
      </c>
    </row>
    <row r="3422">
      <c r="A3422" s="4" t="s">
        <v>22603</v>
      </c>
      <c r="B3422" s="4" t="s">
        <v>6821</v>
      </c>
      <c r="C3422" s="16" t="str">
        <f>IFERROR(__xludf.DUMMYFUNCTION(""""""""" &amp; REGEXEXTRACT(B3422, ""/detail/([^/?]+)"") &amp; """""","""),"""fbkobdcckhcgleanepepnfaficicaogg"",")</f>
        <v>"fbkobdcckhcgleanepepnfaficicaogg",</v>
      </c>
    </row>
    <row r="3423">
      <c r="A3423" s="4" t="s">
        <v>22604</v>
      </c>
      <c r="B3423" s="4" t="s">
        <v>6823</v>
      </c>
      <c r="C3423" s="16" t="str">
        <f>IFERROR(__xludf.DUMMYFUNCTION(""""""""" &amp; REGEXEXTRACT(B3423, ""/detail/([^/?]+)"") &amp; """""","""),"""fbnkflkahhlmhdgkddaafgnnokifobik"",")</f>
        <v>"fbnkflkahhlmhdgkddaafgnnokifobik",</v>
      </c>
    </row>
    <row r="3424">
      <c r="A3424" s="4" t="s">
        <v>22605</v>
      </c>
      <c r="B3424" s="4" t="s">
        <v>6825</v>
      </c>
      <c r="C3424" s="16" t="str">
        <f>IFERROR(__xludf.DUMMYFUNCTION(""""""""" &amp; REGEXEXTRACT(B3424, ""/detail/([^/?]+)"") &amp; """""","""),"""fcgealmjicldkjfnjkgnfoofjkpomplo"",")</f>
        <v>"fcgealmjicldkjfnjkgnfoofjkpomplo",</v>
      </c>
    </row>
    <row r="3425">
      <c r="A3425" s="4" t="s">
        <v>22606</v>
      </c>
      <c r="B3425" s="4" t="s">
        <v>6827</v>
      </c>
      <c r="C3425" s="16" t="str">
        <f>IFERROR(__xludf.DUMMYFUNCTION(""""""""" &amp; REGEXEXTRACT(B3425, ""/detail/([^/?]+)"") &amp; """""","""),"""fdjemjfcplhejdekgjbdjjobbkipoddd"",")</f>
        <v>"fdjemjfcplhejdekgjbdjjobbkipoddd",</v>
      </c>
    </row>
    <row r="3426">
      <c r="A3426" s="4" t="s">
        <v>22607</v>
      </c>
      <c r="B3426" s="4" t="s">
        <v>6829</v>
      </c>
      <c r="C3426" s="16" t="str">
        <f>IFERROR(__xludf.DUMMYFUNCTION(""""""""" &amp; REGEXEXTRACT(B3426, ""/detail/([^/?]+)"") &amp; """""","""),"""fdjpgecmadhkbghjgbpncjdjbioakffl"",")</f>
        <v>"fdjpgecmadhkbghjgbpncjdjbioakffl",</v>
      </c>
    </row>
    <row r="3427">
      <c r="A3427" s="4" t="s">
        <v>22608</v>
      </c>
      <c r="B3427" s="4" t="s">
        <v>6831</v>
      </c>
      <c r="C3427" s="16" t="str">
        <f>IFERROR(__xludf.DUMMYFUNCTION(""""""""" &amp; REGEXEXTRACT(B3427, ""/detail/([^/?]+)"") &amp; """""","""),"""fdncmbefehplabbjadkkhfahhkdihmcj"",")</f>
        <v>"fdncmbefehplabbjadkkhfahhkdihmcj",</v>
      </c>
    </row>
    <row r="3428">
      <c r="A3428" s="4" t="s">
        <v>22609</v>
      </c>
      <c r="B3428" s="4" t="s">
        <v>6833</v>
      </c>
      <c r="C3428" s="16" t="str">
        <f>IFERROR(__xludf.DUMMYFUNCTION(""""""""" &amp; REGEXEXTRACT(B3428, ""/detail/([^/?]+)"") &amp; """""","""),"""fdnhneinocoonabhfbmelgkcmilaokcg"",")</f>
        <v>"fdnhneinocoonabhfbmelgkcmilaokcg",</v>
      </c>
    </row>
    <row r="3429">
      <c r="A3429" s="4" t="s">
        <v>22610</v>
      </c>
      <c r="B3429" s="4" t="s">
        <v>6835</v>
      </c>
      <c r="C3429" s="16" t="str">
        <f>IFERROR(__xludf.DUMMYFUNCTION(""""""""" &amp; REGEXEXTRACT(B3429, ""/detail/([^/?]+)"") &amp; """""","""),"""fdohejjlbpikihghncmaejajdbpoiebj"",")</f>
        <v>"fdohejjlbpikihghncmaejajdbpoiebj",</v>
      </c>
    </row>
    <row r="3430">
      <c r="A3430" s="4" t="s">
        <v>22611</v>
      </c>
      <c r="B3430" s="4" t="s">
        <v>6837</v>
      </c>
      <c r="C3430" s="16" t="str">
        <f>IFERROR(__xludf.DUMMYFUNCTION(""""""""" &amp; REGEXEXTRACT(B3430, ""/detail/([^/?]+)"") &amp; """""","""),"""fedkpjelkjajanbfnnhabdcoeobgiiho"",")</f>
        <v>"fedkpjelkjajanbfnnhabdcoeobgiiho",</v>
      </c>
    </row>
    <row r="3431">
      <c r="A3431" s="4" t="s">
        <v>22612</v>
      </c>
      <c r="B3431" s="4" t="s">
        <v>6839</v>
      </c>
      <c r="C3431" s="16" t="str">
        <f>IFERROR(__xludf.DUMMYFUNCTION(""""""""" &amp; REGEXEXTRACT(B3431, ""/detail/([^/?]+)"") &amp; """""","""),"""fedpmdfkilhcadoklbcdjokkjhpnhgma"",")</f>
        <v>"fedpmdfkilhcadoklbcdjokkjhpnhgma",</v>
      </c>
    </row>
    <row r="3432">
      <c r="A3432" s="4" t="s">
        <v>22613</v>
      </c>
      <c r="B3432" s="4" t="s">
        <v>6841</v>
      </c>
      <c r="C3432" s="16" t="str">
        <f>IFERROR(__xludf.DUMMYFUNCTION(""""""""" &amp; REGEXEXTRACT(B3432, ""/detail/([^/?]+)"") &amp; """""","""),"""fefgpnlimkkhbjomhakgficgkgkeiaml"",")</f>
        <v>"fefgpnlimkkhbjomhakgficgkgkeiaml",</v>
      </c>
    </row>
    <row r="3433">
      <c r="A3433" s="4" t="s">
        <v>22614</v>
      </c>
      <c r="B3433" s="4" t="s">
        <v>6843</v>
      </c>
      <c r="C3433" s="16" t="str">
        <f>IFERROR(__xludf.DUMMYFUNCTION(""""""""" &amp; REGEXEXTRACT(B3433, ""/detail/([^/?]+)"") &amp; """""","""),"""fekkecoifalagdiibmfnmjfmgmpblogb"",")</f>
        <v>"fekkecoifalagdiibmfnmjfmgmpblogb",</v>
      </c>
    </row>
    <row r="3434">
      <c r="A3434" s="4" t="s">
        <v>22615</v>
      </c>
      <c r="B3434" s="4" t="s">
        <v>6845</v>
      </c>
      <c r="C3434" s="16" t="str">
        <f>IFERROR(__xludf.DUMMYFUNCTION(""""""""" &amp; REGEXEXTRACT(B3434, ""/detail/([^/?]+)"") &amp; """""","""),"""fencnigkojiegaifcngopoenckcgbcoo"",")</f>
        <v>"fencnigkojiegaifcngopoenckcgbcoo",</v>
      </c>
    </row>
    <row r="3435">
      <c r="A3435" s="4" t="s">
        <v>22616</v>
      </c>
      <c r="B3435" s="4" t="s">
        <v>6847</v>
      </c>
      <c r="C3435" s="16" t="str">
        <f>IFERROR(__xludf.DUMMYFUNCTION(""""""""" &amp; REGEXEXTRACT(B3435, ""/detail/([^/?]+)"") &amp; """""","""),"""ffjbejplhhgfbhckieoklhaoibhckbed"",")</f>
        <v>"ffjbejplhhgfbhckieoklhaoibhckbed",</v>
      </c>
    </row>
    <row r="3436">
      <c r="A3436" s="4" t="s">
        <v>22617</v>
      </c>
      <c r="B3436" s="4" t="s">
        <v>6849</v>
      </c>
      <c r="C3436" s="16" t="str">
        <f>IFERROR(__xludf.DUMMYFUNCTION(""""""""" &amp; REGEXEXTRACT(B3436, ""/detail/([^/?]+)"") &amp; """""","""),"""ffnpdhifpelckhfkhnamdpimbleanpom"",")</f>
        <v>"ffnpdhifpelckhfkhnamdpimbleanpom",</v>
      </c>
    </row>
    <row r="3437">
      <c r="A3437" s="4" t="s">
        <v>22618</v>
      </c>
      <c r="B3437" s="4" t="s">
        <v>6851</v>
      </c>
      <c r="C3437" s="16" t="str">
        <f>IFERROR(__xludf.DUMMYFUNCTION(""""""""" &amp; REGEXEXTRACT(B3437, ""/detail/([^/?]+)"") &amp; """""","""),"""fgbahkaekodceioljkpefkclechnccpl"",")</f>
        <v>"fgbahkaekodceioljkpefkclechnccpl",</v>
      </c>
    </row>
    <row r="3438">
      <c r="A3438" s="4" t="s">
        <v>22619</v>
      </c>
      <c r="B3438" s="4" t="s">
        <v>6853</v>
      </c>
      <c r="C3438" s="16" t="str">
        <f>IFERROR(__xludf.DUMMYFUNCTION(""""""""" &amp; REGEXEXTRACT(B3438, ""/detail/([^/?]+)"") &amp; """""","""),"""fggnjkmmkmlaikmfkcnkmimmmmmcfiab"",")</f>
        <v>"fggnjkmmkmlaikmfkcnkmimmmmmcfiab",</v>
      </c>
    </row>
    <row r="3439">
      <c r="A3439" s="4" t="s">
        <v>22620</v>
      </c>
      <c r="B3439" s="4" t="s">
        <v>6855</v>
      </c>
      <c r="C3439" s="16" t="str">
        <f>IFERROR(__xludf.DUMMYFUNCTION(""""""""" &amp; REGEXEXTRACT(B3439, ""/detail/([^/?]+)"") &amp; """""","""),"""fgieggnhkbknnkemibeokkmpimipkgki"",")</f>
        <v>"fgieggnhkbknnkemibeokkmpimipkgki",</v>
      </c>
    </row>
    <row r="3440">
      <c r="A3440" s="4" t="s">
        <v>22621</v>
      </c>
      <c r="B3440" s="4" t="s">
        <v>6857</v>
      </c>
      <c r="C3440" s="16" t="str">
        <f>IFERROR(__xludf.DUMMYFUNCTION(""""""""" &amp; REGEXEXTRACT(B3440, ""/detail/([^/?]+)"") &amp; """""","""),"""fidbmokgkfolkdemodnghigjflilchhm"",")</f>
        <v>"fidbmokgkfolkdemodnghigjflilchhm",</v>
      </c>
    </row>
    <row r="3441">
      <c r="A3441" s="4" t="s">
        <v>22622</v>
      </c>
      <c r="B3441" s="4" t="s">
        <v>6859</v>
      </c>
      <c r="C3441" s="16" t="str">
        <f>IFERROR(__xludf.DUMMYFUNCTION(""""""""" &amp; REGEXEXTRACT(B3441, ""/detail/([^/?]+)"") &amp; """""","""),"""fiddcobkgebcjfghaeagpppboifhidci"",")</f>
        <v>"fiddcobkgebcjfghaeagpppboifhidci",</v>
      </c>
    </row>
    <row r="3442">
      <c r="A3442" s="4" t="s">
        <v>22623</v>
      </c>
      <c r="B3442" s="4" t="s">
        <v>6861</v>
      </c>
      <c r="C3442" s="16" t="str">
        <f>IFERROR(__xludf.DUMMYFUNCTION(""""""""" &amp; REGEXEXTRACT(B3442, ""/detail/([^/?]+)"") &amp; """""","""),"""figcebmonllniaklhhjimjlgndjlgchd"",")</f>
        <v>"figcebmonllniaklhhjimjlgndjlgchd",</v>
      </c>
    </row>
    <row r="3443">
      <c r="A3443" s="4" t="s">
        <v>22624</v>
      </c>
      <c r="B3443" s="4" t="s">
        <v>6863</v>
      </c>
      <c r="C3443" s="16" t="str">
        <f>IFERROR(__xludf.DUMMYFUNCTION(""""""""" &amp; REGEXEXTRACT(B3443, ""/detail/([^/?]+)"") &amp; """""","""),"""fihbdpohplcdnhllhliaeapefmmpcdjo"",")</f>
        <v>"fihbdpohplcdnhllhliaeapefmmpcdjo",</v>
      </c>
    </row>
    <row r="3444">
      <c r="A3444" s="4" t="s">
        <v>22625</v>
      </c>
      <c r="B3444" s="4" t="s">
        <v>6865</v>
      </c>
      <c r="C3444" s="16" t="str">
        <f>IFERROR(__xludf.DUMMYFUNCTION(""""""""" &amp; REGEXEXTRACT(B3444, ""/detail/([^/?]+)"") &amp; """""","""),"""fiidcfoaaciclafodoficaofidfencgd"",")</f>
        <v>"fiidcfoaaciclafodoficaofidfencgd",</v>
      </c>
    </row>
    <row r="3445">
      <c r="A3445" s="4" t="s">
        <v>22626</v>
      </c>
      <c r="B3445" s="4" t="s">
        <v>6867</v>
      </c>
      <c r="C3445" s="16" t="str">
        <f>IFERROR(__xludf.DUMMYFUNCTION(""""""""" &amp; REGEXEXTRACT(B3445, ""/detail/([^/?]+)"") &amp; """""","""),"""fjbflgfccjfafjmcaiejjhgfngmhemma"",")</f>
        <v>"fjbflgfccjfafjmcaiejjhgfngmhemma",</v>
      </c>
    </row>
    <row r="3446">
      <c r="A3446" s="4" t="s">
        <v>22627</v>
      </c>
      <c r="B3446" s="4" t="s">
        <v>6869</v>
      </c>
      <c r="C3446" s="16" t="str">
        <f>IFERROR(__xludf.DUMMYFUNCTION(""""""""" &amp; REGEXEXTRACT(B3446, ""/detail/([^/?]+)"") &amp; """""","""),"""fjbngeppiginhckphonoffahjcoagofd"",")</f>
        <v>"fjbngeppiginhckphonoffahjcoagofd",</v>
      </c>
    </row>
    <row r="3447">
      <c r="A3447" s="4" t="s">
        <v>22628</v>
      </c>
      <c r="B3447" s="4" t="s">
        <v>6871</v>
      </c>
      <c r="C3447" s="16" t="str">
        <f>IFERROR(__xludf.DUMMYFUNCTION(""""""""" &amp; REGEXEXTRACT(B3447, ""/detail/([^/?]+)"") &amp; """""","""),"""fjdchobeoikpjadflakgacfgibmnkcfo"",")</f>
        <v>"fjdchobeoikpjadflakgacfgibmnkcfo",</v>
      </c>
    </row>
    <row r="3448">
      <c r="A3448" s="4" t="s">
        <v>22629</v>
      </c>
      <c r="B3448" s="4" t="s">
        <v>6873</v>
      </c>
      <c r="C3448" s="16" t="str">
        <f>IFERROR(__xludf.DUMMYFUNCTION(""""""""" &amp; REGEXEXTRACT(B3448, ""/detail/([^/?]+)"") &amp; """""","""),"""fjffcfmgjapbeojnbalgnhlmglnpdlfl"",")</f>
        <v>"fjffcfmgjapbeojnbalgnhlmglnpdlfl",</v>
      </c>
    </row>
    <row r="3449">
      <c r="A3449" s="4" t="s">
        <v>22630</v>
      </c>
      <c r="B3449" s="4" t="s">
        <v>6875</v>
      </c>
      <c r="C3449" s="16" t="str">
        <f>IFERROR(__xludf.DUMMYFUNCTION(""""""""" &amp; REGEXEXTRACT(B3449, ""/detail/([^/?]+)"") &amp; """""","""),"""fkchdogohkjpnhfkganifkbbjcjofbjf"",")</f>
        <v>"fkchdogohkjpnhfkganifkbbjcjofbjf",</v>
      </c>
    </row>
    <row r="3450">
      <c r="A3450" s="4" t="s">
        <v>22631</v>
      </c>
      <c r="B3450" s="4" t="s">
        <v>6877</v>
      </c>
      <c r="C3450" s="16" t="str">
        <f>IFERROR(__xludf.DUMMYFUNCTION(""""""""" &amp; REGEXEXTRACT(B3450, ""/detail/([^/?]+)"") &amp; """""","""),"""fkiohmjdmmcaenljmloepbdpcdfjdcpf"",")</f>
        <v>"fkiohmjdmmcaenljmloepbdpcdfjdcpf",</v>
      </c>
    </row>
    <row r="3451">
      <c r="A3451" s="4" t="s">
        <v>22632</v>
      </c>
      <c r="B3451" s="4" t="s">
        <v>6879</v>
      </c>
      <c r="C3451" s="16" t="str">
        <f>IFERROR(__xludf.DUMMYFUNCTION(""""""""" &amp; REGEXEXTRACT(B3451, ""/detail/([^/?]+)"") &amp; """""","""),"""fklckakpjjghgcpdjaboalkfgmbkaanl"",")</f>
        <v>"fklckakpjjghgcpdjaboalkfgmbkaanl",</v>
      </c>
    </row>
    <row r="3452">
      <c r="A3452" s="4" t="s">
        <v>22633</v>
      </c>
      <c r="B3452" s="4" t="s">
        <v>6881</v>
      </c>
      <c r="C3452" s="16" t="str">
        <f>IFERROR(__xludf.DUMMYFUNCTION(""""""""" &amp; REGEXEXTRACT(B3452, ""/detail/([^/?]+)"") &amp; """""","""),"""fkmkefpehlolmdiloilglfcojbomaoii"",")</f>
        <v>"fkmkefpehlolmdiloilglfcojbomaoii",</v>
      </c>
    </row>
    <row r="3453">
      <c r="A3453" s="4" t="s">
        <v>22634</v>
      </c>
      <c r="B3453" s="4" t="s">
        <v>6883</v>
      </c>
      <c r="C3453" s="16" t="str">
        <f>IFERROR(__xludf.DUMMYFUNCTION(""""""""" &amp; REGEXEXTRACT(B3453, ""/detail/([^/?]+)"") &amp; """""","""),"""fleolcdonmhbeppkijpfbhfhpceehiic"",")</f>
        <v>"fleolcdonmhbeppkijpfbhfhpceehiic",</v>
      </c>
    </row>
    <row r="3454">
      <c r="A3454" s="4" t="s">
        <v>22635</v>
      </c>
      <c r="B3454" s="4" t="s">
        <v>6885</v>
      </c>
      <c r="C3454" s="16" t="str">
        <f>IFERROR(__xludf.DUMMYFUNCTION(""""""""" &amp; REGEXEXTRACT(B3454, ""/detail/([^/?]+)"") &amp; """""","""),"""flhbeabcinhdnpbmapigmippphgfinga"",")</f>
        <v>"flhbeabcinhdnpbmapigmippphgfinga",</v>
      </c>
    </row>
    <row r="3455">
      <c r="A3455" s="4" t="s">
        <v>22636</v>
      </c>
      <c r="B3455" s="4" t="s">
        <v>6887</v>
      </c>
      <c r="C3455" s="16" t="str">
        <f>IFERROR(__xludf.DUMMYFUNCTION(""""""""" &amp; REGEXEXTRACT(B3455, ""/detail/([^/?]+)"") &amp; """""","""),"""flnadglecinohkbmdpeooblldjpaimpo"",")</f>
        <v>"flnadglecinohkbmdpeooblldjpaimpo",</v>
      </c>
    </row>
    <row r="3456">
      <c r="A3456" s="4" t="s">
        <v>22637</v>
      </c>
      <c r="B3456" s="4" t="s">
        <v>6889</v>
      </c>
      <c r="C3456" s="16" t="str">
        <f>IFERROR(__xludf.DUMMYFUNCTION(""""""""" &amp; REGEXEXTRACT(B3456, ""/detail/([^/?]+)"") &amp; """""","""),"""fmgakapefkckdimkoglpoooaamfpfhld"",")</f>
        <v>"fmgakapefkckdimkoglpoooaamfpfhld",</v>
      </c>
    </row>
    <row r="3457">
      <c r="A3457" s="4" t="s">
        <v>22638</v>
      </c>
      <c r="B3457" s="4" t="s">
        <v>6891</v>
      </c>
      <c r="C3457" s="16" t="str">
        <f>IFERROR(__xludf.DUMMYFUNCTION(""""""""" &amp; REGEXEXTRACT(B3457, ""/detail/([^/?]+)"") &amp; """""","""),"""fneahceogligokfcllminogbilaamgbd"",")</f>
        <v>"fneahceogligokfcllminogbilaamgbd",</v>
      </c>
    </row>
    <row r="3458">
      <c r="A3458" s="4" t="s">
        <v>22639</v>
      </c>
      <c r="B3458" s="4" t="s">
        <v>6893</v>
      </c>
      <c r="C3458" s="16" t="str">
        <f>IFERROR(__xludf.DUMMYFUNCTION(""""""""" &amp; REGEXEXTRACT(B3458, ""/detail/([^/?]+)"") &amp; """""","""),"""fngccdjlaoaoeimedabdbioefiicjiei"",")</f>
        <v>"fngccdjlaoaoeimedabdbioefiicjiei",</v>
      </c>
    </row>
    <row r="3459">
      <c r="A3459" s="4" t="s">
        <v>22640</v>
      </c>
      <c r="B3459" s="4" t="s">
        <v>6894</v>
      </c>
      <c r="C3459" s="16" t="str">
        <f>IFERROR(__xludf.DUMMYFUNCTION(""""""""" &amp; REGEXEXTRACT(B3459, ""/detail/([^/?]+)"") &amp; """""","""),"""fnhcbgbefhibeocpfiblfkgjfoiackbi"",")</f>
        <v>"fnhcbgbefhibeocpfiblfkgjfoiackbi",</v>
      </c>
    </row>
    <row r="3460">
      <c r="A3460" s="4" t="s">
        <v>22641</v>
      </c>
      <c r="B3460" s="4" t="s">
        <v>6896</v>
      </c>
      <c r="C3460" s="16" t="str">
        <f>IFERROR(__xludf.DUMMYFUNCTION(""""""""" &amp; REGEXEXTRACT(B3460, ""/detail/([^/?]+)"") &amp; """""","""),"""fnifoimglgjcmljjcepbgkcajiggfekp"",")</f>
        <v>"fnifoimglgjcmljjcepbgkcajiggfekp",</v>
      </c>
    </row>
    <row r="3461">
      <c r="A3461" s="4" t="s">
        <v>22642</v>
      </c>
      <c r="B3461" s="4" t="s">
        <v>6898</v>
      </c>
      <c r="C3461" s="16" t="str">
        <f>IFERROR(__xludf.DUMMYFUNCTION(""""""""" &amp; REGEXEXTRACT(B3461, ""/detail/([^/?]+)"") &amp; """""","""),"""foblnmhpgiilabdcbnfgoheplajhompg"",")</f>
        <v>"foblnmhpgiilabdcbnfgoheplajhompg",</v>
      </c>
    </row>
    <row r="3462">
      <c r="A3462" s="4" t="s">
        <v>22643</v>
      </c>
      <c r="B3462" s="4" t="s">
        <v>6900</v>
      </c>
      <c r="C3462" s="16" t="str">
        <f>IFERROR(__xludf.DUMMYFUNCTION(""""""""" &amp; REGEXEXTRACT(B3462, ""/detail/([^/?]+)"") &amp; """""","""),"""focgpgmpinbadijfcdimbdkgnpndjnkl"",")</f>
        <v>"focgpgmpinbadijfcdimbdkgnpndjnkl",</v>
      </c>
    </row>
    <row r="3463">
      <c r="A3463" s="4" t="s">
        <v>22644</v>
      </c>
      <c r="B3463" s="4" t="s">
        <v>6902</v>
      </c>
      <c r="C3463" s="16" t="str">
        <f>IFERROR(__xludf.DUMMYFUNCTION(""""""""" &amp; REGEXEXTRACT(B3463, ""/detail/([^/?]+)"") &amp; """""","""),"""fpjlnlnbacohacebkadbbjebbipcknbg"",")</f>
        <v>"fpjlnlnbacohacebkadbbjebbipcknbg",</v>
      </c>
    </row>
    <row r="3464">
      <c r="A3464" s="4" t="s">
        <v>22645</v>
      </c>
      <c r="B3464" s="4" t="s">
        <v>6904</v>
      </c>
      <c r="C3464" s="16" t="str">
        <f>IFERROR(__xludf.DUMMYFUNCTION(""""""""" &amp; REGEXEXTRACT(B3464, ""/detail/([^/?]+)"") &amp; """""","""),"""gabmlabpkcpincifnadmjplohbbljdba"",")</f>
        <v>"gabmlabpkcpincifnadmjplohbbljdba",</v>
      </c>
    </row>
    <row r="3465">
      <c r="A3465" s="4" t="s">
        <v>22646</v>
      </c>
      <c r="B3465" s="4" t="s">
        <v>6906</v>
      </c>
      <c r="C3465" s="16" t="str">
        <f>IFERROR(__xludf.DUMMYFUNCTION(""""""""" &amp; REGEXEXTRACT(B3465, ""/detail/([^/?]+)"") &amp; """""","""),"""gacfggacdlboibfpfajebpbncipchhma"",")</f>
        <v>"gacfggacdlboibfpfajebpbncipchhma",</v>
      </c>
    </row>
    <row r="3466">
      <c r="A3466" s="4" t="s">
        <v>22647</v>
      </c>
      <c r="B3466" s="4" t="s">
        <v>6908</v>
      </c>
      <c r="C3466" s="16" t="str">
        <f>IFERROR(__xludf.DUMMYFUNCTION(""""""""" &amp; REGEXEXTRACT(B3466, ""/detail/([^/?]+)"") &amp; """""","""),"""gbahpfmknhllfegibbfdialakjagbdkl"",")</f>
        <v>"gbahpfmknhllfegibbfdialakjagbdkl",</v>
      </c>
    </row>
    <row r="3467">
      <c r="A3467" s="4" t="s">
        <v>22648</v>
      </c>
      <c r="B3467" s="4" t="s">
        <v>6910</v>
      </c>
      <c r="C3467" s="16" t="str">
        <f>IFERROR(__xludf.DUMMYFUNCTION(""""""""" &amp; REGEXEXTRACT(B3467, ""/detail/([^/?]+)"") &amp; """""","""),"""gbjocelfmcapnmcocncmheabfhdhmadl"",")</f>
        <v>"gbjocelfmcapnmcocncmheabfhdhmadl",</v>
      </c>
    </row>
    <row r="3468">
      <c r="A3468" s="4" t="s">
        <v>22649</v>
      </c>
      <c r="B3468" s="4" t="s">
        <v>6912</v>
      </c>
      <c r="C3468" s="16" t="str">
        <f>IFERROR(__xludf.DUMMYFUNCTION(""""""""" &amp; REGEXEXTRACT(B3468, ""/detail/([^/?]+)"") &amp; """""","""),"""gcfpbekgphipjndnkglfjfgicbihmdni"",")</f>
        <v>"gcfpbekgphipjndnkglfjfgicbihmdni",</v>
      </c>
    </row>
    <row r="3469">
      <c r="A3469" s="4" t="s">
        <v>22650</v>
      </c>
      <c r="B3469" s="4" t="s">
        <v>6914</v>
      </c>
      <c r="C3469" s="16" t="str">
        <f>IFERROR(__xludf.DUMMYFUNCTION(""""""""" &amp; REGEXEXTRACT(B3469, ""/detail/([^/?]+)"") &amp; """""","""),"""gcjmehmhcfchpgfkkgbncjccgbfcajbd"",")</f>
        <v>"gcjmehmhcfchpgfkkgbncjccgbfcajbd",</v>
      </c>
    </row>
    <row r="3470">
      <c r="A3470" s="4" t="s">
        <v>22651</v>
      </c>
      <c r="B3470" s="4" t="s">
        <v>6916</v>
      </c>
      <c r="C3470" s="16" t="str">
        <f>IFERROR(__xludf.DUMMYFUNCTION(""""""""" &amp; REGEXEXTRACT(B3470, ""/detail/([^/?]+)"") &amp; """""","""),"""gdjbelbckgeagibabjiklppbogphfgaa"",")</f>
        <v>"gdjbelbckgeagibabjiklppbogphfgaa",</v>
      </c>
    </row>
    <row r="3471">
      <c r="A3471" s="4" t="s">
        <v>22652</v>
      </c>
      <c r="B3471" s="4" t="s">
        <v>6918</v>
      </c>
      <c r="C3471" s="16" t="str">
        <f>IFERROR(__xludf.DUMMYFUNCTION(""""""""" &amp; REGEXEXTRACT(B3471, ""/detail/([^/?]+)"") &amp; """""","""),"""geboigdomoihijcamklnhlcgnnpdgkmg"",")</f>
        <v>"geboigdomoihijcamklnhlcgnnpdgkmg",</v>
      </c>
    </row>
    <row r="3472">
      <c r="A3472" s="4" t="s">
        <v>22653</v>
      </c>
      <c r="B3472" s="4" t="s">
        <v>6920</v>
      </c>
      <c r="C3472" s="16" t="str">
        <f>IFERROR(__xludf.DUMMYFUNCTION(""""""""" &amp; REGEXEXTRACT(B3472, ""/detail/([^/?]+)"") &amp; """""","""),"""geclbbfhndfjcgghimioopopfhilncda"",")</f>
        <v>"geclbbfhndfjcgghimioopopfhilncda",</v>
      </c>
    </row>
    <row r="3473">
      <c r="A3473" s="4" t="s">
        <v>22654</v>
      </c>
      <c r="B3473" s="4" t="s">
        <v>6922</v>
      </c>
      <c r="C3473" s="16" t="str">
        <f>IFERROR(__xludf.DUMMYFUNCTION(""""""""" &amp; REGEXEXTRACT(B3473, ""/detail/([^/?]+)"") &amp; """""","""),"""gehadojofkekobiohnefkabgimeniglh"",")</f>
        <v>"gehadojofkekobiohnefkabgimeniglh",</v>
      </c>
    </row>
    <row r="3474">
      <c r="A3474" s="4" t="s">
        <v>22655</v>
      </c>
      <c r="B3474" s="4" t="s">
        <v>6924</v>
      </c>
      <c r="C3474" s="16" t="str">
        <f>IFERROR(__xludf.DUMMYFUNCTION(""""""""" &amp; REGEXEXTRACT(B3474, ""/detail/([^/?]+)"") &amp; """""","""),"""geibmccfoabdhmkafjdkdmdmjkebgago"",")</f>
        <v>"geibmccfoabdhmkafjdkdmdmjkebgago",</v>
      </c>
    </row>
    <row r="3475">
      <c r="A3475" s="4" t="s">
        <v>22656</v>
      </c>
      <c r="B3475" s="4" t="s">
        <v>6926</v>
      </c>
      <c r="C3475" s="16" t="str">
        <f>IFERROR(__xludf.DUMMYFUNCTION(""""""""" &amp; REGEXEXTRACT(B3475, ""/detail/([^/?]+)"") &amp; """""","""),"""gejhlimpekolibglangfmpnnidcgdhkj"",")</f>
        <v>"gejhlimpekolibglangfmpnnidcgdhkj",</v>
      </c>
    </row>
    <row r="3476">
      <c r="A3476" s="4" t="s">
        <v>22657</v>
      </c>
      <c r="B3476" s="4" t="s">
        <v>6928</v>
      </c>
      <c r="C3476" s="16" t="str">
        <f>IFERROR(__xludf.DUMMYFUNCTION(""""""""" &amp; REGEXEXTRACT(B3476, ""/detail/([^/?]+)"") &amp; """""","""),"""geopbiaefoieahodpfbclhoabkikbnkn"",")</f>
        <v>"geopbiaefoieahodpfbclhoabkikbnkn",</v>
      </c>
    </row>
    <row r="3477">
      <c r="A3477" s="4" t="s">
        <v>22658</v>
      </c>
      <c r="B3477" s="4" t="s">
        <v>6930</v>
      </c>
      <c r="C3477" s="16" t="str">
        <f>IFERROR(__xludf.DUMMYFUNCTION(""""""""" &amp; REGEXEXTRACT(B3477, ""/detail/([^/?]+)"") &amp; """""","""),"""ggjocnbfiiifcaghdkkpgcpdednmnocb"",")</f>
        <v>"ggjocnbfiiifcaghdkkpgcpdednmnocb",</v>
      </c>
    </row>
    <row r="3478">
      <c r="A3478" s="4" t="s">
        <v>22659</v>
      </c>
      <c r="B3478" s="4" t="s">
        <v>6932</v>
      </c>
      <c r="C3478" s="16" t="str">
        <f>IFERROR(__xludf.DUMMYFUNCTION(""""""""" &amp; REGEXEXTRACT(B3478, ""/detail/([^/?]+)"") &amp; """""","""),"""ggkbiakmiljlbbfhjajlpjgckcjanbab"",")</f>
        <v>"ggkbiakmiljlbbfhjajlpjgckcjanbab",</v>
      </c>
    </row>
    <row r="3479">
      <c r="A3479" s="4" t="s">
        <v>22660</v>
      </c>
      <c r="B3479" s="4" t="s">
        <v>6934</v>
      </c>
      <c r="C3479" s="16" t="str">
        <f>IFERROR(__xludf.DUMMYFUNCTION(""""""""" &amp; REGEXEXTRACT(B3479, ""/detail/([^/?]+)"") &amp; """""","""),"""ggkomdlhljeidpokamlphcoeconilnfj"",")</f>
        <v>"ggkomdlhljeidpokamlphcoeconilnfj",</v>
      </c>
    </row>
    <row r="3480">
      <c r="A3480" s="4" t="s">
        <v>22661</v>
      </c>
      <c r="B3480" s="4" t="s">
        <v>6936</v>
      </c>
      <c r="C3480" s="16" t="str">
        <f>IFERROR(__xludf.DUMMYFUNCTION(""""""""" &amp; REGEXEXTRACT(B3480, ""/detail/([^/?]+)"") &amp; """""","""),"""ghhcibaghjbdjmnknknlnbobcblfcnma"",")</f>
        <v>"ghhcibaghjbdjmnknknlnbobcblfcnma",</v>
      </c>
    </row>
    <row r="3481">
      <c r="A3481" s="4" t="s">
        <v>22662</v>
      </c>
      <c r="B3481" s="4" t="s">
        <v>6938</v>
      </c>
      <c r="C3481" s="16" t="str">
        <f>IFERROR(__xludf.DUMMYFUNCTION(""""""""" &amp; REGEXEXTRACT(B3481, ""/detail/([^/?]+)"") &amp; """""","""),"""ghlpcaaifadoekifkmbclpkhdiolfeol"",")</f>
        <v>"ghlpcaaifadoekifkmbclpkhdiolfeol",</v>
      </c>
    </row>
    <row r="3482">
      <c r="A3482" s="4" t="s">
        <v>22663</v>
      </c>
      <c r="B3482" s="4" t="s">
        <v>6940</v>
      </c>
      <c r="C3482" s="16" t="str">
        <f>IFERROR(__xludf.DUMMYFUNCTION(""""""""" &amp; REGEXEXTRACT(B3482, ""/detail/([^/?]+)"") &amp; """""","""),"""gidioiaaccicalfnambafpdfieeedioi"",")</f>
        <v>"gidioiaaccicalfnambafpdfieeedioi",</v>
      </c>
    </row>
    <row r="3483">
      <c r="A3483" s="4" t="s">
        <v>22664</v>
      </c>
      <c r="B3483" s="4" t="s">
        <v>6942</v>
      </c>
      <c r="C3483" s="16" t="str">
        <f>IFERROR(__xludf.DUMMYFUNCTION(""""""""" &amp; REGEXEXTRACT(B3483, ""/detail/([^/?]+)"") &amp; """""","""),"""gidpkdpdnngpfohekcfkfjbkieeihekj"",")</f>
        <v>"gidpkdpdnngpfohekcfkfjbkieeihekj",</v>
      </c>
    </row>
    <row r="3484">
      <c r="A3484" s="4" t="s">
        <v>22665</v>
      </c>
      <c r="B3484" s="4" t="s">
        <v>6944</v>
      </c>
      <c r="C3484" s="16" t="str">
        <f>IFERROR(__xludf.DUMMYFUNCTION(""""""""" &amp; REGEXEXTRACT(B3484, ""/detail/([^/?]+)"") &amp; """""","""),"""gikgnaajhiofmngkodahgpjnpgacmhlc"",")</f>
        <v>"gikgnaajhiofmngkodahgpjnpgacmhlc",</v>
      </c>
    </row>
    <row r="3485">
      <c r="A3485" s="4" t="s">
        <v>22666</v>
      </c>
      <c r="B3485" s="4" t="s">
        <v>6946</v>
      </c>
      <c r="C3485" s="16" t="str">
        <f>IFERROR(__xludf.DUMMYFUNCTION(""""""""" &amp; REGEXEXTRACT(B3485, ""/detail/([^/?]+)"") &amp; """""","""),"""ginkglnlpcgmjafipbkpfoimoaoabami"",")</f>
        <v>"ginkglnlpcgmjafipbkpfoimoaoabami",</v>
      </c>
    </row>
    <row r="3486">
      <c r="A3486" s="4" t="s">
        <v>22667</v>
      </c>
      <c r="B3486" s="4" t="s">
        <v>6948</v>
      </c>
      <c r="C3486" s="16" t="str">
        <f>IFERROR(__xludf.DUMMYFUNCTION(""""""""" &amp; REGEXEXTRACT(B3486, ""/detail/([^/?]+)"") &amp; """""","""),"""gjbepkalbfffninamijgbcniiiogcgjp"",")</f>
        <v>"gjbepkalbfffninamijgbcniiiogcgjp",</v>
      </c>
    </row>
    <row r="3487">
      <c r="A3487" s="4" t="s">
        <v>22668</v>
      </c>
      <c r="B3487" s="4" t="s">
        <v>6950</v>
      </c>
      <c r="C3487" s="16" t="str">
        <f>IFERROR(__xludf.DUMMYFUNCTION(""""""""" &amp; REGEXEXTRACT(B3487, ""/detail/([^/?]+)"") &amp; """""","""),"""gjckpigahcbffmeofjfedlffddhfidhj"",")</f>
        <v>"gjckpigahcbffmeofjfedlffddhfidhj",</v>
      </c>
    </row>
    <row r="3488">
      <c r="A3488" s="4" t="s">
        <v>22669</v>
      </c>
      <c r="B3488" s="4" t="s">
        <v>6952</v>
      </c>
      <c r="C3488" s="16" t="str">
        <f>IFERROR(__xludf.DUMMYFUNCTION(""""""""" &amp; REGEXEXTRACT(B3488, ""/detail/([^/?]+)"") &amp; """""","""),"""gjlijkhcebalcchkhgaiflaooghmoegk"",")</f>
        <v>"gjlijkhcebalcchkhgaiflaooghmoegk",</v>
      </c>
    </row>
    <row r="3489">
      <c r="A3489" s="4" t="s">
        <v>22670</v>
      </c>
      <c r="B3489" s="4" t="s">
        <v>6954</v>
      </c>
      <c r="C3489" s="16" t="str">
        <f>IFERROR(__xludf.DUMMYFUNCTION(""""""""" &amp; REGEXEXTRACT(B3489, ""/detail/([^/?]+)"") &amp; """""","""),"""gkakhdblgdnbknpibnflepnhcpmpohnm"",")</f>
        <v>"gkakhdblgdnbknpibnflepnhcpmpohnm",</v>
      </c>
    </row>
    <row r="3490">
      <c r="A3490" s="4" t="s">
        <v>22671</v>
      </c>
      <c r="B3490" s="4" t="s">
        <v>6956</v>
      </c>
      <c r="C3490" s="16" t="str">
        <f>IFERROR(__xludf.DUMMYFUNCTION(""""""""" &amp; REGEXEXTRACT(B3490, ""/detail/([^/?]+)"") &amp; """""","""),"""gkhchcmganldlioegbalnkedbnhobacp"",")</f>
        <v>"gkhchcmganldlioegbalnkedbnhobacp",</v>
      </c>
    </row>
    <row r="3491">
      <c r="A3491" s="4" t="s">
        <v>22672</v>
      </c>
      <c r="B3491" s="4" t="s">
        <v>6958</v>
      </c>
      <c r="C3491" s="16" t="str">
        <f>IFERROR(__xludf.DUMMYFUNCTION(""""""""" &amp; REGEXEXTRACT(B3491, ""/detail/([^/?]+)"") &amp; """""","""),"""glamiehbjfdcihghdlcjlckipojhnocp"",")</f>
        <v>"glamiehbjfdcihghdlcjlckipojhnocp",</v>
      </c>
    </row>
    <row r="3492">
      <c r="A3492" s="4" t="s">
        <v>22673</v>
      </c>
      <c r="B3492" s="4" t="s">
        <v>6960</v>
      </c>
      <c r="C3492" s="16" t="str">
        <f>IFERROR(__xludf.DUMMYFUNCTION(""""""""" &amp; REGEXEXTRACT(B3492, ""/detail/([^/?]+)"") &amp; """""","""),"""gmcndcpdefigilbgpohccbocjdfeakgl"",")</f>
        <v>"gmcndcpdefigilbgpohccbocjdfeakgl",</v>
      </c>
    </row>
    <row r="3493">
      <c r="A3493" s="4" t="s">
        <v>22674</v>
      </c>
      <c r="B3493" s="4" t="s">
        <v>6962</v>
      </c>
      <c r="C3493" s="16" t="str">
        <f>IFERROR(__xludf.DUMMYFUNCTION(""""""""" &amp; REGEXEXTRACT(B3493, ""/detail/([^/?]+)"") &amp; """""","""),"""gmdhhnlkjmknaopofnadmoamhmnlicme"",")</f>
        <v>"gmdhhnlkjmknaopofnadmoamhmnlicme",</v>
      </c>
    </row>
    <row r="3494">
      <c r="A3494" s="4" t="s">
        <v>22675</v>
      </c>
      <c r="B3494" s="4" t="s">
        <v>6964</v>
      </c>
      <c r="C3494" s="16" t="str">
        <f>IFERROR(__xludf.DUMMYFUNCTION(""""""""" &amp; REGEXEXTRACT(B3494, ""/detail/([^/?]+)"") &amp; """""","""),"""gmmjlpalijddliofagfpmmmeapeojhje"",")</f>
        <v>"gmmjlpalijddliofagfpmmmeapeojhje",</v>
      </c>
    </row>
    <row r="3495">
      <c r="A3495" s="4" t="s">
        <v>22676</v>
      </c>
      <c r="B3495" s="4" t="s">
        <v>6966</v>
      </c>
      <c r="C3495" s="16" t="str">
        <f>IFERROR(__xludf.DUMMYFUNCTION(""""""""" &amp; REGEXEXTRACT(B3495, ""/detail/([^/?]+)"") &amp; """""","""),"""gnmkbnaemkbbeeddfmbmdlnglfdmhdej"",")</f>
        <v>"gnmkbnaemkbbeeddfmbmdlnglfdmhdej",</v>
      </c>
    </row>
    <row r="3496">
      <c r="A3496" s="4" t="s">
        <v>22677</v>
      </c>
      <c r="B3496" s="4" t="s">
        <v>6968</v>
      </c>
      <c r="C3496" s="16" t="str">
        <f>IFERROR(__xludf.DUMMYFUNCTION(""""""""" &amp; REGEXEXTRACT(B3496, ""/detail/([^/?]+)"") &amp; """""","""),"""gofnhkhaadkoabedkchceagnjjicaihi"",")</f>
        <v>"gofnhkhaadkoabedkchceagnjjicaihi",</v>
      </c>
    </row>
    <row r="3497">
      <c r="A3497" s="4" t="s">
        <v>22678</v>
      </c>
      <c r="B3497" s="4" t="s">
        <v>6970</v>
      </c>
      <c r="C3497" s="16" t="str">
        <f>IFERROR(__xludf.DUMMYFUNCTION(""""""""" &amp; REGEXEXTRACT(B3497, ""/detail/([^/?]+)"") &amp; """""","""),"""gohemgflodfhnlmbimcgefjnnmjmgnka"",")</f>
        <v>"gohemgflodfhnlmbimcgefjnnmjmgnka",</v>
      </c>
    </row>
    <row r="3498">
      <c r="A3498" s="4" t="s">
        <v>22679</v>
      </c>
      <c r="B3498" s="4" t="s">
        <v>6972</v>
      </c>
      <c r="C3498" s="16" t="str">
        <f>IFERROR(__xludf.DUMMYFUNCTION(""""""""" &amp; REGEXEXTRACT(B3498, ""/detail/([^/?]+)"") &amp; """""","""),"""goifccjcpcahhmdjlmjhhlmdolhkbope"",")</f>
        <v>"goifccjcpcahhmdjlmjhhlmdolhkbope",</v>
      </c>
    </row>
    <row r="3499">
      <c r="A3499" s="4" t="s">
        <v>22680</v>
      </c>
      <c r="B3499" s="4" t="s">
        <v>6974</v>
      </c>
      <c r="C3499" s="16" t="str">
        <f>IFERROR(__xludf.DUMMYFUNCTION(""""""""" &amp; REGEXEXTRACT(B3499, ""/detail/([^/?]+)"") &amp; """""","""),"""goinajfhamfchlmkddedkncmlgfcieac"",")</f>
        <v>"goinajfhamfchlmkddedkncmlgfcieac",</v>
      </c>
    </row>
    <row r="3500">
      <c r="A3500" s="4" t="s">
        <v>22681</v>
      </c>
      <c r="B3500" s="4" t="s">
        <v>6976</v>
      </c>
      <c r="C3500" s="16" t="str">
        <f>IFERROR(__xludf.DUMMYFUNCTION(""""""""" &amp; REGEXEXTRACT(B3500, ""/detail/([^/?]+)"") &amp; """""","""),"""gpcccgljmdlfdfcjgphppgpdhpgeahbk"",")</f>
        <v>"gpcccgljmdlfdfcjgphppgpdhpgeahbk",</v>
      </c>
    </row>
    <row r="3501">
      <c r="A3501" s="4" t="s">
        <v>22682</v>
      </c>
      <c r="B3501" s="4" t="s">
        <v>6978</v>
      </c>
      <c r="C3501" s="16" t="str">
        <f>IFERROR(__xludf.DUMMYFUNCTION(""""""""" &amp; REGEXEXTRACT(B3501, ""/detail/([^/?]+)"") &amp; """""","""),"""gpenmlghfagcojbjjabkhblackjapnbk"",")</f>
        <v>"gpenmlghfagcojbjjabkhblackjapnbk",</v>
      </c>
    </row>
    <row r="3502">
      <c r="A3502" s="4" t="s">
        <v>22683</v>
      </c>
      <c r="B3502" s="4" t="s">
        <v>6980</v>
      </c>
      <c r="C3502" s="16" t="str">
        <f>IFERROR(__xludf.DUMMYFUNCTION(""""""""" &amp; REGEXEXTRACT(B3502, ""/detail/([^/?]+)"") &amp; """""","""),"""gpjipfogpofikbnpfenncmppkcnocalk"",")</f>
        <v>"gpjipfogpofikbnpfenncmppkcnocalk",</v>
      </c>
    </row>
    <row r="3503">
      <c r="A3503" s="4" t="s">
        <v>22684</v>
      </c>
      <c r="B3503" s="4" t="s">
        <v>6982</v>
      </c>
      <c r="C3503" s="16" t="str">
        <f>IFERROR(__xludf.DUMMYFUNCTION(""""""""" &amp; REGEXEXTRACT(B3503, ""/detail/([^/?]+)"") &amp; """""","""),"""gpmmlokoechmmeboecialijibkjajlaj"",")</f>
        <v>"gpmmlokoechmmeboecialijibkjajlaj",</v>
      </c>
    </row>
    <row r="3504">
      <c r="A3504" s="4" t="s">
        <v>22685</v>
      </c>
      <c r="B3504" s="4" t="s">
        <v>6984</v>
      </c>
      <c r="C3504" s="16" t="str">
        <f>IFERROR(__xludf.DUMMYFUNCTION(""""""""" &amp; REGEXEXTRACT(B3504, ""/detail/([^/?]+)"") &amp; """""","""),"""hckkohbdkadobaoejafijhklaacifphp"",")</f>
        <v>"hckkohbdkadobaoejafijhklaacifphp",</v>
      </c>
    </row>
    <row r="3505">
      <c r="A3505" s="4" t="s">
        <v>22686</v>
      </c>
      <c r="B3505" s="4" t="s">
        <v>6986</v>
      </c>
      <c r="C3505" s="16" t="str">
        <f>IFERROR(__xludf.DUMMYFUNCTION(""""""""" &amp; REGEXEXTRACT(B3505, ""/detail/([^/?]+)"") &amp; """""","""),"""hcmlgkfaeigpcklakkahmbaggklefpcb"",")</f>
        <v>"hcmlgkfaeigpcklakkahmbaggklefpcb",</v>
      </c>
    </row>
    <row r="3506">
      <c r="A3506" s="4" t="s">
        <v>22687</v>
      </c>
      <c r="B3506" s="4" t="s">
        <v>6988</v>
      </c>
      <c r="C3506" s="16" t="str">
        <f>IFERROR(__xludf.DUMMYFUNCTION(""""""""" &amp; REGEXEXTRACT(B3506, ""/detail/([^/?]+)"") &amp; """""","""),"""hdmhiihcenipfdlmkdlhmgijjimlpkim"",")</f>
        <v>"hdmhiihcenipfdlmkdlhmgijjimlpkim",</v>
      </c>
    </row>
    <row r="3507">
      <c r="A3507" s="4" t="s">
        <v>22688</v>
      </c>
      <c r="B3507" s="4" t="s">
        <v>6990</v>
      </c>
      <c r="C3507" s="16" t="str">
        <f>IFERROR(__xludf.DUMMYFUNCTION(""""""""" &amp; REGEXEXTRACT(B3507, ""/detail/([^/?]+)"") &amp; """""","""),"""heklcfopgcknmiegnkeaoiaecamnhdlp"",")</f>
        <v>"heklcfopgcknmiegnkeaoiaecamnhdlp",</v>
      </c>
    </row>
    <row r="3508">
      <c r="A3508" s="4" t="s">
        <v>22689</v>
      </c>
      <c r="B3508" s="4" t="s">
        <v>6992</v>
      </c>
      <c r="C3508" s="16" t="str">
        <f>IFERROR(__xludf.DUMMYFUNCTION(""""""""" &amp; REGEXEXTRACT(B3508, ""/detail/([^/?]+)"") &amp; """""","""),"""hencchoidjkafdoeoodcneiemlcfnbhb"",")</f>
        <v>"hencchoidjkafdoeoodcneiemlcfnbhb",</v>
      </c>
    </row>
    <row r="3509">
      <c r="A3509" s="4" t="s">
        <v>22690</v>
      </c>
      <c r="B3509" s="4" t="s">
        <v>6994</v>
      </c>
      <c r="C3509" s="16" t="str">
        <f>IFERROR(__xludf.DUMMYFUNCTION(""""""""" &amp; REGEXEXTRACT(B3509, ""/detail/([^/?]+)"") &amp; """""","""),"""hepginkihkijiebmanadpoipanjbipem"",")</f>
        <v>"hepginkihkijiebmanadpoipanjbipem",</v>
      </c>
    </row>
    <row r="3510">
      <c r="A3510" s="4" t="s">
        <v>22691</v>
      </c>
      <c r="B3510" s="4" t="s">
        <v>6996</v>
      </c>
      <c r="C3510" s="16" t="str">
        <f>IFERROR(__xludf.DUMMYFUNCTION(""""""""" &amp; REGEXEXTRACT(B3510, ""/detail/([^/?]+)"") &amp; """""","""),"""hfacpfhgpmaifaanbmgbbjkfgelookom"",")</f>
        <v>"hfacpfhgpmaifaanbmgbbjkfgelookom",</v>
      </c>
    </row>
    <row r="3511">
      <c r="A3511" s="4" t="s">
        <v>22692</v>
      </c>
      <c r="B3511" s="4" t="s">
        <v>6998</v>
      </c>
      <c r="C3511" s="16" t="str">
        <f>IFERROR(__xludf.DUMMYFUNCTION(""""""""" &amp; REGEXEXTRACT(B3511, ""/detail/([^/?]+)"") &amp; """""","""),"""hgdnbhdgboglidilhoipggepjlmmmaae"",")</f>
        <v>"hgdnbhdgboglidilhoipggepjlmmmaae",</v>
      </c>
    </row>
    <row r="3512">
      <c r="A3512" s="4" t="s">
        <v>22693</v>
      </c>
      <c r="B3512" s="4" t="s">
        <v>7000</v>
      </c>
      <c r="C3512" s="16" t="str">
        <f>IFERROR(__xludf.DUMMYFUNCTION(""""""""" &amp; REGEXEXTRACT(B3512, ""/detail/([^/?]+)"") &amp; """""","""),"""hggicmogahedhllhjjhifddgcphgaggo"",")</f>
        <v>"hggicmogahedhllhjjhifddgcphgaggo",</v>
      </c>
    </row>
    <row r="3513">
      <c r="A3513" s="4" t="s">
        <v>22694</v>
      </c>
      <c r="B3513" s="4" t="s">
        <v>7002</v>
      </c>
      <c r="C3513" s="16" t="str">
        <f>IFERROR(__xludf.DUMMYFUNCTION(""""""""" &amp; REGEXEXTRACT(B3513, ""/detail/([^/?]+)"") &amp; """""","""),"""hgjfibdfedjcopejmhnhcimefdlfdpig"",")</f>
        <v>"hgjfibdfedjcopejmhnhcimefdlfdpig",</v>
      </c>
    </row>
    <row r="3514">
      <c r="A3514" s="4" t="s">
        <v>22695</v>
      </c>
      <c r="B3514" s="4" t="s">
        <v>7004</v>
      </c>
      <c r="C3514" s="16" t="str">
        <f>IFERROR(__xludf.DUMMYFUNCTION(""""""""" &amp; REGEXEXTRACT(B3514, ""/detail/([^/?]+)"") &amp; """""","""),"""hglfomidogadbhelcfomenpieffpfaeb"",")</f>
        <v>"hglfomidogadbhelcfomenpieffpfaeb",</v>
      </c>
    </row>
    <row r="3515">
      <c r="A3515" s="4" t="s">
        <v>22696</v>
      </c>
      <c r="B3515" s="4" t="s">
        <v>7006</v>
      </c>
      <c r="C3515" s="16" t="str">
        <f>IFERROR(__xludf.DUMMYFUNCTION(""""""""" &amp; REGEXEXTRACT(B3515, ""/detail/([^/?]+)"") &amp; """""","""),"""hglhiepjhbhcjpjnehnggbleobjlblde"",")</f>
        <v>"hglhiepjhbhcjpjnehnggbleobjlblde",</v>
      </c>
    </row>
    <row r="3516">
      <c r="A3516" s="4" t="s">
        <v>22697</v>
      </c>
      <c r="B3516" s="4" t="s">
        <v>7008</v>
      </c>
      <c r="C3516" s="16" t="str">
        <f>IFERROR(__xludf.DUMMYFUNCTION(""""""""" &amp; REGEXEXTRACT(B3516, ""/detail/([^/?]+)"") &amp; """""","""),"""hhcboefjgjaapmjacmbbijgfaddecoho"",")</f>
        <v>"hhcboefjgjaapmjacmbbijgfaddecoho",</v>
      </c>
    </row>
    <row r="3517">
      <c r="A3517" s="4" t="s">
        <v>22698</v>
      </c>
      <c r="B3517" s="4" t="s">
        <v>7010</v>
      </c>
      <c r="C3517" s="16" t="str">
        <f>IFERROR(__xludf.DUMMYFUNCTION(""""""""" &amp; REGEXEXTRACT(B3517, ""/detail/([^/?]+)"") &amp; """""","""),"""hhghjoikiknokaibmbniamildpnnajpo"",")</f>
        <v>"hhghjoikiknokaibmbniamildpnnajpo",</v>
      </c>
    </row>
    <row r="3518">
      <c r="A3518" s="4" t="s">
        <v>22699</v>
      </c>
      <c r="B3518" s="4" t="s">
        <v>7012</v>
      </c>
      <c r="C3518" s="16" t="str">
        <f>IFERROR(__xludf.DUMMYFUNCTION(""""""""" &amp; REGEXEXTRACT(B3518, ""/detail/([^/?]+)"") &amp; """""","""),"""hhgkfhlgacdclmkgjniellfcpfgcmonm"",")</f>
        <v>"hhgkfhlgacdclmkgjniellfcpfgcmonm",</v>
      </c>
    </row>
    <row r="3519">
      <c r="A3519" s="4" t="s">
        <v>22700</v>
      </c>
      <c r="B3519" s="4" t="s">
        <v>7014</v>
      </c>
      <c r="C3519" s="16" t="str">
        <f>IFERROR(__xludf.DUMMYFUNCTION(""""""""" &amp; REGEXEXTRACT(B3519, ""/detail/([^/?]+)"") &amp; """""","""),"""hhhlbediooifeabnlleljnbddcelmdpm"",")</f>
        <v>"hhhlbediooifeabnlleljnbddcelmdpm",</v>
      </c>
    </row>
    <row r="3520">
      <c r="A3520" s="4" t="s">
        <v>22701</v>
      </c>
      <c r="B3520" s="4" t="s">
        <v>7016</v>
      </c>
      <c r="C3520" s="16" t="str">
        <f>IFERROR(__xludf.DUMMYFUNCTION(""""""""" &amp; REGEXEXTRACT(B3520, ""/detail/([^/?]+)"") &amp; """""","""),"""hhiipkcjbemmanpfdfdkhmfjpliniomn"",")</f>
        <v>"hhiipkcjbemmanpfdfdkhmfjpliniomn",</v>
      </c>
    </row>
    <row r="3521">
      <c r="A3521" s="4" t="s">
        <v>22702</v>
      </c>
      <c r="B3521" s="4" t="s">
        <v>7018</v>
      </c>
      <c r="C3521" s="16" t="str">
        <f>IFERROR(__xludf.DUMMYFUNCTION(""""""""" &amp; REGEXEXTRACT(B3521, ""/detail/([^/?]+)"") &amp; """""","""),"""hhilmijlfhoacmoccpahalnmbjcfahcb"",")</f>
        <v>"hhilmijlfhoacmoccpahalnmbjcfahcb",</v>
      </c>
    </row>
    <row r="3522">
      <c r="A3522" s="4" t="s">
        <v>22703</v>
      </c>
      <c r="B3522" s="4" t="s">
        <v>7020</v>
      </c>
      <c r="C3522" s="16" t="str">
        <f>IFERROR(__xludf.DUMMYFUNCTION(""""""""" &amp; REGEXEXTRACT(B3522, ""/detail/([^/?]+)"") &amp; """""","""),"""hhompecpighdhclapocgaaadjnmgahoi"",")</f>
        <v>"hhompecpighdhclapocgaaadjnmgahoi",</v>
      </c>
    </row>
    <row r="3523">
      <c r="A3523" s="4" t="s">
        <v>22704</v>
      </c>
      <c r="B3523" s="4" t="s">
        <v>7022</v>
      </c>
      <c r="C3523" s="16" t="str">
        <f>IFERROR(__xludf.DUMMYFUNCTION(""""""""" &amp; REGEXEXTRACT(B3523, ""/detail/([^/?]+)"") &amp; """""","""),"""hidmkebaeifbokhkdkhcokahfaiakdef"",")</f>
        <v>"hidmkebaeifbokhkdkhcokahfaiakdef",</v>
      </c>
    </row>
    <row r="3524">
      <c r="A3524" s="4" t="s">
        <v>22705</v>
      </c>
      <c r="B3524" s="4" t="s">
        <v>7024</v>
      </c>
      <c r="C3524" s="16" t="str">
        <f>IFERROR(__xludf.DUMMYFUNCTION(""""""""" &amp; REGEXEXTRACT(B3524, ""/detail/([^/?]+)"") &amp; """""","""),"""hifbbdpjdifimkkppglajhmkcikaandj"",")</f>
        <v>"hifbbdpjdifimkkppglajhmkcikaandj",</v>
      </c>
    </row>
    <row r="3525">
      <c r="A3525" s="4" t="s">
        <v>22706</v>
      </c>
      <c r="B3525" s="4" t="s">
        <v>7026</v>
      </c>
      <c r="C3525" s="16" t="str">
        <f>IFERROR(__xludf.DUMMYFUNCTION(""""""""" &amp; REGEXEXTRACT(B3525, ""/detail/([^/?]+)"") &amp; """""","""),"""hihcjkhhlbmckhhnjamfomegbnlffcni"",")</f>
        <v>"hihcjkhhlbmckhhnjamfomegbnlffcni",</v>
      </c>
    </row>
    <row r="3526">
      <c r="A3526" s="4" t="s">
        <v>22707</v>
      </c>
      <c r="B3526" s="4" t="s">
        <v>7028</v>
      </c>
      <c r="C3526" s="16" t="str">
        <f>IFERROR(__xludf.DUMMYFUNCTION(""""""""" &amp; REGEXEXTRACT(B3526, ""/detail/([^/?]+)"") &amp; """""","""),"""hikjbimjpogeajolkcggpbhjdlpifcmk"",")</f>
        <v>"hikjbimjpogeajolkcggpbhjdlpifcmk",</v>
      </c>
    </row>
    <row r="3527">
      <c r="A3527" s="4" t="s">
        <v>22708</v>
      </c>
      <c r="B3527" s="4" t="s">
        <v>7030</v>
      </c>
      <c r="C3527" s="16" t="str">
        <f>IFERROR(__xludf.DUMMYFUNCTION(""""""""" &amp; REGEXEXTRACT(B3527, ""/detail/([^/?]+)"") &amp; """""","""),"""hikjpmfebkagiijbdinakadphhjffaik"",")</f>
        <v>"hikjpmfebkagiijbdinakadphhjffaik",</v>
      </c>
    </row>
    <row r="3528">
      <c r="A3528" s="4" t="s">
        <v>22709</v>
      </c>
      <c r="B3528" s="4" t="s">
        <v>7032</v>
      </c>
      <c r="C3528" s="16" t="str">
        <f>IFERROR(__xludf.DUMMYFUNCTION(""""""""" &amp; REGEXEXTRACT(B3528, ""/detail/([^/?]+)"") &amp; """""","""),"""hkfmcplbmbfhfocaobcnjkfelmfbdkcm"",")</f>
        <v>"hkfmcplbmbfhfocaobcnjkfelmfbdkcm",</v>
      </c>
    </row>
    <row r="3529">
      <c r="A3529" s="4" t="s">
        <v>22710</v>
      </c>
      <c r="B3529" s="4" t="s">
        <v>7034</v>
      </c>
      <c r="C3529" s="16" t="str">
        <f>IFERROR(__xludf.DUMMYFUNCTION(""""""""" &amp; REGEXEXTRACT(B3529, ""/detail/([^/?]+)"") &amp; """""","""),"""hkjafmjeochlepgldkncjipkjdhpipbj"",")</f>
        <v>"hkjafmjeochlepgldkncjipkjdhpipbj",</v>
      </c>
    </row>
    <row r="3530">
      <c r="A3530" s="4" t="s">
        <v>22711</v>
      </c>
      <c r="B3530" s="4" t="s">
        <v>7036</v>
      </c>
      <c r="C3530" s="16" t="str">
        <f>IFERROR(__xludf.DUMMYFUNCTION(""""""""" &amp; REGEXEXTRACT(B3530, ""/detail/([^/?]+)"") &amp; """""","""),"""hkladljdibplikfcfcdgaoobpdpaicci"",")</f>
        <v>"hkladljdibplikfcfcdgaoobpdpaicci",</v>
      </c>
    </row>
    <row r="3531">
      <c r="A3531" s="4" t="s">
        <v>22712</v>
      </c>
      <c r="B3531" s="4" t="s">
        <v>7038</v>
      </c>
      <c r="C3531" s="16" t="str">
        <f>IFERROR(__xludf.DUMMYFUNCTION(""""""""" &amp; REGEXEXTRACT(B3531, ""/detail/([^/?]+)"") &amp; """""","""),"""hkmgpkkdjolenhddemkgngpiagjglecb"",")</f>
        <v>"hkmgpkkdjolenhddemkgngpiagjglecb",</v>
      </c>
    </row>
    <row r="3532">
      <c r="A3532" s="4" t="s">
        <v>22713</v>
      </c>
      <c r="B3532" s="4" t="s">
        <v>7040</v>
      </c>
      <c r="C3532" s="16" t="str">
        <f>IFERROR(__xludf.DUMMYFUNCTION(""""""""" &amp; REGEXEXTRACT(B3532, ""/detail/([^/?]+)"") &amp; """""","""),"""hlbkkfgplamgidcmijjcglabmiekfech"",")</f>
        <v>"hlbkkfgplamgidcmijjcglabmiekfech",</v>
      </c>
    </row>
    <row r="3533">
      <c r="A3533" s="4" t="s">
        <v>22714</v>
      </c>
      <c r="B3533" s="4" t="s">
        <v>7042</v>
      </c>
      <c r="C3533" s="16" t="str">
        <f>IFERROR(__xludf.DUMMYFUNCTION(""""""""" &amp; REGEXEXTRACT(B3533, ""/detail/([^/?]+)"") &amp; """""","""),"""hledmlpbeiablkglomlminfemnepgjlp"",")</f>
        <v>"hledmlpbeiablkglomlminfemnepgjlp",</v>
      </c>
    </row>
    <row r="3534">
      <c r="A3534" s="4" t="s">
        <v>22715</v>
      </c>
      <c r="B3534" s="4" t="s">
        <v>7044</v>
      </c>
      <c r="C3534" s="16" t="str">
        <f>IFERROR(__xludf.DUMMYFUNCTION(""""""""" &amp; REGEXEXTRACT(B3534, ""/detail/([^/?]+)"") &amp; """""","""),"""hlkgeeoonjpbagonlokmppbmndadkidb"",")</f>
        <v>"hlkgeeoonjpbagonlokmppbmndadkidb",</v>
      </c>
    </row>
    <row r="3535">
      <c r="A3535" s="4" t="s">
        <v>22716</v>
      </c>
      <c r="B3535" s="4" t="s">
        <v>7046</v>
      </c>
      <c r="C3535" s="16" t="str">
        <f>IFERROR(__xludf.DUMMYFUNCTION(""""""""" &amp; REGEXEXTRACT(B3535, ""/detail/([^/?]+)"") &amp; """""","""),"""hlkndiknofmlmajfocifccmplknafjeo"",")</f>
        <v>"hlkndiknofmlmajfocifccmplknafjeo",</v>
      </c>
    </row>
    <row r="3536">
      <c r="A3536" s="4" t="s">
        <v>22717</v>
      </c>
      <c r="B3536" s="4" t="s">
        <v>7048</v>
      </c>
      <c r="C3536" s="16" t="str">
        <f>IFERROR(__xludf.DUMMYFUNCTION(""""""""" &amp; REGEXEXTRACT(B3536, ""/detail/([^/?]+)"") &amp; """""","""),"""hmddfalndciigbdmikpibaleammmkcbm"",")</f>
        <v>"hmddfalndciigbdmikpibaleammmkcbm",</v>
      </c>
    </row>
    <row r="3537">
      <c r="A3537" s="4" t="s">
        <v>22718</v>
      </c>
      <c r="B3537" s="4" t="s">
        <v>7050</v>
      </c>
      <c r="C3537" s="16" t="str">
        <f>IFERROR(__xludf.DUMMYFUNCTION(""""""""" &amp; REGEXEXTRACT(B3537, ""/detail/([^/?]+)"") &amp; """""","""),"""hmhpbcbhphljhbjjmjongooemknbjjoa"",")</f>
        <v>"hmhpbcbhphljhbjjmjongooemknbjjoa",</v>
      </c>
    </row>
    <row r="3538">
      <c r="A3538" s="4" t="s">
        <v>22719</v>
      </c>
      <c r="B3538" s="4" t="s">
        <v>7052</v>
      </c>
      <c r="C3538" s="16" t="str">
        <f>IFERROR(__xludf.DUMMYFUNCTION(""""""""" &amp; REGEXEXTRACT(B3538, ""/detail/([^/?]+)"") &amp; """""","""),"""hmhpegjieopgbdmpocdmfkafjgcdmhha"",")</f>
        <v>"hmhpegjieopgbdmpocdmfkafjgcdmhha",</v>
      </c>
    </row>
    <row r="3539">
      <c r="A3539" s="4" t="s">
        <v>22720</v>
      </c>
      <c r="B3539" s="4" t="s">
        <v>7054</v>
      </c>
      <c r="C3539" s="16" t="str">
        <f>IFERROR(__xludf.DUMMYFUNCTION(""""""""" &amp; REGEXEXTRACT(B3539, ""/detail/([^/?]+)"") &amp; """""","""),"""hmpadeikehkcpfjbpgfolocddgmiofpm"",")</f>
        <v>"hmpadeikehkcpfjbpgfolocddgmiofpm",</v>
      </c>
    </row>
    <row r="3540">
      <c r="A3540" s="4" t="s">
        <v>22721</v>
      </c>
      <c r="B3540" s="4" t="s">
        <v>7056</v>
      </c>
      <c r="C3540" s="16" t="str">
        <f>IFERROR(__xludf.DUMMYFUNCTION(""""""""" &amp; REGEXEXTRACT(B3540, ""/detail/([^/?]+)"") &amp; """""","""),"""hnejecidakmfncbfmklegjidgikiilgd"",")</f>
        <v>"hnejecidakmfncbfmklegjidgikiilgd",</v>
      </c>
    </row>
    <row r="3541">
      <c r="A3541" s="4" t="s">
        <v>22722</v>
      </c>
      <c r="B3541" s="4" t="s">
        <v>7058</v>
      </c>
      <c r="C3541" s="16" t="str">
        <f>IFERROR(__xludf.DUMMYFUNCTION(""""""""" &amp; REGEXEXTRACT(B3541, ""/detail/([^/?]+)"") &amp; """""","""),"""hnffjpappohfnmhdimbpeljbnokjagdd"",")</f>
        <v>"hnffjpappohfnmhdimbpeljbnokjagdd",</v>
      </c>
    </row>
    <row r="3542">
      <c r="A3542" s="4" t="s">
        <v>22723</v>
      </c>
      <c r="B3542" s="4" t="s">
        <v>7060</v>
      </c>
      <c r="C3542" s="16" t="str">
        <f>IFERROR(__xludf.DUMMYFUNCTION(""""""""" &amp; REGEXEXTRACT(B3542, ""/detail/([^/?]+)"") &amp; """""","""),"""hnkcafanoncncpkgboikhhikdomenepb"",")</f>
        <v>"hnkcafanoncncpkgboikhhikdomenepb",</v>
      </c>
    </row>
    <row r="3543">
      <c r="A3543" s="4" t="s">
        <v>22724</v>
      </c>
      <c r="B3543" s="4" t="s">
        <v>7061</v>
      </c>
      <c r="C3543" s="16" t="str">
        <f>IFERROR(__xludf.DUMMYFUNCTION(""""""""" &amp; REGEXEXTRACT(B3543, ""/detail/([^/?]+)"") &amp; """""","""),"""hnpkdcghgfeaccigdjnibpkopebncakc"",")</f>
        <v>"hnpkdcghgfeaccigdjnibpkopebncakc",</v>
      </c>
    </row>
    <row r="3544">
      <c r="A3544" s="4" t="s">
        <v>22725</v>
      </c>
      <c r="B3544" s="4" t="s">
        <v>7063</v>
      </c>
      <c r="C3544" s="16" t="str">
        <f>IFERROR(__xludf.DUMMYFUNCTION(""""""""" &amp; REGEXEXTRACT(B3544, ""/detail/([^/?]+)"") &amp; """""","""),"""hoaeoknbnombjplkahejaedapopgclgg"",")</f>
        <v>"hoaeoknbnombjplkahejaedapopgclgg",</v>
      </c>
    </row>
    <row r="3545">
      <c r="A3545" s="4" t="s">
        <v>22726</v>
      </c>
      <c r="B3545" s="4" t="s">
        <v>7065</v>
      </c>
      <c r="C3545" s="16" t="str">
        <f>IFERROR(__xludf.DUMMYFUNCTION(""""""""" &amp; REGEXEXTRACT(B3545, ""/detail/([^/?]+)"") &amp; """""","""),"""hocfbimjcephnjnoihhhoogcmnakbmlh"",")</f>
        <v>"hocfbimjcephnjnoihhhoogcmnakbmlh",</v>
      </c>
    </row>
    <row r="3546">
      <c r="A3546" s="4" t="s">
        <v>22727</v>
      </c>
      <c r="B3546" s="4" t="s">
        <v>7066</v>
      </c>
      <c r="C3546" s="16" t="str">
        <f>IFERROR(__xludf.DUMMYFUNCTION(""""""""" &amp; REGEXEXTRACT(B3546, ""/detail/([^/?]+)"") &amp; """""","""),"""hofjanlkemfjdabokampgoehhfifbbjc"",")</f>
        <v>"hofjanlkemfjdabokampgoehhfifbbjc",</v>
      </c>
    </row>
    <row r="3547">
      <c r="A3547" s="4" t="s">
        <v>22728</v>
      </c>
      <c r="B3547" s="4" t="s">
        <v>7068</v>
      </c>
      <c r="C3547" s="16" t="str">
        <f>IFERROR(__xludf.DUMMYFUNCTION(""""""""" &amp; REGEXEXTRACT(B3547, ""/detail/([^/?]+)"") &amp; """""","""),"""holhpdfhbdhieddbpppnglddplfhopfi"",")</f>
        <v>"holhpdfhbdhieddbpppnglddplfhopfi",</v>
      </c>
    </row>
    <row r="3548">
      <c r="A3548" s="4" t="s">
        <v>22729</v>
      </c>
      <c r="B3548" s="4" t="s">
        <v>7070</v>
      </c>
      <c r="C3548" s="16" t="str">
        <f>IFERROR(__xludf.DUMMYFUNCTION(""""""""" &amp; REGEXEXTRACT(B3548, ""/detail/([^/?]+)"") &amp; """""","""),"""hplecpnihkigeaiobbmfnfblepiadjdh"",")</f>
        <v>"hplecpnihkigeaiobbmfnfblepiadjdh",</v>
      </c>
    </row>
    <row r="3549">
      <c r="A3549" s="4" t="s">
        <v>22730</v>
      </c>
      <c r="B3549" s="4" t="s">
        <v>7072</v>
      </c>
      <c r="C3549" s="16" t="str">
        <f>IFERROR(__xludf.DUMMYFUNCTION(""""""""" &amp; REGEXEXTRACT(B3549, ""/detail/([^/?]+)"") &amp; """""","""),"""hppnfmeaoiochhjdlojgflkfedncdokl"",")</f>
        <v>"hppnfmeaoiochhjdlojgflkfedncdokl",</v>
      </c>
    </row>
    <row r="3550">
      <c r="A3550" s="4" t="s">
        <v>22731</v>
      </c>
      <c r="B3550" s="4" t="s">
        <v>7074</v>
      </c>
      <c r="C3550" s="16" t="str">
        <f>IFERROR(__xludf.DUMMYFUNCTION(""""""""" &amp; REGEXEXTRACT(B3550, ""/detail/([^/?]+)"") &amp; """""","""),"""iagdenmadjpeeigekdkdmlombbkjoanj"",")</f>
        <v>"iagdenmadjpeeigekdkdmlombbkjoanj",</v>
      </c>
    </row>
    <row r="3551">
      <c r="A3551" s="4" t="s">
        <v>22732</v>
      </c>
      <c r="B3551" s="4" t="s">
        <v>7076</v>
      </c>
      <c r="C3551" s="16" t="str">
        <f>IFERROR(__xludf.DUMMYFUNCTION(""""""""" &amp; REGEXEXTRACT(B3551, ""/detail/([^/?]+)"") &amp; """""","""),"""ibedmjbicclcdfmghnkfldnplocgihna"",")</f>
        <v>"ibedmjbicclcdfmghnkfldnplocgihna",</v>
      </c>
    </row>
    <row r="3552">
      <c r="A3552" s="4" t="s">
        <v>22733</v>
      </c>
      <c r="B3552" s="4" t="s">
        <v>7078</v>
      </c>
      <c r="C3552" s="16" t="str">
        <f>IFERROR(__xludf.DUMMYFUNCTION(""""""""" &amp; REGEXEXTRACT(B3552, ""/detail/([^/?]+)"") &amp; """""","""),"""ibeemfhcbbikonfajhamlkdgedmekifo"",")</f>
        <v>"ibeemfhcbbikonfajhamlkdgedmekifo",</v>
      </c>
    </row>
    <row r="3553">
      <c r="A3553" s="4" t="s">
        <v>22734</v>
      </c>
      <c r="B3553" s="4" t="s">
        <v>7080</v>
      </c>
      <c r="C3553" s="16" t="str">
        <f>IFERROR(__xludf.DUMMYFUNCTION(""""""""" &amp; REGEXEXTRACT(B3553, ""/detail/([^/?]+)"") &amp; """""","""),"""ibklfmkdcaocoihmpjampgleiaahldpp"",")</f>
        <v>"ibklfmkdcaocoihmpjampgleiaahldpp",</v>
      </c>
    </row>
    <row r="3554">
      <c r="A3554" s="4" t="s">
        <v>22735</v>
      </c>
      <c r="B3554" s="4" t="s">
        <v>7082</v>
      </c>
      <c r="C3554" s="16" t="str">
        <f>IFERROR(__xludf.DUMMYFUNCTION(""""""""" &amp; REGEXEXTRACT(B3554, ""/detail/([^/?]+)"") &amp; """""","""),"""ibmdlialbleknfcjmllmoclcpmaabchl"",")</f>
        <v>"ibmdlialbleknfcjmllmoclcpmaabchl",</v>
      </c>
    </row>
    <row r="3555">
      <c r="A3555" s="4" t="s">
        <v>22736</v>
      </c>
      <c r="B3555" s="4" t="s">
        <v>7084</v>
      </c>
      <c r="C3555" s="16" t="str">
        <f>IFERROR(__xludf.DUMMYFUNCTION(""""""""" &amp; REGEXEXTRACT(B3555, ""/detail/([^/?]+)"") &amp; """""","""),"""ichpfnleoiponjidhcbieonjdpnallmh"",")</f>
        <v>"ichpfnleoiponjidhcbieonjdpnallmh",</v>
      </c>
    </row>
    <row r="3556">
      <c r="A3556" s="4" t="s">
        <v>22737</v>
      </c>
      <c r="B3556" s="4" t="s">
        <v>7086</v>
      </c>
      <c r="C3556" s="16" t="str">
        <f>IFERROR(__xludf.DUMMYFUNCTION(""""""""" &amp; REGEXEXTRACT(B3556, ""/detail/([^/?]+)"") &amp; """""","""),"""idnninnhcleaikepmmomfnknbldalnjj"",")</f>
        <v>"idnninnhcleaikepmmomfnknbldalnjj",</v>
      </c>
    </row>
    <row r="3557">
      <c r="A3557" s="4" t="s">
        <v>22738</v>
      </c>
      <c r="B3557" s="4" t="s">
        <v>7088</v>
      </c>
      <c r="C3557" s="16" t="str">
        <f>IFERROR(__xludf.DUMMYFUNCTION(""""""""" &amp; REGEXEXTRACT(B3557, ""/detail/([^/?]+)"") &amp; """""","""),"""iefinhiodbmoobdnoholloggphkoijoc"",")</f>
        <v>"iefinhiodbmoobdnoholloggphkoijoc",</v>
      </c>
    </row>
    <row r="3558">
      <c r="A3558" s="4" t="s">
        <v>22739</v>
      </c>
      <c r="B3558" s="4" t="s">
        <v>7090</v>
      </c>
      <c r="C3558" s="16" t="str">
        <f>IFERROR(__xludf.DUMMYFUNCTION(""""""""" &amp; REGEXEXTRACT(B3558, ""/detail/([^/?]+)"") &amp; """""","""),"""iegiiapfgomeedpnmajohjdlcipbecha"",")</f>
        <v>"iegiiapfgomeedpnmajohjdlcipbecha",</v>
      </c>
    </row>
    <row r="3559">
      <c r="A3559" s="4" t="s">
        <v>22740</v>
      </c>
      <c r="B3559" s="4" t="s">
        <v>7092</v>
      </c>
      <c r="C3559" s="16" t="str">
        <f>IFERROR(__xludf.DUMMYFUNCTION(""""""""" &amp; REGEXEXTRACT(B3559, ""/detail/([^/?]+)"") &amp; """""","""),"""ieompfkbfmgldbklegjkbljclgncbagm"",")</f>
        <v>"ieompfkbfmgldbklegjkbljclgncbagm",</v>
      </c>
    </row>
    <row r="3560">
      <c r="A3560" s="4" t="s">
        <v>22741</v>
      </c>
      <c r="B3560" s="4" t="s">
        <v>7094</v>
      </c>
      <c r="C3560" s="16" t="str">
        <f>IFERROR(__xludf.DUMMYFUNCTION(""""""""" &amp; REGEXEXTRACT(B3560, ""/detail/([^/?]+)"") &amp; """""","""),"""ifchggdfkdbkpolgmclfhdlodpjciejl"",")</f>
        <v>"ifchggdfkdbkpolgmclfhdlodpjciejl",</v>
      </c>
    </row>
    <row r="3561">
      <c r="A3561" s="4" t="s">
        <v>22742</v>
      </c>
      <c r="B3561" s="4" t="s">
        <v>7096</v>
      </c>
      <c r="C3561" s="16" t="str">
        <f>IFERROR(__xludf.DUMMYFUNCTION(""""""""" &amp; REGEXEXTRACT(B3561, ""/detail/([^/?]+)"") &amp; """""","""),"""ifmoaiideadhbgdbjcckdbfpgmfplcem"",")</f>
        <v>"ifmoaiideadhbgdbjcckdbfpgmfplcem",</v>
      </c>
    </row>
    <row r="3562">
      <c r="A3562" s="4" t="s">
        <v>22743</v>
      </c>
      <c r="B3562" s="4" t="s">
        <v>7098</v>
      </c>
      <c r="C3562" s="16" t="str">
        <f>IFERROR(__xludf.DUMMYFUNCTION(""""""""" &amp; REGEXEXTRACT(B3562, ""/detail/([^/?]+)"") &amp; """""","""),"""ifnkckdlnkmcmlmleoiofljanabhmjgg"",")</f>
        <v>"ifnkckdlnkmcmlmleoiofljanabhmjgg",</v>
      </c>
    </row>
    <row r="3563">
      <c r="A3563" s="4" t="s">
        <v>22744</v>
      </c>
      <c r="B3563" s="4" t="s">
        <v>7100</v>
      </c>
      <c r="C3563" s="16" t="str">
        <f>IFERROR(__xludf.DUMMYFUNCTION(""""""""" &amp; REGEXEXTRACT(B3563, ""/detail/([^/?]+)"") &amp; """""","""),"""igeibjcgmjjglmjkehpeepggejgbpjnk"",")</f>
        <v>"igeibjcgmjjglmjkehpeepggejgbpjnk",</v>
      </c>
    </row>
    <row r="3564">
      <c r="A3564" s="4" t="s">
        <v>22745</v>
      </c>
      <c r="B3564" s="4" t="s">
        <v>7102</v>
      </c>
      <c r="C3564" s="16" t="str">
        <f>IFERROR(__xludf.DUMMYFUNCTION(""""""""" &amp; REGEXEXTRACT(B3564, ""/detail/([^/?]+)"") &amp; """""","""),"""ihadpecfbccmcbpdlinbcmflaiddfion"",")</f>
        <v>"ihadpecfbccmcbpdlinbcmflaiddfion",</v>
      </c>
    </row>
    <row r="3565">
      <c r="A3565" s="4" t="s">
        <v>22746</v>
      </c>
      <c r="B3565" s="4" t="s">
        <v>7104</v>
      </c>
      <c r="C3565" s="16" t="str">
        <f>IFERROR(__xludf.DUMMYFUNCTION(""""""""" &amp; REGEXEXTRACT(B3565, ""/detail/([^/?]+)"") &amp; """""","""),"""ihbejplhkeifejcpijadinaicidddbde"",")</f>
        <v>"ihbejplhkeifejcpijadinaicidddbde",</v>
      </c>
    </row>
    <row r="3566">
      <c r="A3566" s="4" t="s">
        <v>22747</v>
      </c>
      <c r="B3566" s="4" t="s">
        <v>7106</v>
      </c>
      <c r="C3566" s="16" t="str">
        <f>IFERROR(__xludf.DUMMYFUNCTION(""""""""" &amp; REGEXEXTRACT(B3566, ""/detail/([^/?]+)"") &amp; """""","""),"""ihdhfdeffimajgfmlfhhnhkckfedaikd"",")</f>
        <v>"ihdhfdeffimajgfmlfhhnhkckfedaikd",</v>
      </c>
    </row>
    <row r="3567">
      <c r="A3567" s="4" t="s">
        <v>22748</v>
      </c>
      <c r="B3567" s="4" t="s">
        <v>7108</v>
      </c>
      <c r="C3567" s="16" t="str">
        <f>IFERROR(__xludf.DUMMYFUNCTION(""""""""" &amp; REGEXEXTRACT(B3567, ""/detail/([^/?]+)"") &amp; """""","""),"""iheccogfcpjfjbnlohnlgdljaefpgaoi"",")</f>
        <v>"iheccogfcpjfjbnlohnlgdljaefpgaoi",</v>
      </c>
    </row>
    <row r="3568">
      <c r="A3568" s="4" t="s">
        <v>22749</v>
      </c>
      <c r="B3568" s="4" t="s">
        <v>7110</v>
      </c>
      <c r="C3568" s="16" t="str">
        <f>IFERROR(__xludf.DUMMYFUNCTION(""""""""" &amp; REGEXEXTRACT(B3568, ""/detail/([^/?]+)"") &amp; """""","""),"""ihecjdmjoonlmpaahmjogolaecloipal"",")</f>
        <v>"ihecjdmjoonlmpaahmjogolaecloipal",</v>
      </c>
    </row>
    <row r="3569">
      <c r="A3569" s="4" t="s">
        <v>22750</v>
      </c>
      <c r="B3569" s="4" t="s">
        <v>7112</v>
      </c>
      <c r="C3569" s="16" t="str">
        <f>IFERROR(__xludf.DUMMYFUNCTION(""""""""" &amp; REGEXEXTRACT(B3569, ""/detail/([^/?]+)"") &amp; """""","""),"""ihhiomekhplpdojbcaniaglcfopckaef"",")</f>
        <v>"ihhiomekhplpdojbcaniaglcfopckaef",</v>
      </c>
    </row>
    <row r="3570">
      <c r="A3570" s="4" t="s">
        <v>22751</v>
      </c>
      <c r="B3570" s="4" t="s">
        <v>7114</v>
      </c>
      <c r="C3570" s="16" t="str">
        <f>IFERROR(__xludf.DUMMYFUNCTION(""""""""" &amp; REGEXEXTRACT(B3570, ""/detail/([^/?]+)"") &amp; """""","""),"""iihdicimlmhhfmbifiifohcnihbbggfl"",")</f>
        <v>"iihdicimlmhhfmbifiifohcnihbbggfl",</v>
      </c>
    </row>
    <row r="3571">
      <c r="A3571" s="4" t="s">
        <v>22752</v>
      </c>
      <c r="B3571" s="4" t="s">
        <v>7116</v>
      </c>
      <c r="C3571" s="16" t="str">
        <f>IFERROR(__xludf.DUMMYFUNCTION(""""""""" &amp; REGEXEXTRACT(B3571, ""/detail/([^/?]+)"") &amp; """""","""),"""ijbfcacecjikacmkpnjekcjoidicclon"",")</f>
        <v>"ijbfcacecjikacmkpnjekcjoidicclon",</v>
      </c>
    </row>
    <row r="3572">
      <c r="A3572" s="4" t="s">
        <v>22753</v>
      </c>
      <c r="B3572" s="4" t="s">
        <v>7118</v>
      </c>
      <c r="C3572" s="16" t="str">
        <f>IFERROR(__xludf.DUMMYFUNCTION(""""""""" &amp; REGEXEXTRACT(B3572, ""/detail/([^/?]+)"") &amp; """""","""),"""ijcheklmenppbikccakhlmmcbdjjcmgi"",")</f>
        <v>"ijcheklmenppbikccakhlmmcbdjjcmgi",</v>
      </c>
    </row>
    <row r="3573">
      <c r="A3573" s="4" t="s">
        <v>22754</v>
      </c>
      <c r="B3573" s="4" t="s">
        <v>7120</v>
      </c>
      <c r="C3573" s="16" t="str">
        <f>IFERROR(__xludf.DUMMYFUNCTION(""""""""" &amp; REGEXEXTRACT(B3573, ""/detail/([^/?]+)"") &amp; """""","""),"""ikfbkffbgkdghhnjfoomdkeifljlepah"",")</f>
        <v>"ikfbkffbgkdghhnjfoomdkeifljlepah",</v>
      </c>
    </row>
    <row r="3574">
      <c r="A3574" s="4" t="s">
        <v>22755</v>
      </c>
      <c r="B3574" s="4" t="s">
        <v>7122</v>
      </c>
      <c r="C3574" s="16" t="str">
        <f>IFERROR(__xludf.DUMMYFUNCTION(""""""""" &amp; REGEXEXTRACT(B3574, ""/detail/([^/?]+)"") &amp; """""","""),"""ikfngnkicddhaeccmccdlohnnnjmnhge"",")</f>
        <v>"ikfngnkicddhaeccmccdlohnnnjmnhge",</v>
      </c>
    </row>
    <row r="3575">
      <c r="A3575" s="4" t="s">
        <v>22756</v>
      </c>
      <c r="B3575" s="4" t="s">
        <v>7124</v>
      </c>
      <c r="C3575" s="16" t="str">
        <f>IFERROR(__xludf.DUMMYFUNCTION(""""""""" &amp; REGEXEXTRACT(B3575, ""/detail/([^/?]+)"") &amp; """""","""),"""iliikbbpieeccmklkfhpahakkekgffah"",")</f>
        <v>"iliikbbpieeccmklkfhpahakkekgffah",</v>
      </c>
    </row>
    <row r="3576">
      <c r="A3576" s="4" t="s">
        <v>22757</v>
      </c>
      <c r="B3576" s="4" t="s">
        <v>7126</v>
      </c>
      <c r="C3576" s="16" t="str">
        <f>IFERROR(__xludf.DUMMYFUNCTION(""""""""" &amp; REGEXEXTRACT(B3576, ""/detail/([^/?]+)"") &amp; """""","""),"""inkmmdhpebdaogigmlbhkfflcldnbbkb"",")</f>
        <v>"inkmmdhpebdaogigmlbhkfflcldnbbkb",</v>
      </c>
    </row>
    <row r="3577">
      <c r="A3577" s="4" t="s">
        <v>22758</v>
      </c>
      <c r="B3577" s="4" t="s">
        <v>7128</v>
      </c>
      <c r="C3577" s="16" t="str">
        <f>IFERROR(__xludf.DUMMYFUNCTION(""""""""" &amp; REGEXEXTRACT(B3577, ""/detail/([^/?]+)"") &amp; """""","""),"""inlphfnbcepbaogelcdakmekbckgaofo"",")</f>
        <v>"inlphfnbcepbaogelcdakmekbckgaofo",</v>
      </c>
    </row>
    <row r="3578">
      <c r="A3578" s="4" t="s">
        <v>22759</v>
      </c>
      <c r="B3578" s="4" t="s">
        <v>7130</v>
      </c>
      <c r="C3578" s="16" t="str">
        <f>IFERROR(__xludf.DUMMYFUNCTION(""""""""" &amp; REGEXEXTRACT(B3578, ""/detail/([^/?]+)"") &amp; """""","""),"""iopfooincihblbhjfhogkejlpmmabmcn"",")</f>
        <v>"iopfooincihblbhjfhogkejlpmmabmcn",</v>
      </c>
    </row>
    <row r="3579">
      <c r="A3579" s="4" t="s">
        <v>22760</v>
      </c>
      <c r="B3579" s="4" t="s">
        <v>7132</v>
      </c>
      <c r="C3579" s="16" t="str">
        <f>IFERROR(__xludf.DUMMYFUNCTION(""""""""" &amp; REGEXEXTRACT(B3579, ""/detail/([^/?]+)"") &amp; """""","""),"""ipgmnmdjjmipidgnhpcgippbmchbmgap"",")</f>
        <v>"ipgmnmdjjmipidgnhpcgippbmchbmgap",</v>
      </c>
    </row>
    <row r="3580">
      <c r="A3580" s="4" t="s">
        <v>22761</v>
      </c>
      <c r="B3580" s="4" t="s">
        <v>7134</v>
      </c>
      <c r="C3580" s="16" t="str">
        <f>IFERROR(__xludf.DUMMYFUNCTION(""""""""" &amp; REGEXEXTRACT(B3580, ""/detail/([^/?]+)"") &amp; """""","""),"""jbhejjmjopbmikcoffcckcnbaiohgbge"",")</f>
        <v>"jbhejjmjopbmikcoffcckcnbaiohgbge",</v>
      </c>
    </row>
    <row r="3581">
      <c r="A3581" s="4" t="s">
        <v>22762</v>
      </c>
      <c r="B3581" s="4" t="s">
        <v>7136</v>
      </c>
      <c r="C3581" s="16" t="str">
        <f>IFERROR(__xludf.DUMMYFUNCTION(""""""""" &amp; REGEXEXTRACT(B3581, ""/detail/([^/?]+)"") &amp; """""","""),"""jbjclilbjhgcidlgjkdkaagnijkgohnn"",")</f>
        <v>"jbjclilbjhgcidlgjkdkaagnijkgohnn",</v>
      </c>
    </row>
    <row r="3582">
      <c r="A3582" s="4" t="s">
        <v>22763</v>
      </c>
      <c r="B3582" s="4" t="s">
        <v>7138</v>
      </c>
      <c r="C3582" s="16" t="str">
        <f>IFERROR(__xludf.DUMMYFUNCTION(""""""""" &amp; REGEXEXTRACT(B3582, ""/detail/([^/?]+)"") &amp; """""","""),"""jbkgemmcefolmjpdjmjkecbdmelpjehn"",")</f>
        <v>"jbkgemmcefolmjpdjmjkecbdmelpjehn",</v>
      </c>
    </row>
    <row r="3583">
      <c r="A3583" s="4" t="s">
        <v>22764</v>
      </c>
      <c r="B3583" s="4" t="s">
        <v>7140</v>
      </c>
      <c r="C3583" s="16" t="str">
        <f>IFERROR(__xludf.DUMMYFUNCTION(""""""""" &amp; REGEXEXTRACT(B3583, ""/detail/([^/?]+)"") &amp; """""","""),"""jbnjlcapocfdcoieepfpmcjfjhjdfibo"",")</f>
        <v>"jbnjlcapocfdcoieepfpmcjfjhjdfibo",</v>
      </c>
    </row>
    <row r="3584">
      <c r="A3584" s="4" t="s">
        <v>22765</v>
      </c>
      <c r="B3584" s="4" t="s">
        <v>7142</v>
      </c>
      <c r="C3584" s="16" t="str">
        <f>IFERROR(__xludf.DUMMYFUNCTION(""""""""" &amp; REGEXEXTRACT(B3584, ""/detail/([^/?]+)"") &amp; """""","""),"""jcbdhcdpoagflgclgidimolohhmofnma"",")</f>
        <v>"jcbdhcdpoagflgclgidimolohhmofnma",</v>
      </c>
    </row>
    <row r="3585">
      <c r="A3585" s="4" t="s">
        <v>22766</v>
      </c>
      <c r="B3585" s="4" t="s">
        <v>7144</v>
      </c>
      <c r="C3585" s="16" t="str">
        <f>IFERROR(__xludf.DUMMYFUNCTION(""""""""" &amp; REGEXEXTRACT(B3585, ""/detail/([^/?]+)"") &amp; """""","""),"""jchnojkeefjdioodimacimfiefjdbpag"",")</f>
        <v>"jchnojkeefjdioodimacimfiefjdbpag",</v>
      </c>
    </row>
    <row r="3586">
      <c r="A3586" s="4" t="s">
        <v>22767</v>
      </c>
      <c r="B3586" s="4" t="s">
        <v>7146</v>
      </c>
      <c r="C3586" s="16" t="str">
        <f>IFERROR(__xludf.DUMMYFUNCTION(""""""""" &amp; REGEXEXTRACT(B3586, ""/detail/([^/?]+)"") &amp; """""","""),"""jcmaidkdmpnbnkahcpiiaobdokbjcjkg"",")</f>
        <v>"jcmaidkdmpnbnkahcpiiaobdokbjcjkg",</v>
      </c>
    </row>
    <row r="3587">
      <c r="A3587" s="4" t="s">
        <v>22768</v>
      </c>
      <c r="B3587" s="4" t="s">
        <v>7148</v>
      </c>
      <c r="C3587" s="16" t="str">
        <f>IFERROR(__xludf.DUMMYFUNCTION(""""""""" &amp; REGEXEXTRACT(B3587, ""/detail/([^/?]+)"") &amp; """""","""),"""jdkdfpbdfepbjjkcgpbicgffajbbmjin"",")</f>
        <v>"jdkdfpbdfepbjjkcgpbicgffajbbmjin",</v>
      </c>
    </row>
    <row r="3588">
      <c r="A3588" s="4" t="s">
        <v>22769</v>
      </c>
      <c r="B3588" s="4" t="s">
        <v>7150</v>
      </c>
      <c r="C3588" s="16" t="str">
        <f>IFERROR(__xludf.DUMMYFUNCTION(""""""""" &amp; REGEXEXTRACT(B3588, ""/detail/([^/?]+)"") &amp; """""","""),"""jecbmodojclbbpddaeiokmmiigamnkon"",")</f>
        <v>"jecbmodojclbbpddaeiokmmiigamnkon",</v>
      </c>
    </row>
    <row r="3589">
      <c r="A3589" s="4" t="s">
        <v>22770</v>
      </c>
      <c r="B3589" s="4" t="s">
        <v>7152</v>
      </c>
      <c r="C3589" s="16" t="str">
        <f>IFERROR(__xludf.DUMMYFUNCTION(""""""""" &amp; REGEXEXTRACT(B3589, ""/detail/([^/?]+)"") &amp; """""","""),"""jecfjjkhfhlcnagpnfkcgckmlbhilnba"",")</f>
        <v>"jecfjjkhfhlcnagpnfkcgckmlbhilnba",</v>
      </c>
    </row>
    <row r="3590">
      <c r="A3590" s="4" t="s">
        <v>22771</v>
      </c>
      <c r="B3590" s="4" t="s">
        <v>7154</v>
      </c>
      <c r="C3590" s="16" t="str">
        <f>IFERROR(__xludf.DUMMYFUNCTION(""""""""" &amp; REGEXEXTRACT(B3590, ""/detail/([^/?]+)"") &amp; """""","""),"""jehbplmdjbmcbbdlghcphdhfakcgaiaj"",")</f>
        <v>"jehbplmdjbmcbbdlghcphdhfakcgaiaj",</v>
      </c>
    </row>
    <row r="3591">
      <c r="A3591" s="4" t="s">
        <v>22772</v>
      </c>
      <c r="B3591" s="4" t="s">
        <v>7156</v>
      </c>
      <c r="C3591" s="16" t="str">
        <f>IFERROR(__xludf.DUMMYFUNCTION(""""""""" &amp; REGEXEXTRACT(B3591, ""/detail/([^/?]+)"") &amp; """""","""),"""jehoagbopeaefibnihnfgenfcilmcikj"",")</f>
        <v>"jehoagbopeaefibnihnfgenfcilmcikj",</v>
      </c>
    </row>
    <row r="3592">
      <c r="A3592" s="4" t="s">
        <v>22773</v>
      </c>
      <c r="B3592" s="4" t="s">
        <v>7158</v>
      </c>
      <c r="C3592" s="16" t="str">
        <f>IFERROR(__xludf.DUMMYFUNCTION(""""""""" &amp; REGEXEXTRACT(B3592, ""/detail/([^/?]+)"") &amp; """""","""),"""jelojgjhjelahgpnagjbebbcedehkijl"",")</f>
        <v>"jelojgjhjelahgpnagjbebbcedehkijl",</v>
      </c>
    </row>
    <row r="3593">
      <c r="A3593" s="4" t="s">
        <v>22774</v>
      </c>
      <c r="B3593" s="4" t="s">
        <v>7160</v>
      </c>
      <c r="C3593" s="16" t="str">
        <f>IFERROR(__xludf.DUMMYFUNCTION(""""""""" &amp; REGEXEXTRACT(B3593, ""/detail/([^/?]+)"") &amp; """""","""),"""jfipdgenfgpoakdfnndhkgjnnopnlohn"",")</f>
        <v>"jfipdgenfgpoakdfnndhkgjnnopnlohn",</v>
      </c>
    </row>
    <row r="3594">
      <c r="A3594" s="4" t="s">
        <v>22775</v>
      </c>
      <c r="B3594" s="4" t="s">
        <v>7162</v>
      </c>
      <c r="C3594" s="16" t="str">
        <f>IFERROR(__xludf.DUMMYFUNCTION(""""""""" &amp; REGEXEXTRACT(B3594, ""/detail/([^/?]+)"") &amp; """""","""),"""jfjcobdgpgnlhbibdbobbplehgkmjdni"",")</f>
        <v>"jfjcobdgpgnlhbibdbobbplehgkmjdni",</v>
      </c>
    </row>
    <row r="3595">
      <c r="A3595" s="4" t="s">
        <v>22776</v>
      </c>
      <c r="B3595" s="4" t="s">
        <v>7164</v>
      </c>
      <c r="C3595" s="16" t="str">
        <f>IFERROR(__xludf.DUMMYFUNCTION(""""""""" &amp; REGEXEXTRACT(B3595, ""/detail/([^/?]+)"") &amp; """""","""),"""jfjmncmbmpnaljmmcmeefmkmionkojmd"",")</f>
        <v>"jfjmncmbmpnaljmmcmeefmkmionkojmd",</v>
      </c>
    </row>
    <row r="3596">
      <c r="A3596" s="4" t="s">
        <v>22777</v>
      </c>
      <c r="B3596" s="4" t="s">
        <v>7166</v>
      </c>
      <c r="C3596" s="16" t="str">
        <f>IFERROR(__xludf.DUMMYFUNCTION(""""""""" &amp; REGEXEXTRACT(B3596, ""/detail/([^/?]+)"") &amp; """""","""),"""jgcnopjghjlddcncaiohpbchlojdhgde"",")</f>
        <v>"jgcnopjghjlddcncaiohpbchlojdhgde",</v>
      </c>
    </row>
    <row r="3597">
      <c r="A3597" s="4" t="s">
        <v>22778</v>
      </c>
      <c r="B3597" s="4" t="s">
        <v>7168</v>
      </c>
      <c r="C3597" s="16" t="str">
        <f>IFERROR(__xludf.DUMMYFUNCTION(""""""""" &amp; REGEXEXTRACT(B3597, ""/detail/([^/?]+)"") &amp; """""","""),"""jgimcbonbekgeahallgcmiibdidjeeim"",")</f>
        <v>"jgimcbonbekgeahallgcmiibdidjeeim",</v>
      </c>
    </row>
    <row r="3598">
      <c r="A3598" s="4" t="s">
        <v>22779</v>
      </c>
      <c r="B3598" s="4" t="s">
        <v>7170</v>
      </c>
      <c r="C3598" s="16" t="str">
        <f>IFERROR(__xludf.DUMMYFUNCTION(""""""""" &amp; REGEXEXTRACT(B3598, ""/detail/([^/?]+)"") &amp; """""","""),"""jglhicdjgkdpoeepmenmpkdnfbekdoko"",")</f>
        <v>"jglhicdjgkdpoeepmenmpkdnfbekdoko",</v>
      </c>
    </row>
    <row r="3599">
      <c r="A3599" s="4" t="s">
        <v>22780</v>
      </c>
      <c r="B3599" s="4" t="s">
        <v>7172</v>
      </c>
      <c r="C3599" s="16" t="str">
        <f>IFERROR(__xludf.DUMMYFUNCTION(""""""""" &amp; REGEXEXTRACT(B3599, ""/detail/([^/?]+)"") &amp; """""","""),"""jhcemppcfhghdemjhckgjnhfjhpglaic"",")</f>
        <v>"jhcemppcfhghdemjhckgjnhfjhpglaic",</v>
      </c>
    </row>
    <row r="3600">
      <c r="A3600" s="4" t="s">
        <v>22781</v>
      </c>
      <c r="B3600" s="4" t="s">
        <v>7174</v>
      </c>
      <c r="C3600" s="16" t="str">
        <f>IFERROR(__xludf.DUMMYFUNCTION(""""""""" &amp; REGEXEXTRACT(B3600, ""/detail/([^/?]+)"") &amp; """""","""),"""jhldepncoippkjgjkmambfglddmjdmaj"",")</f>
        <v>"jhldepncoippkjgjkmambfglddmjdmaj",</v>
      </c>
    </row>
    <row r="3601">
      <c r="A3601" s="4" t="s">
        <v>22782</v>
      </c>
      <c r="B3601" s="4" t="s">
        <v>7176</v>
      </c>
      <c r="C3601" s="16" t="str">
        <f>IFERROR(__xludf.DUMMYFUNCTION(""""""""" &amp; REGEXEXTRACT(B3601, ""/detail/([^/?]+)"") &amp; """""","""),"""jhongcfphlabkimfoamdbffjgifglifk"",")</f>
        <v>"jhongcfphlabkimfoamdbffjgifglifk",</v>
      </c>
    </row>
    <row r="3602">
      <c r="A3602" s="4" t="s">
        <v>22783</v>
      </c>
      <c r="B3602" s="4" t="s">
        <v>7178</v>
      </c>
      <c r="C3602" s="16" t="str">
        <f>IFERROR(__xludf.DUMMYFUNCTION(""""""""" &amp; REGEXEXTRACT(B3602, ""/detail/([^/?]+)"") &amp; """""","""),"""jjbmdpbkacodjafhgffajjkklehlfall"",")</f>
        <v>"jjbmdpbkacodjafhgffajjkklehlfall",</v>
      </c>
    </row>
    <row r="3603">
      <c r="A3603" s="4" t="s">
        <v>22784</v>
      </c>
      <c r="B3603" s="4" t="s">
        <v>7180</v>
      </c>
      <c r="C3603" s="16" t="str">
        <f>IFERROR(__xludf.DUMMYFUNCTION(""""""""" &amp; REGEXEXTRACT(B3603, ""/detail/([^/?]+)"") &amp; """""","""),"""jjhpikpjjhlcmifagompgmhkjalhjopj"",")</f>
        <v>"jjhpikpjjhlcmifagompgmhkjalhjopj",</v>
      </c>
    </row>
    <row r="3604">
      <c r="A3604" s="4" t="s">
        <v>22785</v>
      </c>
      <c r="B3604" s="4" t="s">
        <v>7182</v>
      </c>
      <c r="C3604" s="16" t="str">
        <f>IFERROR(__xludf.DUMMYFUNCTION(""""""""" &amp; REGEXEXTRACT(B3604, ""/detail/([^/?]+)"") &amp; """""","""),"""jjielhkllbondoilpemfgocfmaadbanm"",")</f>
        <v>"jjielhkllbondoilpemfgocfmaadbanm",</v>
      </c>
    </row>
    <row r="3605">
      <c r="A3605" s="4" t="s">
        <v>22786</v>
      </c>
      <c r="B3605" s="4" t="s">
        <v>7184</v>
      </c>
      <c r="C3605" s="16" t="str">
        <f>IFERROR(__xludf.DUMMYFUNCTION(""""""""" &amp; REGEXEXTRACT(B3605, ""/detail/([^/?]+)"") &amp; """""","""),"""jkpcelefglapiahikhocfdcigfpaagcl"",")</f>
        <v>"jkpcelefglapiahikhocfdcigfpaagcl",</v>
      </c>
    </row>
    <row r="3606">
      <c r="A3606" s="4" t="s">
        <v>22787</v>
      </c>
      <c r="B3606" s="4" t="s">
        <v>7186</v>
      </c>
      <c r="C3606" s="16" t="str">
        <f>IFERROR(__xludf.DUMMYFUNCTION(""""""""" &amp; REGEXEXTRACT(B3606, ""/detail/([^/?]+)"") &amp; """""","""),"""jmkhcdngpkacgjkmpnkhbocdemapfhhl"",")</f>
        <v>"jmkhcdngpkacgjkmpnkhbocdemapfhhl",</v>
      </c>
    </row>
    <row r="3607">
      <c r="A3607" s="4" t="s">
        <v>22788</v>
      </c>
      <c r="B3607" s="4" t="s">
        <v>7188</v>
      </c>
      <c r="C3607" s="16" t="str">
        <f>IFERROR(__xludf.DUMMYFUNCTION(""""""""" &amp; REGEXEXTRACT(B3607, ""/detail/([^/?]+)"") &amp; """""","""),"""jmpmiaajjammeafdklfobkfaobinefef"",")</f>
        <v>"jmpmiaajjammeafdklfobkfaobinefef",</v>
      </c>
    </row>
    <row r="3608">
      <c r="A3608" s="4" t="s">
        <v>22789</v>
      </c>
      <c r="B3608" s="4" t="s">
        <v>7190</v>
      </c>
      <c r="C3608" s="16" t="str">
        <f>IFERROR(__xludf.DUMMYFUNCTION(""""""""" &amp; REGEXEXTRACT(B3608, ""/detail/([^/?]+)"") &amp; """""","""),"""jnflefkepapddpkpiaghionnflkhfjmp"",")</f>
        <v>"jnflefkepapddpkpiaghionnflkhfjmp",</v>
      </c>
    </row>
    <row r="3609">
      <c r="A3609" s="4" t="s">
        <v>22790</v>
      </c>
      <c r="B3609" s="4" t="s">
        <v>7192</v>
      </c>
      <c r="C3609" s="16" t="str">
        <f>IFERROR(__xludf.DUMMYFUNCTION(""""""""" &amp; REGEXEXTRACT(B3609, ""/detail/([^/?]+)"") &amp; """""","""),"""jnjglafkllnhclhmcjbhigkfnfollfjl"",")</f>
        <v>"jnjglafkllnhclhmcjbhigkfnfollfjl",</v>
      </c>
    </row>
    <row r="3610">
      <c r="A3610" s="4" t="s">
        <v>22791</v>
      </c>
      <c r="B3610" s="4" t="s">
        <v>7194</v>
      </c>
      <c r="C3610" s="16" t="str">
        <f>IFERROR(__xludf.DUMMYFUNCTION(""""""""" &amp; REGEXEXTRACT(B3610, ""/detail/([^/?]+)"") &amp; """""","""),"""jnmjaglhmmcplekpfnblniiammmdpaan"",")</f>
        <v>"jnmjaglhmmcplekpfnblniiammmdpaan",</v>
      </c>
    </row>
    <row r="3611">
      <c r="A3611" s="4" t="s">
        <v>22792</v>
      </c>
      <c r="B3611" s="4" t="s">
        <v>7196</v>
      </c>
      <c r="C3611" s="16" t="str">
        <f>IFERROR(__xludf.DUMMYFUNCTION(""""""""" &amp; REGEXEXTRACT(B3611, ""/detail/([^/?]+)"") &amp; """""","""),"""jpampamblikognkmdnphbcajcmiaclmo"",")</f>
        <v>"jpampamblikognkmdnphbcajcmiaclmo",</v>
      </c>
    </row>
    <row r="3612">
      <c r="A3612" s="4" t="s">
        <v>22793</v>
      </c>
      <c r="B3612" s="4" t="s">
        <v>7198</v>
      </c>
      <c r="C3612" s="16" t="str">
        <f>IFERROR(__xludf.DUMMYFUNCTION(""""""""" &amp; REGEXEXTRACT(B3612, ""/detail/([^/?]+)"") &amp; """""","""),"""jpelibdllbipgjlnpmanoldlcbjbnelo"",")</f>
        <v>"jpelibdllbipgjlnpmanoldlcbjbnelo",</v>
      </c>
    </row>
    <row r="3613">
      <c r="A3613" s="4" t="s">
        <v>22794</v>
      </c>
      <c r="B3613" s="4" t="s">
        <v>7200</v>
      </c>
      <c r="C3613" s="16" t="str">
        <f>IFERROR(__xludf.DUMMYFUNCTION(""""""""" &amp; REGEXEXTRACT(B3613, ""/detail/([^/?]+)"") &amp; """""","""),"""jpeoinaammomobckocmbgihidfjbcnmo"",")</f>
        <v>"jpeoinaammomobckocmbgihidfjbcnmo",</v>
      </c>
    </row>
    <row r="3614">
      <c r="A3614" s="4" t="s">
        <v>22795</v>
      </c>
      <c r="B3614" s="4" t="s">
        <v>7202</v>
      </c>
      <c r="C3614" s="16" t="str">
        <f>IFERROR(__xludf.DUMMYFUNCTION(""""""""" &amp; REGEXEXTRACT(B3614, ""/detail/([^/?]+)"") &amp; """""","""),"""jpfnihbghaikdicpdiciecbbdoegcfhc"",")</f>
        <v>"jpfnihbghaikdicpdiciecbbdoegcfhc",</v>
      </c>
    </row>
    <row r="3615">
      <c r="A3615" s="4" t="s">
        <v>22796</v>
      </c>
      <c r="B3615" s="4" t="s">
        <v>7204</v>
      </c>
      <c r="C3615" s="16" t="str">
        <f>IFERROR(__xludf.DUMMYFUNCTION(""""""""" &amp; REGEXEXTRACT(B3615, ""/detail/([^/?]+)"") &amp; """""","""),"""jpjjgdaekibbfkagoaalobjonlfplodg"",")</f>
        <v>"jpjjgdaekibbfkagoaalobjonlfplodg",</v>
      </c>
    </row>
    <row r="3616">
      <c r="A3616" s="4" t="s">
        <v>22797</v>
      </c>
      <c r="B3616" s="4" t="s">
        <v>7206</v>
      </c>
      <c r="C3616" s="16" t="str">
        <f>IFERROR(__xludf.DUMMYFUNCTION(""""""""" &amp; REGEXEXTRACT(B3616, ""/detail/([^/?]+)"") &amp; """""","""),"""kahgfgghgkbdbgahgmaoagapigcohbih"",")</f>
        <v>"kahgfgghgkbdbgahgmaoagapigcohbih",</v>
      </c>
    </row>
    <row r="3617">
      <c r="A3617" s="4" t="s">
        <v>22798</v>
      </c>
      <c r="B3617" s="4" t="s">
        <v>7208</v>
      </c>
      <c r="C3617" s="16" t="str">
        <f>IFERROR(__xludf.DUMMYFUNCTION(""""""""" &amp; REGEXEXTRACT(B3617, ""/detail/([^/?]+)"") &amp; """""","""),"""kaippllfihpjicemabbbcljbmcpccabl"",")</f>
        <v>"kaippllfihpjicemabbbcljbmcpccabl",</v>
      </c>
    </row>
    <row r="3618">
      <c r="A3618" s="4" t="s">
        <v>22799</v>
      </c>
      <c r="B3618" s="4" t="s">
        <v>7210</v>
      </c>
      <c r="C3618" s="16" t="str">
        <f>IFERROR(__xludf.DUMMYFUNCTION(""""""""" &amp; REGEXEXTRACT(B3618, ""/detail/([^/?]+)"") &amp; """""","""),"""kaplhmhahkanhjahbdbaamdaililfmkj"",")</f>
        <v>"kaplhmhahkanhjahbdbaamdaililfmkj",</v>
      </c>
    </row>
    <row r="3619">
      <c r="A3619" s="4" t="s">
        <v>22800</v>
      </c>
      <c r="B3619" s="4" t="s">
        <v>7212</v>
      </c>
      <c r="C3619" s="16" t="str">
        <f>IFERROR(__xludf.DUMMYFUNCTION(""""""""" &amp; REGEXEXTRACT(B3619, ""/detail/([^/?]+)"") &amp; """""","""),"""kbbjgmpfbfcpdbjjpnmlblohndobdcco"",")</f>
        <v>"kbbjgmpfbfcpdbjjpnmlblohndobdcco",</v>
      </c>
    </row>
    <row r="3620">
      <c r="A3620" s="4" t="s">
        <v>22801</v>
      </c>
      <c r="B3620" s="4" t="s">
        <v>7214</v>
      </c>
      <c r="C3620" s="16" t="str">
        <f>IFERROR(__xludf.DUMMYFUNCTION(""""""""" &amp; REGEXEXTRACT(B3620, ""/detail/([^/?]+)"") &amp; """""","""),"""kbbmeeflfcjnbeelhinbnlmdjmekfhbm"",")</f>
        <v>"kbbmeeflfcjnbeelhinbnlmdjmekfhbm",</v>
      </c>
    </row>
    <row r="3621">
      <c r="A3621" s="4" t="s">
        <v>22802</v>
      </c>
      <c r="B3621" s="4" t="s">
        <v>7216</v>
      </c>
      <c r="C3621" s="16" t="str">
        <f>IFERROR(__xludf.DUMMYFUNCTION(""""""""" &amp; REGEXEXTRACT(B3621, ""/detail/([^/?]+)"") &amp; """""","""),"""kbipbobgpnhgghikihmodppmfbkbmgfj"",")</f>
        <v>"kbipbobgpnhgghikihmodppmfbkbmgfj",</v>
      </c>
    </row>
    <row r="3622">
      <c r="A3622" s="4" t="s">
        <v>22803</v>
      </c>
      <c r="B3622" s="4" t="s">
        <v>7218</v>
      </c>
      <c r="C3622" s="16" t="str">
        <f>IFERROR(__xludf.DUMMYFUNCTION(""""""""" &amp; REGEXEXTRACT(B3622, ""/detail/([^/?]+)"") &amp; """""","""),"""kbnckhjhgepdfhgnklcffikhfndhfgfc"",")</f>
        <v>"kbnckhjhgepdfhgnklcffikhfndhfgfc",</v>
      </c>
    </row>
    <row r="3623">
      <c r="A3623" s="4" t="s">
        <v>22804</v>
      </c>
      <c r="B3623" s="4" t="s">
        <v>7220</v>
      </c>
      <c r="C3623" s="16" t="str">
        <f>IFERROR(__xludf.DUMMYFUNCTION(""""""""" &amp; REGEXEXTRACT(B3623, ""/detail/([^/?]+)"") &amp; """""","""),"""kcplfgklelmfcockoimjkdgnlkbfgkjf"",")</f>
        <v>"kcplfgklelmfcockoimjkdgnlkbfgkjf",</v>
      </c>
    </row>
    <row r="3624">
      <c r="A3624" s="4" t="s">
        <v>22805</v>
      </c>
      <c r="B3624" s="4" t="s">
        <v>7222</v>
      </c>
      <c r="C3624" s="16" t="str">
        <f>IFERROR(__xludf.DUMMYFUNCTION(""""""""" &amp; REGEXEXTRACT(B3624, ""/detail/([^/?]+)"") &amp; """""","""),"""kdbneplgbhkphiaiompcaodcdlegggdg"",")</f>
        <v>"kdbneplgbhkphiaiompcaodcdlegggdg",</v>
      </c>
    </row>
    <row r="3625">
      <c r="A3625" s="4" t="s">
        <v>22806</v>
      </c>
      <c r="B3625" s="4" t="s">
        <v>7224</v>
      </c>
      <c r="C3625" s="16" t="str">
        <f>IFERROR(__xludf.DUMMYFUNCTION(""""""""" &amp; REGEXEXTRACT(B3625, ""/detail/([^/?]+)"") &amp; """""","""),"""kddlkbpbepnaepdleclhdnfdpdogdhop"",")</f>
        <v>"kddlkbpbepnaepdleclhdnfdpdogdhop",</v>
      </c>
    </row>
    <row r="3626">
      <c r="A3626" s="4" t="s">
        <v>22807</v>
      </c>
      <c r="B3626" s="4" t="s">
        <v>7226</v>
      </c>
      <c r="C3626" s="16" t="str">
        <f>IFERROR(__xludf.DUMMYFUNCTION(""""""""" &amp; REGEXEXTRACT(B3626, ""/detail/([^/?]+)"") &amp; """""","""),"""kdhkghpcffppoodbinndeglnndbgdpkf"",")</f>
        <v>"kdhkghpcffppoodbinndeglnndbgdpkf",</v>
      </c>
    </row>
    <row r="3627">
      <c r="A3627" s="4" t="s">
        <v>22808</v>
      </c>
      <c r="B3627" s="4" t="s">
        <v>7228</v>
      </c>
      <c r="C3627" s="16" t="str">
        <f>IFERROR(__xludf.DUMMYFUNCTION(""""""""" &amp; REGEXEXTRACT(B3627, ""/detail/([^/?]+)"") &amp; """""","""),"""kdnfiaaebipjfmlajbklkkcgkddakdnf"",")</f>
        <v>"kdnfiaaebipjfmlajbklkkcgkddakdnf",</v>
      </c>
    </row>
    <row r="3628">
      <c r="A3628" s="4" t="s">
        <v>22809</v>
      </c>
      <c r="B3628" s="4" t="s">
        <v>7230</v>
      </c>
      <c r="C3628" s="16" t="str">
        <f>IFERROR(__xludf.DUMMYFUNCTION(""""""""" &amp; REGEXEXTRACT(B3628, ""/detail/([^/?]+)"") &amp; """""","""),"""kdogdkfddoankbmhceckddidofffobab"",")</f>
        <v>"kdogdkfddoankbmhceckddidofffobab",</v>
      </c>
    </row>
    <row r="3629">
      <c r="A3629" s="4" t="s">
        <v>22810</v>
      </c>
      <c r="B3629" s="4" t="s">
        <v>7232</v>
      </c>
      <c r="C3629" s="16" t="str">
        <f>IFERROR(__xludf.DUMMYFUNCTION(""""""""" &amp; REGEXEXTRACT(B3629, ""/detail/([^/?]+)"") &amp; """""","""),"""kelnjkckgoidifjnpldnhhamcmhhachc"",")</f>
        <v>"kelnjkckgoidifjnpldnhhamcmhhachc",</v>
      </c>
    </row>
    <row r="3630">
      <c r="A3630" s="4" t="s">
        <v>22811</v>
      </c>
      <c r="B3630" s="4" t="s">
        <v>7234</v>
      </c>
      <c r="C3630" s="16" t="str">
        <f>IFERROR(__xludf.DUMMYFUNCTION(""""""""" &amp; REGEXEXTRACT(B3630, ""/detail/([^/?]+)"") &amp; """""","""),"""kfjkodkjnmdeookccjmcdbhhpbgkoche"",")</f>
        <v>"kfjkodkjnmdeookccjmcdbhhpbgkoche",</v>
      </c>
    </row>
    <row r="3631">
      <c r="A3631" s="4" t="s">
        <v>22812</v>
      </c>
      <c r="B3631" s="4" t="s">
        <v>7235</v>
      </c>
      <c r="C3631" s="16" t="str">
        <f>IFERROR(__xludf.DUMMYFUNCTION(""""""""" &amp; REGEXEXTRACT(B3631, ""/detail/([^/?]+)"") &amp; """""","""),"""kgcldhfjkmojjlpkcigpfbdkbhcaeomd"",")</f>
        <v>"kgcldhfjkmojjlpkcigpfbdkbhcaeomd",</v>
      </c>
    </row>
    <row r="3632">
      <c r="A3632" s="4" t="s">
        <v>22813</v>
      </c>
      <c r="B3632" s="4" t="s">
        <v>7237</v>
      </c>
      <c r="C3632" s="16" t="str">
        <f>IFERROR(__xludf.DUMMYFUNCTION(""""""""" &amp; REGEXEXTRACT(B3632, ""/detail/([^/?]+)"") &amp; """""","""),"""kgdbcpllbbnimjgoiomfdebldcofmlbl"",")</f>
        <v>"kgdbcpllbbnimjgoiomfdebldcofmlbl",</v>
      </c>
    </row>
    <row r="3633">
      <c r="A3633" s="4" t="s">
        <v>22814</v>
      </c>
      <c r="B3633" s="4" t="s">
        <v>7239</v>
      </c>
      <c r="C3633" s="16" t="str">
        <f>IFERROR(__xludf.DUMMYFUNCTION(""""""""" &amp; REGEXEXTRACT(B3633, ""/detail/([^/?]+)"") &amp; """""","""),"""kgfmoklaodpeeldpdkakejcdlcekhdje"",")</f>
        <v>"kgfmoklaodpeeldpdkakejcdlcekhdje",</v>
      </c>
    </row>
    <row r="3634">
      <c r="A3634" s="4" t="s">
        <v>22815</v>
      </c>
      <c r="B3634" s="4" t="s">
        <v>7241</v>
      </c>
      <c r="C3634" s="16" t="str">
        <f>IFERROR(__xludf.DUMMYFUNCTION(""""""""" &amp; REGEXEXTRACT(B3634, ""/detail/([^/?]+)"") &amp; """""","""),"""kgjaddbcmpmacilgaekjfelhdebfjgib"",")</f>
        <v>"kgjaddbcmpmacilgaekjfelhdebfjgib",</v>
      </c>
    </row>
    <row r="3635">
      <c r="A3635" s="4" t="s">
        <v>22816</v>
      </c>
      <c r="B3635" s="4" t="s">
        <v>7243</v>
      </c>
      <c r="C3635" s="16" t="str">
        <f>IFERROR(__xludf.DUMMYFUNCTION(""""""""" &amp; REGEXEXTRACT(B3635, ""/detail/([^/?]+)"") &amp; """""","""),"""kgnigbfnfjgpfaiaafcbgdkpalapiinb"",")</f>
        <v>"kgnigbfnfjgpfaiaafcbgdkpalapiinb",</v>
      </c>
    </row>
    <row r="3636">
      <c r="A3636" s="4" t="s">
        <v>22817</v>
      </c>
      <c r="B3636" s="4" t="s">
        <v>7245</v>
      </c>
      <c r="C3636" s="16" t="str">
        <f>IFERROR(__xludf.DUMMYFUNCTION(""""""""" &amp; REGEXEXTRACT(B3636, ""/detail/([^/?]+)"") &amp; """""","""),"""khclkgjdjddedohnomokbhinlmpclick"",")</f>
        <v>"khclkgjdjddedohnomokbhinlmpclick",</v>
      </c>
    </row>
    <row r="3637">
      <c r="A3637" s="4" t="s">
        <v>22818</v>
      </c>
      <c r="B3637" s="4" t="s">
        <v>7247</v>
      </c>
      <c r="C3637" s="16" t="str">
        <f>IFERROR(__xludf.DUMMYFUNCTION(""""""""" &amp; REGEXEXTRACT(B3637, ""/detail/([^/?]+)"") &amp; """""","""),"""khildacmciagghamickjajfmhcbnkjhp"",")</f>
        <v>"khildacmciagghamickjajfmhcbnkjhp",</v>
      </c>
    </row>
    <row r="3638">
      <c r="A3638" s="4" t="s">
        <v>22819</v>
      </c>
      <c r="B3638" s="4" t="s">
        <v>7249</v>
      </c>
      <c r="C3638" s="16" t="str">
        <f>IFERROR(__xludf.DUMMYFUNCTION(""""""""" &amp; REGEXEXTRACT(B3638, ""/detail/([^/?]+)"") &amp; """""","""),"""kignegkkmknfpincglcjggfbgghpamim"",")</f>
        <v>"kignegkkmknfpincglcjggfbgghpamim",</v>
      </c>
    </row>
    <row r="3639">
      <c r="A3639" s="4" t="s">
        <v>22820</v>
      </c>
      <c r="B3639" s="4" t="s">
        <v>7251</v>
      </c>
      <c r="C3639" s="16" t="str">
        <f>IFERROR(__xludf.DUMMYFUNCTION(""""""""" &amp; REGEXEXTRACT(B3639, ""/detail/([^/?]+)"") &amp; """""","""),"""kiohphgncdnnnnlgcimjpfffjdhbbnmo"",")</f>
        <v>"kiohphgncdnnnnlgcimjpfffjdhbbnmo",</v>
      </c>
    </row>
    <row r="3640">
      <c r="A3640" s="4" t="s">
        <v>22821</v>
      </c>
      <c r="B3640" s="4" t="s">
        <v>7253</v>
      </c>
      <c r="C3640" s="16" t="str">
        <f>IFERROR(__xludf.DUMMYFUNCTION(""""""""" &amp; REGEXEXTRACT(B3640, ""/detail/([^/?]+)"") &amp; """""","""),"""kioijmpindokaaahaeigkkkbogccljhm"",")</f>
        <v>"kioijmpindokaaahaeigkkkbogccljhm",</v>
      </c>
    </row>
    <row r="3641">
      <c r="A3641" s="4" t="s">
        <v>22822</v>
      </c>
      <c r="B3641" s="4" t="s">
        <v>7255</v>
      </c>
      <c r="C3641" s="16" t="str">
        <f>IFERROR(__xludf.DUMMYFUNCTION(""""""""" &amp; REGEXEXTRACT(B3641, ""/detail/([^/?]+)"") &amp; """""","""),"""kkggidpacdaijlgpigfjpdedcffjddec"",")</f>
        <v>"kkggidpacdaijlgpigfjpdedcffjddec",</v>
      </c>
    </row>
    <row r="3642">
      <c r="A3642" s="4" t="s">
        <v>22823</v>
      </c>
      <c r="B3642" s="4" t="s">
        <v>7257</v>
      </c>
      <c r="C3642" s="16" t="str">
        <f>IFERROR(__xludf.DUMMYFUNCTION(""""""""" &amp; REGEXEXTRACT(B3642, ""/detail/([^/?]+)"") &amp; """""","""),"""kkgjcknlnbcciacdklmnafmfcfjnpcja"",")</f>
        <v>"kkgjcknlnbcciacdklmnafmfcfjnpcja",</v>
      </c>
    </row>
    <row r="3643">
      <c r="A3643" s="4" t="s">
        <v>22824</v>
      </c>
      <c r="B3643" s="4" t="s">
        <v>7259</v>
      </c>
      <c r="C3643" s="16" t="str">
        <f>IFERROR(__xludf.DUMMYFUNCTION(""""""""" &amp; REGEXEXTRACT(B3643, ""/detail/([^/?]+)"") &amp; """""","""),"""kkhpoabcjhecnadcnkgldgpfbncbjfjj"",")</f>
        <v>"kkhpoabcjhecnadcnkgldgpfbncbjfjj",</v>
      </c>
    </row>
    <row r="3644">
      <c r="A3644" s="4" t="s">
        <v>22825</v>
      </c>
      <c r="B3644" s="4" t="s">
        <v>7261</v>
      </c>
      <c r="C3644" s="16" t="str">
        <f>IFERROR(__xludf.DUMMYFUNCTION(""""""""" &amp; REGEXEXTRACT(B3644, ""/detail/([^/?]+)"") &amp; """""","""),"""kkokonbjllgdmblmbichgkkikhlcnekp"",")</f>
        <v>"kkokonbjllgdmblmbichgkkikhlcnekp",</v>
      </c>
    </row>
    <row r="3645">
      <c r="A3645" s="4" t="s">
        <v>22826</v>
      </c>
      <c r="B3645" s="4" t="s">
        <v>7263</v>
      </c>
      <c r="C3645" s="16" t="str">
        <f>IFERROR(__xludf.DUMMYFUNCTION(""""""""" &amp; REGEXEXTRACT(B3645, ""/detail/([^/?]+)"") &amp; """""","""),"""kmcinnefmnkfnmnmijfmbiaflncfifcn"",")</f>
        <v>"kmcinnefmnkfnmnmijfmbiaflncfifcn",</v>
      </c>
    </row>
    <row r="3646">
      <c r="A3646" s="4" t="s">
        <v>22827</v>
      </c>
      <c r="B3646" s="4" t="s">
        <v>7265</v>
      </c>
      <c r="C3646" s="16" t="str">
        <f>IFERROR(__xludf.DUMMYFUNCTION(""""""""" &amp; REGEXEXTRACT(B3646, ""/detail/([^/?]+)"") &amp; """""","""),"""kmdjdpdfgcfhcgdnalbkieekamggeceg"",")</f>
        <v>"kmdjdpdfgcfhcgdnalbkieekamggeceg",</v>
      </c>
    </row>
    <row r="3647">
      <c r="A3647" s="4" t="s">
        <v>22828</v>
      </c>
      <c r="B3647" s="4" t="s">
        <v>7267</v>
      </c>
      <c r="C3647" s="16" t="str">
        <f>IFERROR(__xludf.DUMMYFUNCTION(""""""""" &amp; REGEXEXTRACT(B3647, ""/detail/([^/?]+)"") &amp; """""","""),"""kmeepaldeebnneongokliggiocmbldfh"",")</f>
        <v>"kmeepaldeebnneongokliggiocmbldfh",</v>
      </c>
    </row>
    <row r="3648">
      <c r="A3648" s="4" t="s">
        <v>22829</v>
      </c>
      <c r="B3648" s="4" t="s">
        <v>7269</v>
      </c>
      <c r="C3648" s="16" t="str">
        <f>IFERROR(__xludf.DUMMYFUNCTION(""""""""" &amp; REGEXEXTRACT(B3648, ""/detail/([^/?]+)"") &amp; """""","""),"""kmjgbjddieihpeglpobkhcnbejiooilh"",")</f>
        <v>"kmjgbjddieihpeglpobkhcnbejiooilh",</v>
      </c>
    </row>
    <row r="3649">
      <c r="A3649" s="4" t="s">
        <v>22830</v>
      </c>
      <c r="B3649" s="4" t="s">
        <v>7271</v>
      </c>
      <c r="C3649" s="16" t="str">
        <f>IFERROR(__xludf.DUMMYFUNCTION(""""""""" &amp; REGEXEXTRACT(B3649, ""/detail/([^/?]+)"") &amp; """""","""),"""kmnieaiikpcjjghapcpfcegmolinpadf"",")</f>
        <v>"kmnieaiikpcjjghapcpfcegmolinpadf",</v>
      </c>
    </row>
    <row r="3650">
      <c r="A3650" s="4" t="s">
        <v>22831</v>
      </c>
      <c r="B3650" s="4" t="s">
        <v>7273</v>
      </c>
      <c r="C3650" s="16" t="str">
        <f>IFERROR(__xludf.DUMMYFUNCTION(""""""""" &amp; REGEXEXTRACT(B3650, ""/detail/([^/?]+)"") &amp; """""","""),"""knplaemikhjcdnlgnjboeobcoipnaglf"",")</f>
        <v>"knplaemikhjcdnlgnjboeobcoipnaglf",</v>
      </c>
    </row>
    <row r="3651">
      <c r="A3651" s="4" t="s">
        <v>22832</v>
      </c>
      <c r="B3651" s="4" t="s">
        <v>7275</v>
      </c>
      <c r="C3651" s="16" t="str">
        <f>IFERROR(__xludf.DUMMYFUNCTION(""""""""" &amp; REGEXEXTRACT(B3651, ""/detail/([^/?]+)"") &amp; """""","""),"""kochicomoiaalkibahlmglcjdmpeeplj"",")</f>
        <v>"kochicomoiaalkibahlmglcjdmpeeplj",</v>
      </c>
    </row>
    <row r="3652">
      <c r="A3652" s="4" t="s">
        <v>22833</v>
      </c>
      <c r="B3652" s="4" t="s">
        <v>7277</v>
      </c>
      <c r="C3652" s="16" t="str">
        <f>IFERROR(__xludf.DUMMYFUNCTION(""""""""" &amp; REGEXEXTRACT(B3652, ""/detail/([^/?]+)"") &amp; """""","""),"""kofgbkkedcjbnabgeagelhdedhfeehnd"",")</f>
        <v>"kofgbkkedcjbnabgeagelhdedhfeehnd",</v>
      </c>
    </row>
    <row r="3653">
      <c r="A3653" s="4" t="s">
        <v>22834</v>
      </c>
      <c r="B3653" s="4" t="s">
        <v>7279</v>
      </c>
      <c r="C3653" s="16" t="str">
        <f>IFERROR(__xludf.DUMMYFUNCTION(""""""""" &amp; REGEXEXTRACT(B3653, ""/detail/([^/?]+)"") &amp; """""","""),"""kpbpniempdinfjfgphomcfkijinlgfgj"",")</f>
        <v>"kpbpniempdinfjfgphomcfkijinlgfgj",</v>
      </c>
    </row>
    <row r="3654">
      <c r="A3654" s="4" t="s">
        <v>22835</v>
      </c>
      <c r="B3654" s="4" t="s">
        <v>7281</v>
      </c>
      <c r="C3654" s="16" t="str">
        <f>IFERROR(__xludf.DUMMYFUNCTION(""""""""" &amp; REGEXEXTRACT(B3654, ""/detail/([^/?]+)"") &amp; """""","""),"""kpdfmmfeoffigfodpohjpldpikdfgbhe"",")</f>
        <v>"kpdfmmfeoffigfodpohjpldpikdfgbhe",</v>
      </c>
    </row>
    <row r="3655">
      <c r="A3655" s="4" t="s">
        <v>22836</v>
      </c>
      <c r="B3655" s="4" t="s">
        <v>7283</v>
      </c>
      <c r="C3655" s="16" t="str">
        <f>IFERROR(__xludf.DUMMYFUNCTION(""""""""" &amp; REGEXEXTRACT(B3655, ""/detail/([^/?]+)"") &amp; """""","""),"""kppcdcpdknadnfdblpnknkpejminjlfn"",")</f>
        <v>"kppcdcpdknadnfdblpnknkpejminjlfn",</v>
      </c>
    </row>
    <row r="3656">
      <c r="A3656" s="4" t="s">
        <v>22837</v>
      </c>
      <c r="B3656" s="4" t="s">
        <v>7285</v>
      </c>
      <c r="C3656" s="16" t="str">
        <f>IFERROR(__xludf.DUMMYFUNCTION(""""""""" &amp; REGEXEXTRACT(B3656, ""/detail/([^/?]+)"") &amp; """""","""),"""laihjkjmijalhlehhhmeadpcgamgolga"",")</f>
        <v>"laihjkjmijalhlehhhmeadpcgamgolga",</v>
      </c>
    </row>
    <row r="3657">
      <c r="A3657" s="4" t="s">
        <v>22838</v>
      </c>
      <c r="B3657" s="4" t="s">
        <v>7287</v>
      </c>
      <c r="C3657" s="16" t="str">
        <f>IFERROR(__xludf.DUMMYFUNCTION(""""""""" &amp; REGEXEXTRACT(B3657, ""/detail/([^/?]+)"") &amp; """""","""),"""lbehhpicfbglgijknhemcjcmencaajid"",")</f>
        <v>"lbehhpicfbglgijknhemcjcmencaajid",</v>
      </c>
    </row>
    <row r="3658">
      <c r="A3658" s="4" t="s">
        <v>22839</v>
      </c>
      <c r="B3658" s="4" t="s">
        <v>7289</v>
      </c>
      <c r="C3658" s="16" t="str">
        <f>IFERROR(__xludf.DUMMYFUNCTION(""""""""" &amp; REGEXEXTRACT(B3658, ""/detail/([^/?]+)"") &amp; """""","""),"""lblbdlideidphhfofbpocigbkkhingfg"",")</f>
        <v>"lblbdlideidphhfofbpocigbkkhingfg",</v>
      </c>
    </row>
    <row r="3659">
      <c r="A3659" s="4" t="s">
        <v>22840</v>
      </c>
      <c r="B3659" s="4" t="s">
        <v>7291</v>
      </c>
      <c r="C3659" s="16" t="str">
        <f>IFERROR(__xludf.DUMMYFUNCTION(""""""""" &amp; REGEXEXTRACT(B3659, ""/detail/([^/?]+)"") &amp; """""","""),"""lcccofmmanfnibnkbiabbajhgfoodanj"",")</f>
        <v>"lcccofmmanfnibnkbiabbajhgfoodanj",</v>
      </c>
    </row>
    <row r="3660">
      <c r="A3660" s="4" t="s">
        <v>22841</v>
      </c>
      <c r="B3660" s="4" t="s">
        <v>7293</v>
      </c>
      <c r="C3660" s="16" t="str">
        <f>IFERROR(__xludf.DUMMYFUNCTION(""""""""" &amp; REGEXEXTRACT(B3660, ""/detail/([^/?]+)"") &amp; """""","""),"""lccnicplgjaeocinbihlkjobkgpbkfbj"",")</f>
        <v>"lccnicplgjaeocinbihlkjobkgpbkfbj",</v>
      </c>
    </row>
    <row r="3661">
      <c r="A3661" s="4" t="s">
        <v>22842</v>
      </c>
      <c r="B3661" s="4" t="s">
        <v>7295</v>
      </c>
      <c r="C3661" s="16" t="str">
        <f>IFERROR(__xludf.DUMMYFUNCTION(""""""""" &amp; REGEXEXTRACT(B3661, ""/detail/([^/?]+)"") &amp; """""","""),"""lcgckkcjgkbgjoablpejebabahbamfkc"",")</f>
        <v>"lcgckkcjgkbgjoablpejebabahbamfkc",</v>
      </c>
    </row>
    <row r="3662">
      <c r="A3662" s="4" t="s">
        <v>22843</v>
      </c>
      <c r="B3662" s="4" t="s">
        <v>7297</v>
      </c>
      <c r="C3662" s="16" t="str">
        <f>IFERROR(__xludf.DUMMYFUNCTION(""""""""" &amp; REGEXEXTRACT(B3662, ""/detail/([^/?]+)"") &amp; """""","""),"""lciiobdgpdlmfjnahgcdmgebmpfkphpb"",")</f>
        <v>"lciiobdgpdlmfjnahgcdmgebmpfkphpb",</v>
      </c>
    </row>
    <row r="3663">
      <c r="A3663" s="4" t="s">
        <v>22844</v>
      </c>
      <c r="B3663" s="4" t="s">
        <v>7299</v>
      </c>
      <c r="C3663" s="16" t="str">
        <f>IFERROR(__xludf.DUMMYFUNCTION(""""""""" &amp; REGEXEXTRACT(B3663, ""/detail/([^/?]+)"") &amp; """""","""),"""lcjhokogmfjbhdfnhpgpamfpjjgckejn"",")</f>
        <v>"lcjhokogmfjbhdfnhpgpamfpjjgckejn",</v>
      </c>
    </row>
    <row r="3664">
      <c r="A3664" s="4" t="s">
        <v>22845</v>
      </c>
      <c r="B3664" s="4" t="s">
        <v>7301</v>
      </c>
      <c r="C3664" s="16" t="str">
        <f>IFERROR(__xludf.DUMMYFUNCTION(""""""""" &amp; REGEXEXTRACT(B3664, ""/detail/([^/?]+)"") &amp; """""","""),"""lcpnkclcbpmhekkjnkomhoecoiobbejf"",")</f>
        <v>"lcpnkclcbpmhekkjnkomhoecoiobbejf",</v>
      </c>
    </row>
    <row r="3665">
      <c r="A3665" s="4" t="s">
        <v>22846</v>
      </c>
      <c r="B3665" s="4" t="s">
        <v>7303</v>
      </c>
      <c r="C3665" s="16" t="str">
        <f>IFERROR(__xludf.DUMMYFUNCTION(""""""""" &amp; REGEXEXTRACT(B3665, ""/detail/([^/?]+)"") &amp; """""","""),"""ldmhhkobonimkpkfoabdmmngbbjcgilo"",")</f>
        <v>"ldmhhkobonimkpkfoabdmmngbbjcgilo",</v>
      </c>
    </row>
    <row r="3666">
      <c r="A3666" s="4" t="s">
        <v>22847</v>
      </c>
      <c r="B3666" s="4" t="s">
        <v>7305</v>
      </c>
      <c r="C3666" s="16" t="str">
        <f>IFERROR(__xludf.DUMMYFUNCTION(""""""""" &amp; REGEXEXTRACT(B3666, ""/detail/([^/?]+)"") &amp; """""","""),"""leflipcmaokfjdgpemeimelohgfdbdca"",")</f>
        <v>"leflipcmaokfjdgpemeimelohgfdbdca",</v>
      </c>
    </row>
    <row r="3667">
      <c r="A3667" s="4" t="s">
        <v>22848</v>
      </c>
      <c r="B3667" s="4" t="s">
        <v>7307</v>
      </c>
      <c r="C3667" s="16" t="str">
        <f>IFERROR(__xludf.DUMMYFUNCTION(""""""""" &amp; REGEXEXTRACT(B3667, ""/detail/([^/?]+)"") &amp; """""","""),"""leijmacehibmiomcnpaolboihcdepokh"",")</f>
        <v>"leijmacehibmiomcnpaolboihcdepokh",</v>
      </c>
    </row>
    <row r="3668">
      <c r="A3668" s="4" t="s">
        <v>22849</v>
      </c>
      <c r="B3668" s="4" t="s">
        <v>7309</v>
      </c>
      <c r="C3668" s="16" t="str">
        <f>IFERROR(__xludf.DUMMYFUNCTION(""""""""" &amp; REGEXEXTRACT(B3668, ""/detail/([^/?]+)"") &amp; """""","""),"""lfmmppchelncapanmhdefnmfjplkpchl"",")</f>
        <v>"lfmmppchelncapanmhdefnmfjplkpchl",</v>
      </c>
    </row>
    <row r="3669">
      <c r="A3669" s="4" t="s">
        <v>22850</v>
      </c>
      <c r="B3669" s="4" t="s">
        <v>7311</v>
      </c>
      <c r="C3669" s="16" t="str">
        <f>IFERROR(__xludf.DUMMYFUNCTION(""""""""" &amp; REGEXEXTRACT(B3669, ""/detail/([^/?]+)"") &amp; """""","""),"""lgallnmjflibiofogpfalipjikgdaipb"",")</f>
        <v>"lgallnmjflibiofogpfalipjikgdaipb",</v>
      </c>
    </row>
    <row r="3670">
      <c r="A3670" s="4" t="s">
        <v>22851</v>
      </c>
      <c r="B3670" s="4" t="s">
        <v>7313</v>
      </c>
      <c r="C3670" s="16" t="str">
        <f>IFERROR(__xludf.DUMMYFUNCTION(""""""""" &amp; REGEXEXTRACT(B3670, ""/detail/([^/?]+)"") &amp; """""","""),"""lhfjkdhahmelehfjhnbgopnghoeppjof"",")</f>
        <v>"lhfjkdhahmelehfjhnbgopnghoeppjof",</v>
      </c>
    </row>
    <row r="3671">
      <c r="A3671" s="4" t="s">
        <v>22852</v>
      </c>
      <c r="B3671" s="4" t="s">
        <v>7315</v>
      </c>
      <c r="C3671" s="16" t="str">
        <f>IFERROR(__xludf.DUMMYFUNCTION(""""""""" &amp; REGEXEXTRACT(B3671, ""/detail/([^/?]+)"") &amp; """""","""),"""lhggjeapfnagbjlklclkmlihhoandlib"",")</f>
        <v>"lhggjeapfnagbjlklclkmlihhoandlib",</v>
      </c>
    </row>
    <row r="3672">
      <c r="A3672" s="4" t="s">
        <v>22853</v>
      </c>
      <c r="B3672" s="4" t="s">
        <v>7317</v>
      </c>
      <c r="C3672" s="16" t="str">
        <f>IFERROR(__xludf.DUMMYFUNCTION(""""""""" &amp; REGEXEXTRACT(B3672, ""/detail/([^/?]+)"") &amp; """""","""),"""lhkidipggaennjfclhkocofdmbhcomhj"",")</f>
        <v>"lhkidipggaennjfclhkocofdmbhcomhj",</v>
      </c>
    </row>
    <row r="3673">
      <c r="A3673" s="4" t="s">
        <v>22854</v>
      </c>
      <c r="B3673" s="4" t="s">
        <v>7319</v>
      </c>
      <c r="C3673" s="16" t="str">
        <f>IFERROR(__xludf.DUMMYFUNCTION(""""""""" &amp; REGEXEXTRACT(B3673, ""/detail/([^/?]+)"") &amp; """""","""),"""lhkohakojbnibcaoppkgojpfbcebkbpo"",")</f>
        <v>"lhkohakojbnibcaoppkgojpfbcebkbpo",</v>
      </c>
    </row>
    <row r="3674">
      <c r="A3674" s="4" t="s">
        <v>22855</v>
      </c>
      <c r="B3674" s="4" t="s">
        <v>7320</v>
      </c>
      <c r="C3674" s="16" t="str">
        <f>IFERROR(__xludf.DUMMYFUNCTION(""""""""" &amp; REGEXEXTRACT(B3674, ""/detail/([^/?]+)"") &amp; """""","""),"""lhlogiifobbflegkhfmijkkdcejkcmdj"",")</f>
        <v>"lhlogiifobbflegkhfmijkkdcejkcmdj",</v>
      </c>
    </row>
    <row r="3675">
      <c r="A3675" s="4" t="s">
        <v>22856</v>
      </c>
      <c r="B3675" s="4" t="s">
        <v>7322</v>
      </c>
      <c r="C3675" s="16" t="str">
        <f>IFERROR(__xludf.DUMMYFUNCTION(""""""""" &amp; REGEXEXTRACT(B3675, ""/detail/([^/?]+)"") &amp; """""","""),"""lhmcanklfjfcmdkakbnflgnjcgmpdkdo"",")</f>
        <v>"lhmcanklfjfcmdkakbnflgnjcgmpdkdo",</v>
      </c>
    </row>
    <row r="3676">
      <c r="A3676" s="4" t="s">
        <v>22857</v>
      </c>
      <c r="B3676" s="4" t="s">
        <v>7324</v>
      </c>
      <c r="C3676" s="16" t="str">
        <f>IFERROR(__xludf.DUMMYFUNCTION(""""""""" &amp; REGEXEXTRACT(B3676, ""/detail/([^/?]+)"") &amp; """""","""),"""lhodieepeghcemhpbloffmljoklaklho"",")</f>
        <v>"lhodieepeghcemhpbloffmljoklaklho",</v>
      </c>
    </row>
    <row r="3677">
      <c r="A3677" s="4" t="s">
        <v>22858</v>
      </c>
      <c r="B3677" s="4" t="s">
        <v>7326</v>
      </c>
      <c r="C3677" s="16" t="str">
        <f>IFERROR(__xludf.DUMMYFUNCTION(""""""""" &amp; REGEXEXTRACT(B3677, ""/detail/([^/?]+)"") &amp; """""","""),"""lhondapiaknegjpellpodegmeonigjic"",")</f>
        <v>"lhondapiaknegjpellpodegmeonigjic",</v>
      </c>
    </row>
    <row r="3678">
      <c r="A3678" s="4" t="s">
        <v>22859</v>
      </c>
      <c r="B3678" s="4" t="s">
        <v>7328</v>
      </c>
      <c r="C3678" s="16" t="str">
        <f>IFERROR(__xludf.DUMMYFUNCTION(""""""""" &amp; REGEXEXTRACT(B3678, ""/detail/([^/?]+)"") &amp; """""","""),"""liglgghpccflcebckjdmiplgjbicachl"",")</f>
        <v>"liglgghpccflcebckjdmiplgjbicachl",</v>
      </c>
    </row>
    <row r="3679">
      <c r="A3679" s="4" t="s">
        <v>22860</v>
      </c>
      <c r="B3679" s="4" t="s">
        <v>7330</v>
      </c>
      <c r="C3679" s="16" t="str">
        <f>IFERROR(__xludf.DUMMYFUNCTION(""""""""" &amp; REGEXEXTRACT(B3679, ""/detail/([^/?]+)"") &amp; """""","""),"""lilbblbpakjjohhllknkgcgfabehbiai"",")</f>
        <v>"lilbblbpakjjohhllknkgcgfabehbiai",</v>
      </c>
    </row>
    <row r="3680">
      <c r="A3680" s="4" t="s">
        <v>22861</v>
      </c>
      <c r="B3680" s="4" t="s">
        <v>7332</v>
      </c>
      <c r="C3680" s="16" t="str">
        <f>IFERROR(__xludf.DUMMYFUNCTION(""""""""" &amp; REGEXEXTRACT(B3680, ""/detail/([^/?]+)"") &amp; """""","""),"""ljbdocmmfpejofpcldginbilddlifjek"",")</f>
        <v>"ljbdocmmfpejofpcldginbilddlifjek",</v>
      </c>
    </row>
    <row r="3681">
      <c r="A3681" s="4" t="s">
        <v>22862</v>
      </c>
      <c r="B3681" s="4" t="s">
        <v>7334</v>
      </c>
      <c r="C3681" s="16" t="str">
        <f>IFERROR(__xludf.DUMMYFUNCTION(""""""""" &amp; REGEXEXTRACT(B3681, ""/detail/([^/?]+)"") &amp; """""","""),"""ljblecifcbmcdjbabhimddlladlkfdfg"",")</f>
        <v>"ljblecifcbmcdjbabhimddlladlkfdfg",</v>
      </c>
    </row>
    <row r="3682">
      <c r="A3682" s="4" t="s">
        <v>22863</v>
      </c>
      <c r="B3682" s="4" t="s">
        <v>7336</v>
      </c>
      <c r="C3682" s="16" t="str">
        <f>IFERROR(__xludf.DUMMYFUNCTION(""""""""" &amp; REGEXEXTRACT(B3682, ""/detail/([^/?]+)"") &amp; """""","""),"""ljppcglljemjablfhgjdhndlpallobpl"",")</f>
        <v>"ljppcglljemjablfhgjdhndlpallobpl",</v>
      </c>
    </row>
    <row r="3683">
      <c r="A3683" s="4" t="s">
        <v>22864</v>
      </c>
      <c r="B3683" s="4" t="s">
        <v>7338</v>
      </c>
      <c r="C3683" s="16" t="str">
        <f>IFERROR(__xludf.DUMMYFUNCTION(""""""""" &amp; REGEXEXTRACT(B3683, ""/detail/([^/?]+)"") &amp; """""","""),"""lkhdjcjomgifjdihdiecifkigmdemjlh"",")</f>
        <v>"lkhdjcjomgifjdihdiecifkigmdemjlh",</v>
      </c>
    </row>
    <row r="3684">
      <c r="A3684" s="4" t="s">
        <v>22865</v>
      </c>
      <c r="B3684" s="4" t="s">
        <v>7340</v>
      </c>
      <c r="C3684" s="16" t="str">
        <f>IFERROR(__xludf.DUMMYFUNCTION(""""""""" &amp; REGEXEXTRACT(B3684, ""/detail/([^/?]+)"") &amp; """""","""),"""lljhfacjpknfplpagpnillgkiepplbjd"",")</f>
        <v>"lljhfacjpknfplpagpnillgkiepplbjd",</v>
      </c>
    </row>
    <row r="3685">
      <c r="A3685" s="4" t="s">
        <v>22866</v>
      </c>
      <c r="B3685" s="4" t="s">
        <v>7342</v>
      </c>
      <c r="C3685" s="16" t="str">
        <f>IFERROR(__xludf.DUMMYFUNCTION(""""""""" &amp; REGEXEXTRACT(B3685, ""/detail/([^/?]+)"") &amp; """""","""),"""lmgjagdflhhfjflolfalapokbplfldna"",")</f>
        <v>"lmgjagdflhhfjflolfalapokbplfldna",</v>
      </c>
    </row>
    <row r="3686">
      <c r="A3686" s="4" t="s">
        <v>22867</v>
      </c>
      <c r="B3686" s="4" t="s">
        <v>7344</v>
      </c>
      <c r="C3686" s="16" t="str">
        <f>IFERROR(__xludf.DUMMYFUNCTION(""""""""" &amp; REGEXEXTRACT(B3686, ""/detail/([^/?]+)"") &amp; """""","""),"""lmjpmkegbmbgedofmgcmmajdadldpndm"",")</f>
        <v>"lmjpmkegbmbgedofmgcmmajdadldpndm",</v>
      </c>
    </row>
    <row r="3687">
      <c r="A3687" s="4" t="s">
        <v>22868</v>
      </c>
      <c r="B3687" s="4" t="s">
        <v>7346</v>
      </c>
      <c r="C3687" s="16" t="str">
        <f>IFERROR(__xludf.DUMMYFUNCTION(""""""""" &amp; REGEXEXTRACT(B3687, ""/detail/([^/?]+)"") &amp; """""","""),"""lmlpbkpknjcnfabomjkecmkigcphgomk"",")</f>
        <v>"lmlpbkpknjcnfabomjkecmkigcphgomk",</v>
      </c>
    </row>
    <row r="3688">
      <c r="A3688" s="4" t="s">
        <v>22869</v>
      </c>
      <c r="B3688" s="4" t="s">
        <v>7348</v>
      </c>
      <c r="C3688" s="16" t="str">
        <f>IFERROR(__xludf.DUMMYFUNCTION(""""""""" &amp; REGEXEXTRACT(B3688, ""/detail/([^/?]+)"") &amp; """""","""),"""lnidgfoooocnaddmcclcipfgnelokjda"",")</f>
        <v>"lnidgfoooocnaddmcclcipfgnelokjda",</v>
      </c>
    </row>
    <row r="3689">
      <c r="A3689" s="4" t="s">
        <v>22870</v>
      </c>
      <c r="B3689" s="4" t="s">
        <v>7350</v>
      </c>
      <c r="C3689" s="16" t="str">
        <f>IFERROR(__xludf.DUMMYFUNCTION(""""""""" &amp; REGEXEXTRACT(B3689, ""/detail/([^/?]+)"") &amp; """""","""),"""lobpagdpoopcmipmanjdnhpkjlofpbbp"",")</f>
        <v>"lobpagdpoopcmipmanjdnhpkjlofpbbp",</v>
      </c>
    </row>
    <row r="3690">
      <c r="A3690" s="4" t="s">
        <v>22871</v>
      </c>
      <c r="B3690" s="4" t="s">
        <v>7352</v>
      </c>
      <c r="C3690" s="16" t="str">
        <f>IFERROR(__xludf.DUMMYFUNCTION(""""""""" &amp; REGEXEXTRACT(B3690, ""/detail/([^/?]+)"") &amp; """""","""),"""lpbnlilmgcemkbnmgiomhebhljhnokfd"",")</f>
        <v>"lpbnlilmgcemkbnmgiomhebhljhnokfd",</v>
      </c>
    </row>
    <row r="3691">
      <c r="A3691" s="4" t="s">
        <v>22872</v>
      </c>
      <c r="B3691" s="4" t="s">
        <v>7354</v>
      </c>
      <c r="C3691" s="16" t="str">
        <f>IFERROR(__xludf.DUMMYFUNCTION(""""""""" &amp; REGEXEXTRACT(B3691, ""/detail/([^/?]+)"") &amp; """""","""),"""lpfleledablfbdekjbhcejmagnjoihgn"",")</f>
        <v>"lpfleledablfbdekjbhcejmagnjoihgn",</v>
      </c>
    </row>
    <row r="3692">
      <c r="A3692" s="4" t="s">
        <v>22873</v>
      </c>
      <c r="B3692" s="4" t="s">
        <v>7356</v>
      </c>
      <c r="C3692" s="16" t="str">
        <f>IFERROR(__xludf.DUMMYFUNCTION(""""""""" &amp; REGEXEXTRACT(B3692, ""/detail/([^/?]+)"") &amp; """""","""),"""lpjljcoihnoipcoialpjbnfbojnolkej"",")</f>
        <v>"lpjljcoihnoipcoialpjbnfbojnolkej",</v>
      </c>
    </row>
    <row r="3693">
      <c r="A3693" s="4" t="s">
        <v>22874</v>
      </c>
      <c r="B3693" s="4" t="s">
        <v>7358</v>
      </c>
      <c r="C3693" s="16" t="str">
        <f>IFERROR(__xludf.DUMMYFUNCTION(""""""""" &amp; REGEXEXTRACT(B3693, ""/detail/([^/?]+)"") &amp; """""","""),"""lpkndkffkmhcdkkdmeeelikmadjjmebe"",")</f>
        <v>"lpkndkffkmhcdkkdmeeelikmadjjmebe",</v>
      </c>
    </row>
    <row r="3694">
      <c r="A3694" s="4" t="s">
        <v>22875</v>
      </c>
      <c r="B3694" s="4" t="s">
        <v>7360</v>
      </c>
      <c r="C3694" s="16" t="str">
        <f>IFERROR(__xludf.DUMMYFUNCTION(""""""""" &amp; REGEXEXTRACT(B3694, ""/detail/([^/?]+)"") &amp; """""","""),"""mapmknaogodpakjopdhmdcilahbfbjpc"",")</f>
        <v>"mapmknaogodpakjopdhmdcilahbfbjpc",</v>
      </c>
    </row>
    <row r="3695">
      <c r="A3695" s="4" t="s">
        <v>22876</v>
      </c>
      <c r="B3695" s="4" t="s">
        <v>7362</v>
      </c>
      <c r="C3695" s="16" t="str">
        <f>IFERROR(__xludf.DUMMYFUNCTION(""""""""" &amp; REGEXEXTRACT(B3695, ""/detail/([^/?]+)"") &amp; """""","""),"""mbagihlilbaofbfpmnicoonnebmhohmm"",")</f>
        <v>"mbagihlilbaofbfpmnicoonnebmhohmm",</v>
      </c>
    </row>
    <row r="3696">
      <c r="A3696" s="4" t="s">
        <v>22877</v>
      </c>
      <c r="B3696" s="4" t="s">
        <v>7364</v>
      </c>
      <c r="C3696" s="16" t="str">
        <f>IFERROR(__xludf.DUMMYFUNCTION(""""""""" &amp; REGEXEXTRACT(B3696, ""/detail/([^/?]+)"") &amp; """""","""),"""mbiingeofjaobdlcimmeamefmgjmcgdd"",")</f>
        <v>"mbiingeofjaobdlcimmeamefmgjmcgdd",</v>
      </c>
    </row>
    <row r="3697">
      <c r="A3697" s="4" t="s">
        <v>22878</v>
      </c>
      <c r="B3697" s="4" t="s">
        <v>7366</v>
      </c>
      <c r="C3697" s="16" t="str">
        <f>IFERROR(__xludf.DUMMYFUNCTION(""""""""" &amp; REGEXEXTRACT(B3697, ""/detail/([^/?]+)"") &amp; """""","""),"""mbpaocchpmekmafpkliigmmkllfedmkb"",")</f>
        <v>"mbpaocchpmekmafpkliigmmkllfedmkb",</v>
      </c>
    </row>
    <row r="3698">
      <c r="A3698" s="4" t="s">
        <v>22879</v>
      </c>
      <c r="B3698" s="4" t="s">
        <v>7368</v>
      </c>
      <c r="C3698" s="16" t="str">
        <f>IFERROR(__xludf.DUMMYFUNCTION(""""""""" &amp; REGEXEXTRACT(B3698, ""/detail/([^/?]+)"") &amp; """""","""),"""mcepmpclbgahgbpcgbmnpplcfmlaiopm"",")</f>
        <v>"mcepmpclbgahgbpcgbmnpplcfmlaiopm",</v>
      </c>
    </row>
    <row r="3699">
      <c r="A3699" s="4" t="s">
        <v>22880</v>
      </c>
      <c r="B3699" s="4" t="s">
        <v>7370</v>
      </c>
      <c r="C3699" s="16" t="str">
        <f>IFERROR(__xludf.DUMMYFUNCTION(""""""""" &amp; REGEXEXTRACT(B3699, ""/detail/([^/?]+)"") &amp; """""","""),"""mciidkooancddoomldklgcklkbmlboog"",")</f>
        <v>"mciidkooancddoomldklgcklkbmlboog",</v>
      </c>
    </row>
    <row r="3700">
      <c r="A3700" s="4" t="s">
        <v>22881</v>
      </c>
      <c r="B3700" s="4" t="s">
        <v>7372</v>
      </c>
      <c r="C3700" s="16" t="str">
        <f>IFERROR(__xludf.DUMMYFUNCTION(""""""""" &amp; REGEXEXTRACT(B3700, ""/detail/([^/?]+)"") &amp; """""","""),"""mcneiimlodlbmohipgdbbglgbmaoojen"",")</f>
        <v>"mcneiimlodlbmohipgdbbglgbmaoojen",</v>
      </c>
    </row>
    <row r="3701">
      <c r="A3701" s="4" t="s">
        <v>22882</v>
      </c>
      <c r="B3701" s="4" t="s">
        <v>7374</v>
      </c>
      <c r="C3701" s="16" t="str">
        <f>IFERROR(__xludf.DUMMYFUNCTION(""""""""" &amp; REGEXEXTRACT(B3701, ""/detail/([^/?]+)"") &amp; """""","""),"""mdcmjnnhnpfohfpjjjnhhplenkmjokem"",")</f>
        <v>"mdcmjnnhnpfohfpjjjnhhplenkmjokem",</v>
      </c>
    </row>
    <row r="3702">
      <c r="A3702" s="4" t="s">
        <v>22883</v>
      </c>
      <c r="B3702" s="4" t="s">
        <v>7376</v>
      </c>
      <c r="C3702" s="16" t="str">
        <f>IFERROR(__xludf.DUMMYFUNCTION(""""""""" &amp; REGEXEXTRACT(B3702, ""/detail/([^/?]+)"") &amp; """""","""),"""mdmgabincholmoohfoniibddbldpfaef"",")</f>
        <v>"mdmgabincholmoohfoniibddbldpfaef",</v>
      </c>
    </row>
    <row r="3703">
      <c r="A3703" s="4" t="s">
        <v>22884</v>
      </c>
      <c r="B3703" s="4" t="s">
        <v>7378</v>
      </c>
      <c r="C3703" s="16" t="str">
        <f>IFERROR(__xludf.DUMMYFUNCTION(""""""""" &amp; REGEXEXTRACT(B3703, ""/detail/([^/?]+)"") &amp; """""","""),"""mdndkociaebjkggmhnemegoegnbfbgoo"",")</f>
        <v>"mdndkociaebjkggmhnemegoegnbfbgoo",</v>
      </c>
    </row>
    <row r="3704">
      <c r="A3704" s="4" t="s">
        <v>22885</v>
      </c>
      <c r="B3704" s="4" t="s">
        <v>7380</v>
      </c>
      <c r="C3704" s="16" t="str">
        <f>IFERROR(__xludf.DUMMYFUNCTION(""""""""" &amp; REGEXEXTRACT(B3704, ""/detail/([^/?]+)"") &amp; """""","""),"""mejfljhfeahhhicjefeehikaooffggmf"",")</f>
        <v>"mejfljhfeahhhicjefeehikaooffggmf",</v>
      </c>
    </row>
    <row r="3705">
      <c r="A3705" s="4" t="s">
        <v>22886</v>
      </c>
      <c r="B3705" s="4" t="s">
        <v>7382</v>
      </c>
      <c r="C3705" s="16" t="str">
        <f>IFERROR(__xludf.DUMMYFUNCTION(""""""""" &amp; REGEXEXTRACT(B3705, ""/detail/([^/?]+)"") &amp; """""","""),"""mfbnjcfflkhefklaghlmpjlkgbegnbod"",")</f>
        <v>"mfbnjcfflkhefklaghlmpjlkgbegnbod",</v>
      </c>
    </row>
    <row r="3706">
      <c r="A3706" s="4" t="s">
        <v>22887</v>
      </c>
      <c r="B3706" s="4" t="s">
        <v>7384</v>
      </c>
      <c r="C3706" s="16" t="str">
        <f>IFERROR(__xludf.DUMMYFUNCTION(""""""""" &amp; REGEXEXTRACT(B3706, ""/detail/([^/?]+)"") &amp; """""","""),"""mfejenndcibciljogmlhppblholelagg"",")</f>
        <v>"mfejenndcibciljogmlhppblholelagg",</v>
      </c>
    </row>
    <row r="3707">
      <c r="A3707" s="4" t="s">
        <v>22888</v>
      </c>
      <c r="B3707" s="4" t="s">
        <v>7386</v>
      </c>
      <c r="C3707" s="16" t="str">
        <f>IFERROR(__xludf.DUMMYFUNCTION(""""""""" &amp; REGEXEXTRACT(B3707, ""/detail/([^/?]+)"") &amp; """""","""),"""mfifmoklnkpndjjcalemaggldbicmkki"",")</f>
        <v>"mfifmoklnkpndjjcalemaggldbicmkki",</v>
      </c>
    </row>
    <row r="3708">
      <c r="A3708" s="4" t="s">
        <v>22889</v>
      </c>
      <c r="B3708" s="4" t="s">
        <v>7388</v>
      </c>
      <c r="C3708" s="16" t="str">
        <f>IFERROR(__xludf.DUMMYFUNCTION(""""""""" &amp; REGEXEXTRACT(B3708, ""/detail/([^/?]+)"") &amp; """""","""),"""mfmhdfkinffhnfhaalnabffcfjgcmdhl"",")</f>
        <v>"mfmhdfkinffhnfhaalnabffcfjgcmdhl",</v>
      </c>
    </row>
    <row r="3709">
      <c r="A3709" s="4" t="s">
        <v>22890</v>
      </c>
      <c r="B3709" s="4" t="s">
        <v>7390</v>
      </c>
      <c r="C3709" s="16" t="str">
        <f>IFERROR(__xludf.DUMMYFUNCTION(""""""""" &amp; REGEXEXTRACT(B3709, ""/detail/([^/?]+)"") &amp; """""","""),"""mfofmcdbaeajgdeihmcjjohmhepcdcol"",")</f>
        <v>"mfofmcdbaeajgdeihmcjjohmhepcdcol",</v>
      </c>
    </row>
    <row r="3710">
      <c r="A3710" s="4" t="s">
        <v>22891</v>
      </c>
      <c r="B3710" s="4" t="s">
        <v>7392</v>
      </c>
      <c r="C3710" s="16" t="str">
        <f>IFERROR(__xludf.DUMMYFUNCTION(""""""""" &amp; REGEXEXTRACT(B3710, ""/detail/([^/?]+)"") &amp; """""","""),"""mhbjoppmeodjnkmbekpmfgicgiaecblm"",")</f>
        <v>"mhbjoppmeodjnkmbekpmfgicgiaecblm",</v>
      </c>
    </row>
    <row r="3711">
      <c r="A3711" s="4" t="s">
        <v>22892</v>
      </c>
      <c r="B3711" s="4" t="s">
        <v>7394</v>
      </c>
      <c r="C3711" s="16" t="str">
        <f>IFERROR(__xludf.DUMMYFUNCTION(""""""""" &amp; REGEXEXTRACT(B3711, ""/detail/([^/?]+)"") &amp; """""","""),"""mhedbgbipbdppajofkiklhlbbdlldidj"",")</f>
        <v>"mhedbgbipbdppajofkiklhlbbdlldidj",</v>
      </c>
    </row>
    <row r="3712">
      <c r="A3712" s="4" t="s">
        <v>22893</v>
      </c>
      <c r="B3712" s="4" t="s">
        <v>7396</v>
      </c>
      <c r="C3712" s="16" t="str">
        <f>IFERROR(__xludf.DUMMYFUNCTION(""""""""" &amp; REGEXEXTRACT(B3712, ""/detail/([^/?]+)"") &amp; """""","""),"""mhenombkbjeannffjnhcnelokhkfndch"",")</f>
        <v>"mhenombkbjeannffjnhcnelokhkfndch",</v>
      </c>
    </row>
    <row r="3713">
      <c r="A3713" s="4" t="s">
        <v>22894</v>
      </c>
      <c r="B3713" s="4" t="s">
        <v>7398</v>
      </c>
      <c r="C3713" s="16" t="str">
        <f>IFERROR(__xludf.DUMMYFUNCTION(""""""""" &amp; REGEXEXTRACT(B3713, ""/detail/([^/?]+)"") &amp; """""","""),"""mihalpimkkhhigoielhempcamoffhfij"",")</f>
        <v>"mihalpimkkhhigoielhempcamoffhfij",</v>
      </c>
    </row>
    <row r="3714">
      <c r="A3714" s="4" t="s">
        <v>22895</v>
      </c>
      <c r="B3714" s="4" t="s">
        <v>7400</v>
      </c>
      <c r="C3714" s="16" t="str">
        <f>IFERROR(__xludf.DUMMYFUNCTION(""""""""" &amp; REGEXEXTRACT(B3714, ""/detail/([^/?]+)"") &amp; """""","""),"""mjaafpfnaeofaacnmkfdafldodlaomln"",")</f>
        <v>"mjaafpfnaeofaacnmkfdafldodlaomln",</v>
      </c>
    </row>
    <row r="3715">
      <c r="A3715" s="4" t="s">
        <v>22896</v>
      </c>
      <c r="B3715" s="4" t="s">
        <v>7402</v>
      </c>
      <c r="C3715" s="16" t="str">
        <f>IFERROR(__xludf.DUMMYFUNCTION(""""""""" &amp; REGEXEXTRACT(B3715, ""/detail/([^/?]+)"") &amp; """""","""),"""mjcdbmdlmjbjmpenpepgcpnmapclkaah"",")</f>
        <v>"mjcdbmdlmjbjmpenpepgcpnmapclkaah",</v>
      </c>
    </row>
    <row r="3716">
      <c r="A3716" s="4" t="s">
        <v>22897</v>
      </c>
      <c r="B3716" s="4" t="s">
        <v>7404</v>
      </c>
      <c r="C3716" s="16" t="str">
        <f>IFERROR(__xludf.DUMMYFUNCTION(""""""""" &amp; REGEXEXTRACT(B3716, ""/detail/([^/?]+)"") &amp; """""","""),"""mjdmgoiobnbkfcfjcceaodlcodhpokgn"",")</f>
        <v>"mjdmgoiobnbkfcfjcceaodlcodhpokgn",</v>
      </c>
    </row>
    <row r="3717">
      <c r="A3717" s="4" t="s">
        <v>22898</v>
      </c>
      <c r="B3717" s="4" t="s">
        <v>7406</v>
      </c>
      <c r="C3717" s="16" t="str">
        <f>IFERROR(__xludf.DUMMYFUNCTION(""""""""" &amp; REGEXEXTRACT(B3717, ""/detail/([^/?]+)"") &amp; """""","""),"""mkcpchladphoadhaclmnlphhijboljjk"",")</f>
        <v>"mkcpchladphoadhaclmnlphhijboljjk",</v>
      </c>
    </row>
    <row r="3718">
      <c r="A3718" s="4" t="s">
        <v>22899</v>
      </c>
      <c r="B3718" s="4" t="s">
        <v>7408</v>
      </c>
      <c r="C3718" s="16" t="str">
        <f>IFERROR(__xludf.DUMMYFUNCTION(""""""""" &amp; REGEXEXTRACT(B3718, ""/detail/([^/?]+)"") &amp; """""","""),"""mkohdjbfagmlcaclajmadgkojelkbbfj"",")</f>
        <v>"mkohdjbfagmlcaclajmadgkojelkbbfj",</v>
      </c>
    </row>
    <row r="3719">
      <c r="A3719" s="4" t="s">
        <v>22900</v>
      </c>
      <c r="B3719" s="4" t="s">
        <v>7410</v>
      </c>
      <c r="C3719" s="16" t="str">
        <f>IFERROR(__xludf.DUMMYFUNCTION(""""""""" &amp; REGEXEXTRACT(B3719, ""/detail/([^/?]+)"") &amp; """""","""),"""mlbcofjdcpapkhdkchafogjpcnjnfijh"",")</f>
        <v>"mlbcofjdcpapkhdkchafogjpcnjnfijh",</v>
      </c>
    </row>
    <row r="3720">
      <c r="A3720" s="4" t="s">
        <v>22901</v>
      </c>
      <c r="B3720" s="4" t="s">
        <v>7412</v>
      </c>
      <c r="C3720" s="16" t="str">
        <f>IFERROR(__xludf.DUMMYFUNCTION(""""""""" &amp; REGEXEXTRACT(B3720, ""/detail/([^/?]+)"") &amp; """""","""),"""mlgfghegijfplmnoplodhgcnhakfpbeb"",")</f>
        <v>"mlgfghegijfplmnoplodhgcnhakfpbeb",</v>
      </c>
    </row>
    <row r="3721">
      <c r="A3721" s="4" t="s">
        <v>22902</v>
      </c>
      <c r="B3721" s="4" t="s">
        <v>7414</v>
      </c>
      <c r="C3721" s="16" t="str">
        <f>IFERROR(__xludf.DUMMYFUNCTION(""""""""" &amp; REGEXEXTRACT(B3721, ""/detail/([^/?]+)"") &amp; """""","""),"""mlgicmacgnloflibjaidfcmpemnmlkci"",")</f>
        <v>"mlgicmacgnloflibjaidfcmpemnmlkci",</v>
      </c>
    </row>
    <row r="3722">
      <c r="A3722" s="4" t="s">
        <v>22903</v>
      </c>
      <c r="B3722" s="4" t="s">
        <v>7416</v>
      </c>
      <c r="C3722" s="16" t="str">
        <f>IFERROR(__xludf.DUMMYFUNCTION(""""""""" &amp; REGEXEXTRACT(B3722, ""/detail/([^/?]+)"") &amp; """""","""),"""mljaeppcogkejonoejbocgcbilnmofho"",")</f>
        <v>"mljaeppcogkejonoejbocgcbilnmofho",</v>
      </c>
    </row>
    <row r="3723">
      <c r="A3723" s="4" t="s">
        <v>22904</v>
      </c>
      <c r="B3723" s="4" t="s">
        <v>7418</v>
      </c>
      <c r="C3723" s="16" t="str">
        <f>IFERROR(__xludf.DUMMYFUNCTION(""""""""" &amp; REGEXEXTRACT(B3723, ""/detail/([^/?]+)"") &amp; """""","""),"""mmejbcacelkdcpaeccimglglbkeohlhe"",")</f>
        <v>"mmejbcacelkdcpaeccimglglbkeohlhe",</v>
      </c>
    </row>
    <row r="3724">
      <c r="A3724" s="4" t="s">
        <v>22905</v>
      </c>
      <c r="B3724" s="4" t="s">
        <v>7420</v>
      </c>
      <c r="C3724" s="16" t="str">
        <f>IFERROR(__xludf.DUMMYFUNCTION(""""""""" &amp; REGEXEXTRACT(B3724, ""/detail/([^/?]+)"") &amp; """""","""),"""mmmjkgckgcpankonbgbianpnfenbhodf"",")</f>
        <v>"mmmjkgckgcpankonbgbianpnfenbhodf",</v>
      </c>
    </row>
    <row r="3725">
      <c r="A3725" s="4" t="s">
        <v>22906</v>
      </c>
      <c r="B3725" s="4" t="s">
        <v>7422</v>
      </c>
      <c r="C3725" s="16" t="str">
        <f>IFERROR(__xludf.DUMMYFUNCTION(""""""""" &amp; REGEXEXTRACT(B3725, ""/detail/([^/?]+)"") &amp; """""","""),"""mmncmmodffimfglkgomlgbgpcgidkbij"",")</f>
        <v>"mmncmmodffimfglkgomlgbgpcgidkbij",</v>
      </c>
    </row>
    <row r="3726">
      <c r="A3726" s="4" t="s">
        <v>22907</v>
      </c>
      <c r="B3726" s="4" t="s">
        <v>7424</v>
      </c>
      <c r="C3726" s="16" t="str">
        <f>IFERROR(__xludf.DUMMYFUNCTION(""""""""" &amp; REGEXEXTRACT(B3726, ""/detail/([^/?]+)"") &amp; """""","""),"""mnciafhfaahhafklckmcabbncbgcjpeg"",")</f>
        <v>"mnciafhfaahhafklckmcabbncbgcjpeg",</v>
      </c>
    </row>
    <row r="3727">
      <c r="A3727" s="4" t="s">
        <v>22908</v>
      </c>
      <c r="B3727" s="4" t="s">
        <v>7426</v>
      </c>
      <c r="C3727" s="16" t="str">
        <f>IFERROR(__xludf.DUMMYFUNCTION(""""""""" &amp; REGEXEXTRACT(B3727, ""/detail/([^/?]+)"") &amp; """""","""),"""mnejlibhmapdlfjopobeadmenbbhgelg"",")</f>
        <v>"mnejlibhmapdlfjopobeadmenbbhgelg",</v>
      </c>
    </row>
    <row r="3728">
      <c r="A3728" s="4" t="s">
        <v>22909</v>
      </c>
      <c r="B3728" s="4" t="s">
        <v>7428</v>
      </c>
      <c r="C3728" s="16" t="str">
        <f>IFERROR(__xludf.DUMMYFUNCTION(""""""""" &amp; REGEXEXTRACT(B3728, ""/detail/([^/?]+)"") &amp; """""","""),"""mnfifefkajgofkcjkemidiaecocnkjeh"",")</f>
        <v>"mnfifefkajgofkcjkemidiaecocnkjeh",</v>
      </c>
    </row>
    <row r="3729">
      <c r="A3729" s="4" t="s">
        <v>22910</v>
      </c>
      <c r="B3729" s="4" t="s">
        <v>7430</v>
      </c>
      <c r="C3729" s="16" t="str">
        <f>IFERROR(__xludf.DUMMYFUNCTION(""""""""" &amp; REGEXEXTRACT(B3729, ""/detail/([^/?]+)"") &amp; """""","""),"""mnggafnmmhdoplbffagjihajeeikgbcg"",")</f>
        <v>"mnggafnmmhdoplbffagjihajeeikgbcg",</v>
      </c>
    </row>
    <row r="3730">
      <c r="A3730" s="4" t="s">
        <v>22911</v>
      </c>
      <c r="B3730" s="4" t="s">
        <v>7432</v>
      </c>
      <c r="C3730" s="16" t="str">
        <f>IFERROR(__xludf.DUMMYFUNCTION(""""""""" &amp; REGEXEXTRACT(B3730, ""/detail/([^/?]+)"") &amp; """""","""),"""mnieoidhfojjegnlioncpneloopflfde"",")</f>
        <v>"mnieoidhfojjegnlioncpneloopflfde",</v>
      </c>
    </row>
    <row r="3731">
      <c r="A3731" s="4" t="s">
        <v>22912</v>
      </c>
      <c r="B3731" s="4" t="s">
        <v>7434</v>
      </c>
      <c r="C3731" s="16" t="str">
        <f>IFERROR(__xludf.DUMMYFUNCTION(""""""""" &amp; REGEXEXTRACT(B3731, ""/detail/([^/?]+)"") &amp; """""","""),"""mnnamhamofdlheiloeenopobhmifpbci"",")</f>
        <v>"mnnamhamofdlheiloeenopobhmifpbci",</v>
      </c>
    </row>
    <row r="3732">
      <c r="A3732" s="4" t="s">
        <v>22913</v>
      </c>
      <c r="B3732" s="4" t="s">
        <v>7436</v>
      </c>
      <c r="C3732" s="16" t="str">
        <f>IFERROR(__xludf.DUMMYFUNCTION(""""""""" &amp; REGEXEXTRACT(B3732, ""/detail/([^/?]+)"") &amp; """""","""),"""mnpiohgimhjcajegfkoenhhdjdgnfbhn"",")</f>
        <v>"mnpiohgimhjcajegfkoenhhdjdgnfbhn",</v>
      </c>
    </row>
    <row r="3733">
      <c r="A3733" s="4" t="s">
        <v>22914</v>
      </c>
      <c r="B3733" s="4" t="s">
        <v>7438</v>
      </c>
      <c r="C3733" s="16" t="str">
        <f>IFERROR(__xludf.DUMMYFUNCTION(""""""""" &amp; REGEXEXTRACT(B3733, ""/detail/([^/?]+)"") &amp; """""","""),"""mohcccndblgelimaddnfbjbangcmibgp"",")</f>
        <v>"mohcccndblgelimaddnfbjbangcmibgp",</v>
      </c>
    </row>
    <row r="3734">
      <c r="A3734" s="4" t="s">
        <v>22915</v>
      </c>
      <c r="B3734" s="4" t="s">
        <v>7440</v>
      </c>
      <c r="C3734" s="16" t="str">
        <f>IFERROR(__xludf.DUMMYFUNCTION(""""""""" &amp; REGEXEXTRACT(B3734, ""/detail/([^/?]+)"") &amp; """""","""),"""mohgglkpnbdalpiiemikjedijmhhgdhn"",")</f>
        <v>"mohgglkpnbdalpiiemikjedijmhhgdhn",</v>
      </c>
    </row>
    <row r="3735">
      <c r="A3735" s="4" t="s">
        <v>22916</v>
      </c>
      <c r="B3735" s="4" t="s">
        <v>7442</v>
      </c>
      <c r="C3735" s="16" t="str">
        <f>IFERROR(__xludf.DUMMYFUNCTION(""""""""" &amp; REGEXEXTRACT(B3735, ""/detail/([^/?]+)"") &amp; """""","""),"""mopbacdddloogaaccclkbolpgihnoejh"",")</f>
        <v>"mopbacdddloogaaccclkbolpgihnoejh",</v>
      </c>
    </row>
    <row r="3736">
      <c r="A3736" s="4" t="s">
        <v>22917</v>
      </c>
      <c r="B3736" s="4" t="s">
        <v>7444</v>
      </c>
      <c r="C3736" s="16" t="str">
        <f>IFERROR(__xludf.DUMMYFUNCTION(""""""""" &amp; REGEXEXTRACT(B3736, ""/detail/([^/?]+)"") &amp; """""","""),"""mpmddhklininggcilpnocebfhmcifdic"",")</f>
        <v>"mpmddhklininggcilpnocebfhmcifdic",</v>
      </c>
    </row>
    <row r="3737">
      <c r="A3737" s="4" t="s">
        <v>22918</v>
      </c>
      <c r="B3737" s="4" t="s">
        <v>7446</v>
      </c>
      <c r="C3737" s="16" t="str">
        <f>IFERROR(__xludf.DUMMYFUNCTION(""""""""" &amp; REGEXEXTRACT(B3737, ""/detail/([^/?]+)"") &amp; """""","""),"""nabglnpmfhienaimnmbjigimjdafimjn"",")</f>
        <v>"nabglnpmfhienaimnmbjigimjdafimjn",</v>
      </c>
    </row>
    <row r="3738">
      <c r="A3738" s="4" t="s">
        <v>22919</v>
      </c>
      <c r="B3738" s="4" t="s">
        <v>7448</v>
      </c>
      <c r="C3738" s="16" t="str">
        <f>IFERROR(__xludf.DUMMYFUNCTION(""""""""" &amp; REGEXEXTRACT(B3738, ""/detail/([^/?]+)"") &amp; """""","""),"""nadeoelabbieobdpmejlfidbhhdicmpa"",")</f>
        <v>"nadeoelabbieobdpmejlfidbhhdicmpa",</v>
      </c>
    </row>
    <row r="3739">
      <c r="A3739" s="4" t="s">
        <v>22920</v>
      </c>
      <c r="B3739" s="4" t="s">
        <v>7450</v>
      </c>
      <c r="C3739" s="16" t="str">
        <f>IFERROR(__xludf.DUMMYFUNCTION(""""""""" &amp; REGEXEXTRACT(B3739, ""/detail/([^/?]+)"") &amp; """""","""),"""naepdomgkenhinolocfifgehidddafch"",")</f>
        <v>"naepdomgkenhinolocfifgehidddafch",</v>
      </c>
    </row>
    <row r="3740">
      <c r="A3740" s="4" t="s">
        <v>22921</v>
      </c>
      <c r="B3740" s="4" t="s">
        <v>7452</v>
      </c>
      <c r="C3740" s="16" t="str">
        <f>IFERROR(__xludf.DUMMYFUNCTION(""""""""" &amp; REGEXEXTRACT(B3740, ""/detail/([^/?]+)"") &amp; """""","""),"""nanjankoodpibkkjgmmaeoccefklohao"",")</f>
        <v>"nanjankoodpibkkjgmmaeoccefklohao",</v>
      </c>
    </row>
    <row r="3741">
      <c r="A3741" s="4" t="s">
        <v>22922</v>
      </c>
      <c r="B3741" s="4" t="s">
        <v>7454</v>
      </c>
      <c r="C3741" s="16" t="str">
        <f>IFERROR(__xludf.DUMMYFUNCTION(""""""""" &amp; REGEXEXTRACT(B3741, ""/detail/([^/?]+)"") &amp; """""","""),"""nbcgkdilbhnnoemimofnknocbkpldobi"",")</f>
        <v>"nbcgkdilbhnnoemimofnknocbkpldobi",</v>
      </c>
    </row>
    <row r="3742">
      <c r="A3742" s="4" t="s">
        <v>22923</v>
      </c>
      <c r="B3742" s="4" t="s">
        <v>7456</v>
      </c>
      <c r="C3742" s="16" t="str">
        <f>IFERROR(__xludf.DUMMYFUNCTION(""""""""" &amp; REGEXEXTRACT(B3742, ""/detail/([^/?]+)"") &amp; """""","""),"""nbnjpdfblnfaniloehlfjkdfclljcgfn"",")</f>
        <v>"nbnjpdfblnfaniloehlfjkdfclljcgfn",</v>
      </c>
    </row>
    <row r="3743">
      <c r="A3743" s="4" t="s">
        <v>22924</v>
      </c>
      <c r="B3743" s="4" t="s">
        <v>7458</v>
      </c>
      <c r="C3743" s="16" t="str">
        <f>IFERROR(__xludf.DUMMYFUNCTION(""""""""" &amp; REGEXEXTRACT(B3743, ""/detail/([^/?]+)"") &amp; """""","""),"""ncccojappahgaagaaaieoofhiohjaogl"",")</f>
        <v>"ncccojappahgaagaaaieoofhiohjaogl",</v>
      </c>
    </row>
    <row r="3744">
      <c r="A3744" s="4" t="s">
        <v>22925</v>
      </c>
      <c r="B3744" s="4" t="s">
        <v>7460</v>
      </c>
      <c r="C3744" s="16" t="str">
        <f>IFERROR(__xludf.DUMMYFUNCTION(""""""""" &amp; REGEXEXTRACT(B3744, ""/detail/([^/?]+)"") &amp; """""","""),"""ncloaegenmmidmomonndokgpojpkbmkn"",")</f>
        <v>"ncloaegenmmidmomonndokgpojpkbmkn",</v>
      </c>
    </row>
    <row r="3745">
      <c r="A3745" s="4" t="s">
        <v>22926</v>
      </c>
      <c r="B3745" s="4" t="s">
        <v>7462</v>
      </c>
      <c r="C3745" s="16" t="str">
        <f>IFERROR(__xludf.DUMMYFUNCTION(""""""""" &amp; REGEXEXTRACT(B3745, ""/detail/([^/?]+)"") &amp; """""","""),"""nddeiknmamlpagmnabfdlljlikeoanch"",")</f>
        <v>"nddeiknmamlpagmnabfdlljlikeoanch",</v>
      </c>
    </row>
    <row r="3746">
      <c r="A3746" s="4" t="s">
        <v>22927</v>
      </c>
      <c r="B3746" s="4" t="s">
        <v>7464</v>
      </c>
      <c r="C3746" s="16" t="str">
        <f>IFERROR(__xludf.DUMMYFUNCTION(""""""""" &amp; REGEXEXTRACT(B3746, ""/detail/([^/?]+)"") &amp; """""","""),"""ndiaggkadcioihmhghipjmgfeamgjeoi"",")</f>
        <v>"ndiaggkadcioihmhghipjmgfeamgjeoi",</v>
      </c>
    </row>
    <row r="3747">
      <c r="A3747" s="4" t="s">
        <v>22928</v>
      </c>
      <c r="B3747" s="4" t="s">
        <v>7466</v>
      </c>
      <c r="C3747" s="16" t="str">
        <f>IFERROR(__xludf.DUMMYFUNCTION(""""""""" &amp; REGEXEXTRACT(B3747, ""/detail/([^/?]+)"") &amp; """""","""),"""nemnpbkkffglpnjncoglabfglkidbbek"",")</f>
        <v>"nemnpbkkffglpnjncoglabfglkidbbek",</v>
      </c>
    </row>
    <row r="3748">
      <c r="A3748" s="4" t="s">
        <v>22929</v>
      </c>
      <c r="B3748" s="4" t="s">
        <v>7468</v>
      </c>
      <c r="C3748" s="16" t="str">
        <f>IFERROR(__xludf.DUMMYFUNCTION(""""""""" &amp; REGEXEXTRACT(B3748, ""/detail/([^/?]+)"") &amp; """""","""),"""nfkaeignpggbjnhhijmggoeploenicdo"",")</f>
        <v>"nfkaeignpggbjnhhijmggoeploenicdo",</v>
      </c>
    </row>
    <row r="3749">
      <c r="A3749" s="4" t="s">
        <v>22930</v>
      </c>
      <c r="B3749" s="4" t="s">
        <v>7470</v>
      </c>
      <c r="C3749" s="16" t="str">
        <f>IFERROR(__xludf.DUMMYFUNCTION(""""""""" &amp; REGEXEXTRACT(B3749, ""/detail/([^/?]+)"") &amp; """""","""),"""nflndjpnihekepaecdfjdhihobjlpdeo"",")</f>
        <v>"nflndjpnihekepaecdfjdhihobjlpdeo",</v>
      </c>
    </row>
    <row r="3750">
      <c r="A3750" s="4" t="s">
        <v>22931</v>
      </c>
      <c r="B3750" s="4" t="s">
        <v>7472</v>
      </c>
      <c r="C3750" s="16" t="str">
        <f>IFERROR(__xludf.DUMMYFUNCTION(""""""""" &amp; REGEXEXTRACT(B3750, ""/detail/([^/?]+)"") &amp; """""","""),"""ngfiakljhmohmelbjjhiffcihiinflpj"",")</f>
        <v>"ngfiakljhmohmelbjjhiffcihiinflpj",</v>
      </c>
    </row>
    <row r="3751">
      <c r="A3751" s="4" t="s">
        <v>22932</v>
      </c>
      <c r="B3751" s="4" t="s">
        <v>7474</v>
      </c>
      <c r="C3751" s="16" t="str">
        <f>IFERROR(__xludf.DUMMYFUNCTION(""""""""" &amp; REGEXEXTRACT(B3751, ""/detail/([^/?]+)"") &amp; """""","""),"""ngjnlpkfccnglmlobafmobgjoiiliden"",")</f>
        <v>"ngjnlpkfccnglmlobafmobgjoiiliden",</v>
      </c>
    </row>
    <row r="3752">
      <c r="A3752" s="4" t="s">
        <v>22933</v>
      </c>
      <c r="B3752" s="4" t="s">
        <v>7476</v>
      </c>
      <c r="C3752" s="16" t="str">
        <f>IFERROR(__xludf.DUMMYFUNCTION(""""""""" &amp; REGEXEXTRACT(B3752, ""/detail/([^/?]+)"") &amp; """""","""),"""ngllidpgooocgmibccdgoajmdcmljfke"",")</f>
        <v>"ngllidpgooocgmibccdgoajmdcmljfke",</v>
      </c>
    </row>
    <row r="3753">
      <c r="A3753" s="4" t="s">
        <v>22934</v>
      </c>
      <c r="B3753" s="4" t="s">
        <v>7478</v>
      </c>
      <c r="C3753" s="16" t="str">
        <f>IFERROR(__xludf.DUMMYFUNCTION(""""""""" &amp; REGEXEXTRACT(B3753, ""/detail/([^/?]+)"") &amp; """""","""),"""nhcdkdllpbbldbllgjadnemkobkinodf"",")</f>
        <v>"nhcdkdllpbbldbllgjadnemkobkinodf",</v>
      </c>
    </row>
    <row r="3754">
      <c r="A3754" s="4" t="s">
        <v>22935</v>
      </c>
      <c r="B3754" s="4" t="s">
        <v>7480</v>
      </c>
      <c r="C3754" s="16" t="str">
        <f>IFERROR(__xludf.DUMMYFUNCTION(""""""""" &amp; REGEXEXTRACT(B3754, ""/detail/([^/?]+)"") &amp; """""","""),"""nhdghhbkaaohocakiepiogjhlllekfma"",")</f>
        <v>"nhdghhbkaaohocakiepiogjhlllekfma",</v>
      </c>
    </row>
    <row r="3755">
      <c r="A3755" s="4" t="s">
        <v>22936</v>
      </c>
      <c r="B3755" s="4" t="s">
        <v>7482</v>
      </c>
      <c r="C3755" s="16" t="str">
        <f>IFERROR(__xludf.DUMMYFUNCTION(""""""""" &amp; REGEXEXTRACT(B3755, ""/detail/([^/?]+)"") &amp; """""","""),"""nhfdmebpfpogeakgjmgbalpnmggnnchj"",")</f>
        <v>"nhfdmebpfpogeakgjmgbalpnmggnnchj",</v>
      </c>
    </row>
    <row r="3756">
      <c r="A3756" s="4" t="s">
        <v>22937</v>
      </c>
      <c r="B3756" s="4" t="s">
        <v>7484</v>
      </c>
      <c r="C3756" s="16" t="str">
        <f>IFERROR(__xludf.DUMMYFUNCTION(""""""""" &amp; REGEXEXTRACT(B3756, ""/detail/([^/?]+)"") &amp; """""","""),"""nhiegnhgjieegcgdkbneigigmpijbnhe"",")</f>
        <v>"nhiegnhgjieegcgdkbneigigmpijbnhe",</v>
      </c>
    </row>
    <row r="3757">
      <c r="A3757" s="4" t="s">
        <v>22938</v>
      </c>
      <c r="B3757" s="4" t="s">
        <v>7486</v>
      </c>
      <c r="C3757" s="16" t="str">
        <f>IFERROR(__xludf.DUMMYFUNCTION(""""""""" &amp; REGEXEXTRACT(B3757, ""/detail/([^/?]+)"") &amp; """""","""),"""nhnjlogclbafnccpmakpeekineodeimb"",")</f>
        <v>"nhnjlogclbafnccpmakpeekineodeimb",</v>
      </c>
    </row>
    <row r="3758">
      <c r="A3758" s="4" t="s">
        <v>22939</v>
      </c>
      <c r="B3758" s="4" t="s">
        <v>7488</v>
      </c>
      <c r="C3758" s="16" t="str">
        <f>IFERROR(__xludf.DUMMYFUNCTION(""""""""" &amp; REGEXEXTRACT(B3758, ""/detail/([^/?]+)"") &amp; """""","""),"""nhodjblplijafdpjjfhhanfmchplpfgl"",")</f>
        <v>"nhodjblplijafdpjjfhhanfmchplpfgl",</v>
      </c>
    </row>
    <row r="3759">
      <c r="A3759" s="4" t="s">
        <v>22940</v>
      </c>
      <c r="B3759" s="4" t="s">
        <v>7490</v>
      </c>
      <c r="C3759" s="16" t="str">
        <f>IFERROR(__xludf.DUMMYFUNCTION(""""""""" &amp; REGEXEXTRACT(B3759, ""/detail/([^/?]+)"") &amp; """""","""),"""nibcpadmgplbioagpknbbeabnidndcic"",")</f>
        <v>"nibcpadmgplbioagpknbbeabnidndcic",</v>
      </c>
    </row>
    <row r="3760">
      <c r="A3760" s="4" t="s">
        <v>22941</v>
      </c>
      <c r="B3760" s="4" t="s">
        <v>7492</v>
      </c>
      <c r="C3760" s="16" t="str">
        <f>IFERROR(__xludf.DUMMYFUNCTION(""""""""" &amp; REGEXEXTRACT(B3760, ""/detail/([^/?]+)"") &amp; """""","""),"""nieieojodgghoomakdkpkeipnncmbhdo"",")</f>
        <v>"nieieojodgghoomakdkpkeipnncmbhdo",</v>
      </c>
    </row>
    <row r="3761">
      <c r="A3761" s="4" t="s">
        <v>22942</v>
      </c>
      <c r="B3761" s="4" t="s">
        <v>7494</v>
      </c>
      <c r="C3761" s="16" t="str">
        <f>IFERROR(__xludf.DUMMYFUNCTION(""""""""" &amp; REGEXEXTRACT(B3761, ""/detail/([^/?]+)"") &amp; """""","""),"""nifgeionndffoekogkpkjigcjnhdcdjp"",")</f>
        <v>"nifgeionndffoekogkpkjigcjnhdcdjp",</v>
      </c>
    </row>
    <row r="3762">
      <c r="A3762" s="4" t="s">
        <v>22943</v>
      </c>
      <c r="B3762" s="4" t="s">
        <v>7496</v>
      </c>
      <c r="C3762" s="16" t="str">
        <f>IFERROR(__xludf.DUMMYFUNCTION(""""""""" &amp; REGEXEXTRACT(B3762, ""/detail/([^/?]+)"") &amp; """""","""),"""nigfaloeeeakmmgndbdcijjegolpjfhn"",")</f>
        <v>"nigfaloeeeakmmgndbdcijjegolpjfhn",</v>
      </c>
    </row>
    <row r="3763">
      <c r="A3763" s="4" t="s">
        <v>22944</v>
      </c>
      <c r="B3763" s="4" t="s">
        <v>7498</v>
      </c>
      <c r="C3763" s="16" t="str">
        <f>IFERROR(__xludf.DUMMYFUNCTION(""""""""" &amp; REGEXEXTRACT(B3763, ""/detail/([^/?]+)"") &amp; """""","""),"""nkddaimdokgdjkekmdakdaojkfaghomj"",")</f>
        <v>"nkddaimdokgdjkekmdakdaojkfaghomj",</v>
      </c>
    </row>
    <row r="3764">
      <c r="A3764" s="4" t="s">
        <v>22945</v>
      </c>
      <c r="B3764" s="4" t="s">
        <v>7500</v>
      </c>
      <c r="C3764" s="16" t="str">
        <f>IFERROR(__xludf.DUMMYFUNCTION(""""""""" &amp; REGEXEXTRACT(B3764, ""/detail/([^/?]+)"") &amp; """""","""),"""nkmmlnphajhildmnjkjkgkjnggpnhkhk"",")</f>
        <v>"nkmmlnphajhildmnjkjkgkjnggpnhkhk",</v>
      </c>
    </row>
    <row r="3765">
      <c r="A3765" s="4" t="s">
        <v>22946</v>
      </c>
      <c r="B3765" s="4" t="s">
        <v>7502</v>
      </c>
      <c r="C3765" s="16" t="str">
        <f>IFERROR(__xludf.DUMMYFUNCTION(""""""""" &amp; REGEXEXTRACT(B3765, ""/detail/([^/?]+)"") &amp; """""","""),"""nkndddcbofchmjogahmikkapkaoglkoh"",")</f>
        <v>"nkndddcbofchmjogahmikkapkaoglkoh",</v>
      </c>
    </row>
    <row r="3766">
      <c r="A3766" s="4" t="s">
        <v>22947</v>
      </c>
      <c r="B3766" s="4" t="s">
        <v>7504</v>
      </c>
      <c r="C3766" s="16" t="str">
        <f>IFERROR(__xludf.DUMMYFUNCTION(""""""""" &amp; REGEXEXTRACT(B3766, ""/detail/([^/?]+)"") &amp; """""","""),"""nljjfnjijdcagicaijhmaialoiahjckf"",")</f>
        <v>"nljjfnjijdcagicaijhmaialoiahjckf",</v>
      </c>
    </row>
    <row r="3767">
      <c r="A3767" s="4" t="s">
        <v>22948</v>
      </c>
      <c r="B3767" s="4" t="s">
        <v>7506</v>
      </c>
      <c r="C3767" s="16" t="str">
        <f>IFERROR(__xludf.DUMMYFUNCTION(""""""""" &amp; REGEXEXTRACT(B3767, ""/detail/([^/?]+)"") &amp; """""","""),"""nlkjkemkonahlpdjffgilcmgpghfphbj"",")</f>
        <v>"nlkjkemkonahlpdjffgilcmgpghfphbj",</v>
      </c>
    </row>
    <row r="3768">
      <c r="A3768" s="4" t="s">
        <v>22949</v>
      </c>
      <c r="B3768" s="4" t="s">
        <v>7508</v>
      </c>
      <c r="C3768" s="16" t="str">
        <f>IFERROR(__xludf.DUMMYFUNCTION(""""""""" &amp; REGEXEXTRACT(B3768, ""/detail/([^/?]+)"") &amp; """""","""),"""nlkkdjbboeginjddlaldghockncacjpm"",")</f>
        <v>"nlkkdjbboeginjddlaldghockncacjpm",</v>
      </c>
    </row>
    <row r="3769">
      <c r="A3769" s="4" t="s">
        <v>22950</v>
      </c>
      <c r="B3769" s="4" t="s">
        <v>7510</v>
      </c>
      <c r="C3769" s="16" t="str">
        <f>IFERROR(__xludf.DUMMYFUNCTION(""""""""" &amp; REGEXEXTRACT(B3769, ""/detail/([^/?]+)"") &amp; """""","""),"""nlnicneebppdmbhknnbdnilmfkbonhec"",")</f>
        <v>"nlnicneebppdmbhknnbdnilmfkbonhec",</v>
      </c>
    </row>
    <row r="3770">
      <c r="A3770" s="4" t="s">
        <v>22951</v>
      </c>
      <c r="B3770" s="4" t="s">
        <v>7512</v>
      </c>
      <c r="C3770" s="16" t="str">
        <f>IFERROR(__xludf.DUMMYFUNCTION(""""""""" &amp; REGEXEXTRACT(B3770, ""/detail/([^/?]+)"") &amp; """""","""),"""nlplighifcffggibcniobplggfggphia"",")</f>
        <v>"nlplighifcffggibcniobplggfggphia",</v>
      </c>
    </row>
    <row r="3771">
      <c r="A3771" s="4" t="s">
        <v>22952</v>
      </c>
      <c r="B3771" s="4" t="s">
        <v>7514</v>
      </c>
      <c r="C3771" s="16" t="str">
        <f>IFERROR(__xludf.DUMMYFUNCTION(""""""""" &amp; REGEXEXTRACT(B3771, ""/detail/([^/?]+)"") &amp; """""","""),"""nnjjepljgjdohjjenolpeplgcmfjchih"",")</f>
        <v>"nnjjepljgjdohjjenolpeplgcmfjchih",</v>
      </c>
    </row>
    <row r="3772">
      <c r="A3772" s="4" t="s">
        <v>22953</v>
      </c>
      <c r="B3772" s="4" t="s">
        <v>7516</v>
      </c>
      <c r="C3772" s="16" t="str">
        <f>IFERROR(__xludf.DUMMYFUNCTION(""""""""" &amp; REGEXEXTRACT(B3772, ""/detail/([^/?]+)"") &amp; """""","""),"""nnmebjmgdonemncjdliomljdfhpnlekk"",")</f>
        <v>"nnmebjmgdonemncjdliomljdfhpnlekk",</v>
      </c>
    </row>
    <row r="3773">
      <c r="A3773" s="4" t="s">
        <v>22954</v>
      </c>
      <c r="B3773" s="4" t="s">
        <v>7518</v>
      </c>
      <c r="C3773" s="16" t="str">
        <f>IFERROR(__xludf.DUMMYFUNCTION(""""""""" &amp; REGEXEXTRACT(B3773, ""/detail/([^/?]+)"") &amp; """""","""),"""nonmcdkdhgkljdlbkfdclcemmoenfbgb"",")</f>
        <v>"nonmcdkdhgkljdlbkfdclcemmoenfbgb",</v>
      </c>
    </row>
    <row r="3774">
      <c r="A3774" s="4" t="s">
        <v>22955</v>
      </c>
      <c r="B3774" s="4" t="s">
        <v>7520</v>
      </c>
      <c r="C3774" s="16" t="str">
        <f>IFERROR(__xludf.DUMMYFUNCTION(""""""""" &amp; REGEXEXTRACT(B3774, ""/detail/([^/?]+)"") &amp; """""","""),"""npfnmnpgmelioikiledodkimffbejdjn"",")</f>
        <v>"npfnmnpgmelioikiledodkimffbejdjn",</v>
      </c>
    </row>
    <row r="3775">
      <c r="A3775" s="4" t="s">
        <v>22956</v>
      </c>
      <c r="B3775" s="4" t="s">
        <v>7522</v>
      </c>
      <c r="C3775" s="16" t="str">
        <f>IFERROR(__xludf.DUMMYFUNCTION(""""""""" &amp; REGEXEXTRACT(B3775, ""/detail/([^/?]+)"") &amp; """""","""),"""npknnddabjhdijgmmbocdicnknegobkm"",")</f>
        <v>"npknnddabjhdijgmmbocdicnknegobkm",</v>
      </c>
    </row>
    <row r="3776">
      <c r="A3776" s="4" t="s">
        <v>22957</v>
      </c>
      <c r="B3776" s="4" t="s">
        <v>7524</v>
      </c>
      <c r="C3776" s="16" t="str">
        <f>IFERROR(__xludf.DUMMYFUNCTION(""""""""" &amp; REGEXEXTRACT(B3776, ""/detail/([^/?]+)"") &amp; """""","""),"""oahnbjfjdgpabgpdbnljaodhlgfeblhk"",")</f>
        <v>"oahnbjfjdgpabgpdbnljaodhlgfeblhk",</v>
      </c>
    </row>
    <row r="3777">
      <c r="A3777" s="4" t="s">
        <v>22958</v>
      </c>
      <c r="B3777" s="4" t="s">
        <v>7526</v>
      </c>
      <c r="C3777" s="16" t="str">
        <f>IFERROR(__xludf.DUMMYFUNCTION(""""""""" &amp; REGEXEXTRACT(B3777, ""/detail/([^/?]+)"") &amp; """""","""),"""oakginfeffaakolnlhkcflaebdgbfmfe"",")</f>
        <v>"oakginfeffaakolnlhkcflaebdgbfmfe",</v>
      </c>
    </row>
    <row r="3778">
      <c r="A3778" s="4" t="s">
        <v>22959</v>
      </c>
      <c r="B3778" s="4" t="s">
        <v>7528</v>
      </c>
      <c r="C3778" s="16" t="str">
        <f>IFERROR(__xludf.DUMMYFUNCTION(""""""""" &amp; REGEXEXTRACT(B3778, ""/detail/([^/?]+)"") &amp; """""","""),"""oalbpfagfhfkcmklpdanadjpbfdedndn"",")</f>
        <v>"oalbpfagfhfkcmklpdanadjpbfdedndn",</v>
      </c>
    </row>
    <row r="3779">
      <c r="A3779" s="4" t="s">
        <v>22960</v>
      </c>
      <c r="B3779" s="4" t="s">
        <v>7530</v>
      </c>
      <c r="C3779" s="16" t="str">
        <f>IFERROR(__xludf.DUMMYFUNCTION(""""""""" &amp; REGEXEXTRACT(B3779, ""/detail/([^/?]+)"") &amp; """""","""),"""oalnjhnakfpklfbnmnbgidfhemncplef"",")</f>
        <v>"oalnjhnakfpklfbnmnbgidfhemncplef",</v>
      </c>
    </row>
    <row r="3780">
      <c r="A3780" s="4" t="s">
        <v>22961</v>
      </c>
      <c r="B3780" s="4" t="s">
        <v>7532</v>
      </c>
      <c r="C3780" s="16" t="str">
        <f>IFERROR(__xludf.DUMMYFUNCTION(""""""""" &amp; REGEXEXTRACT(B3780, ""/detail/([^/?]+)"") &amp; """""","""),"""oapfffhnckhffnpiophbcmjnpomjkfcj"",")</f>
        <v>"oapfffhnckhffnpiophbcmjnpomjkfcj",</v>
      </c>
    </row>
    <row r="3781">
      <c r="A3781" s="4" t="s">
        <v>22962</v>
      </c>
      <c r="B3781" s="4" t="s">
        <v>7534</v>
      </c>
      <c r="C3781" s="16" t="str">
        <f>IFERROR(__xludf.DUMMYFUNCTION(""""""""" &amp; REGEXEXTRACT(B3781, ""/detail/([^/?]+)"") &amp; """""","""),"""oaphhjhbbabdjnpjpiliepphpmnioolo"",")</f>
        <v>"oaphhjhbbabdjnpjpiliepphpmnioolo",</v>
      </c>
    </row>
    <row r="3782">
      <c r="A3782" s="4" t="s">
        <v>22963</v>
      </c>
      <c r="B3782" s="4" t="s">
        <v>7536</v>
      </c>
      <c r="C3782" s="16" t="str">
        <f>IFERROR(__xludf.DUMMYFUNCTION(""""""""" &amp; REGEXEXTRACT(B3782, ""/detail/([^/?]+)"") &amp; """""","""),"""obanalcjjhlhikmhfkeifieifjbpnchg"",")</f>
        <v>"obanalcjjhlhikmhfkeifieifjbpnchg",</v>
      </c>
    </row>
    <row r="3783">
      <c r="A3783" s="4" t="s">
        <v>22964</v>
      </c>
      <c r="B3783" s="4" t="s">
        <v>7538</v>
      </c>
      <c r="C3783" s="16" t="str">
        <f>IFERROR(__xludf.DUMMYFUNCTION(""""""""" &amp; REGEXEXTRACT(B3783, ""/detail/([^/?]+)"") &amp; """""","""),"""obcnmdgpjakcffkcjnonpdlainhphpgh"",")</f>
        <v>"obcnmdgpjakcffkcjnonpdlainhphpgh",</v>
      </c>
    </row>
    <row r="3784">
      <c r="A3784" s="4" t="s">
        <v>22965</v>
      </c>
      <c r="B3784" s="4" t="s">
        <v>7540</v>
      </c>
      <c r="C3784" s="16" t="str">
        <f>IFERROR(__xludf.DUMMYFUNCTION(""""""""" &amp; REGEXEXTRACT(B3784, ""/detail/([^/?]+)"") &amp; """""","""),"""ocinlljpgedeimebndedmhjmbiigmoga"",")</f>
        <v>"ocinlljpgedeimebndedmhjmbiigmoga",</v>
      </c>
    </row>
    <row r="3785">
      <c r="A3785" s="4" t="s">
        <v>22966</v>
      </c>
      <c r="B3785" s="4" t="s">
        <v>7542</v>
      </c>
      <c r="C3785" s="16" t="str">
        <f>IFERROR(__xludf.DUMMYFUNCTION(""""""""" &amp; REGEXEXTRACT(B3785, ""/detail/([^/?]+)"") &amp; """""","""),"""odbdedlpknlpnibidnmjcmlopgegggbi"",")</f>
        <v>"odbdedlpknlpnibidnmjcmlopgegggbi",</v>
      </c>
    </row>
    <row r="3786">
      <c r="A3786" s="4" t="s">
        <v>22967</v>
      </c>
      <c r="B3786" s="4" t="s">
        <v>7544</v>
      </c>
      <c r="C3786" s="16" t="str">
        <f>IFERROR(__xludf.DUMMYFUNCTION(""""""""" &amp; REGEXEXTRACT(B3786, ""/detail/([^/?]+)"") &amp; """""","""),"""odfgigmpkhhhieicogijogfobfipijjh"",")</f>
        <v>"odfgigmpkhhhieicogijogfobfipijjh",</v>
      </c>
    </row>
    <row r="3787">
      <c r="A3787" s="4" t="s">
        <v>22968</v>
      </c>
      <c r="B3787" s="4" t="s">
        <v>7546</v>
      </c>
      <c r="C3787" s="16" t="str">
        <f>IFERROR(__xludf.DUMMYFUNCTION(""""""""" &amp; REGEXEXTRACT(B3787, ""/detail/([^/?]+)"") &amp; """""","""),"""odoiohbbplgpbkfinacjpmcfpgfinljb"",")</f>
        <v>"odoiohbbplgpbkfinacjpmcfpgfinljb",</v>
      </c>
    </row>
    <row r="3788">
      <c r="A3788" s="4" t="s">
        <v>22969</v>
      </c>
      <c r="B3788" s="4" t="s">
        <v>7548</v>
      </c>
      <c r="C3788" s="16" t="str">
        <f>IFERROR(__xludf.DUMMYFUNCTION(""""""""" &amp; REGEXEXTRACT(B3788, ""/detail/([^/?]+)"") &amp; """""","""),"""oeekflkhfpllpepjdkpodopelgaebeed"",")</f>
        <v>"oeekflkhfpllpepjdkpodopelgaebeed",</v>
      </c>
    </row>
    <row r="3789">
      <c r="A3789" s="4" t="s">
        <v>22970</v>
      </c>
      <c r="B3789" s="4" t="s">
        <v>7550</v>
      </c>
      <c r="C3789" s="16" t="str">
        <f>IFERROR(__xludf.DUMMYFUNCTION(""""""""" &amp; REGEXEXTRACT(B3789, ""/detail/([^/?]+)"") &amp; """""","""),"""oemdhbekdbklfkopmoalceaabbjmjpdb"",")</f>
        <v>"oemdhbekdbklfkopmoalceaabbjmjpdb",</v>
      </c>
    </row>
    <row r="3790">
      <c r="A3790" s="4" t="s">
        <v>22971</v>
      </c>
      <c r="B3790" s="4" t="s">
        <v>7552</v>
      </c>
      <c r="C3790" s="16" t="str">
        <f>IFERROR(__xludf.DUMMYFUNCTION(""""""""" &amp; REGEXEXTRACT(B3790, ""/detail/([^/?]+)"") &amp; """""","""),"""ofiindmkglmjpndljggpcpamcglnmmpl"",")</f>
        <v>"ofiindmkglmjpndljggpcpamcglnmmpl",</v>
      </c>
    </row>
    <row r="3791">
      <c r="A3791" s="4" t="s">
        <v>22972</v>
      </c>
      <c r="B3791" s="4" t="s">
        <v>7554</v>
      </c>
      <c r="C3791" s="16" t="str">
        <f>IFERROR(__xludf.DUMMYFUNCTION(""""""""" &amp; REGEXEXTRACT(B3791, ""/detail/([^/?]+)"") &amp; """""","""),"""ofnkhbghpfepphpopdkcgbloclnocfpb"",")</f>
        <v>"ofnkhbghpfepphpopdkcgbloclnocfpb",</v>
      </c>
    </row>
    <row r="3792">
      <c r="A3792" s="4" t="s">
        <v>22973</v>
      </c>
      <c r="B3792" s="4" t="s">
        <v>7556</v>
      </c>
      <c r="C3792" s="16" t="str">
        <f>IFERROR(__xludf.DUMMYFUNCTION(""""""""" &amp; REGEXEXTRACT(B3792, ""/detail/([^/?]+)"") &amp; """""","""),"""ogdbiinbadpfacfnngdjjcjcfkpmidfm"",")</f>
        <v>"ogdbiinbadpfacfnngdjjcjcfkpmidfm",</v>
      </c>
    </row>
    <row r="3793">
      <c r="A3793" s="4" t="s">
        <v>22974</v>
      </c>
      <c r="B3793" s="4" t="s">
        <v>7558</v>
      </c>
      <c r="C3793" s="16" t="str">
        <f>IFERROR(__xludf.DUMMYFUNCTION(""""""""" &amp; REGEXEXTRACT(B3793, ""/detail/([^/?]+)"") &amp; """""","""),"""oggljfcldhdcoemgnamdaaaofaenefni"",")</f>
        <v>"oggljfcldhdcoemgnamdaaaofaenefni",</v>
      </c>
    </row>
    <row r="3794">
      <c r="A3794" s="4" t="s">
        <v>22975</v>
      </c>
      <c r="B3794" s="4" t="s">
        <v>7560</v>
      </c>
      <c r="C3794" s="16" t="str">
        <f>IFERROR(__xludf.DUMMYFUNCTION(""""""""" &amp; REGEXEXTRACT(B3794, ""/detail/([^/?]+)"") &amp; """""","""),"""oglhollagcmlahfflcpgpoemjpjfafeo"",")</f>
        <v>"oglhollagcmlahfflcpgpoemjpjfafeo",</v>
      </c>
    </row>
    <row r="3795">
      <c r="A3795" s="4" t="s">
        <v>22976</v>
      </c>
      <c r="B3795" s="4" t="s">
        <v>7562</v>
      </c>
      <c r="C3795" s="16" t="str">
        <f>IFERROR(__xludf.DUMMYFUNCTION(""""""""" &amp; REGEXEXTRACT(B3795, ""/detail/([^/?]+)"") &amp; """""","""),"""ohnfdmfkceojnmepofncbddpdicdjcoi"",")</f>
        <v>"ohnfdmfkceojnmepofncbddpdicdjcoi",</v>
      </c>
    </row>
    <row r="3796">
      <c r="A3796" s="4" t="s">
        <v>22977</v>
      </c>
      <c r="B3796" s="4" t="s">
        <v>7564</v>
      </c>
      <c r="C3796" s="16" t="str">
        <f>IFERROR(__xludf.DUMMYFUNCTION(""""""""" &amp; REGEXEXTRACT(B3796, ""/detail/([^/?]+)"") &amp; """""","""),"""ohnjbklmpmcaagafdohmngealmpojabi"",")</f>
        <v>"ohnjbklmpmcaagafdohmngealmpojabi",</v>
      </c>
    </row>
    <row r="3797">
      <c r="A3797" s="4" t="s">
        <v>22978</v>
      </c>
      <c r="B3797" s="4" t="s">
        <v>7566</v>
      </c>
      <c r="C3797" s="16" t="str">
        <f>IFERROR(__xludf.DUMMYFUNCTION(""""""""" &amp; REGEXEXTRACT(B3797, ""/detail/([^/?]+)"") &amp; """""","""),"""okaejpolmbadfbmnpnmdjdocdblgcija"",")</f>
        <v>"okaejpolmbadfbmnpnmdjdocdblgcija",</v>
      </c>
    </row>
    <row r="3798">
      <c r="A3798" s="4" t="s">
        <v>22979</v>
      </c>
      <c r="B3798" s="4" t="s">
        <v>7568</v>
      </c>
      <c r="C3798" s="16" t="str">
        <f>IFERROR(__xludf.DUMMYFUNCTION(""""""""" &amp; REGEXEXTRACT(B3798, ""/detail/([^/?]+)"") &amp; """""","""),"""oknfhghddpnfhibkiclbkcfpfahdhmkh"",")</f>
        <v>"oknfhghddpnfhibkiclbkcfpfahdhmkh",</v>
      </c>
    </row>
    <row r="3799">
      <c r="A3799" s="4" t="s">
        <v>22980</v>
      </c>
      <c r="B3799" s="4" t="s">
        <v>7570</v>
      </c>
      <c r="C3799" s="16" t="str">
        <f>IFERROR(__xludf.DUMMYFUNCTION(""""""""" &amp; REGEXEXTRACT(B3799, ""/detail/([^/?]+)"") &amp; """""","""),"""olbihpfkfhmeonjellidnieandnfaapd"",")</f>
        <v>"olbihpfkfhmeonjellidnieandnfaapd",</v>
      </c>
    </row>
    <row r="3800">
      <c r="A3800" s="4" t="s">
        <v>22981</v>
      </c>
      <c r="B3800" s="4" t="s">
        <v>7572</v>
      </c>
      <c r="C3800" s="16" t="str">
        <f>IFERROR(__xludf.DUMMYFUNCTION(""""""""" &amp; REGEXEXTRACT(B3800, ""/detail/([^/?]+)"") &amp; """""","""),"""omjpjjekjefmdkidigpkhpjnojoadbih"",")</f>
        <v>"omjpjjekjefmdkidigpkhpjnojoadbih",</v>
      </c>
    </row>
    <row r="3801">
      <c r="A3801" s="4" t="s">
        <v>22982</v>
      </c>
      <c r="B3801" s="4" t="s">
        <v>7574</v>
      </c>
      <c r="C3801" s="16" t="str">
        <f>IFERROR(__xludf.DUMMYFUNCTION(""""""""" &amp; REGEXEXTRACT(B3801, ""/detail/([^/?]+)"") &amp; """""","""),"""omloppmdelcfeablljmjmonacajpfpmj"",")</f>
        <v>"omloppmdelcfeablljmjmonacajpfpmj",</v>
      </c>
    </row>
    <row r="3802">
      <c r="A3802" s="4" t="s">
        <v>22983</v>
      </c>
      <c r="B3802" s="4" t="s">
        <v>7576</v>
      </c>
      <c r="C3802" s="16" t="str">
        <f>IFERROR(__xludf.DUMMYFUNCTION(""""""""" &amp; REGEXEXTRACT(B3802, ""/detail/([^/?]+)"") &amp; """""","""),"""onaeadclbaeleijcfmmhopgmmmpedifa"",")</f>
        <v>"onaeadclbaeleijcfmmhopgmmmpedifa",</v>
      </c>
    </row>
    <row r="3803">
      <c r="A3803" s="4" t="s">
        <v>22984</v>
      </c>
      <c r="B3803" s="4" t="s">
        <v>7578</v>
      </c>
      <c r="C3803" s="16" t="str">
        <f>IFERROR(__xludf.DUMMYFUNCTION(""""""""" &amp; REGEXEXTRACT(B3803, ""/detail/([^/?]+)"") &amp; """""","""),"""onallmegfllpgimnkekmlpgcknbajapa"",")</f>
        <v>"onallmegfllpgimnkekmlpgcknbajapa",</v>
      </c>
    </row>
    <row r="3804">
      <c r="A3804" s="4" t="s">
        <v>22985</v>
      </c>
      <c r="B3804" s="4" t="s">
        <v>7580</v>
      </c>
      <c r="C3804" s="16" t="str">
        <f>IFERROR(__xludf.DUMMYFUNCTION(""""""""" &amp; REGEXEXTRACT(B3804, ""/detail/([^/?]+)"") &amp; """""","""),"""onbankppjhoeccfkpnhogojjllbefglb"",")</f>
        <v>"onbankppjhoeccfkpnhogojjllbefglb",</v>
      </c>
    </row>
    <row r="3805">
      <c r="A3805" s="4" t="s">
        <v>22986</v>
      </c>
      <c r="B3805" s="4" t="s">
        <v>7582</v>
      </c>
      <c r="C3805" s="16" t="str">
        <f>IFERROR(__xludf.DUMMYFUNCTION(""""""""" &amp; REGEXEXTRACT(B3805, ""/detail/([^/?]+)"") &amp; """""","""),"""onfbdcochddeofkfdjahmpmefpilbjpb"",")</f>
        <v>"onfbdcochddeofkfdjahmpmefpilbjpb",</v>
      </c>
    </row>
    <row r="3806">
      <c r="A3806" s="4" t="s">
        <v>22987</v>
      </c>
      <c r="B3806" s="4" t="s">
        <v>7584</v>
      </c>
      <c r="C3806" s="16" t="str">
        <f>IFERROR(__xludf.DUMMYFUNCTION(""""""""" &amp; REGEXEXTRACT(B3806, ""/detail/([^/?]+)"") &amp; """""","""),"""onjdlclpcjjopdlmokbdbkmhfhonkghd"",")</f>
        <v>"onjdlclpcjjopdlmokbdbkmhfhonkghd",</v>
      </c>
    </row>
    <row r="3807">
      <c r="A3807" s="4" t="s">
        <v>22988</v>
      </c>
      <c r="B3807" s="4" t="s">
        <v>7586</v>
      </c>
      <c r="C3807" s="16" t="str">
        <f>IFERROR(__xludf.DUMMYFUNCTION(""""""""" &amp; REGEXEXTRACT(B3807, ""/detail/([^/?]+)"") &amp; """""","""),"""ooelmejmbcmaenhjphbegoigejcpaijj"",")</f>
        <v>"ooelmejmbcmaenhjphbegoigejcpaijj",</v>
      </c>
    </row>
    <row r="3808">
      <c r="A3808" s="4" t="s">
        <v>22989</v>
      </c>
      <c r="B3808" s="4" t="s">
        <v>7588</v>
      </c>
      <c r="C3808" s="16" t="str">
        <f>IFERROR(__xludf.DUMMYFUNCTION(""""""""" &amp; REGEXEXTRACT(B3808, ""/detail/([^/?]+)"") &amp; """""","""),"""oopaipoegcoodhcemiefhoeaneholpfj"",")</f>
        <v>"oopaipoegcoodhcemiefhoeaneholpfj",</v>
      </c>
    </row>
    <row r="3809">
      <c r="A3809" s="4" t="s">
        <v>22990</v>
      </c>
      <c r="B3809" s="4" t="s">
        <v>7590</v>
      </c>
      <c r="C3809" s="16" t="str">
        <f>IFERROR(__xludf.DUMMYFUNCTION(""""""""" &amp; REGEXEXTRACT(B3809, ""/detail/([^/?]+)"") &amp; """""","""),"""opefelljddckamffnphohkknfgbdnham"",")</f>
        <v>"opefelljddckamffnphohkknfgbdnham",</v>
      </c>
    </row>
    <row r="3810">
      <c r="A3810" s="4" t="s">
        <v>22991</v>
      </c>
      <c r="B3810" s="4" t="s">
        <v>7592</v>
      </c>
      <c r="C3810" s="16" t="str">
        <f>IFERROR(__xludf.DUMMYFUNCTION(""""""""" &amp; REGEXEXTRACT(B3810, ""/detail/([^/?]+)"") &amp; """""","""),"""opidlipnbfhpdenbnanplcalbdgoplnc"",")</f>
        <v>"opidlipnbfhpdenbnanplcalbdgoplnc",</v>
      </c>
    </row>
    <row r="3811">
      <c r="A3811" s="4" t="s">
        <v>22992</v>
      </c>
      <c r="B3811" s="4" t="s">
        <v>7594</v>
      </c>
      <c r="C3811" s="16" t="str">
        <f>IFERROR(__xludf.DUMMYFUNCTION(""""""""" &amp; REGEXEXTRACT(B3811, ""/detail/([^/?]+)"") &amp; """""","""),"""opjjnkenncfhccclamihhkgagcimhkgb"",")</f>
        <v>"opjjnkenncfhccclamihhkgagcimhkgb",</v>
      </c>
    </row>
    <row r="3812">
      <c r="A3812" s="4" t="s">
        <v>22993</v>
      </c>
      <c r="B3812" s="4" t="s">
        <v>7596</v>
      </c>
      <c r="C3812" s="16" t="str">
        <f>IFERROR(__xludf.DUMMYFUNCTION(""""""""" &amp; REGEXEXTRACT(B3812, ""/detail/([^/?]+)"") &amp; """""","""),"""opplgfmlhieaibnddnjciilcadohjopd"",")</f>
        <v>"opplgfmlhieaibnddnjciilcadohjopd",</v>
      </c>
    </row>
    <row r="3813">
      <c r="A3813" s="4" t="s">
        <v>22994</v>
      </c>
      <c r="B3813" s="4" t="s">
        <v>7598</v>
      </c>
      <c r="C3813" s="16" t="str">
        <f>IFERROR(__xludf.DUMMYFUNCTION(""""""""" &amp; REGEXEXTRACT(B3813, ""/detail/([^/?]+)"") &amp; """""","""),"""pacehjmodmfilemfbcahnpdcdmlocjnm"",")</f>
        <v>"pacehjmodmfilemfbcahnpdcdmlocjnm",</v>
      </c>
    </row>
    <row r="3814">
      <c r="A3814" s="4" t="s">
        <v>22995</v>
      </c>
      <c r="B3814" s="4" t="s">
        <v>7600</v>
      </c>
      <c r="C3814" s="16" t="str">
        <f>IFERROR(__xludf.DUMMYFUNCTION(""""""""" &amp; REGEXEXTRACT(B3814, ""/detail/([^/?]+)"") &amp; """""","""),"""pbljfomgollbampmcmalflifheichabj"",")</f>
        <v>"pbljfomgollbampmcmalflifheichabj",</v>
      </c>
    </row>
    <row r="3815">
      <c r="A3815" s="4" t="s">
        <v>22996</v>
      </c>
      <c r="B3815" s="4" t="s">
        <v>7602</v>
      </c>
      <c r="C3815" s="16" t="str">
        <f>IFERROR(__xludf.DUMMYFUNCTION(""""""""" &amp; REGEXEXTRACT(B3815, ""/detail/([^/?]+)"") &amp; """""","""),"""pcjgpaoccfljpcenfoonloideeelljih"",")</f>
        <v>"pcjgpaoccfljpcenfoonloideeelljih",</v>
      </c>
    </row>
    <row r="3816">
      <c r="A3816" s="16" t="str">
        <f>+ GGather 2020-08-26T06:06:21.000Z</f>
        <v>#ERROR!</v>
      </c>
      <c r="B3816" s="4" t="s">
        <v>7604</v>
      </c>
      <c r="C3816" s="16" t="str">
        <f>IFERROR(__xludf.DUMMYFUNCTION(""""""""" &amp; REGEXEXTRACT(B3816, ""/detail/([^/?]+)"") &amp; """""","""),"""pcpaogkiacmmehpclbomfdhknjmndgpf"",")</f>
        <v>"pcpaogkiacmmehpclbomfdhknjmndgpf",</v>
      </c>
    </row>
    <row r="3817">
      <c r="A3817" s="4" t="s">
        <v>22997</v>
      </c>
      <c r="B3817" s="4" t="s">
        <v>7606</v>
      </c>
      <c r="C3817" s="16" t="str">
        <f>IFERROR(__xludf.DUMMYFUNCTION(""""""""" &amp; REGEXEXTRACT(B3817, ""/detail/([^/?]+)"") &amp; """""","""),"""pdcpkplohipjhdfdchpmgekifmcdbnha"",")</f>
        <v>"pdcpkplohipjhdfdchpmgekifmcdbnha",</v>
      </c>
    </row>
    <row r="3818">
      <c r="A3818" s="4" t="s">
        <v>22998</v>
      </c>
      <c r="B3818" s="4" t="s">
        <v>7608</v>
      </c>
      <c r="C3818" s="16" t="str">
        <f>IFERROR(__xludf.DUMMYFUNCTION(""""""""" &amp; REGEXEXTRACT(B3818, ""/detail/([^/?]+)"") &amp; """""","""),"""pdhfkciemenekahpcoimfljmdifjllon"",")</f>
        <v>"pdhfkciemenekahpcoimfljmdifjllon",</v>
      </c>
    </row>
    <row r="3819">
      <c r="A3819" s="4" t="s">
        <v>22999</v>
      </c>
      <c r="B3819" s="4" t="s">
        <v>7610</v>
      </c>
      <c r="C3819" s="16" t="str">
        <f>IFERROR(__xludf.DUMMYFUNCTION(""""""""" &amp; REGEXEXTRACT(B3819, ""/detail/([^/?]+)"") &amp; """""","""),"""pdhpdibmmpabmojipngiikifminbkabf"",")</f>
        <v>"pdhpdibmmpabmojipngiikifminbkabf",</v>
      </c>
    </row>
    <row r="3820">
      <c r="A3820" s="4" t="s">
        <v>23000</v>
      </c>
      <c r="B3820" s="4" t="s">
        <v>7612</v>
      </c>
      <c r="C3820" s="16" t="str">
        <f>IFERROR(__xludf.DUMMYFUNCTION(""""""""" &amp; REGEXEXTRACT(B3820, ""/detail/([^/?]+)"") &amp; """""","""),"""pfegffhjcgkneoemnlniggnhkfioidjg"",")</f>
        <v>"pfegffhjcgkneoemnlniggnhkfioidjg",</v>
      </c>
    </row>
    <row r="3821">
      <c r="A3821" s="4" t="s">
        <v>23001</v>
      </c>
      <c r="B3821" s="4" t="s">
        <v>7614</v>
      </c>
      <c r="C3821" s="16" t="str">
        <f>IFERROR(__xludf.DUMMYFUNCTION(""""""""" &amp; REGEXEXTRACT(B3821, ""/detail/([^/?]+)"") &amp; """""","""),"""pffipagakjgfndljjpkbdpoimojmgjca"",")</f>
        <v>"pffipagakjgfndljjpkbdpoimojmgjca",</v>
      </c>
    </row>
    <row r="3822">
      <c r="A3822" s="4" t="s">
        <v>23002</v>
      </c>
      <c r="B3822" s="4" t="s">
        <v>7616</v>
      </c>
      <c r="C3822" s="16" t="str">
        <f>IFERROR(__xludf.DUMMYFUNCTION(""""""""" &amp; REGEXEXTRACT(B3822, ""/detail/([^/?]+)"") &amp; """""","""),"""pfncofjenonlikkhcbbgingooppdddde"",")</f>
        <v>"pfncofjenonlikkhcbbgingooppdddde",</v>
      </c>
    </row>
    <row r="3823">
      <c r="A3823" s="4" t="s">
        <v>23003</v>
      </c>
      <c r="B3823" s="4" t="s">
        <v>7618</v>
      </c>
      <c r="C3823" s="16" t="str">
        <f>IFERROR(__xludf.DUMMYFUNCTION(""""""""" &amp; REGEXEXTRACT(B3823, ""/detail/([^/?]+)"") &amp; """""","""),"""pgjddfakmeeljhjhnhgakblggcfkmima"",")</f>
        <v>"pgjddfakmeeljhjhnhgakblggcfkmima",</v>
      </c>
    </row>
    <row r="3824">
      <c r="A3824" s="4" t="s">
        <v>23004</v>
      </c>
      <c r="B3824" s="4" t="s">
        <v>7620</v>
      </c>
      <c r="C3824" s="16" t="str">
        <f>IFERROR(__xludf.DUMMYFUNCTION(""""""""" &amp; REGEXEXTRACT(B3824, ""/detail/([^/?]+)"") &amp; """""","""),"""pgmbbgdogjfgbnlcnfeoelfanbgaehma"",")</f>
        <v>"pgmbbgdogjfgbnlcnfeoelfanbgaehma",</v>
      </c>
    </row>
    <row r="3825">
      <c r="A3825" s="4" t="s">
        <v>23005</v>
      </c>
      <c r="B3825" s="4" t="s">
        <v>7622</v>
      </c>
      <c r="C3825" s="16" t="str">
        <f>IFERROR(__xludf.DUMMYFUNCTION(""""""""" &amp; REGEXEXTRACT(B3825, ""/detail/([^/?]+)"") &amp; """""","""),"""pgmcojeijjhacgkkjaakdafmloncpema"",")</f>
        <v>"pgmcojeijjhacgkkjaakdafmloncpema",</v>
      </c>
    </row>
    <row r="3826">
      <c r="A3826" s="4" t="s">
        <v>23006</v>
      </c>
      <c r="B3826" s="4" t="s">
        <v>7624</v>
      </c>
      <c r="C3826" s="16" t="str">
        <f>IFERROR(__xludf.DUMMYFUNCTION(""""""""" &amp; REGEXEXTRACT(B3826, ""/detail/([^/?]+)"") &amp; """""","""),"""phhkfpenalhlnhefgcehhdgoabneidjn"",")</f>
        <v>"phhkfpenalhlnhefgcehhdgoabneidjn",</v>
      </c>
    </row>
    <row r="3827">
      <c r="A3827" s="4" t="s">
        <v>23007</v>
      </c>
      <c r="B3827" s="4" t="s">
        <v>7626</v>
      </c>
      <c r="C3827" s="16" t="str">
        <f>IFERROR(__xludf.DUMMYFUNCTION(""""""""" &amp; REGEXEXTRACT(B3827, ""/detail/([^/?]+)"") &amp; """""","""),"""phkjgidaednepcinnjgofdfjmajjngji"",")</f>
        <v>"phkjgidaednepcinnjgofdfjmajjngji",</v>
      </c>
    </row>
    <row r="3828">
      <c r="A3828" s="4" t="s">
        <v>23008</v>
      </c>
      <c r="B3828" s="4" t="s">
        <v>7628</v>
      </c>
      <c r="C3828" s="16" t="str">
        <f>IFERROR(__xludf.DUMMYFUNCTION(""""""""" &amp; REGEXEXTRACT(B3828, ""/detail/([^/?]+)"") &amp; """""","""),"""pigjfndpomdldkmoaiiigpbncemhjeca"",")</f>
        <v>"pigjfndpomdldkmoaiiigpbncemhjeca",</v>
      </c>
    </row>
    <row r="3829">
      <c r="A3829" s="4" t="s">
        <v>23009</v>
      </c>
      <c r="B3829" s="4" t="s">
        <v>7630</v>
      </c>
      <c r="C3829" s="16" t="str">
        <f>IFERROR(__xludf.DUMMYFUNCTION(""""""""" &amp; REGEXEXTRACT(B3829, ""/detail/([^/?]+)"") &amp; """""","""),"""pjfglpaimjpcekmaicealmmahlnbjool"",")</f>
        <v>"pjfglpaimjpcekmaicealmmahlnbjool",</v>
      </c>
    </row>
    <row r="3830">
      <c r="A3830" s="4" t="s">
        <v>23010</v>
      </c>
      <c r="B3830" s="4" t="s">
        <v>7632</v>
      </c>
      <c r="C3830" s="16" t="str">
        <f>IFERROR(__xludf.DUMMYFUNCTION(""""""""" &amp; REGEXEXTRACT(B3830, ""/detail/([^/?]+)"") &amp; """""","""),"""pkcbdgpgameiombpiiofoekagjhhdjpe"",")</f>
        <v>"pkcbdgpgameiombpiiofoekagjhhdjpe",</v>
      </c>
    </row>
    <row r="3831">
      <c r="A3831" s="4" t="s">
        <v>23011</v>
      </c>
      <c r="B3831" s="4" t="s">
        <v>7634</v>
      </c>
      <c r="C3831" s="16" t="str">
        <f>IFERROR(__xludf.DUMMYFUNCTION(""""""""" &amp; REGEXEXTRACT(B3831, ""/detail/([^/?]+)"") &amp; """""","""),"""pkijdmeepjhpenmighhaodgfoogncnlk"",")</f>
        <v>"pkijdmeepjhpenmighhaodgfoogncnlk",</v>
      </c>
    </row>
    <row r="3832">
      <c r="A3832" s="4" t="s">
        <v>23012</v>
      </c>
      <c r="B3832" s="4" t="s">
        <v>7636</v>
      </c>
      <c r="C3832" s="16" t="str">
        <f>IFERROR(__xludf.DUMMYFUNCTION(""""""""" &amp; REGEXEXTRACT(B3832, ""/detail/([^/?]+)"") &amp; """""","""),"""plaggkdohpgdahkidgjmbhafnbbacpno"",")</f>
        <v>"plaggkdohpgdahkidgjmbhafnbbacpno",</v>
      </c>
    </row>
    <row r="3833">
      <c r="A3833" s="4" t="s">
        <v>23013</v>
      </c>
      <c r="B3833" s="4" t="s">
        <v>7638</v>
      </c>
      <c r="C3833" s="16" t="str">
        <f>IFERROR(__xludf.DUMMYFUNCTION(""""""""" &amp; REGEXEXTRACT(B3833, ""/detail/([^/?]+)"") &amp; """""","""),"""plbmnfkeakpfllpilfmmdchbcfkobbgd"",")</f>
        <v>"plbmnfkeakpfllpilfmmdchbcfkobbgd",</v>
      </c>
    </row>
    <row r="3834">
      <c r="A3834" s="4" t="s">
        <v>23014</v>
      </c>
      <c r="B3834" s="4" t="s">
        <v>7640</v>
      </c>
      <c r="C3834" s="16" t="str">
        <f>IFERROR(__xludf.DUMMYFUNCTION(""""""""" &amp; REGEXEXTRACT(B3834, ""/detail/([^/?]+)"") &amp; """""","""),"""pmbemjeijjfdhnpdcoajjchneahlhhkn"",")</f>
        <v>"pmbemjeijjfdhnpdcoajjchneahlhhkn",</v>
      </c>
    </row>
    <row r="3835">
      <c r="A3835" s="4" t="s">
        <v>23015</v>
      </c>
      <c r="B3835" s="4" t="s">
        <v>7642</v>
      </c>
      <c r="C3835" s="16" t="str">
        <f>IFERROR(__xludf.DUMMYFUNCTION(""""""""" &amp; REGEXEXTRACT(B3835, ""/detail/([^/?]+)"") &amp; """""","""),"""pmdnlbnecibhnahdcenfjpinmffahfmg"",")</f>
        <v>"pmdnlbnecibhnahdcenfjpinmffahfmg",</v>
      </c>
    </row>
    <row r="3836">
      <c r="A3836" s="4" t="s">
        <v>23016</v>
      </c>
      <c r="B3836" s="4" t="s">
        <v>7644</v>
      </c>
      <c r="C3836" s="16" t="str">
        <f>IFERROR(__xludf.DUMMYFUNCTION(""""""""" &amp; REGEXEXTRACT(B3836, ""/detail/([^/?]+)"") &amp; """""","""),"""pmolhkonbppmihdpjmgclnclfppjndom"",")</f>
        <v>"pmolhkonbppmihdpjmgclnclfppjndom",</v>
      </c>
    </row>
    <row r="3837">
      <c r="A3837" s="4" t="s">
        <v>23017</v>
      </c>
      <c r="B3837" s="4" t="s">
        <v>7646</v>
      </c>
      <c r="C3837" s="16" t="str">
        <f>IFERROR(__xludf.DUMMYFUNCTION(""""""""" &amp; REGEXEXTRACT(B3837, ""/detail/([^/?]+)"") &amp; """""","""),"""pnchdkpeolmmjdpoabdkjdajjlklndjf"",")</f>
        <v>"pnchdkpeolmmjdpoabdkjdajjlklndjf",</v>
      </c>
    </row>
    <row r="3838">
      <c r="A3838" s="4" t="s">
        <v>23018</v>
      </c>
      <c r="B3838" s="4" t="s">
        <v>7648</v>
      </c>
      <c r="C3838" s="16" t="str">
        <f>IFERROR(__xludf.DUMMYFUNCTION(""""""""" &amp; REGEXEXTRACT(B3838, ""/detail/([^/?]+)"") &amp; """""","""),"""ppajinakbfocjfnijggfndbdmjggcmde"",")</f>
        <v>"ppajinakbfocjfnijggfndbdmjggcmde",</v>
      </c>
    </row>
    <row r="3839">
      <c r="A3839" s="4" t="s">
        <v>23019</v>
      </c>
      <c r="B3839" s="4" t="s">
        <v>7650</v>
      </c>
      <c r="C3839" s="16" t="str">
        <f>IFERROR(__xludf.DUMMYFUNCTION(""""""""" &amp; REGEXEXTRACT(B3839, ""/detail/([^/?]+)"") &amp; """""","""),"""ppbbnicomlpilfkohhknjdkndelfncjl"",")</f>
        <v>"ppbbnicomlpilfkohhknjdkndelfncjl",</v>
      </c>
    </row>
    <row r="3840">
      <c r="A3840" s="4" t="s">
        <v>23020</v>
      </c>
      <c r="B3840" s="4" t="s">
        <v>7652</v>
      </c>
      <c r="C3840" s="16" t="str">
        <f>IFERROR(__xludf.DUMMYFUNCTION(""""""""" &amp; REGEXEXTRACT(B3840, ""/detail/([^/?]+)"") &amp; """""","""),"""ppdnkejgcieghdpjnjokjeefbojbjdaa"",")</f>
        <v>"ppdnkejgcieghdpjnjokjeefbojbjdaa",</v>
      </c>
    </row>
    <row r="3841">
      <c r="A3841" s="4" t="s">
        <v>23021</v>
      </c>
      <c r="B3841" s="4" t="s">
        <v>7654</v>
      </c>
      <c r="C3841" s="16" t="str">
        <f>IFERROR(__xludf.DUMMYFUNCTION(""""""""" &amp; REGEXEXTRACT(B3841, ""/detail/([^/?]+)"") &amp; """""","""),"""ppfkmgmknkindblboiieegbldpbnhklf"",")</f>
        <v>"ppfkmgmknkindblboiieegbldpbnhklf",</v>
      </c>
    </row>
    <row r="3842">
      <c r="A3842" s="4" t="s">
        <v>23022</v>
      </c>
      <c r="B3842" s="4" t="s">
        <v>7656</v>
      </c>
      <c r="C3842" s="16" t="str">
        <f>IFERROR(__xludf.DUMMYFUNCTION(""""""""" &amp; REGEXEXTRACT(B3842, ""/detail/([^/?]+)"") &amp; """""","""),"""ppnppfpknkjeipmglcigdiinakeaofbj"",")</f>
        <v>"ppnppfpknkjeipmglcigdiinakeaofbj",</v>
      </c>
    </row>
    <row r="3843">
      <c r="A3843" s="4" t="s">
        <v>23023</v>
      </c>
      <c r="B3843" s="4" t="s">
        <v>7658</v>
      </c>
      <c r="C3843" s="16" t="str">
        <f>IFERROR(__xludf.DUMMYFUNCTION(""""""""" &amp; REGEXEXTRACT(B3843, ""/detail/([^/?]+)"") &amp; """""","""),"""kgoadafofbfjlfofcogilchhnabiffnh"",")</f>
        <v>"kgoadafofbfjlfofcogilchhnabiffnh",</v>
      </c>
    </row>
    <row r="3844">
      <c r="A3844" s="4" t="s">
        <v>23024</v>
      </c>
      <c r="B3844" s="4" t="s">
        <v>7660</v>
      </c>
      <c r="C3844" s="16" t="str">
        <f>IFERROR(__xludf.DUMMYFUNCTION(""""""""" &amp; REGEXEXTRACT(B3844, ""/detail/([^/?]+)"") &amp; """""","""),"""leafmfbkokcceoiagejllolppihmkaec"",")</f>
        <v>"leafmfbkokcceoiagejllolppihmkaec",</v>
      </c>
    </row>
    <row r="3845">
      <c r="A3845" s="4" t="s">
        <v>23025</v>
      </c>
      <c r="B3845" s="4" t="s">
        <v>7662</v>
      </c>
      <c r="C3845" s="16" t="str">
        <f>IFERROR(__xludf.DUMMYFUNCTION(""""""""" &amp; REGEXEXTRACT(B3845, ""/detail/([^/?]+)"") &amp; """""","""),"""khohmdnjgpgojomnimbmfjakkndfphgi"",")</f>
        <v>"khohmdnjgpgojomnimbmfjakkndfphgi",</v>
      </c>
    </row>
    <row r="3846">
      <c r="A3846" s="4" t="s">
        <v>23026</v>
      </c>
      <c r="B3846" s="4" t="s">
        <v>7664</v>
      </c>
      <c r="C3846" s="16" t="str">
        <f>IFERROR(__xludf.DUMMYFUNCTION(""""""""" &amp; REGEXEXTRACT(B3846, ""/detail/([^/?]+)"") &amp; """""","""),"""aacggglhipafndnfihckmepmolhmbejc"",")</f>
        <v>"aacggglhipafndnfihckmepmolhmbejc",</v>
      </c>
    </row>
    <row r="3847">
      <c r="A3847" s="4" t="s">
        <v>23027</v>
      </c>
      <c r="B3847" s="4" t="s">
        <v>7666</v>
      </c>
      <c r="C3847" s="16" t="str">
        <f>IFERROR(__xludf.DUMMYFUNCTION(""""""""" &amp; REGEXEXTRACT(B3847, ""/detail/([^/?]+)"") &amp; """""","""),"""aafalbmhhmidfmfcoaidbaabmcocgakk"",")</f>
        <v>"aafalbmhhmidfmfcoaidbaabmcocgakk",</v>
      </c>
    </row>
    <row r="3848">
      <c r="A3848" s="4" t="s">
        <v>23028</v>
      </c>
      <c r="B3848" s="4" t="s">
        <v>7668</v>
      </c>
      <c r="C3848" s="16" t="str">
        <f>IFERROR(__xludf.DUMMYFUNCTION(""""""""" &amp; REGEXEXTRACT(B3848, ""/detail/([^/?]+)"") &amp; """""","""),"""aakklflhdgofndhdkjgalldlnbgpgbob"",")</f>
        <v>"aakklflhdgofndhdkjgalldlnbgpgbob",</v>
      </c>
    </row>
    <row r="3849">
      <c r="A3849" s="4" t="s">
        <v>23029</v>
      </c>
      <c r="B3849" s="4" t="s">
        <v>7670</v>
      </c>
      <c r="C3849" s="16" t="str">
        <f>IFERROR(__xludf.DUMMYFUNCTION(""""""""" &amp; REGEXEXTRACT(B3849, ""/detail/([^/?]+)"") &amp; """""","""),"""abbhipgjfgfpbedbhbihihpnfelpjldb"",")</f>
        <v>"abbhipgjfgfpbedbhbihihpnfelpjldb",</v>
      </c>
    </row>
    <row r="3850">
      <c r="A3850" s="4" t="s">
        <v>23030</v>
      </c>
      <c r="B3850" s="4" t="s">
        <v>7672</v>
      </c>
      <c r="C3850" s="16" t="str">
        <f>IFERROR(__xludf.DUMMYFUNCTION(""""""""" &amp; REGEXEXTRACT(B3850, ""/detail/([^/?]+)"") &amp; """""","""),"""abbicmdidbmbhgmcpelledjbacnllnkk"",")</f>
        <v>"abbicmdidbmbhgmcpelledjbacnllnkk",</v>
      </c>
    </row>
    <row r="3851">
      <c r="A3851" s="4" t="s">
        <v>23031</v>
      </c>
      <c r="B3851" s="4" t="s">
        <v>7674</v>
      </c>
      <c r="C3851" s="16" t="str">
        <f>IFERROR(__xludf.DUMMYFUNCTION(""""""""" &amp; REGEXEXTRACT(B3851, ""/detail/([^/?]+)"") &amp; """""","""),"""abghljkabehndngdedeomffainakibfo"",")</f>
        <v>"abghljkabehndngdedeomffainakibfo",</v>
      </c>
    </row>
    <row r="3852">
      <c r="A3852" s="4" t="s">
        <v>23032</v>
      </c>
      <c r="B3852" s="4" t="s">
        <v>7676</v>
      </c>
      <c r="C3852" s="16" t="str">
        <f>IFERROR(__xludf.DUMMYFUNCTION(""""""""" &amp; REGEXEXTRACT(B3852, ""/detail/([^/?]+)"") &amp; """""","""),"""abgkgpfkdkafjidfgcjddeffnfnkoeil"",")</f>
        <v>"abgkgpfkdkafjidfgcjddeffnfnkoeil",</v>
      </c>
    </row>
    <row r="3853">
      <c r="A3853" s="4" t="s">
        <v>23033</v>
      </c>
      <c r="B3853" s="4" t="s">
        <v>7678</v>
      </c>
      <c r="C3853" s="16" t="str">
        <f>IFERROR(__xludf.DUMMYFUNCTION(""""""""" &amp; REGEXEXTRACT(B3853, ""/detail/([^/?]+)"") &amp; """""","""),"""abmoaeegegigmhgfmdmlhkoghibgkpkj"",")</f>
        <v>"abmoaeegegigmhgfmdmlhkoghibgkpkj",</v>
      </c>
    </row>
    <row r="3854">
      <c r="A3854" s="4" t="s">
        <v>23034</v>
      </c>
      <c r="B3854" s="4" t="s">
        <v>7680</v>
      </c>
      <c r="C3854" s="16" t="str">
        <f>IFERROR(__xludf.DUMMYFUNCTION(""""""""" &amp; REGEXEXTRACT(B3854, ""/detail/([^/?]+)"") &amp; """""","""),"""abphoilconkefmcnnnobhbpelpldcdbc"",")</f>
        <v>"abphoilconkefmcnnnobhbpelpldcdbc",</v>
      </c>
    </row>
    <row r="3855">
      <c r="A3855" s="4" t="s">
        <v>23035</v>
      </c>
      <c r="B3855" s="4" t="s">
        <v>7682</v>
      </c>
      <c r="C3855" s="16" t="str">
        <f>IFERROR(__xludf.DUMMYFUNCTION(""""""""" &amp; REGEXEXTRACT(B3855, ""/detail/([^/?]+)"") &amp; """""","""),"""acacbbhfboldggccadfeopfbliabpock"",")</f>
        <v>"acacbbhfboldggccadfeopfbliabpock",</v>
      </c>
    </row>
    <row r="3856">
      <c r="A3856" s="4" t="s">
        <v>23036</v>
      </c>
      <c r="B3856" s="4" t="s">
        <v>7684</v>
      </c>
      <c r="C3856" s="16" t="str">
        <f>IFERROR(__xludf.DUMMYFUNCTION(""""""""" &amp; REGEXEXTRACT(B3856, ""/detail/([^/?]+)"") &amp; """""","""),"""acfpcgknkedjccopgcfpajjefagkfoii"",")</f>
        <v>"acfpcgknkedjccopgcfpajjefagkfoii",</v>
      </c>
    </row>
    <row r="3857">
      <c r="A3857" s="4" t="s">
        <v>23037</v>
      </c>
      <c r="B3857" s="4" t="s">
        <v>7686</v>
      </c>
      <c r="C3857" s="16" t="str">
        <f>IFERROR(__xludf.DUMMYFUNCTION(""""""""" &amp; REGEXEXTRACT(B3857, ""/detail/([^/?]+)"") &amp; """""","""),"""achpfmdebpcipligeggmohmjkmfjijlb"",")</f>
        <v>"achpfmdebpcipligeggmohmjkmfjijlb",</v>
      </c>
    </row>
    <row r="3858">
      <c r="A3858" s="4" t="s">
        <v>23038</v>
      </c>
      <c r="B3858" s="4" t="s">
        <v>7688</v>
      </c>
      <c r="C3858" s="16" t="str">
        <f>IFERROR(__xludf.DUMMYFUNCTION(""""""""" &amp; REGEXEXTRACT(B3858, ""/detail/([^/?]+)"") &amp; """""","""),"""adcehildlgkafghlmnbnhegagachlioe"",")</f>
        <v>"adcehildlgkafghlmnbnhegagachlioe",</v>
      </c>
    </row>
    <row r="3859">
      <c r="A3859" s="4" t="s">
        <v>23039</v>
      </c>
      <c r="B3859" s="4" t="s">
        <v>7690</v>
      </c>
      <c r="C3859" s="16" t="str">
        <f>IFERROR(__xludf.DUMMYFUNCTION(""""""""" &amp; REGEXEXTRACT(B3859, ""/detail/([^/?]+)"") &amp; """""","""),"""adgekmhmbbjeodgpjjpcnfgmeijefinp"",")</f>
        <v>"adgekmhmbbjeodgpjjpcnfgmeijefinp",</v>
      </c>
    </row>
    <row r="3860">
      <c r="A3860" s="4" t="s">
        <v>23040</v>
      </c>
      <c r="B3860" s="4" t="s">
        <v>7692</v>
      </c>
      <c r="C3860" s="16" t="str">
        <f>IFERROR(__xludf.DUMMYFUNCTION(""""""""" &amp; REGEXEXTRACT(B3860, ""/detail/([^/?]+)"") &amp; """""","""),"""adlgciholbhcgjhkgnkcppodnflfodni"",")</f>
        <v>"adlgciholbhcgjhkgnkcppodnflfodni",</v>
      </c>
    </row>
    <row r="3861">
      <c r="A3861" s="4" t="s">
        <v>23041</v>
      </c>
      <c r="B3861" s="4" t="s">
        <v>7694</v>
      </c>
      <c r="C3861" s="16" t="str">
        <f>IFERROR(__xludf.DUMMYFUNCTION(""""""""" &amp; REGEXEXTRACT(B3861, ""/detail/([^/?]+)"") &amp; """""","""),"""adplchojbnceleieilggnpceikjeapjg"",")</f>
        <v>"adplchojbnceleieilggnpceikjeapjg",</v>
      </c>
    </row>
    <row r="3862">
      <c r="A3862" s="4" t="s">
        <v>23042</v>
      </c>
      <c r="B3862" s="4" t="s">
        <v>7696</v>
      </c>
      <c r="C3862" s="16" t="str">
        <f>IFERROR(__xludf.DUMMYFUNCTION(""""""""" &amp; REGEXEXTRACT(B3862, ""/detail/([^/?]+)"") &amp; """""","""),"""aebamgnddkjifkidngamjohhgkfholmj"",")</f>
        <v>"aebamgnddkjifkidngamjohhgkfholmj",</v>
      </c>
    </row>
    <row r="3863">
      <c r="A3863" s="4" t="s">
        <v>23043</v>
      </c>
      <c r="B3863" s="4" t="s">
        <v>7698</v>
      </c>
      <c r="C3863" s="16" t="str">
        <f>IFERROR(__xludf.DUMMYFUNCTION(""""""""" &amp; REGEXEXTRACT(B3863, ""/detail/([^/?]+)"") &amp; """""","""),"""aeiklncejanjjjannoindchdblikjhkb"",")</f>
        <v>"aeiklncejanjjjannoindchdblikjhkb",</v>
      </c>
    </row>
    <row r="3864">
      <c r="A3864" s="4" t="s">
        <v>23044</v>
      </c>
      <c r="B3864" s="4" t="s">
        <v>7700</v>
      </c>
      <c r="C3864" s="16" t="str">
        <f>IFERROR(__xludf.DUMMYFUNCTION(""""""""" &amp; REGEXEXTRACT(B3864, ""/detail/([^/?]+)"") &amp; """""","""),"""aelfbedmomigndkbpbpplblbgeaaghnf"",")</f>
        <v>"aelfbedmomigndkbpbpplblbgeaaghnf",</v>
      </c>
    </row>
    <row r="3865">
      <c r="A3865" s="4" t="s">
        <v>23045</v>
      </c>
      <c r="B3865" s="4" t="s">
        <v>7702</v>
      </c>
      <c r="C3865" s="16" t="str">
        <f>IFERROR(__xludf.DUMMYFUNCTION(""""""""" &amp; REGEXEXTRACT(B3865, ""/detail/([^/?]+)"") &amp; """""","""),"""aemapjnikiphnefgmocicmlmbdhodkea"",")</f>
        <v>"aemapjnikiphnefgmocicmlmbdhodkea",</v>
      </c>
    </row>
    <row r="3866">
      <c r="A3866" s="4" t="s">
        <v>23046</v>
      </c>
      <c r="B3866" s="4" t="s">
        <v>7704</v>
      </c>
      <c r="C3866" s="16" t="str">
        <f>IFERROR(__xludf.DUMMYFUNCTION(""""""""" &amp; REGEXEXTRACT(B3866, ""/detail/([^/?]+)"") &amp; """""","""),"""afelmehoohjbjfpjbadonkcondbilglp"",")</f>
        <v>"afelmehoohjbjfpjbadonkcondbilglp",</v>
      </c>
    </row>
    <row r="3867">
      <c r="A3867" s="4" t="s">
        <v>23047</v>
      </c>
      <c r="B3867" s="4" t="s">
        <v>7706</v>
      </c>
      <c r="C3867" s="16" t="str">
        <f>IFERROR(__xludf.DUMMYFUNCTION(""""""""" &amp; REGEXEXTRACT(B3867, ""/detail/([^/?]+)"") &amp; """""","""),"""afgjgigbgcncilinpbbgpbnficpkmjop"",")</f>
        <v>"afgjgigbgcncilinpbbgpbnficpkmjop",</v>
      </c>
    </row>
    <row r="3868">
      <c r="A3868" s="4" t="s">
        <v>23048</v>
      </c>
      <c r="B3868" s="4" t="s">
        <v>7708</v>
      </c>
      <c r="C3868" s="16" t="str">
        <f>IFERROR(__xludf.DUMMYFUNCTION(""""""""" &amp; REGEXEXTRACT(B3868, ""/detail/([^/?]+)"") &amp; """""","""),"""afljajkplijmejjcccffakganicgkafk"",")</f>
        <v>"afljajkplijmejjcccffakganicgkafk",</v>
      </c>
    </row>
    <row r="3869">
      <c r="A3869" s="4" t="s">
        <v>23049</v>
      </c>
      <c r="B3869" s="4" t="s">
        <v>7710</v>
      </c>
      <c r="C3869" s="16" t="str">
        <f>IFERROR(__xludf.DUMMYFUNCTION(""""""""" &amp; REGEXEXTRACT(B3869, ""/detail/([^/?]+)"") &amp; """""","""),"""agcillhniodhhnjmmigkgpbeodnclmmp"",")</f>
        <v>"agcillhniodhhnjmmigkgpbeodnclmmp",</v>
      </c>
    </row>
    <row r="3870">
      <c r="A3870" s="4" t="s">
        <v>23050</v>
      </c>
      <c r="B3870" s="4" t="s">
        <v>7712</v>
      </c>
      <c r="C3870" s="16" t="str">
        <f>IFERROR(__xludf.DUMMYFUNCTION(""""""""" &amp; REGEXEXTRACT(B3870, ""/detail/([^/?]+)"") &amp; """""","""),"""agojbidllejeebbhcbonnlpodicladdk"",")</f>
        <v>"agojbidllejeebbhcbonnlpodicladdk",</v>
      </c>
    </row>
    <row r="3871">
      <c r="A3871" s="4" t="s">
        <v>23051</v>
      </c>
      <c r="B3871" s="4" t="s">
        <v>7714</v>
      </c>
      <c r="C3871" s="16" t="str">
        <f>IFERROR(__xludf.DUMMYFUNCTION(""""""""" &amp; REGEXEXTRACT(B3871, ""/detail/([^/?]+)"") &amp; """""","""),"""agpjdannnbimjhjelbehcmalbaeambcd"",")</f>
        <v>"agpjdannnbimjhjelbehcmalbaeambcd",</v>
      </c>
    </row>
    <row r="3872">
      <c r="A3872" s="4" t="s">
        <v>23052</v>
      </c>
      <c r="B3872" s="4" t="s">
        <v>7716</v>
      </c>
      <c r="C3872" s="16" t="str">
        <f>IFERROR(__xludf.DUMMYFUNCTION(""""""""" &amp; REGEXEXTRACT(B3872, ""/detail/([^/?]+)"") &amp; """""","""),"""ahboebefkdoiomfpehlgjehokjjlndmj"",")</f>
        <v>"ahboebefkdoiomfpehlgjehokjjlndmj",</v>
      </c>
    </row>
    <row r="3873">
      <c r="A3873" s="4" t="s">
        <v>23053</v>
      </c>
      <c r="B3873" s="4" t="s">
        <v>7718</v>
      </c>
      <c r="C3873" s="16" t="str">
        <f>IFERROR(__xludf.DUMMYFUNCTION(""""""""" &amp; REGEXEXTRACT(B3873, ""/detail/([^/?]+)"") &amp; """""","""),"""ahgignikbpeboaanhpliahmojhiacjcn"",")</f>
        <v>"ahgignikbpeboaanhpliahmojhiacjcn",</v>
      </c>
    </row>
    <row r="3874">
      <c r="A3874" s="4" t="s">
        <v>23054</v>
      </c>
      <c r="B3874" s="4" t="s">
        <v>7720</v>
      </c>
      <c r="C3874" s="16" t="str">
        <f>IFERROR(__xludf.DUMMYFUNCTION(""""""""" &amp; REGEXEXTRACT(B3874, ""/detail/([^/?]+)"") &amp; """""","""),"""ahkgjgnlldlkagonpndejcbhipkealgo"",")</f>
        <v>"ahkgjgnlldlkagonpndejcbhipkealgo",</v>
      </c>
    </row>
    <row r="3875">
      <c r="A3875" s="4" t="s">
        <v>23055</v>
      </c>
      <c r="B3875" s="4" t="s">
        <v>7722</v>
      </c>
      <c r="C3875" s="16" t="str">
        <f>IFERROR(__xludf.DUMMYFUNCTION(""""""""" &amp; REGEXEXTRACT(B3875, ""/detail/([^/?]+)"") &amp; """""","""),"""aidapiigacnbamggokpnphddajiilfjp"",")</f>
        <v>"aidapiigacnbamggokpnphddajiilfjp",</v>
      </c>
    </row>
    <row r="3876">
      <c r="A3876" s="4" t="s">
        <v>23056</v>
      </c>
      <c r="B3876" s="4" t="s">
        <v>7724</v>
      </c>
      <c r="C3876" s="16" t="str">
        <f>IFERROR(__xludf.DUMMYFUNCTION(""""""""" &amp; REGEXEXTRACT(B3876, ""/detail/([^/?]+)"") &amp; """""","""),"""aiefnajnklcignlnnkkkffpmldmpidkd"",")</f>
        <v>"aiefnajnklcignlnnkkkffpmldmpidkd",</v>
      </c>
    </row>
    <row r="3877">
      <c r="A3877" s="4" t="s">
        <v>23057</v>
      </c>
      <c r="B3877" s="4" t="s">
        <v>7726</v>
      </c>
      <c r="C3877" s="16" t="str">
        <f>IFERROR(__xludf.DUMMYFUNCTION(""""""""" &amp; REGEXEXTRACT(B3877, ""/detail/([^/?]+)"") &amp; """""","""),"""aihifbidnaepclhnfppjnpbmeonhhloa"",")</f>
        <v>"aihifbidnaepclhnfppjnpbmeonhhloa",</v>
      </c>
    </row>
    <row r="3878">
      <c r="A3878" s="4" t="s">
        <v>23058</v>
      </c>
      <c r="B3878" s="4" t="s">
        <v>7728</v>
      </c>
      <c r="C3878" s="16" t="str">
        <f>IFERROR(__xludf.DUMMYFUNCTION(""""""""" &amp; REGEXEXTRACT(B3878, ""/detail/([^/?]+)"") &amp; """""","""),"""aijcgkcgldkomeddnlpbhdelcpfamklm"",")</f>
        <v>"aijcgkcgldkomeddnlpbhdelcpfamklm",</v>
      </c>
    </row>
    <row r="3879">
      <c r="A3879" s="4" t="s">
        <v>23059</v>
      </c>
      <c r="B3879" s="4" t="s">
        <v>7730</v>
      </c>
      <c r="C3879" s="16" t="str">
        <f>IFERROR(__xludf.DUMMYFUNCTION(""""""""" &amp; REGEXEXTRACT(B3879, ""/detail/([^/?]+)"") &amp; """""","""),"""ailgcbdikiapkcbglcpfippolmjfljgi"",")</f>
        <v>"ailgcbdikiapkcbglcpfippolmjfljgi",</v>
      </c>
    </row>
    <row r="3880">
      <c r="A3880" s="4" t="s">
        <v>23060</v>
      </c>
      <c r="B3880" s="4" t="s">
        <v>7732</v>
      </c>
      <c r="C3880" s="16" t="str">
        <f>IFERROR(__xludf.DUMMYFUNCTION(""""""""" &amp; REGEXEXTRACT(B3880, ""/detail/([^/?]+)"") &amp; """""","""),"""aingjdeimmekeknhjcbnigfbfbboffeo"",")</f>
        <v>"aingjdeimmekeknhjcbnigfbfbboffeo",</v>
      </c>
    </row>
    <row r="3881">
      <c r="A3881" s="4" t="s">
        <v>23061</v>
      </c>
      <c r="B3881" s="4" t="s">
        <v>7734</v>
      </c>
      <c r="C3881" s="16" t="str">
        <f>IFERROR(__xludf.DUMMYFUNCTION(""""""""" &amp; REGEXEXTRACT(B3881, ""/detail/([^/?]+)"") &amp; """""","""),"""ainpldfncpicabccajiklbibogoonpjp"",")</f>
        <v>"ainpldfncpicabccajiklbibogoonpjp",</v>
      </c>
    </row>
    <row r="3882">
      <c r="A3882" s="4" t="s">
        <v>23062</v>
      </c>
      <c r="B3882" s="4" t="s">
        <v>7736</v>
      </c>
      <c r="C3882" s="16" t="str">
        <f>IFERROR(__xludf.DUMMYFUNCTION(""""""""" &amp; REGEXEXTRACT(B3882, ""/detail/([^/?]+)"") &amp; """""","""),"""ajaomcmkalmeeahjfdklkcjbljhbokjl"",")</f>
        <v>"ajaomcmkalmeeahjfdklkcjbljhbokjl",</v>
      </c>
    </row>
    <row r="3883">
      <c r="A3883" s="4" t="s">
        <v>23063</v>
      </c>
      <c r="B3883" s="4" t="s">
        <v>7738</v>
      </c>
      <c r="C3883" s="16" t="str">
        <f>IFERROR(__xludf.DUMMYFUNCTION(""""""""" &amp; REGEXEXTRACT(B3883, ""/detail/([^/?]+)"") &amp; """""","""),"""ajfpaddcchjgaemolcibmlbgijkhdocl"",")</f>
        <v>"ajfpaddcchjgaemolcibmlbgijkhdocl",</v>
      </c>
    </row>
    <row r="3884">
      <c r="A3884" s="4" t="s">
        <v>23064</v>
      </c>
      <c r="B3884" s="4" t="s">
        <v>7740</v>
      </c>
      <c r="C3884" s="16" t="str">
        <f>IFERROR(__xludf.DUMMYFUNCTION(""""""""" &amp; REGEXEXTRACT(B3884, ""/detail/([^/?]+)"") &amp; """""","""),"""ajgafpcbdchnokkfimcnmoemeldnefnl"",")</f>
        <v>"ajgafpcbdchnokkfimcnmoemeldnefnl",</v>
      </c>
    </row>
    <row r="3885">
      <c r="A3885" s="4" t="s">
        <v>23065</v>
      </c>
      <c r="B3885" s="4" t="s">
        <v>7742</v>
      </c>
      <c r="C3885" s="16" t="str">
        <f>IFERROR(__xludf.DUMMYFUNCTION(""""""""" &amp; REGEXEXTRACT(B3885, ""/detail/([^/?]+)"") &amp; """""","""),"""ajidbeahpmkfbjllenakjgjpoompbiii"",")</f>
        <v>"ajidbeahpmkfbjllenakjgjpoompbiii",</v>
      </c>
    </row>
    <row r="3886">
      <c r="A3886" s="4" t="s">
        <v>23066</v>
      </c>
      <c r="B3886" s="4" t="s">
        <v>7744</v>
      </c>
      <c r="C3886" s="16" t="str">
        <f>IFERROR(__xludf.DUMMYFUNCTION(""""""""" &amp; REGEXEXTRACT(B3886, ""/detail/([^/?]+)"") &amp; """""","""),"""ajlmalinjdbkamfgjbamebnjeejbkkil"",")</f>
        <v>"ajlmalinjdbkamfgjbamebnjeejbkkil",</v>
      </c>
    </row>
    <row r="3887">
      <c r="A3887" s="4" t="s">
        <v>23067</v>
      </c>
      <c r="B3887" s="4" t="s">
        <v>7746</v>
      </c>
      <c r="C3887" s="16" t="str">
        <f>IFERROR(__xludf.DUMMYFUNCTION(""""""""" &amp; REGEXEXTRACT(B3887, ""/detail/([^/?]+)"") &amp; """""","""),"""akihgihkelengbpamifhdmngachbjgab"",")</f>
        <v>"akihgihkelengbpamifhdmngachbjgab",</v>
      </c>
    </row>
    <row r="3888">
      <c r="A3888" s="4" t="s">
        <v>23068</v>
      </c>
      <c r="B3888" s="4" t="s">
        <v>7748</v>
      </c>
      <c r="C3888" s="16" t="str">
        <f>IFERROR(__xludf.DUMMYFUNCTION(""""""""" &amp; REGEXEXTRACT(B3888, ""/detail/([^/?]+)"") &amp; """""","""),"""aldlkaonkdflcjlmdcbdnhgcmmnjijjn"",")</f>
        <v>"aldlkaonkdflcjlmdcbdnhgcmmnjijjn",</v>
      </c>
    </row>
    <row r="3889">
      <c r="A3889" s="4" t="s">
        <v>23069</v>
      </c>
      <c r="B3889" s="4" t="s">
        <v>7750</v>
      </c>
      <c r="C3889" s="16" t="str">
        <f>IFERROR(__xludf.DUMMYFUNCTION(""""""""" &amp; REGEXEXTRACT(B3889, ""/detail/([^/?]+)"") &amp; """""","""),"""alnbfogmmhllgofhggijancpooogdodi"",")</f>
        <v>"alnbfogmmhllgofhggijancpooogdodi",</v>
      </c>
    </row>
    <row r="3890">
      <c r="A3890" s="4" t="s">
        <v>23070</v>
      </c>
      <c r="B3890" s="4" t="s">
        <v>7752</v>
      </c>
      <c r="C3890" s="16" t="str">
        <f>IFERROR(__xludf.DUMMYFUNCTION(""""""""" &amp; REGEXEXTRACT(B3890, ""/detail/([^/?]+)"") &amp; """""","""),"""alojhmccmalcppopolaegbopeiakokne"",")</f>
        <v>"alojhmccmalcppopolaegbopeiakokne",</v>
      </c>
    </row>
    <row r="3891">
      <c r="A3891" s="4" t="s">
        <v>23071</v>
      </c>
      <c r="B3891" s="4" t="s">
        <v>7754</v>
      </c>
      <c r="C3891" s="16" t="str">
        <f>IFERROR(__xludf.DUMMYFUNCTION(""""""""" &amp; REGEXEXTRACT(B3891, ""/detail/([^/?]+)"") &amp; """""","""),"""amfepecmobgaflidkebmofbgdgkgpman"",")</f>
        <v>"amfepecmobgaflidkebmofbgdgkgpman",</v>
      </c>
    </row>
    <row r="3892">
      <c r="A3892" s="4" t="s">
        <v>23072</v>
      </c>
      <c r="B3892" s="4" t="s">
        <v>7756</v>
      </c>
      <c r="C3892" s="16" t="str">
        <f>IFERROR(__xludf.DUMMYFUNCTION(""""""""" &amp; REGEXEXTRACT(B3892, ""/detail/([^/?]+)"") &amp; """""","""),"""amnplbchpnilohkojmodepiappjhaehi"",")</f>
        <v>"amnplbchpnilohkojmodepiappjhaehi",</v>
      </c>
    </row>
    <row r="3893">
      <c r="A3893" s="4" t="s">
        <v>23073</v>
      </c>
      <c r="B3893" s="4" t="s">
        <v>7758</v>
      </c>
      <c r="C3893" s="16" t="str">
        <f>IFERROR(__xludf.DUMMYFUNCTION(""""""""" &amp; REGEXEXTRACT(B3893, ""/detail/([^/?]+)"") &amp; """""","""),"""amobeamdmdnloajcaiomgegpakjdiacm"",")</f>
        <v>"amobeamdmdnloajcaiomgegpakjdiacm",</v>
      </c>
    </row>
    <row r="3894">
      <c r="A3894" s="4" t="s">
        <v>23074</v>
      </c>
      <c r="B3894" s="4" t="s">
        <v>7760</v>
      </c>
      <c r="C3894" s="16" t="str">
        <f>IFERROR(__xludf.DUMMYFUNCTION(""""""""" &amp; REGEXEXTRACT(B3894, ""/detail/([^/?]+)"") &amp; """""","""),"""annjojfceiaonmfjcddndgoegbijooia"",")</f>
        <v>"annjojfceiaonmfjcddndgoegbijooia",</v>
      </c>
    </row>
    <row r="3895">
      <c r="A3895" s="4" t="s">
        <v>23075</v>
      </c>
      <c r="B3895" s="4" t="s">
        <v>7762</v>
      </c>
      <c r="C3895" s="16" t="str">
        <f>IFERROR(__xludf.DUMMYFUNCTION(""""""""" &amp; REGEXEXTRACT(B3895, ""/detail/([^/?]+)"") &amp; """""","""),"""annljkgbhnihbghkbfammlacnlfkdclp"",")</f>
        <v>"annljkgbhnihbghkbfammlacnlfkdclp",</v>
      </c>
    </row>
    <row r="3896">
      <c r="A3896" s="4" t="s">
        <v>23076</v>
      </c>
      <c r="B3896" s="4" t="s">
        <v>7764</v>
      </c>
      <c r="C3896" s="16" t="str">
        <f>IFERROR(__xludf.DUMMYFUNCTION(""""""""" &amp; REGEXEXTRACT(B3896, ""/detail/([^/?]+)"") &amp; """""","""),"""aoajjebmcgjjecfgmncgablckdifcfad"",")</f>
        <v>"aoajjebmcgjjecfgmncgablckdifcfad",</v>
      </c>
    </row>
    <row r="3897">
      <c r="A3897" s="4" t="s">
        <v>23077</v>
      </c>
      <c r="B3897" s="4" t="s">
        <v>7766</v>
      </c>
      <c r="C3897" s="16" t="str">
        <f>IFERROR(__xludf.DUMMYFUNCTION(""""""""" &amp; REGEXEXTRACT(B3897, ""/detail/([^/?]+)"") &amp; """""","""),"""aoeboeflhhnobfjkafamelopfeojdohk"",")</f>
        <v>"aoeboeflhhnobfjkafamelopfeojdohk",</v>
      </c>
    </row>
    <row r="3898">
      <c r="A3898" s="4" t="s">
        <v>23078</v>
      </c>
      <c r="B3898" s="4" t="s">
        <v>7768</v>
      </c>
      <c r="C3898" s="16" t="str">
        <f>IFERROR(__xludf.DUMMYFUNCTION(""""""""" &amp; REGEXEXTRACT(B3898, ""/detail/([^/?]+)"") &amp; """""","""),"""aoelbednjmdnkeldonljnijdejdnhjfi"",")</f>
        <v>"aoelbednjmdnkeldonljnijdejdnhjfi",</v>
      </c>
    </row>
    <row r="3899">
      <c r="A3899" s="4" t="s">
        <v>23079</v>
      </c>
      <c r="B3899" s="4" t="s">
        <v>7770</v>
      </c>
      <c r="C3899" s="16" t="str">
        <f>IFERROR(__xludf.DUMMYFUNCTION(""""""""" &amp; REGEXEXTRACT(B3899, ""/detail/([^/?]+)"") &amp; """""","""),"""aojddkcamiecmkmbecpkjddnhpnpoaab"",")</f>
        <v>"aojddkcamiecmkmbecpkjddnhpnpoaab",</v>
      </c>
    </row>
    <row r="3900">
      <c r="A3900" s="4" t="s">
        <v>23080</v>
      </c>
      <c r="B3900" s="4" t="s">
        <v>7772</v>
      </c>
      <c r="C3900" s="16" t="str">
        <f>IFERROR(__xludf.DUMMYFUNCTION(""""""""" &amp; REGEXEXTRACT(B3900, ""/detail/([^/?]+)"") &amp; """""","""),"""aopgpanbkndckicpnnnaeiebllepdldc"",")</f>
        <v>"aopgpanbkndckicpnnnaeiebllepdldc",</v>
      </c>
    </row>
    <row r="3901">
      <c r="A3901" s="4" t="s">
        <v>23081</v>
      </c>
      <c r="B3901" s="4" t="s">
        <v>7774</v>
      </c>
      <c r="C3901" s="16" t="str">
        <f>IFERROR(__xludf.DUMMYFUNCTION(""""""""" &amp; REGEXEXTRACT(B3901, ""/detail/([^/?]+)"") &amp; """""","""),"""apfabhfippohjkndobkbeoiplilgojei"",")</f>
        <v>"apfabhfippohjkndobkbeoiplilgojei",</v>
      </c>
    </row>
    <row r="3902">
      <c r="A3902" s="4" t="s">
        <v>23082</v>
      </c>
      <c r="B3902" s="4" t="s">
        <v>7775</v>
      </c>
      <c r="C3902" s="16" t="str">
        <f>IFERROR(__xludf.DUMMYFUNCTION(""""""""" &amp; REGEXEXTRACT(B3902, ""/detail/([^/?]+)"") &amp; """""","""),"""apgphfamplbbabmclbgpebdkclodnlpl"",")</f>
        <v>"apgphfamplbbabmclbgpebdkclodnlpl",</v>
      </c>
    </row>
    <row r="3903">
      <c r="A3903" s="4" t="s">
        <v>23083</v>
      </c>
      <c r="B3903" s="4" t="s">
        <v>7777</v>
      </c>
      <c r="C3903" s="16" t="str">
        <f>IFERROR(__xludf.DUMMYFUNCTION(""""""""" &amp; REGEXEXTRACT(B3903, ""/detail/([^/?]+)"") &amp; """""","""),"""apjdloapfacpgloidbikcdcigljkgogg"",")</f>
        <v>"apjdloapfacpgloidbikcdcigljkgogg",</v>
      </c>
    </row>
    <row r="3904">
      <c r="A3904" s="4" t="s">
        <v>23084</v>
      </c>
      <c r="B3904" s="4" t="s">
        <v>7778</v>
      </c>
      <c r="C3904" s="16" t="str">
        <f>IFERROR(__xludf.DUMMYFUNCTION(""""""""" &amp; REGEXEXTRACT(B3904, ""/detail/([^/?]+)"") &amp; """""","""),"""aplepkehejihebabfhghmdelnbppchnp"",")</f>
        <v>"aplepkehejihebabfhghmdelnbppchnp",</v>
      </c>
    </row>
    <row r="3905">
      <c r="A3905" s="4" t="s">
        <v>23085</v>
      </c>
      <c r="B3905" s="4" t="s">
        <v>7780</v>
      </c>
      <c r="C3905" s="16" t="str">
        <f>IFERROR(__xludf.DUMMYFUNCTION(""""""""" &amp; REGEXEXTRACT(B3905, ""/detail/([^/?]+)"") &amp; """""","""),"""apmfackigpphgbbanjkjcafbiciialnm"",")</f>
        <v>"apmfackigpphgbbanjkjcafbiciialnm",</v>
      </c>
    </row>
    <row r="3906">
      <c r="A3906" s="4" t="s">
        <v>23086</v>
      </c>
      <c r="B3906" s="4" t="s">
        <v>7782</v>
      </c>
      <c r="C3906" s="16" t="str">
        <f>IFERROR(__xludf.DUMMYFUNCTION(""""""""" &amp; REGEXEXTRACT(B3906, ""/detail/([^/?]+)"") &amp; """""","""),"""apnbkmkpchabofhbnmhbdbnlpkbcomkg"",")</f>
        <v>"apnbkmkpchabofhbnmhbdbnlpkbcomkg",</v>
      </c>
    </row>
    <row r="3907">
      <c r="A3907" s="4" t="s">
        <v>23087</v>
      </c>
      <c r="B3907" s="4" t="s">
        <v>7784</v>
      </c>
      <c r="C3907" s="16" t="str">
        <f>IFERROR(__xludf.DUMMYFUNCTION(""""""""" &amp; REGEXEXTRACT(B3907, ""/detail/([^/?]+)"") &amp; """""","""),"""apnopkndgalmmmanikgoihpnmkgflelc"",")</f>
        <v>"apnopkndgalmmmanikgoihpnmkgflelc",</v>
      </c>
    </row>
    <row r="3908">
      <c r="A3908" s="4" t="s">
        <v>23088</v>
      </c>
      <c r="B3908" s="4" t="s">
        <v>7786</v>
      </c>
      <c r="C3908" s="16" t="str">
        <f>IFERROR(__xludf.DUMMYFUNCTION(""""""""" &amp; REGEXEXTRACT(B3908, ""/detail/([^/?]+)"") &amp; """""","""),"""apoogihgnkfpeamhldjjoebpphjcmank"",")</f>
        <v>"apoogihgnkfpeamhldjjoebpphjcmank",</v>
      </c>
    </row>
    <row r="3909">
      <c r="A3909" s="4" t="s">
        <v>23089</v>
      </c>
      <c r="B3909" s="4" t="s">
        <v>7788</v>
      </c>
      <c r="C3909" s="16" t="str">
        <f>IFERROR(__xludf.DUMMYFUNCTION(""""""""" &amp; REGEXEXTRACT(B3909, ""/detail/([^/?]+)"") &amp; """""","""),"""appcmpfjgmnjdhickdfnalkkalgejbff"",")</f>
        <v>"appcmpfjgmnjdhickdfnalkkalgejbff",</v>
      </c>
    </row>
    <row r="3910">
      <c r="A3910" s="4" t="s">
        <v>23090</v>
      </c>
      <c r="B3910" s="4" t="s">
        <v>7790</v>
      </c>
      <c r="C3910" s="16" t="str">
        <f>IFERROR(__xludf.DUMMYFUNCTION(""""""""" &amp; REGEXEXTRACT(B3910, ""/detail/([^/?]+)"") &amp; """""","""),"""bafcgdbnifplmbidjllnefgbhglckgge"",")</f>
        <v>"bafcgdbnifplmbidjllnefgbhglckgge",</v>
      </c>
    </row>
    <row r="3911">
      <c r="A3911" s="4" t="s">
        <v>23091</v>
      </c>
      <c r="B3911" s="4" t="s">
        <v>7792</v>
      </c>
      <c r="C3911" s="16" t="str">
        <f>IFERROR(__xludf.DUMMYFUNCTION(""""""""" &amp; REGEXEXTRACT(B3911, ""/detail/([^/?]+)"") &amp; """""","""),"""bbabbdijmipkeilehcnbopedgbjejbmb"",")</f>
        <v>"bbabbdijmipkeilehcnbopedgbjejbmb",</v>
      </c>
    </row>
    <row r="3912">
      <c r="A3912" s="4" t="s">
        <v>23092</v>
      </c>
      <c r="B3912" s="4" t="s">
        <v>7794</v>
      </c>
      <c r="C3912" s="16" t="str">
        <f>IFERROR(__xludf.DUMMYFUNCTION(""""""""" &amp; REGEXEXTRACT(B3912, ""/detail/([^/?]+)"") &amp; """""","""),"""bbcbaocecmnikgmgpbodcfekboiodppo"",")</f>
        <v>"bbcbaocecmnikgmgpbodcfekboiodppo",</v>
      </c>
    </row>
    <row r="3913">
      <c r="A3913" s="4" t="s">
        <v>23093</v>
      </c>
      <c r="B3913" s="4" t="s">
        <v>7796</v>
      </c>
      <c r="C3913" s="16" t="str">
        <f>IFERROR(__xludf.DUMMYFUNCTION(""""""""" &amp; REGEXEXTRACT(B3913, ""/detail/([^/?]+)"") &amp; """""","""),"""bbdpgcaljkaaigfcomhidmneffjjjfgp"",")</f>
        <v>"bbdpgcaljkaaigfcomhidmneffjjjfgp",</v>
      </c>
    </row>
    <row r="3914">
      <c r="A3914" s="4" t="s">
        <v>23094</v>
      </c>
      <c r="B3914" s="4" t="s">
        <v>7798</v>
      </c>
      <c r="C3914" s="16" t="str">
        <f>IFERROR(__xludf.DUMMYFUNCTION(""""""""" &amp; REGEXEXTRACT(B3914, ""/detail/([^/?]+)"") &amp; """""","""),"""bbmplccbdhijapdpheaigjcdcgadecih"",")</f>
        <v>"bbmplccbdhijapdpheaigjcdcgadecih",</v>
      </c>
    </row>
    <row r="3915">
      <c r="A3915" s="4" t="s">
        <v>23095</v>
      </c>
      <c r="B3915" s="4" t="s">
        <v>7800</v>
      </c>
      <c r="C3915" s="16" t="str">
        <f>IFERROR(__xludf.DUMMYFUNCTION(""""""""" &amp; REGEXEXTRACT(B3915, ""/detail/([^/?]+)"") &amp; """""","""),"""bbobfhojppbhccdchodgghknbolnnhlb"",")</f>
        <v>"bbobfhojppbhccdchodgghknbolnnhlb",</v>
      </c>
    </row>
    <row r="3916">
      <c r="A3916" s="4" t="s">
        <v>23096</v>
      </c>
      <c r="B3916" s="4" t="s">
        <v>7802</v>
      </c>
      <c r="C3916" s="16" t="str">
        <f>IFERROR(__xludf.DUMMYFUNCTION(""""""""" &amp; REGEXEXTRACT(B3916, ""/detail/([^/?]+)"") &amp; """""","""),"""bcadadmcbloddgfgklhaiifpncndpbcb"",")</f>
        <v>"bcadadmcbloddgfgklhaiifpncndpbcb",</v>
      </c>
    </row>
    <row r="3917">
      <c r="A3917" s="4" t="s">
        <v>23097</v>
      </c>
      <c r="B3917" s="4" t="s">
        <v>7804</v>
      </c>
      <c r="C3917" s="16" t="str">
        <f>IFERROR(__xludf.DUMMYFUNCTION(""""""""" &amp; REGEXEXTRACT(B3917, ""/detail/([^/?]+)"") &amp; """""","""),"""bcmhejapohpmhgnpidaeiaedackacelm"",")</f>
        <v>"bcmhejapohpmhgnpidaeiaedackacelm",</v>
      </c>
    </row>
    <row r="3918">
      <c r="A3918" s="4" t="s">
        <v>23098</v>
      </c>
      <c r="B3918" s="4" t="s">
        <v>7806</v>
      </c>
      <c r="C3918" s="16" t="str">
        <f>IFERROR(__xludf.DUMMYFUNCTION(""""""""" &amp; REGEXEXTRACT(B3918, ""/detail/([^/?]+)"") &amp; """""","""),"""bcoiihabmfakmgppaccdhijkfgbbdjlj"",")</f>
        <v>"bcoiihabmfakmgppaccdhijkfgbbdjlj",</v>
      </c>
    </row>
    <row r="3919">
      <c r="A3919" s="4" t="s">
        <v>23099</v>
      </c>
      <c r="B3919" s="4" t="s">
        <v>7808</v>
      </c>
      <c r="C3919" s="16" t="str">
        <f>IFERROR(__xludf.DUMMYFUNCTION(""""""""" &amp; REGEXEXTRACT(B3919, ""/detail/([^/?]+)"") &amp; """""","""),"""bdfejgnkjilbfajogjdjoelflfjjlbce"",")</f>
        <v>"bdfejgnkjilbfajogjdjoelflfjjlbce",</v>
      </c>
    </row>
    <row r="3920">
      <c r="A3920" s="4" t="s">
        <v>23100</v>
      </c>
      <c r="B3920" s="4" t="s">
        <v>7810</v>
      </c>
      <c r="C3920" s="16" t="str">
        <f>IFERROR(__xludf.DUMMYFUNCTION(""""""""" &amp; REGEXEXTRACT(B3920, ""/detail/([^/?]+)"") &amp; """""","""),"""bdjejcobeddkhcpcemlbnoncfabmafce"",")</f>
        <v>"bdjejcobeddkhcpcemlbnoncfabmafce",</v>
      </c>
    </row>
    <row r="3921">
      <c r="A3921" s="4" t="s">
        <v>23101</v>
      </c>
      <c r="B3921" s="4" t="s">
        <v>7812</v>
      </c>
      <c r="C3921" s="16" t="str">
        <f>IFERROR(__xludf.DUMMYFUNCTION(""""""""" &amp; REGEXEXTRACT(B3921, ""/detail/([^/?]+)"") &amp; """""","""),"""beaeppehjnnnidajcmalfcajahopihcb"",")</f>
        <v>"beaeppehjnnnidajcmalfcajahopihcb",</v>
      </c>
    </row>
    <row r="3922">
      <c r="A3922" s="4" t="s">
        <v>23102</v>
      </c>
      <c r="B3922" s="4" t="s">
        <v>7814</v>
      </c>
      <c r="C3922" s="16" t="str">
        <f>IFERROR(__xludf.DUMMYFUNCTION(""""""""" &amp; REGEXEXTRACT(B3922, ""/detail/([^/?]+)"") &amp; """""","""),"""bebjbdbgpmgdlfehkibnmgmbkcniaeij"",")</f>
        <v>"bebjbdbgpmgdlfehkibnmgmbkcniaeij",</v>
      </c>
    </row>
    <row r="3923">
      <c r="A3923" s="4" t="s">
        <v>23103</v>
      </c>
      <c r="B3923" s="4" t="s">
        <v>7816</v>
      </c>
      <c r="C3923" s="16" t="str">
        <f>IFERROR(__xludf.DUMMYFUNCTION(""""""""" &amp; REGEXEXTRACT(B3923, ""/detail/([^/?]+)"") &amp; """""","""),"""beflnephjnapefbofpgcjkncdojndodl"",")</f>
        <v>"beflnephjnapefbofpgcjkncdojndodl",</v>
      </c>
    </row>
    <row r="3924">
      <c r="A3924" s="4" t="s">
        <v>23104</v>
      </c>
      <c r="B3924" s="4" t="s">
        <v>7818</v>
      </c>
      <c r="C3924" s="16" t="str">
        <f>IFERROR(__xludf.DUMMYFUNCTION(""""""""" &amp; REGEXEXTRACT(B3924, ""/detail/([^/?]+)"") &amp; """""","""),"""beohodjedhlnpeonfkbdafafkcndpmnk"",")</f>
        <v>"beohodjedhlnpeonfkbdafafkcndpmnk",</v>
      </c>
    </row>
    <row r="3925">
      <c r="A3925" s="4" t="s">
        <v>23105</v>
      </c>
      <c r="B3925" s="4" t="s">
        <v>7820</v>
      </c>
      <c r="C3925" s="16" t="str">
        <f>IFERROR(__xludf.DUMMYFUNCTION(""""""""" &amp; REGEXEXTRACT(B3925, ""/detail/([^/?]+)"") &amp; """""","""),"""bfghbnamplhjmjgpdjohlidkmpgpfeod"",")</f>
        <v>"bfghbnamplhjmjgpdjohlidkmpgpfeod",</v>
      </c>
    </row>
    <row r="3926">
      <c r="A3926" s="4" t="s">
        <v>23106</v>
      </c>
      <c r="B3926" s="4" t="s">
        <v>7822</v>
      </c>
      <c r="C3926" s="16" t="str">
        <f>IFERROR(__xludf.DUMMYFUNCTION(""""""""" &amp; REGEXEXTRACT(B3926, ""/detail/([^/?]+)"") &amp; """""","""),"""bfhfbhgccalkogdpcapeiicnjbdijcjk"",")</f>
        <v>"bfhfbhgccalkogdpcapeiicnjbdijcjk",</v>
      </c>
    </row>
    <row r="3927">
      <c r="A3927" s="4" t="s">
        <v>23107</v>
      </c>
      <c r="B3927" s="4" t="s">
        <v>7824</v>
      </c>
      <c r="C3927" s="16" t="str">
        <f>IFERROR(__xludf.DUMMYFUNCTION(""""""""" &amp; REGEXEXTRACT(B3927, ""/detail/([^/?]+)"") &amp; """""","""),"""bfjkbhnihjgbahillbebohecpgcdhfao"",")</f>
        <v>"bfjkbhnihjgbahillbebohecpgcdhfao",</v>
      </c>
    </row>
    <row r="3928">
      <c r="A3928" s="4" t="s">
        <v>23108</v>
      </c>
      <c r="B3928" s="4" t="s">
        <v>7826</v>
      </c>
      <c r="C3928" s="16" t="str">
        <f>IFERROR(__xludf.DUMMYFUNCTION(""""""""" &amp; REGEXEXTRACT(B3928, ""/detail/([^/?]+)"") &amp; """""","""),"""bfooamdflgheadbaakfehmbdelmfogfa"",")</f>
        <v>"bfooamdflgheadbaakfehmbdelmfogfa",</v>
      </c>
    </row>
    <row r="3929">
      <c r="A3929" s="4" t="s">
        <v>23109</v>
      </c>
      <c r="B3929" s="4" t="s">
        <v>7828</v>
      </c>
      <c r="C3929" s="16" t="str">
        <f>IFERROR(__xludf.DUMMYFUNCTION(""""""""" &amp; REGEXEXTRACT(B3929, ""/detail/([^/?]+)"") &amp; """""","""),"""bgdmklebbjngcmbjpbbbpgdgdhbjjlda"",")</f>
        <v>"bgdmklebbjngcmbjpbbbpgdgdhbjjlda",</v>
      </c>
    </row>
    <row r="3930">
      <c r="A3930" s="4" t="s">
        <v>23110</v>
      </c>
      <c r="B3930" s="4" t="s">
        <v>7830</v>
      </c>
      <c r="C3930" s="16" t="str">
        <f>IFERROR(__xludf.DUMMYFUNCTION(""""""""" &amp; REGEXEXTRACT(B3930, ""/detail/([^/?]+)"") &amp; """""","""),"""bgfbijeikimjmdjldemlegooghdjinmj"",")</f>
        <v>"bgfbijeikimjmdjldemlegooghdjinmj",</v>
      </c>
    </row>
    <row r="3931">
      <c r="A3931" s="4" t="s">
        <v>23111</v>
      </c>
      <c r="B3931" s="4" t="s">
        <v>7832</v>
      </c>
      <c r="C3931" s="16" t="str">
        <f>IFERROR(__xludf.DUMMYFUNCTION(""""""""" &amp; REGEXEXTRACT(B3931, ""/detail/([^/?]+)"") &amp; """""","""),"""bggllnkbdlkiimnpkndnceeelpabcogg"",")</f>
        <v>"bggllnkbdlkiimnpkndnceeelpabcogg",</v>
      </c>
    </row>
    <row r="3932">
      <c r="A3932" s="4" t="s">
        <v>23112</v>
      </c>
      <c r="B3932" s="4" t="s">
        <v>7834</v>
      </c>
      <c r="C3932" s="16" t="str">
        <f>IFERROR(__xludf.DUMMYFUNCTION(""""""""" &amp; REGEXEXTRACT(B3932, ""/detail/([^/?]+)"") &amp; """""","""),"""bhachhlaofmplbfnefenmlnflolelkff"",")</f>
        <v>"bhachhlaofmplbfnefenmlnflolelkff",</v>
      </c>
    </row>
    <row r="3933">
      <c r="A3933" s="4" t="s">
        <v>23113</v>
      </c>
      <c r="B3933" s="4" t="s">
        <v>7836</v>
      </c>
      <c r="C3933" s="16" t="str">
        <f>IFERROR(__xludf.DUMMYFUNCTION(""""""""" &amp; REGEXEXTRACT(B3933, ""/detail/([^/?]+)"") &amp; """""","""),"""bhipgegdnofneghbmnmgbfdjfhbmejbe"",")</f>
        <v>"bhipgegdnofneghbmnmgbfdjfhbmejbe",</v>
      </c>
    </row>
    <row r="3934">
      <c r="A3934" s="4" t="s">
        <v>23114</v>
      </c>
      <c r="B3934" s="4" t="s">
        <v>7838</v>
      </c>
      <c r="C3934" s="16" t="str">
        <f>IFERROR(__xludf.DUMMYFUNCTION(""""""""" &amp; REGEXEXTRACT(B3934, ""/detail/([^/?]+)"") &amp; """""","""),"""bhjioncbieblaknjjgladehifnlhdjeb"",")</f>
        <v>"bhjioncbieblaknjjgladehifnlhdjeb",</v>
      </c>
    </row>
    <row r="3935">
      <c r="A3935" s="4" t="s">
        <v>23115</v>
      </c>
      <c r="B3935" s="4" t="s">
        <v>7840</v>
      </c>
      <c r="C3935" s="16" t="str">
        <f>IFERROR(__xludf.DUMMYFUNCTION(""""""""" &amp; REGEXEXTRACT(B3935, ""/detail/([^/?]+)"") &amp; """""","""),"""bhjllcbooegngfdndlcbmelgcaalkodm"",")</f>
        <v>"bhjllcbooegngfdndlcbmelgcaalkodm",</v>
      </c>
    </row>
    <row r="3936">
      <c r="A3936" s="4" t="s">
        <v>23116</v>
      </c>
      <c r="B3936" s="4" t="s">
        <v>7842</v>
      </c>
      <c r="C3936" s="16" t="str">
        <f>IFERROR(__xludf.DUMMYFUNCTION(""""""""" &amp; REGEXEXTRACT(B3936, ""/detail/([^/?]+)"") &amp; """""","""),"""bhoodecbejheonelhikcfahgpgahffmf"",")</f>
        <v>"bhoodecbejheonelhikcfahgpgahffmf",</v>
      </c>
    </row>
    <row r="3937">
      <c r="A3937" s="4" t="s">
        <v>23117</v>
      </c>
      <c r="B3937" s="4" t="s">
        <v>7844</v>
      </c>
      <c r="C3937" s="16" t="str">
        <f>IFERROR(__xludf.DUMMYFUNCTION(""""""""" &amp; REGEXEXTRACT(B3937, ""/detail/([^/?]+)"") &amp; """""","""),"""bifnofbpdbdmgopjoidbicngijjmlogj"",")</f>
        <v>"bifnofbpdbdmgopjoidbicngijjmlogj",</v>
      </c>
    </row>
    <row r="3938">
      <c r="A3938" s="4" t="s">
        <v>23118</v>
      </c>
      <c r="B3938" s="4" t="s">
        <v>7846</v>
      </c>
      <c r="C3938" s="16" t="str">
        <f>IFERROR(__xludf.DUMMYFUNCTION(""""""""" &amp; REGEXEXTRACT(B3938, ""/detail/([^/?]+)"") &amp; """""","""),"""bijjfhgimphjklllkmbdapkfemdnhmpj"",")</f>
        <v>"bijjfhgimphjklllkmbdapkfemdnhmpj",</v>
      </c>
    </row>
    <row r="3939">
      <c r="A3939" s="4" t="s">
        <v>23119</v>
      </c>
      <c r="B3939" s="4" t="s">
        <v>7848</v>
      </c>
      <c r="C3939" s="16" t="str">
        <f>IFERROR(__xludf.DUMMYFUNCTION(""""""""" &amp; REGEXEXTRACT(B3939, ""/detail/([^/?]+)"") &amp; """""","""),"""bimdkbbnmijmfphlbcklkijlaajjkdch"",")</f>
        <v>"bimdkbbnmijmfphlbcklkijlaajjkdch",</v>
      </c>
    </row>
    <row r="3940">
      <c r="A3940" s="4" t="s">
        <v>23120</v>
      </c>
      <c r="B3940" s="4" t="s">
        <v>7850</v>
      </c>
      <c r="C3940" s="16" t="str">
        <f>IFERROR(__xludf.DUMMYFUNCTION(""""""""" &amp; REGEXEXTRACT(B3940, ""/detail/([^/?]+)"") &amp; """""","""),"""bjgaobjkcmihhaiihefopfinhjaghfce"",")</f>
        <v>"bjgaobjkcmihhaiihefopfinhjaghfce",</v>
      </c>
    </row>
    <row r="3941">
      <c r="A3941" s="4" t="s">
        <v>23121</v>
      </c>
      <c r="B3941" s="4" t="s">
        <v>7852</v>
      </c>
      <c r="C3941" s="16" t="str">
        <f>IFERROR(__xludf.DUMMYFUNCTION(""""""""" &amp; REGEXEXTRACT(B3941, ""/detail/([^/?]+)"") &amp; """""","""),"""bjgfcfngmakkiehffenhakjpcbmcioke"",")</f>
        <v>"bjgfcfngmakkiehffenhakjpcbmcioke",</v>
      </c>
    </row>
    <row r="3942">
      <c r="A3942" s="4" t="s">
        <v>23122</v>
      </c>
      <c r="B3942" s="4" t="s">
        <v>7854</v>
      </c>
      <c r="C3942" s="16" t="str">
        <f>IFERROR(__xludf.DUMMYFUNCTION(""""""""" &amp; REGEXEXTRACT(B3942, ""/detail/([^/?]+)"") &amp; """""","""),"""bkicfdfanedgnlddinjiojphnehpjnpd"",")</f>
        <v>"bkicfdfanedgnlddinjiojphnehpjnpd",</v>
      </c>
    </row>
    <row r="3943">
      <c r="A3943" s="4" t="s">
        <v>23123</v>
      </c>
      <c r="B3943" s="4" t="s">
        <v>7856</v>
      </c>
      <c r="C3943" s="16" t="str">
        <f>IFERROR(__xludf.DUMMYFUNCTION(""""""""" &amp; REGEXEXTRACT(B3943, ""/detail/([^/?]+)"") &amp; """""","""),"""blbpafkooanpdcdcndkcckblghjddpke"",")</f>
        <v>"blbpafkooanpdcdcndkcckblghjddpke",</v>
      </c>
    </row>
    <row r="3944">
      <c r="A3944" s="4" t="s">
        <v>23124</v>
      </c>
      <c r="B3944" s="4" t="s">
        <v>7858</v>
      </c>
      <c r="C3944" s="16" t="str">
        <f>IFERROR(__xludf.DUMMYFUNCTION(""""""""" &amp; REGEXEXTRACT(B3944, ""/detail/([^/?]+)"") &amp; """""","""),"""bleeelcpenoboaoodilaaapgbgjdjdaj"",")</f>
        <v>"bleeelcpenoboaoodilaaapgbgjdjdaj",</v>
      </c>
    </row>
    <row r="3945">
      <c r="A3945" s="4" t="s">
        <v>23125</v>
      </c>
      <c r="B3945" s="4" t="s">
        <v>7860</v>
      </c>
      <c r="C3945" s="16" t="str">
        <f>IFERROR(__xludf.DUMMYFUNCTION(""""""""" &amp; REGEXEXTRACT(B3945, ""/detail/([^/?]+)"") &amp; """""","""),"""blfpdedbdighagggfhgihcocfheicfjk"",")</f>
        <v>"blfpdedbdighagggfhgihcocfheicfjk",</v>
      </c>
    </row>
    <row r="3946">
      <c r="A3946" s="4" t="s">
        <v>23126</v>
      </c>
      <c r="B3946" s="4" t="s">
        <v>7862</v>
      </c>
      <c r="C3946" s="16" t="str">
        <f>IFERROR(__xludf.DUMMYFUNCTION(""""""""" &amp; REGEXEXTRACT(B3946, ""/detail/([^/?]+)"") &amp; """""","""),"""blinbhliohhhnddefmgbaelknpjpopjh"",")</f>
        <v>"blinbhliohhhnddefmgbaelknpjpopjh",</v>
      </c>
    </row>
    <row r="3947">
      <c r="A3947" s="4" t="s">
        <v>23127</v>
      </c>
      <c r="B3947" s="4" t="s">
        <v>7864</v>
      </c>
      <c r="C3947" s="16" t="str">
        <f>IFERROR(__xludf.DUMMYFUNCTION(""""""""" &amp; REGEXEXTRACT(B3947, ""/detail/([^/?]+)"") &amp; """""","""),"""bljnhgkajocmhlflgefahihojeajhjji"",")</f>
        <v>"bljnhgkajocmhlflgefahihojeajhjji",</v>
      </c>
    </row>
    <row r="3948">
      <c r="A3948" s="4" t="s">
        <v>23128</v>
      </c>
      <c r="B3948" s="4" t="s">
        <v>7866</v>
      </c>
      <c r="C3948" s="16" t="str">
        <f>IFERROR(__xludf.DUMMYFUNCTION(""""""""" &amp; REGEXEXTRACT(B3948, ""/detail/([^/?]+)"") &amp; """""","""),"""bllgmdlgbbmijcoecbnmgeoekhebgmac"",")</f>
        <v>"bllgmdlgbbmijcoecbnmgeoekhebgmac",</v>
      </c>
    </row>
    <row r="3949">
      <c r="A3949" s="4" t="s">
        <v>23129</v>
      </c>
      <c r="B3949" s="4" t="s">
        <v>7868</v>
      </c>
      <c r="C3949" s="16" t="str">
        <f>IFERROR(__xludf.DUMMYFUNCTION(""""""""" &amp; REGEXEXTRACT(B3949, ""/detail/([^/?]+)"") &amp; """""","""),"""bloclegocjpjjaandifppeocigahekjg"",")</f>
        <v>"bloclegocjpjjaandifppeocigahekjg",</v>
      </c>
    </row>
    <row r="3950">
      <c r="A3950" s="4" t="s">
        <v>23130</v>
      </c>
      <c r="B3950" s="4" t="s">
        <v>7870</v>
      </c>
      <c r="C3950" s="16" t="str">
        <f>IFERROR(__xludf.DUMMYFUNCTION(""""""""" &amp; REGEXEXTRACT(B3950, ""/detail/([^/?]+)"") &amp; """""","""),"""blonmediheekdlhdhfnfohegmhblapcb"",")</f>
        <v>"blonmediheekdlhdhfnfohegmhblapcb",</v>
      </c>
    </row>
    <row r="3951">
      <c r="A3951" s="4" t="s">
        <v>23131</v>
      </c>
      <c r="B3951" s="4" t="s">
        <v>7872</v>
      </c>
      <c r="C3951" s="16" t="str">
        <f>IFERROR(__xludf.DUMMYFUNCTION(""""""""" &amp; REGEXEXTRACT(B3951, ""/detail/([^/?]+)"") &amp; """""","""),"""bmadghlcpopfbnfcpmicdoafognfbhmm"",")</f>
        <v>"bmadghlcpopfbnfcpmicdoafognfbhmm",</v>
      </c>
    </row>
    <row r="3952">
      <c r="A3952" s="4" t="s">
        <v>23132</v>
      </c>
      <c r="B3952" s="4" t="s">
        <v>7874</v>
      </c>
      <c r="C3952" s="16" t="str">
        <f>IFERROR(__xludf.DUMMYFUNCTION(""""""""" &amp; REGEXEXTRACT(B3952, ""/detail/([^/?]+)"") &amp; """""","""),"""bndmmpkkilmcaoddlicjenjffkihmmle"",")</f>
        <v>"bndmmpkkilmcaoddlicjenjffkihmmle",</v>
      </c>
    </row>
    <row r="3953">
      <c r="A3953" s="4" t="s">
        <v>23133</v>
      </c>
      <c r="B3953" s="4" t="s">
        <v>7876</v>
      </c>
      <c r="C3953" s="16" t="str">
        <f>IFERROR(__xludf.DUMMYFUNCTION(""""""""" &amp; REGEXEXTRACT(B3953, ""/detail/([^/?]+)"") &amp; """""","""),"""bnflfnhcfikgmmcmoghhejelmefpjhek"",")</f>
        <v>"bnflfnhcfikgmmcmoghhejelmefpjhek",</v>
      </c>
    </row>
    <row r="3954">
      <c r="A3954" s="4" t="s">
        <v>23134</v>
      </c>
      <c r="B3954" s="4" t="s">
        <v>7878</v>
      </c>
      <c r="C3954" s="16" t="str">
        <f>IFERROR(__xludf.DUMMYFUNCTION(""""""""" &amp; REGEXEXTRACT(B3954, ""/detail/([^/?]+)"") &amp; """""","""),"""bnhejmehblohhaalgnnohedpijgkjeof"",")</f>
        <v>"bnhejmehblohhaalgnnohedpijgkjeof",</v>
      </c>
    </row>
    <row r="3955">
      <c r="A3955" s="4" t="s">
        <v>23135</v>
      </c>
      <c r="B3955" s="4" t="s">
        <v>7880</v>
      </c>
      <c r="C3955" s="16" t="str">
        <f>IFERROR(__xludf.DUMMYFUNCTION(""""""""" &amp; REGEXEXTRACT(B3955, ""/detail/([^/?]+)"") &amp; """""","""),"""boccolgmoknhiidceemmgkoaggficcpl"",")</f>
        <v>"boccolgmoknhiidceemmgkoaggficcpl",</v>
      </c>
    </row>
    <row r="3956">
      <c r="A3956" s="4" t="s">
        <v>23136</v>
      </c>
      <c r="B3956" s="4" t="s">
        <v>7882</v>
      </c>
      <c r="C3956" s="16" t="str">
        <f>IFERROR(__xludf.DUMMYFUNCTION(""""""""" &amp; REGEXEXTRACT(B3956, ""/detail/([^/?]+)"") &amp; """""","""),"""bojlgkgcbdcldkhjjapllgncgdgalhfj"",")</f>
        <v>"bojlgkgcbdcldkhjjapllgncgdgalhfj",</v>
      </c>
    </row>
    <row r="3957">
      <c r="A3957" s="4" t="s">
        <v>23137</v>
      </c>
      <c r="B3957" s="4" t="s">
        <v>7884</v>
      </c>
      <c r="C3957" s="16" t="str">
        <f>IFERROR(__xludf.DUMMYFUNCTION(""""""""" &amp; REGEXEXTRACT(B3957, ""/detail/([^/?]+)"") &amp; """""","""),"""boklbhfpcjpdgdhjeglchaigmhbipijl"",")</f>
        <v>"boklbhfpcjpdgdhjeglchaigmhbipijl",</v>
      </c>
    </row>
    <row r="3958">
      <c r="A3958" s="4" t="s">
        <v>23138</v>
      </c>
      <c r="B3958" s="4" t="s">
        <v>7886</v>
      </c>
      <c r="C3958" s="16" t="str">
        <f>IFERROR(__xludf.DUMMYFUNCTION(""""""""" &amp; REGEXEXTRACT(B3958, ""/detail/([^/?]+)"") &amp; """""","""),"""bonbclphagmhlcpiahpimimkbmlamenc"",")</f>
        <v>"bonbclphagmhlcpiahpimimkbmlamenc",</v>
      </c>
    </row>
    <row r="3959">
      <c r="A3959" s="4" t="s">
        <v>23139</v>
      </c>
      <c r="B3959" s="4" t="s">
        <v>7888</v>
      </c>
      <c r="C3959" s="16" t="str">
        <f>IFERROR(__xludf.DUMMYFUNCTION(""""""""" &amp; REGEXEXTRACT(B3959, ""/detail/([^/?]+)"") &amp; """""","""),"""bpbhcboindgomhjpohahlaoonfinnmkf"",")</f>
        <v>"bpbhcboindgomhjpohahlaoonfinnmkf",</v>
      </c>
    </row>
    <row r="3960">
      <c r="A3960" s="4" t="s">
        <v>23140</v>
      </c>
      <c r="B3960" s="4" t="s">
        <v>7890</v>
      </c>
      <c r="C3960" s="16" t="str">
        <f>IFERROR(__xludf.DUMMYFUNCTION(""""""""" &amp; REGEXEXTRACT(B3960, ""/detail/([^/?]+)"") &amp; """""","""),"""bpcliekjnopcagpekljnkpicfdpjfbkc"",")</f>
        <v>"bpcliekjnopcagpekljnkpicfdpjfbkc",</v>
      </c>
    </row>
    <row r="3961">
      <c r="A3961" s="4" t="s">
        <v>23141</v>
      </c>
      <c r="B3961" s="4" t="s">
        <v>7892</v>
      </c>
      <c r="C3961" s="16" t="str">
        <f>IFERROR(__xludf.DUMMYFUNCTION(""""""""" &amp; REGEXEXTRACT(B3961, ""/detail/([^/?]+)"") &amp; """""","""),"""bpfbcbgognjimbmabiiphhofpgdcgbgc"",")</f>
        <v>"bpfbcbgognjimbmabiiphhofpgdcgbgc",</v>
      </c>
    </row>
    <row r="3962">
      <c r="A3962" s="4" t="s">
        <v>23142</v>
      </c>
      <c r="B3962" s="4" t="s">
        <v>7894</v>
      </c>
      <c r="C3962" s="16" t="str">
        <f>IFERROR(__xludf.DUMMYFUNCTION(""""""""" &amp; REGEXEXTRACT(B3962, ""/detail/([^/?]+)"") &amp; """""","""),"""bpfflbmfgeipgagicanlmccbioknoici"",")</f>
        <v>"bpfflbmfgeipgagicanlmccbioknoici",</v>
      </c>
    </row>
    <row r="3963">
      <c r="A3963" s="4" t="s">
        <v>23143</v>
      </c>
      <c r="B3963" s="4" t="s">
        <v>7896</v>
      </c>
      <c r="C3963" s="16" t="str">
        <f>IFERROR(__xludf.DUMMYFUNCTION(""""""""" &amp; REGEXEXTRACT(B3963, ""/detail/([^/?]+)"") &amp; """""","""),"""bpjdhheiliihcghpalfflhfpfbmcekij"",")</f>
        <v>"bpjdhheiliihcghpalfflhfpfbmcekij",</v>
      </c>
    </row>
    <row r="3964">
      <c r="A3964" s="4" t="s">
        <v>23144</v>
      </c>
      <c r="B3964" s="4" t="s">
        <v>7898</v>
      </c>
      <c r="C3964" s="16" t="str">
        <f>IFERROR(__xludf.DUMMYFUNCTION(""""""""" &amp; REGEXEXTRACT(B3964, ""/detail/([^/?]+)"") &amp; """""","""),"""bpjdjkonibhggbbjchphchlbonaijjme"",")</f>
        <v>"bpjdjkonibhggbbjchphchlbonaijjme",</v>
      </c>
    </row>
    <row r="3965">
      <c r="A3965" s="4" t="s">
        <v>23145</v>
      </c>
      <c r="B3965" s="4" t="s">
        <v>7900</v>
      </c>
      <c r="C3965" s="16" t="str">
        <f>IFERROR(__xludf.DUMMYFUNCTION(""""""""" &amp; REGEXEXTRACT(B3965, ""/detail/([^/?]+)"") &amp; """""","""),"""bpmilapammjhbeldoleojjclaihdbdoo"",")</f>
        <v>"bpmilapammjhbeldoleojjclaihdbdoo",</v>
      </c>
    </row>
    <row r="3966">
      <c r="A3966" s="4" t="s">
        <v>23146</v>
      </c>
      <c r="B3966" s="4" t="s">
        <v>7902</v>
      </c>
      <c r="C3966" s="16" t="str">
        <f>IFERROR(__xludf.DUMMYFUNCTION(""""""""" &amp; REGEXEXTRACT(B3966, ""/detail/([^/?]+)"") &amp; """""","""),"""bpnnnahgjgehfimcicpjmjidcoghhfpf"",")</f>
        <v>"bpnnnahgjgehfimcicpjmjidcoghhfpf",</v>
      </c>
    </row>
    <row r="3967">
      <c r="A3967" s="4" t="s">
        <v>23147</v>
      </c>
      <c r="B3967" s="4" t="s">
        <v>7904</v>
      </c>
      <c r="C3967" s="16" t="str">
        <f>IFERROR(__xludf.DUMMYFUNCTION(""""""""" &amp; REGEXEXTRACT(B3967, ""/detail/([^/?]+)"") &amp; """""","""),"""bpokcenamldgbghabnklpmbkkcgcgdld"",")</f>
        <v>"bpokcenamldgbghabnklpmbkkcgcgdld",</v>
      </c>
    </row>
    <row r="3968">
      <c r="A3968" s="4" t="s">
        <v>23148</v>
      </c>
      <c r="B3968" s="4" t="s">
        <v>7906</v>
      </c>
      <c r="C3968" s="16" t="str">
        <f>IFERROR(__xludf.DUMMYFUNCTION(""""""""" &amp; REGEXEXTRACT(B3968, ""/detail/([^/?]+)"") &amp; """""","""),"""cacindbnpcofhdcbhfbncglgdacdhoin"",")</f>
        <v>"cacindbnpcofhdcbhfbncglgdacdhoin",</v>
      </c>
    </row>
    <row r="3969">
      <c r="A3969" s="4" t="s">
        <v>23149</v>
      </c>
      <c r="B3969" s="4" t="s">
        <v>7908</v>
      </c>
      <c r="C3969" s="16" t="str">
        <f>IFERROR(__xludf.DUMMYFUNCTION(""""""""" &amp; REGEXEXTRACT(B3969, ""/detail/([^/?]+)"") &amp; """""","""),"""caclhldkbdhkgncflgccigmdiljkdpdi"",")</f>
        <v>"caclhldkbdhkgncflgccigmdiljkdpdi",</v>
      </c>
    </row>
    <row r="3970">
      <c r="A3970" s="4" t="s">
        <v>23150</v>
      </c>
      <c r="B3970" s="4" t="s">
        <v>7910</v>
      </c>
      <c r="C3970" s="16" t="str">
        <f>IFERROR(__xludf.DUMMYFUNCTION(""""""""" &amp; REGEXEXTRACT(B3970, ""/detail/([^/?]+)"") &amp; """""","""),"""canbakmdapinjpiabkbdgmpenllifmij"",")</f>
        <v>"canbakmdapinjpiabkbdgmpenllifmij",</v>
      </c>
    </row>
    <row r="3971">
      <c r="A3971" s="4" t="s">
        <v>23151</v>
      </c>
      <c r="B3971" s="4" t="s">
        <v>7912</v>
      </c>
      <c r="C3971" s="16" t="str">
        <f>IFERROR(__xludf.DUMMYFUNCTION(""""""""" &amp; REGEXEXTRACT(B3971, ""/detail/([^/?]+)"") &amp; """""","""),"""cbbhgghlegjpkbhfhpmjoajkdngbfhlg"",")</f>
        <v>"cbbhgghlegjpkbhfhpmjoajkdngbfhlg",</v>
      </c>
    </row>
    <row r="3972">
      <c r="A3972" s="4" t="s">
        <v>23152</v>
      </c>
      <c r="B3972" s="4" t="s">
        <v>7914</v>
      </c>
      <c r="C3972" s="16" t="str">
        <f>IFERROR(__xludf.DUMMYFUNCTION(""""""""" &amp; REGEXEXTRACT(B3972, ""/detail/([^/?]+)"") &amp; """""","""),"""cbgpbhpefmeholmeodlhaalbcjgbafjd"",")</f>
        <v>"cbgpbhpefmeholmeodlhaalbcjgbafjd",</v>
      </c>
    </row>
    <row r="3973">
      <c r="A3973" s="4" t="s">
        <v>23153</v>
      </c>
      <c r="B3973" s="4" t="s">
        <v>7916</v>
      </c>
      <c r="C3973" s="16" t="str">
        <f>IFERROR(__xludf.DUMMYFUNCTION(""""""""" &amp; REGEXEXTRACT(B3973, ""/detail/([^/?]+)"") &amp; """""","""),"""cbolehniipnbcbmecpekldhjhnohifpm"",")</f>
        <v>"cbolehniipnbcbmecpekldhjhnohifpm",</v>
      </c>
    </row>
    <row r="3974">
      <c r="A3974" s="4" t="s">
        <v>23154</v>
      </c>
      <c r="B3974" s="4" t="s">
        <v>7917</v>
      </c>
      <c r="C3974" s="16" t="str">
        <f>IFERROR(__xludf.DUMMYFUNCTION(""""""""" &amp; REGEXEXTRACT(B3974, ""/detail/([^/?]+)"") &amp; """""","""),"""ccfpenhpilnacfeimonjfdndpphbgkaa"",")</f>
        <v>"ccfpenhpilnacfeimonjfdndpphbgkaa",</v>
      </c>
    </row>
    <row r="3975">
      <c r="A3975" s="4" t="s">
        <v>23155</v>
      </c>
      <c r="B3975" s="4" t="s">
        <v>7919</v>
      </c>
      <c r="C3975" s="16" t="str">
        <f>IFERROR(__xludf.DUMMYFUNCTION(""""""""" &amp; REGEXEXTRACT(B3975, ""/detail/([^/?]+)"") &amp; """""","""),"""cchpcfjfdljcfchegellgojokpfobjkd"",")</f>
        <v>"cchpcfjfdljcfchegellgojokpfobjkd",</v>
      </c>
    </row>
    <row r="3976">
      <c r="A3976" s="4" t="s">
        <v>23156</v>
      </c>
      <c r="B3976" s="4" t="s">
        <v>7921</v>
      </c>
      <c r="C3976" s="16" t="str">
        <f>IFERROR(__xludf.DUMMYFUNCTION(""""""""" &amp; REGEXEXTRACT(B3976, ""/detail/([^/?]+)"") &amp; """""","""),"""ccnaigimpbpdnckifklmbamndjonobio"",")</f>
        <v>"ccnaigimpbpdnckifklmbamndjonobio",</v>
      </c>
    </row>
    <row r="3977">
      <c r="A3977" s="4" t="s">
        <v>23157</v>
      </c>
      <c r="B3977" s="4" t="s">
        <v>7923</v>
      </c>
      <c r="C3977" s="16" t="str">
        <f>IFERROR(__xludf.DUMMYFUNCTION(""""""""" &amp; REGEXEXTRACT(B3977, ""/detail/([^/?]+)"") &amp; """""","""),"""cdipjnbignkeledopgpgdlgbolhgkben"",")</f>
        <v>"cdipjnbignkeledopgpgdlgbolhgkben",</v>
      </c>
    </row>
    <row r="3978">
      <c r="A3978" s="4" t="s">
        <v>23158</v>
      </c>
      <c r="B3978" s="4" t="s">
        <v>7925</v>
      </c>
      <c r="C3978" s="16" t="str">
        <f>IFERROR(__xludf.DUMMYFUNCTION(""""""""" &amp; REGEXEXTRACT(B3978, ""/detail/([^/?]+)"") &amp; """""","""),"""cdllihdpcibkhhkidaicoeeiammjkokm"",")</f>
        <v>"cdllihdpcibkhhkidaicoeeiammjkokm",</v>
      </c>
    </row>
    <row r="3979">
      <c r="A3979" s="4" t="s">
        <v>23159</v>
      </c>
      <c r="B3979" s="4" t="s">
        <v>7927</v>
      </c>
      <c r="C3979" s="16" t="str">
        <f>IFERROR(__xludf.DUMMYFUNCTION(""""""""" &amp; REGEXEXTRACT(B3979, ""/detail/([^/?]+)"") &amp; """""","""),"""cdoieoennkhjndgdmaehgdgboigjakkb"",")</f>
        <v>"cdoieoennkhjndgdmaehgdgboigjakkb",</v>
      </c>
    </row>
    <row r="3980">
      <c r="A3980" s="4" t="s">
        <v>23160</v>
      </c>
      <c r="B3980" s="4" t="s">
        <v>7929</v>
      </c>
      <c r="C3980" s="16" t="str">
        <f>IFERROR(__xludf.DUMMYFUNCTION(""""""""" &amp; REGEXEXTRACT(B3980, ""/detail/([^/?]+)"") &amp; """""","""),"""ceaajjmckiakobniehbjpdcidfpohlin"",")</f>
        <v>"ceaajjmckiakobniehbjpdcidfpohlin",</v>
      </c>
    </row>
    <row r="3981">
      <c r="A3981" s="4" t="s">
        <v>23161</v>
      </c>
      <c r="B3981" s="4" t="s">
        <v>7931</v>
      </c>
      <c r="C3981" s="16" t="str">
        <f>IFERROR(__xludf.DUMMYFUNCTION(""""""""" &amp; REGEXEXTRACT(B3981, ""/detail/([^/?]+)"") &amp; """""","""),"""cebdpbolebkmgidigfffifoemdcbhibf"",")</f>
        <v>"cebdpbolebkmgidigfffifoemdcbhibf",</v>
      </c>
    </row>
    <row r="3982">
      <c r="A3982" s="4" t="s">
        <v>23162</v>
      </c>
      <c r="B3982" s="4" t="s">
        <v>7933</v>
      </c>
      <c r="C3982" s="16" t="str">
        <f>IFERROR(__xludf.DUMMYFUNCTION(""""""""" &amp; REGEXEXTRACT(B3982, ""/detail/([^/?]+)"") &amp; """""","""),"""cedkkpjolghccafognlkficihjmfedhc"",")</f>
        <v>"cedkkpjolghccafognlkficihjmfedhc",</v>
      </c>
    </row>
    <row r="3983">
      <c r="A3983" s="4" t="s">
        <v>23163</v>
      </c>
      <c r="B3983" s="4" t="s">
        <v>7935</v>
      </c>
      <c r="C3983" s="16" t="str">
        <f>IFERROR(__xludf.DUMMYFUNCTION(""""""""" &amp; REGEXEXTRACT(B3983, ""/detail/([^/?]+)"") &amp; """""","""),"""ceebcpbapdnfnkhfogkbhbgknhgnaoee"",")</f>
        <v>"ceebcpbapdnfnkhfogkbhbgknhgnaoee",</v>
      </c>
    </row>
    <row r="3984">
      <c r="A3984" s="4" t="s">
        <v>23164</v>
      </c>
      <c r="B3984" s="4" t="s">
        <v>7937</v>
      </c>
      <c r="C3984" s="16" t="str">
        <f>IFERROR(__xludf.DUMMYFUNCTION(""""""""" &amp; REGEXEXTRACT(B3984, ""/detail/([^/?]+)"") &amp; """""","""),"""cejacfgegngnjehgamebpaolkljcgcmk"",")</f>
        <v>"cejacfgegngnjehgamebpaolkljcgcmk",</v>
      </c>
    </row>
    <row r="3985">
      <c r="A3985" s="4" t="s">
        <v>23165</v>
      </c>
      <c r="B3985" s="4" t="s">
        <v>7939</v>
      </c>
      <c r="C3985" s="16" t="str">
        <f>IFERROR(__xludf.DUMMYFUNCTION(""""""""" &amp; REGEXEXTRACT(B3985, ""/detail/([^/?]+)"") &amp; """""","""),"""cekmgllamfeimfigbknikfklahjmjcaa"",")</f>
        <v>"cekmgllamfeimfigbknikfklahjmjcaa",</v>
      </c>
    </row>
    <row r="3986">
      <c r="A3986" s="4" t="s">
        <v>23166</v>
      </c>
      <c r="B3986" s="4" t="s">
        <v>7941</v>
      </c>
      <c r="C3986" s="16" t="str">
        <f>IFERROR(__xludf.DUMMYFUNCTION(""""""""" &amp; REGEXEXTRACT(B3986, ""/detail/([^/?]+)"") &amp; """""","""),"""cenhhgabijhpobnfnmkigobcefkmhjbj"",")</f>
        <v>"cenhhgabijhpobnfnmkigobcefkmhjbj",</v>
      </c>
    </row>
    <row r="3987">
      <c r="A3987" s="4" t="s">
        <v>23167</v>
      </c>
      <c r="B3987" s="4" t="s">
        <v>7943</v>
      </c>
      <c r="C3987" s="16" t="str">
        <f>IFERROR(__xludf.DUMMYFUNCTION(""""""""" &amp; REGEXEXTRACT(B3987, ""/detail/([^/?]+)"") &amp; """""","""),"""cenhmlkkgfflhedkkmgkmgmbcpdflbni"",")</f>
        <v>"cenhmlkkgfflhedkkmgkmgmbcpdflbni",</v>
      </c>
    </row>
    <row r="3988">
      <c r="A3988" s="4" t="s">
        <v>23168</v>
      </c>
      <c r="B3988" s="4" t="s">
        <v>7945</v>
      </c>
      <c r="C3988" s="16" t="str">
        <f>IFERROR(__xludf.DUMMYFUNCTION(""""""""" &amp; REGEXEXTRACT(B3988, ""/detail/([^/?]+)"") &amp; """""","""),"""cfamjaolobgncfhomepbmjjihlbkchgb"",")</f>
        <v>"cfamjaolobgncfhomepbmjjihlbkchgb",</v>
      </c>
    </row>
    <row r="3989">
      <c r="A3989" s="4" t="s">
        <v>23169</v>
      </c>
      <c r="B3989" s="4" t="s">
        <v>7947</v>
      </c>
      <c r="C3989" s="16" t="str">
        <f>IFERROR(__xludf.DUMMYFUNCTION(""""""""" &amp; REGEXEXTRACT(B3989, ""/detail/([^/?]+)"") &amp; """""","""),"""cfejbcmkcnkjjnohkmjogghgbjmojlck"",")</f>
        <v>"cfejbcmkcnkjjnohkmjogghgbjmojlck",</v>
      </c>
    </row>
    <row r="3990">
      <c r="A3990" s="4" t="s">
        <v>23170</v>
      </c>
      <c r="B3990" s="4" t="s">
        <v>7949</v>
      </c>
      <c r="C3990" s="16" t="str">
        <f>IFERROR(__xludf.DUMMYFUNCTION(""""""""" &amp; REGEXEXTRACT(B3990, ""/detail/([^/?]+)"") &amp; """""","""),"""cfeppjpdaokjflnpmdmflnhecgbjicjm"",")</f>
        <v>"cfeppjpdaokjflnpmdmflnhecgbjicjm",</v>
      </c>
    </row>
    <row r="3991">
      <c r="A3991" s="4" t="s">
        <v>23171</v>
      </c>
      <c r="B3991" s="4" t="s">
        <v>7951</v>
      </c>
      <c r="C3991" s="16" t="str">
        <f>IFERROR(__xludf.DUMMYFUNCTION(""""""""" &amp; REGEXEXTRACT(B3991, ""/detail/([^/?]+)"") &amp; """""","""),"""cfmhknohjdjilpokjpdopankilegcglf"",")</f>
        <v>"cfmhknohjdjilpokjpdopankilegcglf",</v>
      </c>
    </row>
    <row r="3992">
      <c r="A3992" s="4" t="s">
        <v>23172</v>
      </c>
      <c r="B3992" s="4" t="s">
        <v>7953</v>
      </c>
      <c r="C3992" s="16" t="str">
        <f>IFERROR(__xludf.DUMMYFUNCTION(""""""""" &amp; REGEXEXTRACT(B3992, ""/detail/([^/?]+)"") &amp; """""","""),"""cfodljgdikllebejmhoifnmmcbfmamij"",")</f>
        <v>"cfodljgdikllebejmhoifnmmcbfmamij",</v>
      </c>
    </row>
    <row r="3993">
      <c r="A3993" s="4" t="s">
        <v>23173</v>
      </c>
      <c r="B3993" s="4" t="s">
        <v>7955</v>
      </c>
      <c r="C3993" s="16" t="str">
        <f>IFERROR(__xludf.DUMMYFUNCTION(""""""""" &amp; REGEXEXTRACT(B3993, ""/detail/([^/?]+)"") &amp; """""","""),"""cfpnhaccjfaaianelddfckidjlnmoeab"",")</f>
        <v>"cfpnhaccjfaaianelddfckidjlnmoeab",</v>
      </c>
    </row>
    <row r="3994">
      <c r="A3994" s="4" t="s">
        <v>23174</v>
      </c>
      <c r="B3994" s="4" t="s">
        <v>7957</v>
      </c>
      <c r="C3994" s="16" t="str">
        <f>IFERROR(__xludf.DUMMYFUNCTION(""""""""" &amp; REGEXEXTRACT(B3994, ""/detail/([^/?]+)"") &amp; """""","""),"""cgadmadfnbdaplnanejoebmbfpgpliee"",")</f>
        <v>"cgadmadfnbdaplnanejoebmbfpgpliee",</v>
      </c>
    </row>
    <row r="3995">
      <c r="A3995" s="4" t="s">
        <v>23175</v>
      </c>
      <c r="B3995" s="4" t="s">
        <v>7959</v>
      </c>
      <c r="C3995" s="16" t="str">
        <f>IFERROR(__xludf.DUMMYFUNCTION(""""""""" &amp; REGEXEXTRACT(B3995, ""/detail/([^/?]+)"") &amp; """""","""),"""cgkfhhagdgcjcjdkcbpohhhidlibblkn"",")</f>
        <v>"cgkfhhagdgcjcjdkcbpohhhidlibblkn",</v>
      </c>
    </row>
    <row r="3996">
      <c r="A3996" s="4" t="s">
        <v>23176</v>
      </c>
      <c r="B3996" s="4" t="s">
        <v>7961</v>
      </c>
      <c r="C3996" s="16" t="str">
        <f>IFERROR(__xludf.DUMMYFUNCTION(""""""""" &amp; REGEXEXTRACT(B3996, ""/detail/([^/?]+)"") &amp; """""","""),"""chgfefjpcobfbnpmiokfjjaglahmnded"",")</f>
        <v>"chgfefjpcobfbnpmiokfjjaglahmnded",</v>
      </c>
    </row>
    <row r="3997">
      <c r="A3997" s="4" t="s">
        <v>23177</v>
      </c>
      <c r="B3997" s="4" t="s">
        <v>7963</v>
      </c>
      <c r="C3997" s="16" t="str">
        <f>IFERROR(__xludf.DUMMYFUNCTION(""""""""" &amp; REGEXEXTRACT(B3997, ""/detail/([^/?]+)"") &amp; """""","""),"""cibdcahjafpbiaeailljelhpcjlmnlcm"",")</f>
        <v>"cibdcahjafpbiaeailljelhpcjlmnlcm",</v>
      </c>
    </row>
    <row r="3998">
      <c r="A3998" s="4" t="s">
        <v>23178</v>
      </c>
      <c r="B3998" s="4" t="s">
        <v>7965</v>
      </c>
      <c r="C3998" s="16" t="str">
        <f>IFERROR(__xludf.DUMMYFUNCTION(""""""""" &amp; REGEXEXTRACT(B3998, ""/detail/([^/?]+)"") &amp; """""","""),"""cicbejncjmbkbahiicbiflndmhbcgibk"",")</f>
        <v>"cicbejncjmbkbahiicbiflndmhbcgibk",</v>
      </c>
    </row>
    <row r="3999">
      <c r="A3999" s="4" t="s">
        <v>23179</v>
      </c>
      <c r="B3999" s="4" t="s">
        <v>7967</v>
      </c>
      <c r="C3999" s="16" t="str">
        <f>IFERROR(__xludf.DUMMYFUNCTION(""""""""" &amp; REGEXEXTRACT(B3999, ""/detail/([^/?]+)"") &amp; """""","""),"""ciddpbgegdenbmddmmpiiebnnnafapma"",")</f>
        <v>"ciddpbgegdenbmddmmpiiebnnnafapma",</v>
      </c>
    </row>
    <row r="4000">
      <c r="A4000" s="4" t="s">
        <v>23180</v>
      </c>
      <c r="B4000" s="4" t="s">
        <v>7969</v>
      </c>
      <c r="C4000" s="16" t="str">
        <f>IFERROR(__xludf.DUMMYFUNCTION(""""""""" &amp; REGEXEXTRACT(B4000, ""/detail/([^/?]+)"") &amp; """""","""),"""cjdbebokopcgdhcefeijjdgfampgeejg"",")</f>
        <v>"cjdbebokopcgdhcefeijjdgfampgeejg",</v>
      </c>
    </row>
    <row r="4001">
      <c r="A4001" s="4" t="s">
        <v>23181</v>
      </c>
      <c r="B4001" s="4" t="s">
        <v>7971</v>
      </c>
      <c r="C4001" s="16" t="str">
        <f>IFERROR(__xludf.DUMMYFUNCTION(""""""""" &amp; REGEXEXTRACT(B4001, ""/detail/([^/?]+)"") &amp; """""","""),"""cjdnohlmolgcpdfgkbfgjakihnoddmfl"",")</f>
        <v>"cjdnohlmolgcpdfgkbfgjakihnoddmfl",</v>
      </c>
    </row>
    <row r="4002">
      <c r="A4002" s="4" t="s">
        <v>23182</v>
      </c>
      <c r="B4002" s="4" t="s">
        <v>7973</v>
      </c>
      <c r="C4002" s="16" t="str">
        <f>IFERROR(__xludf.DUMMYFUNCTION(""""""""" &amp; REGEXEXTRACT(B4002, ""/detail/([^/?]+)"") &amp; """""","""),"""cjeloakegabdmhnaiiakflnhnmpdlpbp"",")</f>
        <v>"cjeloakegabdmhnaiiakflnhnmpdlpbp",</v>
      </c>
    </row>
    <row r="4003">
      <c r="A4003" s="4" t="s">
        <v>23183</v>
      </c>
      <c r="B4003" s="4" t="s">
        <v>7975</v>
      </c>
      <c r="C4003" s="16" t="str">
        <f>IFERROR(__xludf.DUMMYFUNCTION(""""""""" &amp; REGEXEXTRACT(B4003, ""/detail/([^/?]+)"") &amp; """""","""),"""cjfeohjffkdehdblcolicjhhnbphcmna"",")</f>
        <v>"cjfeohjffkdehdblcolicjhhnbphcmna",</v>
      </c>
    </row>
    <row r="4004">
      <c r="A4004" s="4" t="s">
        <v>23184</v>
      </c>
      <c r="B4004" s="4" t="s">
        <v>7977</v>
      </c>
      <c r="C4004" s="16" t="str">
        <f>IFERROR(__xludf.DUMMYFUNCTION(""""""""" &amp; REGEXEXTRACT(B4004, ""/detail/([^/?]+)"") &amp; """""","""),"""cjgphmckkkgnlkbdaellanfoajipefnd"",")</f>
        <v>"cjgphmckkkgnlkbdaellanfoajipefnd",</v>
      </c>
    </row>
    <row r="4005">
      <c r="A4005" s="4" t="s">
        <v>23185</v>
      </c>
      <c r="B4005" s="4" t="s">
        <v>7979</v>
      </c>
      <c r="C4005" s="16" t="str">
        <f>IFERROR(__xludf.DUMMYFUNCTION(""""""""" &amp; REGEXEXTRACT(B4005, ""/detail/([^/?]+)"") &amp; """""","""),"""cjkpjplnmflmkmhilpllfbnpngikigbl"",")</f>
        <v>"cjkpjplnmflmkmhilpllfbnpngikigbl",</v>
      </c>
    </row>
    <row r="4006">
      <c r="A4006" s="4" t="s">
        <v>23186</v>
      </c>
      <c r="B4006" s="4" t="s">
        <v>7981</v>
      </c>
      <c r="C4006" s="16" t="str">
        <f>IFERROR(__xludf.DUMMYFUNCTION(""""""""" &amp; REGEXEXTRACT(B4006, ""/detail/([^/?]+)"") &amp; """""","""),"""ckfnddafphjahhiadjogilncdegmbpkm"",")</f>
        <v>"ckfnddafphjahhiadjogilncdegmbpkm",</v>
      </c>
    </row>
    <row r="4007">
      <c r="A4007" s="4" t="s">
        <v>23187</v>
      </c>
      <c r="B4007" s="4" t="s">
        <v>7983</v>
      </c>
      <c r="C4007" s="16" t="str">
        <f>IFERROR(__xludf.DUMMYFUNCTION(""""""""" &amp; REGEXEXTRACT(B4007, ""/detail/([^/?]+)"") &amp; """""","""),"""ckgbnjpcijhjpfnecakkeobeohelllod"",")</f>
        <v>"ckgbnjpcijhjpfnecakkeobeohelllod",</v>
      </c>
    </row>
    <row r="4008">
      <c r="A4008" s="4" t="s">
        <v>23188</v>
      </c>
      <c r="B4008" s="4" t="s">
        <v>7985</v>
      </c>
      <c r="C4008" s="16" t="str">
        <f>IFERROR(__xludf.DUMMYFUNCTION(""""""""" &amp; REGEXEXTRACT(B4008, ""/detail/([^/?]+)"") &amp; """""","""),"""ckkjfkemnmgcbbejelimfpbjklfdampf"",")</f>
        <v>"ckkjfkemnmgcbbejelimfpbjklfdampf",</v>
      </c>
    </row>
    <row r="4009">
      <c r="A4009" s="4" t="s">
        <v>23189</v>
      </c>
      <c r="B4009" s="4" t="s">
        <v>7987</v>
      </c>
      <c r="C4009" s="16" t="str">
        <f>IFERROR(__xludf.DUMMYFUNCTION(""""""""" &amp; REGEXEXTRACT(B4009, ""/detail/([^/?]+)"") &amp; """""","""),"""clacogadedfjdojijncmiblblcikgpci"",")</f>
        <v>"clacogadedfjdojijncmiblblcikgpci",</v>
      </c>
    </row>
    <row r="4010">
      <c r="A4010" s="4" t="s">
        <v>23190</v>
      </c>
      <c r="B4010" s="4" t="s">
        <v>7989</v>
      </c>
      <c r="C4010" s="16" t="str">
        <f>IFERROR(__xludf.DUMMYFUNCTION(""""""""" &amp; REGEXEXTRACT(B4010, ""/detail/([^/?]+)"") &amp; """""","""),"""clallboofkppmmmhdbjhamfhlhpchbij"",")</f>
        <v>"clallboofkppmmmhdbjhamfhlhpchbij",</v>
      </c>
    </row>
    <row r="4011">
      <c r="A4011" s="4" t="s">
        <v>23191</v>
      </c>
      <c r="B4011" s="4" t="s">
        <v>7991</v>
      </c>
      <c r="C4011" s="16" t="str">
        <f>IFERROR(__xludf.DUMMYFUNCTION(""""""""" &amp; REGEXEXTRACT(B4011, ""/detail/([^/?]+)"") &amp; """""","""),"""clcdbeolcdigfefgbhlgghepjfkpdlgi"",")</f>
        <v>"clcdbeolcdigfefgbhlgghepjfkpdlgi",</v>
      </c>
    </row>
    <row r="4012">
      <c r="A4012" s="4" t="s">
        <v>23192</v>
      </c>
      <c r="B4012" s="4" t="s">
        <v>7993</v>
      </c>
      <c r="C4012" s="16" t="str">
        <f>IFERROR(__xludf.DUMMYFUNCTION(""""""""" &amp; REGEXEXTRACT(B4012, ""/detail/([^/?]+)"") &amp; """""","""),"""clhjalfedcigiomjfmmjhgadnlmegobb"",")</f>
        <v>"clhjalfedcigiomjfmmjhgadnlmegobb",</v>
      </c>
    </row>
    <row r="4013">
      <c r="A4013" s="4" t="s">
        <v>23193</v>
      </c>
      <c r="B4013" s="4" t="s">
        <v>7995</v>
      </c>
      <c r="C4013" s="16" t="str">
        <f>IFERROR(__xludf.DUMMYFUNCTION(""""""""" &amp; REGEXEXTRACT(B4013, ""/detail/([^/?]+)"") &amp; """""","""),"""clldjfcbckgjalddckiaeifojelabbng"",")</f>
        <v>"clldjfcbckgjalddckiaeifojelabbng",</v>
      </c>
    </row>
    <row r="4014">
      <c r="A4014" s="4" t="s">
        <v>23194</v>
      </c>
      <c r="B4014" s="4" t="s">
        <v>7997</v>
      </c>
      <c r="C4014" s="16" t="str">
        <f>IFERROR(__xludf.DUMMYFUNCTION(""""""""" &amp; REGEXEXTRACT(B4014, ""/detail/([^/?]+)"") &amp; """""","""),"""clpnhenadbibdbfendahnlakkcpocmej"",")</f>
        <v>"clpnhenadbibdbfendahnlakkcpocmej",</v>
      </c>
    </row>
    <row r="4015">
      <c r="A4015" s="4" t="s">
        <v>23195</v>
      </c>
      <c r="B4015" s="4" t="s">
        <v>7999</v>
      </c>
      <c r="C4015" s="16" t="str">
        <f>IFERROR(__xludf.DUMMYFUNCTION(""""""""" &amp; REGEXEXTRACT(B4015, ""/detail/([^/?]+)"") &amp; """""","""),"""cmdpfacmlgednonhndniedecknojeaeb"",")</f>
        <v>"cmdpfacmlgednonhndniedecknojeaeb",</v>
      </c>
    </row>
    <row r="4016">
      <c r="A4016" s="4" t="s">
        <v>23196</v>
      </c>
      <c r="B4016" s="4" t="s">
        <v>8001</v>
      </c>
      <c r="C4016" s="16" t="str">
        <f>IFERROR(__xludf.DUMMYFUNCTION(""""""""" &amp; REGEXEXTRACT(B4016, ""/detail/([^/?]+)"") &amp; """""","""),"""cmldlhgkbcdnjfpckeeajjmnkjdfjlik"",")</f>
        <v>"cmldlhgkbcdnjfpckeeajjmnkjdfjlik",</v>
      </c>
    </row>
    <row r="4017">
      <c r="A4017" s="4" t="s">
        <v>23197</v>
      </c>
      <c r="B4017" s="4" t="s">
        <v>8003</v>
      </c>
      <c r="C4017" s="16" t="str">
        <f>IFERROR(__xludf.DUMMYFUNCTION(""""""""" &amp; REGEXEXTRACT(B4017, ""/detail/([^/?]+)"") &amp; """""","""),"""cnckgkigmhklfcknfmcmjhocdmihafaj"",")</f>
        <v>"cnckgkigmhklfcknfmcmjhocdmihafaj",</v>
      </c>
    </row>
    <row r="4018">
      <c r="A4018" s="4" t="s">
        <v>23198</v>
      </c>
      <c r="B4018" s="4" t="s">
        <v>8005</v>
      </c>
      <c r="C4018" s="16" t="str">
        <f>IFERROR(__xludf.DUMMYFUNCTION(""""""""" &amp; REGEXEXTRACT(B4018, ""/detail/([^/?]+)"") &amp; """""","""),"""cnmkiolbnmjlhdkabcgobbgdomhhdnho"",")</f>
        <v>"cnmkiolbnmjlhdkabcgobbgdomhhdnho",</v>
      </c>
    </row>
    <row r="4019">
      <c r="A4019" s="4" t="s">
        <v>23199</v>
      </c>
      <c r="B4019" s="4" t="s">
        <v>8007</v>
      </c>
      <c r="C4019" s="16" t="str">
        <f>IFERROR(__xludf.DUMMYFUNCTION(""""""""" &amp; REGEXEXTRACT(B4019, ""/detail/([^/?]+)"") &amp; """""","""),"""cnolacpkiokbppmgagjlfhllielebabb"",")</f>
        <v>"cnolacpkiokbppmgagjlfhllielebabb",</v>
      </c>
    </row>
    <row r="4020">
      <c r="A4020" s="4" t="s">
        <v>23200</v>
      </c>
      <c r="B4020" s="4" t="s">
        <v>8009</v>
      </c>
      <c r="C4020" s="16" t="str">
        <f>IFERROR(__xludf.DUMMYFUNCTION(""""""""" &amp; REGEXEXTRACT(B4020, ""/detail/([^/?]+)"") &amp; """""","""),"""codnaoknigbmllnohbnplkofjalolake"",")</f>
        <v>"codnaoknigbmllnohbnplkofjalolake",</v>
      </c>
    </row>
    <row r="4021">
      <c r="A4021" s="4" t="s">
        <v>23201</v>
      </c>
      <c r="B4021" s="4" t="s">
        <v>8011</v>
      </c>
      <c r="C4021" s="16" t="str">
        <f>IFERROR(__xludf.DUMMYFUNCTION(""""""""" &amp; REGEXEXTRACT(B4021, ""/detail/([^/?]+)"") &amp; """""","""),"""comcoiiifldaaejpbgbincdkoohihbae"",")</f>
        <v>"comcoiiifldaaejpbgbincdkoohihbae",</v>
      </c>
    </row>
    <row r="4022">
      <c r="A4022" s="10" t="s">
        <v>23202</v>
      </c>
      <c r="B4022" s="4" t="s">
        <v>8013</v>
      </c>
      <c r="C4022" s="16" t="str">
        <f>IFERROR(__xludf.DUMMYFUNCTION(""""""""" &amp; REGEXEXTRACT(B4022, ""/detail/([^/?]+)"") &amp; """""","""),"""cpcignakeijfoeckijgbilaccoecmdic"",")</f>
        <v>"cpcignakeijfoeckijgbilaccoecmdic",</v>
      </c>
    </row>
    <row r="4023">
      <c r="A4023" s="4" t="s">
        <v>23203</v>
      </c>
      <c r="B4023" s="4" t="s">
        <v>8015</v>
      </c>
      <c r="C4023" s="16" t="str">
        <f>IFERROR(__xludf.DUMMYFUNCTION(""""""""" &amp; REGEXEXTRACT(B4023, ""/detail/([^/?]+)"") &amp; """""","""),"""cpfpnjcjglagplmgdalpgldhpaegnimb"",")</f>
        <v>"cpfpnjcjglagplmgdalpgldhpaegnimb",</v>
      </c>
    </row>
    <row r="4024">
      <c r="A4024" s="4" t="s">
        <v>23204</v>
      </c>
      <c r="B4024" s="4" t="s">
        <v>8017</v>
      </c>
      <c r="C4024" s="16" t="str">
        <f>IFERROR(__xludf.DUMMYFUNCTION(""""""""" &amp; REGEXEXTRACT(B4024, ""/detail/([^/?]+)"") &amp; """""","""),"""cpgbdfpoaalclikhghccccakifaoboam"",")</f>
        <v>"cpgbdfpoaalclikhghccccakifaoboam",</v>
      </c>
    </row>
    <row r="4025">
      <c r="A4025" s="4" t="s">
        <v>23205</v>
      </c>
      <c r="B4025" s="4" t="s">
        <v>8019</v>
      </c>
      <c r="C4025" s="16" t="str">
        <f>IFERROR(__xludf.DUMMYFUNCTION(""""""""" &amp; REGEXEXTRACT(B4025, ""/detail/([^/?]+)"") &amp; """""","""),"""cpgkjdokbgpdjgcfamoncohnfkldnglj"",")</f>
        <v>"cpgkjdokbgpdjgcfamoncohnfkldnglj",</v>
      </c>
    </row>
    <row r="4026">
      <c r="A4026" s="4" t="s">
        <v>23206</v>
      </c>
      <c r="B4026" s="4" t="s">
        <v>8021</v>
      </c>
      <c r="C4026" s="16" t="str">
        <f>IFERROR(__xludf.DUMMYFUNCTION(""""""""" &amp; REGEXEXTRACT(B4026, ""/detail/([^/?]+)"") &amp; """""","""),"""cpimjbpbkpggeiicmehlcnmdoecmfane"",")</f>
        <v>"cpimjbpbkpggeiicmehlcnmdoecmfane",</v>
      </c>
    </row>
    <row r="4027">
      <c r="A4027" s="4" t="s">
        <v>23207</v>
      </c>
      <c r="B4027" s="4" t="s">
        <v>8023</v>
      </c>
      <c r="C4027" s="16" t="str">
        <f>IFERROR(__xludf.DUMMYFUNCTION(""""""""" &amp; REGEXEXTRACT(B4027, ""/detail/([^/?]+)"") &amp; """""","""),"""cpinnkgbfohodioinipjdhehnihbgeph"",")</f>
        <v>"cpinnkgbfohodioinipjdhehnihbgeph",</v>
      </c>
    </row>
    <row r="4028">
      <c r="A4028" s="4" t="s">
        <v>23208</v>
      </c>
      <c r="B4028" s="4" t="s">
        <v>8025</v>
      </c>
      <c r="C4028" s="16" t="str">
        <f>IFERROR(__xludf.DUMMYFUNCTION(""""""""" &amp; REGEXEXTRACT(B4028, ""/detail/([^/?]+)"") &amp; """""","""),"""cpjkopihdcgpngcchfhgncmaklfpnemm"",")</f>
        <v>"cpjkopihdcgpngcchfhgncmaklfpnemm",</v>
      </c>
    </row>
    <row r="4029">
      <c r="A4029" s="4" t="s">
        <v>23209</v>
      </c>
      <c r="B4029" s="4" t="s">
        <v>8027</v>
      </c>
      <c r="C4029" s="16" t="str">
        <f>IFERROR(__xludf.DUMMYFUNCTION(""""""""" &amp; REGEXEXTRACT(B4029, ""/detail/([^/?]+)"") &amp; """""","""),"""cplpgnoppkbccmlenoljnonjnepkcied"",")</f>
        <v>"cplpgnoppkbccmlenoljnonjnepkcied",</v>
      </c>
    </row>
    <row r="4030">
      <c r="A4030" s="4" t="s">
        <v>23210</v>
      </c>
      <c r="B4030" s="4" t="s">
        <v>8029</v>
      </c>
      <c r="C4030" s="16" t="str">
        <f>IFERROR(__xludf.DUMMYFUNCTION(""""""""" &amp; REGEXEXTRACT(B4030, ""/detail/([^/?]+)"") &amp; """""","""),"""daalkhgbfbieaefapmogolgaflalmijb"",")</f>
        <v>"daalkhgbfbieaefapmogolgaflalmijb",</v>
      </c>
    </row>
    <row r="4031">
      <c r="A4031" s="4" t="s">
        <v>23211</v>
      </c>
      <c r="B4031" s="4" t="s">
        <v>8031</v>
      </c>
      <c r="C4031" s="16" t="str">
        <f>IFERROR(__xludf.DUMMYFUNCTION(""""""""" &amp; REGEXEXTRACT(B4031, ""/detail/([^/?]+)"") &amp; """""","""),"""daeohababjfejibmakahfcffpjdhhanc"",")</f>
        <v>"daeohababjfejibmakahfcffpjdhhanc",</v>
      </c>
    </row>
    <row r="4032">
      <c r="A4032" s="4" t="s">
        <v>23212</v>
      </c>
      <c r="B4032" s="4" t="s">
        <v>8033</v>
      </c>
      <c r="C4032" s="16" t="str">
        <f>IFERROR(__xludf.DUMMYFUNCTION(""""""""" &amp; REGEXEXTRACT(B4032, ""/detail/([^/?]+)"") &amp; """""","""),"""daggnkohkdopbfmkjhcbcnjfkkilmbaa"",")</f>
        <v>"daggnkohkdopbfmkjhcbcnjfkkilmbaa",</v>
      </c>
    </row>
    <row r="4033">
      <c r="A4033" s="4" t="s">
        <v>23213</v>
      </c>
      <c r="B4033" s="4" t="s">
        <v>8035</v>
      </c>
      <c r="C4033" s="16" t="str">
        <f>IFERROR(__xludf.DUMMYFUNCTION(""""""""" &amp; REGEXEXTRACT(B4033, ""/detail/([^/?]+)"") &amp; """""","""),"""daldfnbbgabpcbkkccaooijdpmgnjemh"",")</f>
        <v>"daldfnbbgabpcbkkccaooijdpmgnjemh",</v>
      </c>
    </row>
    <row r="4034">
      <c r="A4034" s="4" t="s">
        <v>23214</v>
      </c>
      <c r="B4034" s="4" t="s">
        <v>8037</v>
      </c>
      <c r="C4034" s="16" t="str">
        <f>IFERROR(__xludf.DUMMYFUNCTION(""""""""" &amp; REGEXEXTRACT(B4034, ""/detail/([^/?]+)"") &amp; """""","""),"""dandckbjghfejnhmnhloigndkeabdbbo"",")</f>
        <v>"dandckbjghfejnhmnhloigndkeabdbbo",</v>
      </c>
    </row>
    <row r="4035">
      <c r="A4035" s="4" t="s">
        <v>23215</v>
      </c>
      <c r="B4035" s="4" t="s">
        <v>8039</v>
      </c>
      <c r="C4035" s="16" t="str">
        <f>IFERROR(__xludf.DUMMYFUNCTION(""""""""" &amp; REGEXEXTRACT(B4035, ""/detail/([^/?]+)"") &amp; """""","""),"""dbeabmlhamomaaplbgkkpcoapajejnpn"",")</f>
        <v>"dbeabmlhamomaaplbgkkpcoapajejnpn",</v>
      </c>
    </row>
    <row r="4036">
      <c r="A4036" s="4" t="s">
        <v>23216</v>
      </c>
      <c r="B4036" s="4" t="s">
        <v>8041</v>
      </c>
      <c r="C4036" s="16" t="str">
        <f>IFERROR(__xludf.DUMMYFUNCTION(""""""""" &amp; REGEXEXTRACT(B4036, ""/detail/([^/?]+)"") &amp; """""","""),"""dbiilmhbpifcgcpikjfagempfijhfpgd"",")</f>
        <v>"dbiilmhbpifcgcpikjfagempfijhfpgd",</v>
      </c>
    </row>
    <row r="4037">
      <c r="A4037" s="4" t="s">
        <v>23217</v>
      </c>
      <c r="B4037" s="4" t="s">
        <v>8043</v>
      </c>
      <c r="C4037" s="16" t="str">
        <f>IFERROR(__xludf.DUMMYFUNCTION(""""""""" &amp; REGEXEXTRACT(B4037, ""/detail/([^/?]+)"") &amp; """""","""),"""dbkgglbefgkimiadfjmgnkjmaoahephg"",")</f>
        <v>"dbkgglbefgkimiadfjmgnkjmaoahephg",</v>
      </c>
    </row>
    <row r="4038">
      <c r="A4038" s="4" t="s">
        <v>23218</v>
      </c>
      <c r="B4038" s="4" t="s">
        <v>8045</v>
      </c>
      <c r="C4038" s="16" t="str">
        <f>IFERROR(__xludf.DUMMYFUNCTION(""""""""" &amp; REGEXEXTRACT(B4038, ""/detail/([^/?]+)"") &amp; """""","""),"""dbmfpajkdniocdhakblcepdkjbjgjllh"",")</f>
        <v>"dbmfpajkdniocdhakblcepdkjbjgjllh",</v>
      </c>
    </row>
    <row r="4039">
      <c r="A4039" s="4" t="s">
        <v>23219</v>
      </c>
      <c r="B4039" s="4" t="s">
        <v>8047</v>
      </c>
      <c r="C4039" s="16" t="str">
        <f>IFERROR(__xludf.DUMMYFUNCTION(""""""""" &amp; REGEXEXTRACT(B4039, ""/detail/([^/?]+)"") &amp; """""","""),"""dbmihiknkegbclhljngmibcfmdfolifk"",")</f>
        <v>"dbmihiknkegbclhljngmibcfmdfolifk",</v>
      </c>
    </row>
    <row r="4040">
      <c r="A4040" s="4" t="s">
        <v>23220</v>
      </c>
      <c r="B4040" s="4" t="s">
        <v>8049</v>
      </c>
      <c r="C4040" s="16" t="str">
        <f>IFERROR(__xludf.DUMMYFUNCTION(""""""""" &amp; REGEXEXTRACT(B4040, ""/detail/([^/?]+)"") &amp; """""","""),"""dcpagcgkpeflhhampddilklcnjdjlmlb"",")</f>
        <v>"dcpagcgkpeflhhampddilklcnjdjlmlb",</v>
      </c>
    </row>
    <row r="4041">
      <c r="A4041" s="4" t="s">
        <v>23221</v>
      </c>
      <c r="B4041" s="4" t="s">
        <v>8051</v>
      </c>
      <c r="C4041" s="16" t="str">
        <f>IFERROR(__xludf.DUMMYFUNCTION(""""""""" &amp; REGEXEXTRACT(B4041, ""/detail/([^/?]+)"") &amp; """""","""),"""ddaknggefjjgpnlhiejepbiplceedmfl"",")</f>
        <v>"ddaknggefjjgpnlhiejepbiplceedmfl",</v>
      </c>
    </row>
    <row r="4042">
      <c r="A4042" s="4" t="s">
        <v>23222</v>
      </c>
      <c r="B4042" s="4" t="s">
        <v>8053</v>
      </c>
      <c r="C4042" s="16" t="str">
        <f>IFERROR(__xludf.DUMMYFUNCTION(""""""""" &amp; REGEXEXTRACT(B4042, ""/detail/([^/?]+)"") &amp; """""","""),"""dddgjgcemjgkhgeekbooigaiilbklkbm"",")</f>
        <v>"dddgjgcemjgkhgeekbooigaiilbklkbm",</v>
      </c>
    </row>
    <row r="4043">
      <c r="A4043" s="4" t="s">
        <v>23223</v>
      </c>
      <c r="B4043" s="4" t="s">
        <v>8055</v>
      </c>
      <c r="C4043" s="16" t="str">
        <f>IFERROR(__xludf.DUMMYFUNCTION(""""""""" &amp; REGEXEXTRACT(B4043, ""/detail/([^/?]+)"") &amp; """""","""),"""ddejlbfddlhkoaomiocpbjmpnjkbcnkj"",")</f>
        <v>"ddejlbfddlhkoaomiocpbjmpnjkbcnkj",</v>
      </c>
    </row>
    <row r="4044">
      <c r="A4044" s="4" t="s">
        <v>23224</v>
      </c>
      <c r="B4044" s="4" t="s">
        <v>8057</v>
      </c>
      <c r="C4044" s="16" t="str">
        <f>IFERROR(__xludf.DUMMYFUNCTION(""""""""" &amp; REGEXEXTRACT(B4044, ""/detail/([^/?]+)"") &amp; """""","""),"""ddhigekdfabonefhiildaiccafacphgg"",")</f>
        <v>"ddhigekdfabonefhiildaiccafacphgg",</v>
      </c>
    </row>
    <row r="4045">
      <c r="A4045" s="4" t="s">
        <v>23225</v>
      </c>
      <c r="B4045" s="4" t="s">
        <v>8059</v>
      </c>
      <c r="C4045" s="16" t="str">
        <f>IFERROR(__xludf.DUMMYFUNCTION(""""""""" &amp; REGEXEXTRACT(B4045, ""/detail/([^/?]+)"") &amp; """""","""),"""ddibjepofbeacmjfabjiagcgihdmbcgp"",")</f>
        <v>"ddibjepofbeacmjfabjiagcgihdmbcgp",</v>
      </c>
    </row>
    <row r="4046">
      <c r="A4046" s="4" t="s">
        <v>23226</v>
      </c>
      <c r="B4046" s="4" t="s">
        <v>8061</v>
      </c>
      <c r="C4046" s="16" t="str">
        <f>IFERROR(__xludf.DUMMYFUNCTION(""""""""" &amp; REGEXEXTRACT(B4046, ""/detail/([^/?]+)"") &amp; """""","""),"""deelocceageedapbhbdepkcpdmlmoeog"",")</f>
        <v>"deelocceageedapbhbdepkcpdmlmoeog",</v>
      </c>
    </row>
    <row r="4047">
      <c r="A4047" s="4" t="s">
        <v>23227</v>
      </c>
      <c r="B4047" s="4" t="s">
        <v>8063</v>
      </c>
      <c r="C4047" s="16" t="str">
        <f>IFERROR(__xludf.DUMMYFUNCTION(""""""""" &amp; REGEXEXTRACT(B4047, ""/detail/([^/?]+)"") &amp; """""","""),"""definofoeccggpjeifncfpnpneheolob"",")</f>
        <v>"definofoeccggpjeifncfpnpneheolob",</v>
      </c>
    </row>
    <row r="4048">
      <c r="A4048" s="4" t="s">
        <v>23228</v>
      </c>
      <c r="B4048" s="4" t="s">
        <v>8065</v>
      </c>
      <c r="C4048" s="16" t="str">
        <f>IFERROR(__xludf.DUMMYFUNCTION(""""""""" &amp; REGEXEXTRACT(B4048, ""/detail/([^/?]+)"") &amp; """""","""),"""demppioeofcekpjcnlkmdjbabifjnokj"",")</f>
        <v>"demppioeofcekpjcnlkmdjbabifjnokj",</v>
      </c>
    </row>
    <row r="4049">
      <c r="A4049" s="4" t="s">
        <v>23229</v>
      </c>
      <c r="B4049" s="4" t="s">
        <v>8067</v>
      </c>
      <c r="C4049" s="16" t="str">
        <f>IFERROR(__xludf.DUMMYFUNCTION(""""""""" &amp; REGEXEXTRACT(B4049, ""/detail/([^/?]+)"") &amp; """""","""),"""dfddfiedihbijfeacjamchlliogmjjnd"",")</f>
        <v>"dfddfiedihbijfeacjamchlliogmjjnd",</v>
      </c>
    </row>
    <row r="4050">
      <c r="A4050" s="4" t="s">
        <v>23230</v>
      </c>
      <c r="B4050" s="4" t="s">
        <v>8069</v>
      </c>
      <c r="C4050" s="16" t="str">
        <f>IFERROR(__xludf.DUMMYFUNCTION(""""""""" &amp; REGEXEXTRACT(B4050, ""/detail/([^/?]+)"") &amp; """""","""),"""dfgadilhanjabjcighkgbmchinneoade"",")</f>
        <v>"dfgadilhanjabjcighkgbmchinneoade",</v>
      </c>
    </row>
    <row r="4051">
      <c r="A4051" s="4" t="s">
        <v>23231</v>
      </c>
      <c r="B4051" s="4" t="s">
        <v>8071</v>
      </c>
      <c r="C4051" s="16" t="str">
        <f>IFERROR(__xludf.DUMMYFUNCTION(""""""""" &amp; REGEXEXTRACT(B4051, ""/detail/([^/?]+)"") &amp; """""","""),"""dfjcdiknbdbnfgecbkcaobgmeekinphg"",")</f>
        <v>"dfjcdiknbdbnfgecbkcaobgmeekinphg",</v>
      </c>
    </row>
    <row r="4052">
      <c r="A4052" s="4" t="s">
        <v>23232</v>
      </c>
      <c r="B4052" s="4" t="s">
        <v>8073</v>
      </c>
      <c r="C4052" s="16" t="str">
        <f>IFERROR(__xludf.DUMMYFUNCTION(""""""""" &amp; REGEXEXTRACT(B4052, ""/detail/([^/?]+)"") &amp; """""","""),"""dgdmemgbopknkilaegmgcldhhjbedkgi"",")</f>
        <v>"dgdmemgbopknkilaegmgcldhhjbedkgi",</v>
      </c>
    </row>
    <row r="4053">
      <c r="A4053" s="4" t="s">
        <v>23233</v>
      </c>
      <c r="B4053" s="4" t="s">
        <v>8075</v>
      </c>
      <c r="C4053" s="16" t="str">
        <f>IFERROR(__xludf.DUMMYFUNCTION(""""""""" &amp; REGEXEXTRACT(B4053, ""/detail/([^/?]+)"") &amp; """""","""),"""dgoicbnaoajknfnkijgjdelfdihpicie"",")</f>
        <v>"dgoicbnaoajknfnkijgjdelfdihpicie",</v>
      </c>
    </row>
    <row r="4054">
      <c r="A4054" s="4" t="s">
        <v>23234</v>
      </c>
      <c r="B4054" s="4" t="s">
        <v>8077</v>
      </c>
      <c r="C4054" s="16" t="str">
        <f>IFERROR(__xludf.DUMMYFUNCTION(""""""""" &amp; REGEXEXTRACT(B4054, ""/detail/([^/?]+)"") &amp; """""","""),"""dhadehfniifbmemochpmbofcjckpdnnl"",")</f>
        <v>"dhadehfniifbmemochpmbofcjckpdnnl",</v>
      </c>
    </row>
    <row r="4055">
      <c r="A4055" s="4" t="s">
        <v>23235</v>
      </c>
      <c r="B4055" s="4" t="s">
        <v>8079</v>
      </c>
      <c r="C4055" s="16" t="str">
        <f>IFERROR(__xludf.DUMMYFUNCTION(""""""""" &amp; REGEXEXTRACT(B4055, ""/detail/([^/?]+)"") &amp; """""","""),"""dhdpoembhlojpmehepeadblhglloobao"",")</f>
        <v>"dhdpoembhlojpmehepeadblhglloobao",</v>
      </c>
    </row>
    <row r="4056">
      <c r="A4056" s="4" t="s">
        <v>23236</v>
      </c>
      <c r="B4056" s="4" t="s">
        <v>8081</v>
      </c>
      <c r="C4056" s="16" t="str">
        <f>IFERROR(__xludf.DUMMYFUNCTION(""""""""" &amp; REGEXEXTRACT(B4056, ""/detail/([^/?]+)"") &amp; """""","""),"""dhiihpekdgggkglfppkmjjmnaigmnjao"",")</f>
        <v>"dhiihpekdgggkglfppkmjjmnaigmnjao",</v>
      </c>
    </row>
    <row r="4057">
      <c r="A4057" s="4" t="s">
        <v>23237</v>
      </c>
      <c r="B4057" s="4" t="s">
        <v>8083</v>
      </c>
      <c r="C4057" s="16" t="str">
        <f>IFERROR(__xludf.DUMMYFUNCTION(""""""""" &amp; REGEXEXTRACT(B4057, ""/detail/([^/?]+)"") &amp; """""","""),"""dhjcdlmklldodggmleehadpjephfgflc"",")</f>
        <v>"dhjcdlmklldodggmleehadpjephfgflc",</v>
      </c>
    </row>
    <row r="4058">
      <c r="A4058" s="4" t="s">
        <v>23238</v>
      </c>
      <c r="B4058" s="4" t="s">
        <v>8085</v>
      </c>
      <c r="C4058" s="16" t="str">
        <f>IFERROR(__xludf.DUMMYFUNCTION(""""""""" &amp; REGEXEXTRACT(B4058, ""/detail/([^/?]+)"") &amp; """""","""),"""dhofjndjaldhcofopckdffmeooiojeed"",")</f>
        <v>"dhofjndjaldhcofopckdffmeooiojeed",</v>
      </c>
    </row>
    <row r="4059">
      <c r="A4059" s="4" t="s">
        <v>23239</v>
      </c>
      <c r="B4059" s="4" t="s">
        <v>8086</v>
      </c>
      <c r="C4059" s="16" t="str">
        <f>IFERROR(__xludf.DUMMYFUNCTION(""""""""" &amp; REGEXEXTRACT(B4059, ""/detail/([^/?]+)"") &amp; """""","""),"""dibpjejofkkejnndlfjokflmnkekjkpn"",")</f>
        <v>"dibpjejofkkejnndlfjokflmnkekjkpn",</v>
      </c>
    </row>
    <row r="4060">
      <c r="A4060" s="4" t="s">
        <v>23240</v>
      </c>
      <c r="B4060" s="4" t="s">
        <v>8088</v>
      </c>
      <c r="C4060" s="16" t="str">
        <f>IFERROR(__xludf.DUMMYFUNCTION(""""""""" &amp; REGEXEXTRACT(B4060, ""/detail/([^/?]+)"") &amp; """""","""),"""diekiockdlleigoinkcjjkpnpapbkfbo"",")</f>
        <v>"diekiockdlleigoinkcjjkpnpapbkfbo",</v>
      </c>
    </row>
    <row r="4061">
      <c r="A4061" s="4" t="s">
        <v>23241</v>
      </c>
      <c r="B4061" s="4" t="s">
        <v>8090</v>
      </c>
      <c r="C4061" s="16" t="str">
        <f>IFERROR(__xludf.DUMMYFUNCTION(""""""""" &amp; REGEXEXTRACT(B4061, ""/detail/([^/?]+)"") &amp; """""","""),"""digkkigjfonpcmeioejbnnmljllcjjje"",")</f>
        <v>"digkkigjfonpcmeioejbnnmljllcjjje",</v>
      </c>
    </row>
    <row r="4062">
      <c r="A4062" s="4" t="s">
        <v>23242</v>
      </c>
      <c r="B4062" s="4" t="s">
        <v>8092</v>
      </c>
      <c r="C4062" s="16" t="str">
        <f>IFERROR(__xludf.DUMMYFUNCTION(""""""""" &amp; REGEXEXTRACT(B4062, ""/detail/([^/?]+)"") &amp; """""","""),"""dihokiangeioknmccpkiifdejhhempec"",")</f>
        <v>"dihokiangeioknmccpkiifdejhhempec",</v>
      </c>
    </row>
    <row r="4063">
      <c r="A4063" s="4" t="s">
        <v>23243</v>
      </c>
      <c r="B4063" s="4" t="s">
        <v>8094</v>
      </c>
      <c r="C4063" s="16" t="str">
        <f>IFERROR(__xludf.DUMMYFUNCTION(""""""""" &amp; REGEXEXTRACT(B4063, ""/detail/([^/?]+)"") &amp; """""","""),"""djcfppnajkeijjkplclmeiddkefeaiel"",")</f>
        <v>"djcfppnajkeijjkplclmeiddkefeaiel",</v>
      </c>
    </row>
    <row r="4064">
      <c r="A4064" s="4" t="s">
        <v>23244</v>
      </c>
      <c r="B4064" s="4" t="s">
        <v>8096</v>
      </c>
      <c r="C4064" s="16" t="str">
        <f>IFERROR(__xludf.DUMMYFUNCTION(""""""""" &amp; REGEXEXTRACT(B4064, ""/detail/([^/?]+)"") &amp; """""","""),"""djnbhcebgngagmioniajfhbldkoegcco"",")</f>
        <v>"djnbhcebgngagmioniajfhbldkoegcco",</v>
      </c>
    </row>
    <row r="4065">
      <c r="A4065" s="4" t="s">
        <v>23245</v>
      </c>
      <c r="B4065" s="4" t="s">
        <v>8098</v>
      </c>
      <c r="C4065" s="16" t="str">
        <f>IFERROR(__xludf.DUMMYFUNCTION(""""""""" &amp; REGEXEXTRACT(B4065, ""/detail/([^/?]+)"") &amp; """""","""),"""dkajnomnlpcpkekglpbbhcmmgljadopo"",")</f>
        <v>"dkajnomnlpcpkekglpbbhcmmgljadopo",</v>
      </c>
    </row>
    <row r="4066">
      <c r="A4066" s="4" t="s">
        <v>23246</v>
      </c>
      <c r="B4066" s="4" t="s">
        <v>8100</v>
      </c>
      <c r="C4066" s="16" t="str">
        <f>IFERROR(__xludf.DUMMYFUNCTION(""""""""" &amp; REGEXEXTRACT(B4066, ""/detail/([^/?]+)"") &amp; """""","""),"""dkbcljcbmgdplgkijcjljmkakkpkoppa"",")</f>
        <v>"dkbcljcbmgdplgkijcjljmkakkpkoppa",</v>
      </c>
    </row>
    <row r="4067">
      <c r="A4067" s="4" t="s">
        <v>23247</v>
      </c>
      <c r="B4067" s="4" t="s">
        <v>8102</v>
      </c>
      <c r="C4067" s="16" t="str">
        <f>IFERROR(__xludf.DUMMYFUNCTION(""""""""" &amp; REGEXEXTRACT(B4067, ""/detail/([^/?]+)"") &amp; """""","""),"""dkcgooalhicnkfdiaejibmfjcgoiflfg"",")</f>
        <v>"dkcgooalhicnkfdiaejibmfjcgoiflfg",</v>
      </c>
    </row>
    <row r="4068">
      <c r="A4068" s="4" t="s">
        <v>23248</v>
      </c>
      <c r="B4068" s="4" t="s">
        <v>8104</v>
      </c>
      <c r="C4068" s="16" t="str">
        <f>IFERROR(__xludf.DUMMYFUNCTION(""""""""" &amp; REGEXEXTRACT(B4068, ""/detail/([^/?]+)"") &amp; """""","""),"""dkehgapnhfhohfhalnnelmefnappjoao"",")</f>
        <v>"dkehgapnhfhohfhalnnelmefnappjoao",</v>
      </c>
    </row>
    <row r="4069">
      <c r="A4069" s="4" t="s">
        <v>23249</v>
      </c>
      <c r="B4069" s="4" t="s">
        <v>8106</v>
      </c>
      <c r="C4069" s="16" t="str">
        <f>IFERROR(__xludf.DUMMYFUNCTION(""""""""" &amp; REGEXEXTRACT(B4069, ""/detail/([^/?]+)"") &amp; """""","""),"""dknlbdfpbbcpeaammpkghhhpnffmlcfo"",")</f>
        <v>"dknlbdfpbbcpeaammpkghhhpnffmlcfo",</v>
      </c>
    </row>
    <row r="4070">
      <c r="A4070" s="4" t="s">
        <v>23250</v>
      </c>
      <c r="B4070" s="4" t="s">
        <v>8108</v>
      </c>
      <c r="C4070" s="16" t="str">
        <f>IFERROR(__xludf.DUMMYFUNCTION(""""""""" &amp; REGEXEXTRACT(B4070, ""/detail/([^/?]+)"") &amp; """""","""),"""dljlfapccfckgfilfmiabmeobpigiopn"",")</f>
        <v>"dljlfapccfckgfilfmiabmeobpigiopn",</v>
      </c>
    </row>
    <row r="4071">
      <c r="A4071" s="4" t="s">
        <v>23251</v>
      </c>
      <c r="B4071" s="4" t="s">
        <v>8110</v>
      </c>
      <c r="C4071" s="16" t="str">
        <f>IFERROR(__xludf.DUMMYFUNCTION(""""""""" &amp; REGEXEXTRACT(B4071, ""/detail/([^/?]+)"") &amp; """""","""),"""dmcddloohffhmjngiieikfifpfneadcc"",")</f>
        <v>"dmcddloohffhmjngiieikfifpfneadcc",</v>
      </c>
    </row>
    <row r="4072">
      <c r="A4072" s="4" t="s">
        <v>23252</v>
      </c>
      <c r="B4072" s="4" t="s">
        <v>8112</v>
      </c>
      <c r="C4072" s="16" t="str">
        <f>IFERROR(__xludf.DUMMYFUNCTION(""""""""" &amp; REGEXEXTRACT(B4072, ""/detail/([^/?]+)"") &amp; """""","""),"""dmgcigedmaojaebigkcedlehimkmcbnm"",")</f>
        <v>"dmgcigedmaojaebigkcedlehimkmcbnm",</v>
      </c>
    </row>
    <row r="4073">
      <c r="A4073" s="4" t="s">
        <v>23253</v>
      </c>
      <c r="B4073" s="4" t="s">
        <v>8114</v>
      </c>
      <c r="C4073" s="16" t="str">
        <f>IFERROR(__xludf.DUMMYFUNCTION(""""""""" &amp; REGEXEXTRACT(B4073, ""/detail/([^/?]+)"") &amp; """""","""),"""dmjngnlocikcdplcdhcglehjajmbdhlg"",")</f>
        <v>"dmjngnlocikcdplcdhcglehjajmbdhlg",</v>
      </c>
    </row>
    <row r="4074">
      <c r="A4074" s="4" t="s">
        <v>23254</v>
      </c>
      <c r="B4074" s="4" t="s">
        <v>8116</v>
      </c>
      <c r="C4074" s="16" t="str">
        <f>IFERROR(__xludf.DUMMYFUNCTION(""""""""" &amp; REGEXEXTRACT(B4074, ""/detail/([^/?]+)"") &amp; """""","""),"""dnabjecdalfmifnokifplpegmeglhibj"",")</f>
        <v>"dnabjecdalfmifnokifplpegmeglhibj",</v>
      </c>
    </row>
    <row r="4075">
      <c r="A4075" s="4" t="s">
        <v>23255</v>
      </c>
      <c r="B4075" s="4" t="s">
        <v>8118</v>
      </c>
      <c r="C4075" s="16" t="str">
        <f>IFERROR(__xludf.DUMMYFUNCTION(""""""""" &amp; REGEXEXTRACT(B4075, ""/detail/([^/?]+)"") &amp; """""","""),"""dncgmdhipopkicodhelghfikoceigocc"",")</f>
        <v>"dncgmdhipopkicodhelghfikoceigocc",</v>
      </c>
    </row>
    <row r="4076">
      <c r="A4076" s="4" t="s">
        <v>23256</v>
      </c>
      <c r="B4076" s="4" t="s">
        <v>8120</v>
      </c>
      <c r="C4076" s="16" t="str">
        <f>IFERROR(__xludf.DUMMYFUNCTION(""""""""" &amp; REGEXEXTRACT(B4076, ""/detail/([^/?]+)"") &amp; """""","""),"""dnhcjnckjcgahnbihokikcbojidglifm"",")</f>
        <v>"dnhcjnckjcgahnbihokikcbojidglifm",</v>
      </c>
    </row>
    <row r="4077">
      <c r="A4077" s="4" t="s">
        <v>23257</v>
      </c>
      <c r="B4077" s="4" t="s">
        <v>8122</v>
      </c>
      <c r="C4077" s="16" t="str">
        <f>IFERROR(__xludf.DUMMYFUNCTION(""""""""" &amp; REGEXEXTRACT(B4077, ""/detail/([^/?]+)"") &amp; """""","""),"""dnkhdiodfglfckibnfcjbgddcgjgkacd"",")</f>
        <v>"dnkhdiodfglfckibnfcjbgddcgjgkacd",</v>
      </c>
    </row>
    <row r="4078">
      <c r="A4078" s="4" t="s">
        <v>23258</v>
      </c>
      <c r="B4078" s="4" t="s">
        <v>8124</v>
      </c>
      <c r="C4078" s="16" t="str">
        <f>IFERROR(__xludf.DUMMYFUNCTION(""""""""" &amp; REGEXEXTRACT(B4078, ""/detail/([^/?]+)"") &amp; """""","""),"""dnklfkipoaighjnffggpfkkipenmkkon"",")</f>
        <v>"dnklfkipoaighjnffggpfkkipenmkkon",</v>
      </c>
    </row>
    <row r="4079">
      <c r="A4079" s="4" t="s">
        <v>23259</v>
      </c>
      <c r="B4079" s="4" t="s">
        <v>8126</v>
      </c>
      <c r="C4079" s="16" t="str">
        <f>IFERROR(__xludf.DUMMYFUNCTION(""""""""" &amp; REGEXEXTRACT(B4079, ""/detail/([^/?]+)"") &amp; """""","""),"""dnoagfebjndkhkabjkkoeeijnjpmbimj"",")</f>
        <v>"dnoagfebjndkhkabjkkoeeijnjpmbimj",</v>
      </c>
    </row>
    <row r="4080">
      <c r="A4080" s="4" t="s">
        <v>23260</v>
      </c>
      <c r="B4080" s="4" t="s">
        <v>8128</v>
      </c>
      <c r="C4080" s="16" t="str">
        <f>IFERROR(__xludf.DUMMYFUNCTION(""""""""" &amp; REGEXEXTRACT(B4080, ""/detail/([^/?]+)"") &amp; """""","""),"""dohpejgohngelepkpjhabhclphponoed"",")</f>
        <v>"dohpejgohngelepkpjhabhclphponoed",</v>
      </c>
    </row>
    <row r="4081">
      <c r="A4081" s="4" t="s">
        <v>23261</v>
      </c>
      <c r="B4081" s="4" t="s">
        <v>8130</v>
      </c>
      <c r="C4081" s="16" t="str">
        <f>IFERROR(__xludf.DUMMYFUNCTION(""""""""" &amp; REGEXEXTRACT(B4081, ""/detail/([^/?]+)"") &amp; """""","""),"""dophfdfbpjnlcdgdjhnmghollijdkmnc"",")</f>
        <v>"dophfdfbpjnlcdgdjhnmghollijdkmnc",</v>
      </c>
    </row>
    <row r="4082">
      <c r="A4082" s="4" t="s">
        <v>4373</v>
      </c>
      <c r="B4082" s="4" t="s">
        <v>8132</v>
      </c>
      <c r="C4082" s="16" t="str">
        <f>IFERROR(__xludf.DUMMYFUNCTION(""""""""" &amp; REGEXEXTRACT(B4082, ""/detail/([^/?]+)"") &amp; """""","""),"""dpcoeknimimkeoinpbccpmjoamdghijj"",")</f>
        <v>"dpcoeknimimkeoinpbccpmjoamdghijj",</v>
      </c>
    </row>
    <row r="4083">
      <c r="A4083" s="4" t="s">
        <v>23262</v>
      </c>
      <c r="B4083" s="4" t="s">
        <v>8134</v>
      </c>
      <c r="C4083" s="16" t="str">
        <f>IFERROR(__xludf.DUMMYFUNCTION(""""""""" &amp; REGEXEXTRACT(B4083, ""/detail/([^/?]+)"") &amp; """""","""),"""dphedhpnbojdegjcokghhfploeobobbc"",")</f>
        <v>"dphedhpnbojdegjcokghhfploeobobbc",</v>
      </c>
    </row>
    <row r="4084">
      <c r="A4084" s="4" t="s">
        <v>23263</v>
      </c>
      <c r="B4084" s="4" t="s">
        <v>8136</v>
      </c>
      <c r="C4084" s="16" t="str">
        <f>IFERROR(__xludf.DUMMYFUNCTION(""""""""" &amp; REGEXEXTRACT(B4084, ""/detail/([^/?]+)"") &amp; """""","""),"""dpiiekoiagfahpcdkallgdfajfccodel"",")</f>
        <v>"dpiiekoiagfahpcdkallgdfajfccodel",</v>
      </c>
    </row>
    <row r="4085">
      <c r="A4085" s="4" t="s">
        <v>23264</v>
      </c>
      <c r="B4085" s="4" t="s">
        <v>8138</v>
      </c>
      <c r="C4085" s="16" t="str">
        <f>IFERROR(__xludf.DUMMYFUNCTION(""""""""" &amp; REGEXEXTRACT(B4085, ""/detail/([^/?]+)"") &amp; """""","""),"""dpmpajcoehngpinlpdomdckhjbhflodh"",")</f>
        <v>"dpmpajcoehngpinlpdomdckhjbhflodh",</v>
      </c>
    </row>
    <row r="4086">
      <c r="A4086" s="4" t="s">
        <v>23265</v>
      </c>
      <c r="B4086" s="4" t="s">
        <v>8140</v>
      </c>
      <c r="C4086" s="16" t="str">
        <f>IFERROR(__xludf.DUMMYFUNCTION(""""""""" &amp; REGEXEXTRACT(B4086, ""/detail/([^/?]+)"") &amp; """""","""),"""eahphalndmiganhjibpfedaokkcpmjhn"",")</f>
        <v>"eahphalndmiganhjibpfedaokkcpmjhn",</v>
      </c>
    </row>
    <row r="4087">
      <c r="A4087" s="4" t="s">
        <v>23266</v>
      </c>
      <c r="B4087" s="4" t="s">
        <v>8142</v>
      </c>
      <c r="C4087" s="16" t="str">
        <f>IFERROR(__xludf.DUMMYFUNCTION(""""""""" &amp; REGEXEXTRACT(B4087, ""/detail/([^/?]+)"") &amp; """""","""),"""eajalplbgimhaodcnncciojhbpcogkan"",")</f>
        <v>"eajalplbgimhaodcnncciojhbpcogkan",</v>
      </c>
    </row>
    <row r="4088">
      <c r="A4088" s="4" t="s">
        <v>23267</v>
      </c>
      <c r="B4088" s="4" t="s">
        <v>8144</v>
      </c>
      <c r="C4088" s="16" t="str">
        <f>IFERROR(__xludf.DUMMYFUNCTION(""""""""" &amp; REGEXEXTRACT(B4088, ""/detail/([^/?]+)"") &amp; """""","""),"""ebckolanhdjilblnkcgcgifaikppnhba"",")</f>
        <v>"ebckolanhdjilblnkcgcgifaikppnhba",</v>
      </c>
    </row>
    <row r="4089">
      <c r="A4089" s="4" t="s">
        <v>23268</v>
      </c>
      <c r="B4089" s="4" t="s">
        <v>8146</v>
      </c>
      <c r="C4089" s="16" t="str">
        <f>IFERROR(__xludf.DUMMYFUNCTION(""""""""" &amp; REGEXEXTRACT(B4089, ""/detail/([^/?]+)"") &amp; """""","""),"""ebhapiodakbafkjhegnfcmohjccfedkm"",")</f>
        <v>"ebhapiodakbafkjhegnfcmohjccfedkm",</v>
      </c>
    </row>
    <row r="4090">
      <c r="A4090" s="4" t="s">
        <v>23269</v>
      </c>
      <c r="B4090" s="4" t="s">
        <v>8148</v>
      </c>
      <c r="C4090" s="16" t="str">
        <f>IFERROR(__xludf.DUMMYFUNCTION(""""""""" &amp; REGEXEXTRACT(B4090, ""/detail/([^/?]+)"") &amp; """""","""),"""ecdbnfkcfkokaclkaghkdaapaihiafcc"",")</f>
        <v>"ecdbnfkcfkokaclkaghkdaapaihiafcc",</v>
      </c>
    </row>
    <row r="4091">
      <c r="A4091" s="4" t="s">
        <v>23270</v>
      </c>
      <c r="B4091" s="4" t="s">
        <v>8150</v>
      </c>
      <c r="C4091" s="16" t="str">
        <f>IFERROR(__xludf.DUMMYFUNCTION(""""""""" &amp; REGEXEXTRACT(B4091, ""/detail/([^/?]+)"") &amp; """""","""),"""eciblbmhipceenpjandbgolgdndlbple"",")</f>
        <v>"eciblbmhipceenpjandbgolgdndlbple",</v>
      </c>
    </row>
    <row r="4092">
      <c r="A4092" s="4" t="s">
        <v>23271</v>
      </c>
      <c r="B4092" s="4" t="s">
        <v>8152</v>
      </c>
      <c r="C4092" s="16" t="str">
        <f>IFERROR(__xludf.DUMMYFUNCTION(""""""""" &amp; REGEXEXTRACT(B4092, ""/detail/([^/?]+)"") &amp; """""","""),"""ecmipeblhclmbklgalmpgilfonejhlgb"",")</f>
        <v>"ecmipeblhclmbklgalmpgilfonejhlgb",</v>
      </c>
    </row>
    <row r="4093">
      <c r="A4093" s="4" t="s">
        <v>23272</v>
      </c>
      <c r="B4093" s="4" t="s">
        <v>8154</v>
      </c>
      <c r="C4093" s="16" t="str">
        <f>IFERROR(__xludf.DUMMYFUNCTION(""""""""" &amp; REGEXEXTRACT(B4093, ""/detail/([^/?]+)"") &amp; """""","""),"""ecoofennebdojehcgmclnjdmillihhhm"",")</f>
        <v>"ecoofennebdojehcgmclnjdmillihhhm",</v>
      </c>
    </row>
    <row r="4094">
      <c r="A4094" s="4" t="s">
        <v>23273</v>
      </c>
      <c r="B4094" s="4" t="s">
        <v>8156</v>
      </c>
      <c r="C4094" s="16" t="str">
        <f>IFERROR(__xludf.DUMMYFUNCTION(""""""""" &amp; REGEXEXTRACT(B4094, ""/detail/([^/?]+)"") &amp; """""","""),"""edjhnplefifonpibnpeieioopodfloio"",")</f>
        <v>"edjhnplefifonpibnpeieioopodfloio",</v>
      </c>
    </row>
    <row r="4095">
      <c r="A4095" s="4" t="s">
        <v>23274</v>
      </c>
      <c r="B4095" s="4" t="s">
        <v>8158</v>
      </c>
      <c r="C4095" s="16" t="str">
        <f>IFERROR(__xludf.DUMMYFUNCTION(""""""""" &amp; REGEXEXTRACT(B4095, ""/detail/([^/?]+)"") &amp; """""","""),"""edpeidcfjfmepdgdjnodefckgdjbigem"",")</f>
        <v>"edpeidcfjfmepdgdjnodefckgdjbigem",</v>
      </c>
    </row>
    <row r="4096">
      <c r="A4096" s="4" t="s">
        <v>23275</v>
      </c>
      <c r="B4096" s="4" t="s">
        <v>8160</v>
      </c>
      <c r="C4096" s="16" t="str">
        <f>IFERROR(__xludf.DUMMYFUNCTION(""""""""" &amp; REGEXEXTRACT(B4096, ""/detail/([^/?]+)"") &amp; """""","""),"""eedcgdapkfgbfdknngcpiphmfifgonji"",")</f>
        <v>"eedcgdapkfgbfdknngcpiphmfifgonji",</v>
      </c>
    </row>
    <row r="4097">
      <c r="A4097" s="4" t="s">
        <v>23276</v>
      </c>
      <c r="B4097" s="4" t="s">
        <v>8162</v>
      </c>
      <c r="C4097" s="16" t="str">
        <f>IFERROR(__xludf.DUMMYFUNCTION(""""""""" &amp; REGEXEXTRACT(B4097, ""/detail/([^/?]+)"") &amp; """""","""),"""eehocaoejekpmecmfecdkpohdkgkmoee"",")</f>
        <v>"eehocaoejekpmecmfecdkpohdkgkmoee",</v>
      </c>
    </row>
    <row r="4098">
      <c r="A4098" s="4" t="s">
        <v>23277</v>
      </c>
      <c r="B4098" s="4" t="s">
        <v>8164</v>
      </c>
      <c r="C4098" s="16" t="str">
        <f>IFERROR(__xludf.DUMMYFUNCTION(""""""""" &amp; REGEXEXTRACT(B4098, ""/detail/([^/?]+)"") &amp; """""","""),"""eekjepfmcakinlecaaecodjgfphcanlf"",")</f>
        <v>"eekjepfmcakinlecaaecodjgfphcanlf",</v>
      </c>
    </row>
    <row r="4099">
      <c r="A4099" s="4" t="s">
        <v>23278</v>
      </c>
      <c r="B4099" s="4" t="s">
        <v>8166</v>
      </c>
      <c r="C4099" s="16" t="str">
        <f>IFERROR(__xludf.DUMMYFUNCTION(""""""""" &amp; REGEXEXTRACT(B4099, ""/detail/([^/?]+)"") &amp; """""","""),"""eepjjjjplcaiebldejkkfhlnmhpgceno"",")</f>
        <v>"eepjjjjplcaiebldejkkfhlnmhpgceno",</v>
      </c>
    </row>
    <row r="4100">
      <c r="A4100" s="4" t="s">
        <v>23279</v>
      </c>
      <c r="B4100" s="4" t="s">
        <v>8168</v>
      </c>
      <c r="C4100" s="16" t="str">
        <f>IFERROR(__xludf.DUMMYFUNCTION(""""""""" &amp; REGEXEXTRACT(B4100, ""/detail/([^/?]+)"") &amp; """""","""),"""effgonodledjnccmbmenpilimbhljahh"",")</f>
        <v>"effgonodledjnccmbmenpilimbhljahh",</v>
      </c>
    </row>
    <row r="4101">
      <c r="A4101" s="4" t="s">
        <v>23280</v>
      </c>
      <c r="B4101" s="4" t="s">
        <v>8170</v>
      </c>
      <c r="C4101" s="16" t="str">
        <f>IFERROR(__xludf.DUMMYFUNCTION(""""""""" &amp; REGEXEXTRACT(B4101, ""/detail/([^/?]+)"") &amp; """""","""),"""efndcbfgochdmkgjpinknmeakjfkgjlk"",")</f>
        <v>"efndcbfgochdmkgjpinknmeakjfkgjlk",</v>
      </c>
    </row>
    <row r="4102">
      <c r="A4102" s="4" t="s">
        <v>23281</v>
      </c>
      <c r="B4102" s="4" t="s">
        <v>8172</v>
      </c>
      <c r="C4102" s="16" t="str">
        <f>IFERROR(__xludf.DUMMYFUNCTION(""""""""" &amp; REGEXEXTRACT(B4102, ""/detail/([^/?]+)"") &amp; """""","""),"""eggggihfcaabljfpjiiaohloefmgejic"",")</f>
        <v>"eggggihfcaabljfpjiiaohloefmgejic",</v>
      </c>
    </row>
    <row r="4103">
      <c r="A4103" s="4" t="s">
        <v>23282</v>
      </c>
      <c r="B4103" s="4" t="s">
        <v>8174</v>
      </c>
      <c r="C4103" s="16" t="str">
        <f>IFERROR(__xludf.DUMMYFUNCTION(""""""""" &amp; REGEXEXTRACT(B4103, ""/detail/([^/?]+)"") &amp; """""","""),"""egoobjhmbpflgogbgbihhdeibdfnedii"",")</f>
        <v>"egoobjhmbpflgogbgbihhdeibdfnedii",</v>
      </c>
    </row>
    <row r="4104">
      <c r="A4104" s="4" t="s">
        <v>23283</v>
      </c>
      <c r="B4104" s="4" t="s">
        <v>8176</v>
      </c>
      <c r="C4104" s="16" t="str">
        <f>IFERROR(__xludf.DUMMYFUNCTION(""""""""" &amp; REGEXEXTRACT(B4104, ""/detail/([^/?]+)"") &amp; """""","""),"""egpjdkipkomnmjhjmdamaniclmdlobbo"",")</f>
        <v>"egpjdkipkomnmjhjmdamaniclmdlobbo",</v>
      </c>
    </row>
    <row r="4105">
      <c r="A4105" s="4" t="s">
        <v>23284</v>
      </c>
      <c r="B4105" s="4" t="s">
        <v>8178</v>
      </c>
      <c r="C4105" s="16" t="str">
        <f>IFERROR(__xludf.DUMMYFUNCTION(""""""""" &amp; REGEXEXTRACT(B4105, ""/detail/([^/?]+)"") &amp; """""","""),"""ehclemkhpcjoodjgdlnaoodjbbfjhihj"",")</f>
        <v>"ehclemkhpcjoodjgdlnaoodjbbfjhihj",</v>
      </c>
    </row>
    <row r="4106">
      <c r="A4106" s="4" t="s">
        <v>23285</v>
      </c>
      <c r="B4106" s="4" t="s">
        <v>8180</v>
      </c>
      <c r="C4106" s="16" t="str">
        <f>IFERROR(__xludf.DUMMYFUNCTION(""""""""" &amp; REGEXEXTRACT(B4106, ""/detail/([^/?]+)"") &amp; """""","""),"""ehgchfhpoohealbjenffnigbifaeacba"",")</f>
        <v>"ehgchfhpoohealbjenffnigbifaeacba",</v>
      </c>
    </row>
    <row r="4107">
      <c r="A4107" s="4" t="s">
        <v>23286</v>
      </c>
      <c r="B4107" s="4" t="s">
        <v>8182</v>
      </c>
      <c r="C4107" s="16" t="str">
        <f>IFERROR(__xludf.DUMMYFUNCTION(""""""""" &amp; REGEXEXTRACT(B4107, ""/detail/([^/?]+)"") &amp; """""","""),"""ehjicobhjldomnjicohkkejcgljecncf"",")</f>
        <v>"ehjicobhjldomnjicohkkejcgljecncf",</v>
      </c>
    </row>
    <row r="4108">
      <c r="A4108" s="4" t="s">
        <v>23287</v>
      </c>
      <c r="B4108" s="4" t="s">
        <v>8184</v>
      </c>
      <c r="C4108" s="16" t="str">
        <f>IFERROR(__xludf.DUMMYFUNCTION(""""""""" &amp; REGEXEXTRACT(B4108, ""/detail/([^/?]+)"") &amp; """""","""),"""ehmipebdmhlmikaopdfoinmcjhhfadlf"",")</f>
        <v>"ehmipebdmhlmikaopdfoinmcjhhfadlf",</v>
      </c>
    </row>
    <row r="4109">
      <c r="A4109" s="4" t="s">
        <v>23288</v>
      </c>
      <c r="B4109" s="4" t="s">
        <v>8186</v>
      </c>
      <c r="C4109" s="16" t="str">
        <f>IFERROR(__xludf.DUMMYFUNCTION(""""""""" &amp; REGEXEXTRACT(B4109, ""/detail/([^/?]+)"") &amp; """""","""),"""ehpgegjlegpdpjpffilhpgmmlgbhkbip"",")</f>
        <v>"ehpgegjlegpdpjpffilhpgmmlgbhkbip",</v>
      </c>
    </row>
    <row r="4110">
      <c r="A4110" s="4" t="s">
        <v>23289</v>
      </c>
      <c r="B4110" s="4" t="s">
        <v>8188</v>
      </c>
      <c r="C4110" s="16" t="str">
        <f>IFERROR(__xludf.DUMMYFUNCTION(""""""""" &amp; REGEXEXTRACT(B4110, ""/detail/([^/?]+)"") &amp; """""","""),"""eifgohhoabpigckfaodlcckgkoeijpio"",")</f>
        <v>"eifgohhoabpigckfaodlcckgkoeijpio",</v>
      </c>
    </row>
    <row r="4111">
      <c r="A4111" s="4" t="s">
        <v>23290</v>
      </c>
      <c r="B4111" s="4" t="s">
        <v>8190</v>
      </c>
      <c r="C4111" s="16" t="str">
        <f>IFERROR(__xludf.DUMMYFUNCTION(""""""""" &amp; REGEXEXTRACT(B4111, ""/detail/([^/?]+)"") &amp; """""","""),"""eifkfjbbngmilpppefdcnocfpdlaipal"",")</f>
        <v>"eifkfjbbngmilpppefdcnocfpdlaipal",</v>
      </c>
    </row>
    <row r="4112">
      <c r="A4112" s="4" t="s">
        <v>23291</v>
      </c>
      <c r="B4112" s="4" t="s">
        <v>8192</v>
      </c>
      <c r="C4112" s="16" t="str">
        <f>IFERROR(__xludf.DUMMYFUNCTION(""""""""" &amp; REGEXEXTRACT(B4112, ""/detail/([^/?]+)"") &amp; """""","""),"""eigojmmlmgigbldiclbpibmjnlbdpiaa"",")</f>
        <v>"eigojmmlmgigbldiclbpibmjnlbdpiaa",</v>
      </c>
    </row>
    <row r="4113">
      <c r="A4113" s="4" t="s">
        <v>23292</v>
      </c>
      <c r="B4113" s="4" t="s">
        <v>8194</v>
      </c>
      <c r="C4113" s="16" t="str">
        <f>IFERROR(__xludf.DUMMYFUNCTION(""""""""" &amp; REGEXEXTRACT(B4113, ""/detail/([^/?]+)"") &amp; """""","""),"""eiiilcdomkafolppehfkjdaflcblakml"",")</f>
        <v>"eiiilcdomkafolppehfkjdaflcblakml",</v>
      </c>
    </row>
    <row r="4114">
      <c r="A4114" s="4" t="s">
        <v>23293</v>
      </c>
      <c r="B4114" s="4" t="s">
        <v>8196</v>
      </c>
      <c r="C4114" s="16" t="str">
        <f>IFERROR(__xludf.DUMMYFUNCTION(""""""""" &amp; REGEXEXTRACT(B4114, ""/detail/([^/?]+)"") &amp; """""","""),"""ejadepcppnegmgmndhbhpaicoffamngd"",")</f>
        <v>"ejadepcppnegmgmndhbhpaicoffamngd",</v>
      </c>
    </row>
    <row r="4115">
      <c r="A4115" s="4" t="s">
        <v>23294</v>
      </c>
      <c r="B4115" s="4" t="s">
        <v>8198</v>
      </c>
      <c r="C4115" s="16" t="str">
        <f>IFERROR(__xludf.DUMMYFUNCTION(""""""""" &amp; REGEXEXTRACT(B4115, ""/detail/([^/?]+)"") &amp; """""","""),"""ejfgcoabhgdgaafjeindjmegacbklcin"",")</f>
        <v>"ejfgcoabhgdgaafjeindjmegacbklcin",</v>
      </c>
    </row>
    <row r="4116">
      <c r="A4116" s="4" t="s">
        <v>23295</v>
      </c>
      <c r="B4116" s="4" t="s">
        <v>8200</v>
      </c>
      <c r="C4116" s="16" t="str">
        <f>IFERROR(__xludf.DUMMYFUNCTION(""""""""" &amp; REGEXEXTRACT(B4116, ""/detail/([^/?]+)"") &amp; """""","""),"""ejjdbndmmongojeafjlilnchmkppbeap"",")</f>
        <v>"ejjdbndmmongojeafjlilnchmkppbeap",</v>
      </c>
    </row>
    <row r="4117">
      <c r="A4117" s="4" t="s">
        <v>23296</v>
      </c>
      <c r="B4117" s="4" t="s">
        <v>8202</v>
      </c>
      <c r="C4117" s="16" t="str">
        <f>IFERROR(__xludf.DUMMYFUNCTION(""""""""" &amp; REGEXEXTRACT(B4117, ""/detail/([^/?]+)"") &amp; """""","""),"""ekbpkpogdfpoaehbngjhfololhjndbdn"",")</f>
        <v>"ekbpkpogdfpoaehbngjhfololhjndbdn",</v>
      </c>
    </row>
    <row r="4118">
      <c r="A4118" s="4" t="s">
        <v>23297</v>
      </c>
      <c r="B4118" s="4" t="s">
        <v>8204</v>
      </c>
      <c r="C4118" s="16" t="str">
        <f>IFERROR(__xludf.DUMMYFUNCTION(""""""""" &amp; REGEXEXTRACT(B4118, ""/detail/([^/?]+)"") &amp; """""","""),"""ekjalehlcmifmhjgnenllniahiocdjch"",")</f>
        <v>"ekjalehlcmifmhjgnenllniahiocdjch",</v>
      </c>
    </row>
    <row r="4119">
      <c r="A4119" s="4" t="s">
        <v>23298</v>
      </c>
      <c r="B4119" s="4" t="s">
        <v>8206</v>
      </c>
      <c r="C4119" s="16" t="str">
        <f>IFERROR(__xludf.DUMMYFUNCTION(""""""""" &amp; REGEXEXTRACT(B4119, ""/detail/([^/?]+)"") &amp; """""","""),"""eklcbfkfhemcgponnlbafdiiofbnopdn"",")</f>
        <v>"eklcbfkfhemcgponnlbafdiiofbnopdn",</v>
      </c>
    </row>
    <row r="4120">
      <c r="A4120" s="4" t="s">
        <v>23299</v>
      </c>
      <c r="B4120" s="4" t="s">
        <v>8208</v>
      </c>
      <c r="C4120" s="16" t="str">
        <f>IFERROR(__xludf.DUMMYFUNCTION(""""""""" &amp; REGEXEXTRACT(B4120, ""/detail/([^/?]+)"") &amp; """""","""),"""ekojmgooipeonpigjjclfbflmbjhhkpk"",")</f>
        <v>"ekojmgooipeonpigjjclfbflmbjhhkpk",</v>
      </c>
    </row>
    <row r="4121">
      <c r="A4121" s="4" t="s">
        <v>23300</v>
      </c>
      <c r="B4121" s="4" t="s">
        <v>8210</v>
      </c>
      <c r="C4121" s="16" t="str">
        <f>IFERROR(__xludf.DUMMYFUNCTION(""""""""" &amp; REGEXEXTRACT(B4121, ""/detail/([^/?]+)"") &amp; """""","""),"""elikdceclccjilahimjfceoalhdbndan"",")</f>
        <v>"elikdceclccjilahimjfceoalhdbndan",</v>
      </c>
    </row>
    <row r="4122">
      <c r="A4122" s="4" t="s">
        <v>23301</v>
      </c>
      <c r="B4122" s="4" t="s">
        <v>8212</v>
      </c>
      <c r="C4122" s="16" t="str">
        <f>IFERROR(__xludf.DUMMYFUNCTION(""""""""" &amp; REGEXEXTRACT(B4122, ""/detail/([^/?]+)"") &amp; """""","""),"""elkhalpmbmbaeoemecpcfdcoekmpgmdm"",")</f>
        <v>"elkhalpmbmbaeoemecpcfdcoekmpgmdm",</v>
      </c>
    </row>
    <row r="4123">
      <c r="A4123" s="4" t="s">
        <v>23302</v>
      </c>
      <c r="B4123" s="4" t="s">
        <v>8214</v>
      </c>
      <c r="C4123" s="16" t="str">
        <f>IFERROR(__xludf.DUMMYFUNCTION(""""""""" &amp; REGEXEXTRACT(B4123, ""/detail/([^/?]+)"") &amp; """""","""),"""elpoagpgipenhjnfgljbnacmgeihhhdm"",")</f>
        <v>"elpoagpgipenhjnfgljbnacmgeihhhdm",</v>
      </c>
    </row>
    <row r="4124">
      <c r="A4124" s="4" t="s">
        <v>23303</v>
      </c>
      <c r="B4124" s="4" t="s">
        <v>8216</v>
      </c>
      <c r="C4124" s="16" t="str">
        <f>IFERROR(__xludf.DUMMYFUNCTION(""""""""" &amp; REGEXEXTRACT(B4124, ""/detail/([^/?]+)"") &amp; """""","""),"""emdnjmkfcjemifplhmbkjmelnckonggd"",")</f>
        <v>"emdnjmkfcjemifplhmbkjmelnckonggd",</v>
      </c>
    </row>
    <row r="4125">
      <c r="A4125" s="4" t="s">
        <v>23304</v>
      </c>
      <c r="B4125" s="4" t="s">
        <v>8218</v>
      </c>
      <c r="C4125" s="16" t="str">
        <f>IFERROR(__xludf.DUMMYFUNCTION(""""""""" &amp; REGEXEXTRACT(B4125, ""/detail/([^/?]+)"") &amp; """""","""),"""emeedobobbobllpippjidhpiigoffbbj"",")</f>
        <v>"emeedobobbobllpippjidhpiigoffbbj",</v>
      </c>
    </row>
    <row r="4126">
      <c r="A4126" s="4" t="s">
        <v>23305</v>
      </c>
      <c r="B4126" s="4" t="s">
        <v>8220</v>
      </c>
      <c r="C4126" s="16" t="str">
        <f>IFERROR(__xludf.DUMMYFUNCTION(""""""""" &amp; REGEXEXTRACT(B4126, ""/detail/([^/?]+)"") &amp; """""","""),"""emgomhlfknapebclbdkonjilalfmchep"",")</f>
        <v>"emgomhlfknapebclbdkonjilalfmchep",</v>
      </c>
    </row>
    <row r="4127">
      <c r="A4127" s="4" t="s">
        <v>23306</v>
      </c>
      <c r="B4127" s="4" t="s">
        <v>8222</v>
      </c>
      <c r="C4127" s="16" t="str">
        <f>IFERROR(__xludf.DUMMYFUNCTION(""""""""" &amp; REGEXEXTRACT(B4127, ""/detail/([^/?]+)"") &amp; """""","""),"""enagjojfhclogmaemicdkkohjghgpodh"",")</f>
        <v>"enagjojfhclogmaemicdkkohjghgpodh",</v>
      </c>
    </row>
    <row r="4128">
      <c r="A4128" s="4" t="s">
        <v>23307</v>
      </c>
      <c r="B4128" s="4" t="s">
        <v>8224</v>
      </c>
      <c r="C4128" s="16" t="str">
        <f>IFERROR(__xludf.DUMMYFUNCTION(""""""""" &amp; REGEXEXTRACT(B4128, ""/detail/([^/?]+)"") &amp; """""","""),"""enaoikphbblijoloobmapommnigpocid"",")</f>
        <v>"enaoikphbblijoloobmapommnigpocid",</v>
      </c>
    </row>
    <row r="4129">
      <c r="A4129" s="4" t="s">
        <v>23308</v>
      </c>
      <c r="B4129" s="4" t="s">
        <v>8226</v>
      </c>
      <c r="C4129" s="16" t="str">
        <f>IFERROR(__xludf.DUMMYFUNCTION(""""""""" &amp; REGEXEXTRACT(B4129, ""/detail/([^/?]+)"") &amp; """""","""),"""enngmhjfhandgjeccahinpmjfmllklki"",")</f>
        <v>"enngmhjfhandgjeccahinpmjfmllklki",</v>
      </c>
    </row>
    <row r="4130">
      <c r="A4130" s="4" t="s">
        <v>23309</v>
      </c>
      <c r="B4130" s="4" t="s">
        <v>8228</v>
      </c>
      <c r="C4130" s="16" t="str">
        <f>IFERROR(__xludf.DUMMYFUNCTION(""""""""" &amp; REGEXEXTRACT(B4130, ""/detail/([^/?]+)"") &amp; """""","""),"""enpponilfcooflcegkodmpdgboooohjm"",")</f>
        <v>"enpponilfcooflcegkodmpdgboooohjm",</v>
      </c>
    </row>
    <row r="4131">
      <c r="A4131" s="4" t="s">
        <v>23310</v>
      </c>
      <c r="B4131" s="4" t="s">
        <v>8230</v>
      </c>
      <c r="C4131" s="16" t="str">
        <f>IFERROR(__xludf.DUMMYFUNCTION(""""""""" &amp; REGEXEXTRACT(B4131, ""/detail/([^/?]+)"") &amp; """""","""),"""eobcjlgohobbfcgabmijkdgpjkknpbbo"",")</f>
        <v>"eobcjlgohobbfcgabmijkdgpjkknpbbo",</v>
      </c>
    </row>
    <row r="4132">
      <c r="A4132" s="4" t="s">
        <v>23311</v>
      </c>
      <c r="B4132" s="4" t="s">
        <v>8232</v>
      </c>
      <c r="C4132" s="16" t="str">
        <f>IFERROR(__xludf.DUMMYFUNCTION(""""""""" &amp; REGEXEXTRACT(B4132, ""/detail/([^/?]+)"") &amp; """""","""),"""eobofinmnpbpbbmjhoickgllciakebjn"",")</f>
        <v>"eobofinmnpbpbbmjhoickgllciakebjn",</v>
      </c>
    </row>
    <row r="4133">
      <c r="A4133" s="4" t="s">
        <v>23312</v>
      </c>
      <c r="B4133" s="4" t="s">
        <v>8234</v>
      </c>
      <c r="C4133" s="16" t="str">
        <f>IFERROR(__xludf.DUMMYFUNCTION(""""""""" &amp; REGEXEXTRACT(B4133, ""/detail/([^/?]+)"") &amp; """""","""),"""eohpihmnjndedfccbibjjlechjjeoooh"",")</f>
        <v>"eohpihmnjndedfccbibjjlechjjeoooh",</v>
      </c>
    </row>
    <row r="4134">
      <c r="A4134" s="4" t="s">
        <v>23313</v>
      </c>
      <c r="B4134" s="4" t="s">
        <v>8236</v>
      </c>
      <c r="C4134" s="16" t="str">
        <f>IFERROR(__xludf.DUMMYFUNCTION(""""""""" &amp; REGEXEXTRACT(B4134, ""/detail/([^/?]+)"") &amp; """""","""),"""eolgelhflgphiebnjopklpnplinmemfi"",")</f>
        <v>"eolgelhflgphiebnjopklpnplinmemfi",</v>
      </c>
    </row>
    <row r="4135">
      <c r="A4135" s="4" t="s">
        <v>23314</v>
      </c>
      <c r="B4135" s="4" t="s">
        <v>8238</v>
      </c>
      <c r="C4135" s="16" t="str">
        <f>IFERROR(__xludf.DUMMYFUNCTION(""""""""" &amp; REGEXEXTRACT(B4135, ""/detail/([^/?]+)"") &amp; """""","""),"""eomjeenhnoaegjeoljekagkjobjabalk"",")</f>
        <v>"eomjeenhnoaegjeoljekagkjobjabalk",</v>
      </c>
    </row>
    <row r="4136">
      <c r="A4136" s="4" t="s">
        <v>23315</v>
      </c>
      <c r="B4136" s="4" t="s">
        <v>8240</v>
      </c>
      <c r="C4136" s="16" t="str">
        <f>IFERROR(__xludf.DUMMYFUNCTION(""""""""" &amp; REGEXEXTRACT(B4136, ""/detail/([^/?]+)"") &amp; """""","""),"""eonnlpadjpdnandpobhloihongackbpg"",")</f>
        <v>"eonnlpadjpdnandpobhloihongackbpg",</v>
      </c>
    </row>
    <row r="4137">
      <c r="A4137" s="4" t="s">
        <v>23316</v>
      </c>
      <c r="B4137" s="4" t="s">
        <v>8241</v>
      </c>
      <c r="C4137" s="16" t="str">
        <f>IFERROR(__xludf.DUMMYFUNCTION(""""""""" &amp; REGEXEXTRACT(B4137, ""/detail/([^/?]+)"") &amp; """""","""),"""epaickocpjcjjiopbdlahnnkpljdlchm"",")</f>
        <v>"epaickocpjcjjiopbdlahnnkpljdlchm",</v>
      </c>
    </row>
    <row r="4138">
      <c r="A4138" s="4" t="s">
        <v>23317</v>
      </c>
      <c r="B4138" s="4" t="s">
        <v>8243</v>
      </c>
      <c r="C4138" s="16" t="str">
        <f>IFERROR(__xludf.DUMMYFUNCTION(""""""""" &amp; REGEXEXTRACT(B4138, ""/detail/([^/?]+)"") &amp; """""","""),"""epedchlibfieifndgfjekmpaancjjfob"",")</f>
        <v>"epedchlibfieifndgfjekmpaancjjfob",</v>
      </c>
    </row>
    <row r="4139">
      <c r="A4139" s="4" t="s">
        <v>23318</v>
      </c>
      <c r="B4139" s="4" t="s">
        <v>8245</v>
      </c>
      <c r="C4139" s="16" t="str">
        <f>IFERROR(__xludf.DUMMYFUNCTION(""""""""" &amp; REGEXEXTRACT(B4139, ""/detail/([^/?]+)"") &amp; """""","""),"""epnapkhlpikljdnnhkmfebapmmekjlab"",")</f>
        <v>"epnapkhlpikljdnnhkmfebapmmekjlab",</v>
      </c>
    </row>
    <row r="4140">
      <c r="A4140" s="4" t="s">
        <v>23319</v>
      </c>
      <c r="B4140" s="4" t="s">
        <v>8247</v>
      </c>
      <c r="C4140" s="16" t="str">
        <f>IFERROR(__xludf.DUMMYFUNCTION(""""""""" &amp; REGEXEXTRACT(B4140, ""/detail/([^/?]+)"") &amp; """""","""),"""epoifkmdegipjgiaffigkidfgaijmjke"",")</f>
        <v>"epoifkmdegipjgiaffigkidfgaijmjke",</v>
      </c>
    </row>
    <row r="4141">
      <c r="A4141" s="4" t="s">
        <v>23320</v>
      </c>
      <c r="B4141" s="4" t="s">
        <v>8249</v>
      </c>
      <c r="C4141" s="16" t="str">
        <f>IFERROR(__xludf.DUMMYFUNCTION(""""""""" &amp; REGEXEXTRACT(B4141, ""/detail/([^/?]+)"") &amp; """""","""),"""fabkbngakgpgbfjcgniagacieofijajm"",")</f>
        <v>"fabkbngakgpgbfjcgniagacieofijajm",</v>
      </c>
    </row>
    <row r="4142">
      <c r="A4142" s="4" t="s">
        <v>23321</v>
      </c>
      <c r="B4142" s="4" t="s">
        <v>8251</v>
      </c>
      <c r="C4142" s="16" t="str">
        <f>IFERROR(__xludf.DUMMYFUNCTION(""""""""" &amp; REGEXEXTRACT(B4142, ""/detail/([^/?]+)"") &amp; """""","""),"""faccgibalfdoihmenknhpfhldkmgaang"",")</f>
        <v>"faccgibalfdoihmenknhpfhldkmgaang",</v>
      </c>
    </row>
    <row r="4143">
      <c r="A4143" s="4" t="s">
        <v>23322</v>
      </c>
      <c r="B4143" s="4" t="s">
        <v>8253</v>
      </c>
      <c r="C4143" s="16" t="str">
        <f>IFERROR(__xludf.DUMMYFUNCTION(""""""""" &amp; REGEXEXTRACT(B4143, ""/detail/([^/?]+)"") &amp; """""","""),"""fafnibnpfejgmleffgpnddkboddbipgm"",")</f>
        <v>"fafnibnpfejgmleffgpnddkboddbipgm",</v>
      </c>
    </row>
    <row r="4144">
      <c r="A4144" s="4" t="s">
        <v>23323</v>
      </c>
      <c r="B4144" s="4" t="s">
        <v>8255</v>
      </c>
      <c r="C4144" s="16" t="str">
        <f>IFERROR(__xludf.DUMMYFUNCTION(""""""""" &amp; REGEXEXTRACT(B4144, ""/detail/([^/?]+)"") &amp; """""","""),"""fakcbdabfjjicnmkhljhanahlhdkjlgf"",")</f>
        <v>"fakcbdabfjjicnmkhljhanahlhdkjlgf",</v>
      </c>
    </row>
    <row r="4145">
      <c r="A4145" s="4" t="s">
        <v>23324</v>
      </c>
      <c r="B4145" s="4" t="s">
        <v>8257</v>
      </c>
      <c r="C4145" s="16" t="str">
        <f>IFERROR(__xludf.DUMMYFUNCTION(""""""""" &amp; REGEXEXTRACT(B4145, ""/detail/([^/?]+)"") &amp; """""","""),"""falgkeemlabollcgileonaakpaggaldk"",")</f>
        <v>"falgkeemlabollcgileonaakpaggaldk",</v>
      </c>
    </row>
    <row r="4146">
      <c r="A4146" s="4" t="s">
        <v>23325</v>
      </c>
      <c r="B4146" s="4" t="s">
        <v>8259</v>
      </c>
      <c r="C4146" s="16" t="str">
        <f>IFERROR(__xludf.DUMMYFUNCTION(""""""""" &amp; REGEXEXTRACT(B4146, ""/detail/([^/?]+)"") &amp; """""","""),"""fappknnhhggcjmeljjbjmibmhoninmem"",")</f>
        <v>"fappknnhhggcjmeljjbjmibmhoninmem",</v>
      </c>
    </row>
    <row r="4147">
      <c r="A4147" s="4" t="s">
        <v>23326</v>
      </c>
      <c r="B4147" s="4" t="s">
        <v>8261</v>
      </c>
      <c r="C4147" s="16" t="str">
        <f>IFERROR(__xludf.DUMMYFUNCTION(""""""""" &amp; REGEXEXTRACT(B4147, ""/detail/([^/?]+)"") &amp; """""","""),"""fbdmadiknkkdfcgjdbmddklighibfomm"",")</f>
        <v>"fbdmadiknkkdfcgjdbmddklighibfomm",</v>
      </c>
    </row>
    <row r="4148">
      <c r="A4148" s="4" t="s">
        <v>23327</v>
      </c>
      <c r="B4148" s="4" t="s">
        <v>8263</v>
      </c>
      <c r="C4148" s="16" t="str">
        <f>IFERROR(__xludf.DUMMYFUNCTION(""""""""" &amp; REGEXEXTRACT(B4148, ""/detail/([^/?]+)"") &amp; """""","""),"""fbeembbkdhjmllclbpjipcceajlblhbn"",")</f>
        <v>"fbeembbkdhjmllclbpjipcceajlblhbn",</v>
      </c>
    </row>
    <row r="4149">
      <c r="A4149" s="4" t="s">
        <v>23328</v>
      </c>
      <c r="B4149" s="4" t="s">
        <v>8265</v>
      </c>
      <c r="C4149" s="16" t="str">
        <f>IFERROR(__xludf.DUMMYFUNCTION(""""""""" &amp; REGEXEXTRACT(B4149, ""/detail/([^/?]+)"") &amp; """""","""),"""fbflpifoodcfknnolhnambbiekfjekmb"",")</f>
        <v>"fbflpifoodcfknnolhnambbiekfjekmb",</v>
      </c>
    </row>
    <row r="4150">
      <c r="A4150" s="4" t="s">
        <v>23329</v>
      </c>
      <c r="B4150" s="4" t="s">
        <v>8266</v>
      </c>
      <c r="C4150" s="16" t="str">
        <f>IFERROR(__xludf.DUMMYFUNCTION(""""""""" &amp; REGEXEXTRACT(B4150, ""/detail/([^/?]+)"") &amp; """""","""),"""fbkigokjancnolojmhcgcfhgeeljolkh"",")</f>
        <v>"fbkigokjancnolojmhcgcfhgeeljolkh",</v>
      </c>
    </row>
    <row r="4151">
      <c r="A4151" s="4" t="s">
        <v>23330</v>
      </c>
      <c r="B4151" s="4" t="s">
        <v>8268</v>
      </c>
      <c r="C4151" s="16" t="str">
        <f>IFERROR(__xludf.DUMMYFUNCTION(""""""""" &amp; REGEXEXTRACT(B4151, ""/detail/([^/?]+)"") &amp; """""","""),"""fbkkphfailagfnjpgmddfmghblmggbja"",")</f>
        <v>"fbkkphfailagfnjpgmddfmghblmggbja",</v>
      </c>
    </row>
    <row r="4152">
      <c r="A4152" s="4" t="s">
        <v>23331</v>
      </c>
      <c r="B4152" s="4" t="s">
        <v>8270</v>
      </c>
      <c r="C4152" s="16" t="str">
        <f>IFERROR(__xludf.DUMMYFUNCTION(""""""""" &amp; REGEXEXTRACT(B4152, ""/detail/([^/?]+)"") &amp; """""","""),"""fbmkgmcpggolmkdjjgmjeacpkefiddcp"",")</f>
        <v>"fbmkgmcpggolmkdjjgmjeacpkefiddcp",</v>
      </c>
    </row>
    <row r="4153">
      <c r="A4153" s="4" t="s">
        <v>23332</v>
      </c>
      <c r="B4153" s="4" t="s">
        <v>8272</v>
      </c>
      <c r="C4153" s="16" t="str">
        <f>IFERROR(__xludf.DUMMYFUNCTION(""""""""" &amp; REGEXEXTRACT(B4153, ""/detail/([^/?]+)"") &amp; """""","""),"""fbojgdgmgpmmjhipfcjnkgmafcomfngh"",")</f>
        <v>"fbojgdgmgpmmjhipfcjnkgmafcomfngh",</v>
      </c>
    </row>
    <row r="4154">
      <c r="A4154" s="4" t="s">
        <v>23333</v>
      </c>
      <c r="B4154" s="4" t="s">
        <v>8274</v>
      </c>
      <c r="C4154" s="16" t="str">
        <f>IFERROR(__xludf.DUMMYFUNCTION(""""""""" &amp; REGEXEXTRACT(B4154, ""/detail/([^/?]+)"") &amp; """""","""),"""fcgdlnpeeheimiofifimdfpmfiljddlk"",")</f>
        <v>"fcgdlnpeeheimiofifimdfpmfiljddlk",</v>
      </c>
    </row>
    <row r="4155">
      <c r="A4155" s="4" t="s">
        <v>23334</v>
      </c>
      <c r="B4155" s="4" t="s">
        <v>8276</v>
      </c>
      <c r="C4155" s="16" t="str">
        <f>IFERROR(__xludf.DUMMYFUNCTION(""""""""" &amp; REGEXEXTRACT(B4155, ""/detail/([^/?]+)"") &amp; """""","""),"""fcpnnjlljgdcinojgocmjddolelccbjc"",")</f>
        <v>"fcpnnjlljgdcinojgocmjddolelccbjc",</v>
      </c>
    </row>
    <row r="4156">
      <c r="A4156" s="4" t="s">
        <v>23335</v>
      </c>
      <c r="B4156" s="4" t="s">
        <v>8278</v>
      </c>
      <c r="C4156" s="16" t="str">
        <f>IFERROR(__xludf.DUMMYFUNCTION(""""""""" &amp; REGEXEXTRACT(B4156, ""/detail/([^/?]+)"") &amp; """""","""),"""fddklllgaiialpiglbmmpaofmiemkkdo"",")</f>
        <v>"fddklllgaiialpiglbmmpaofmiemkkdo",</v>
      </c>
    </row>
    <row r="4157">
      <c r="A4157" s="4" t="s">
        <v>23336</v>
      </c>
      <c r="B4157" s="4" t="s">
        <v>8280</v>
      </c>
      <c r="C4157" s="16" t="str">
        <f>IFERROR(__xludf.DUMMYFUNCTION(""""""""" &amp; REGEXEXTRACT(B4157, ""/detail/([^/?]+)"") &amp; """""","""),"""fdehphjgknbbfmaopdnhciplgjfifjkc"",")</f>
        <v>"fdehphjgknbbfmaopdnhciplgjfifjkc",</v>
      </c>
    </row>
    <row r="4158">
      <c r="A4158" s="4" t="s">
        <v>23337</v>
      </c>
      <c r="B4158" s="4" t="s">
        <v>8282</v>
      </c>
      <c r="C4158" s="16" t="str">
        <f>IFERROR(__xludf.DUMMYFUNCTION(""""""""" &amp; REGEXEXTRACT(B4158, ""/detail/([^/?]+)"") &amp; """""","""),"""fdlbedhogoojcdcjmjpipjonabaoidlj"",")</f>
        <v>"fdlbedhogoojcdcjmjpipjonabaoidlj",</v>
      </c>
    </row>
    <row r="4159">
      <c r="A4159" s="4" t="s">
        <v>23338</v>
      </c>
      <c r="B4159" s="4" t="s">
        <v>8284</v>
      </c>
      <c r="C4159" s="16" t="str">
        <f>IFERROR(__xludf.DUMMYFUNCTION(""""""""" &amp; REGEXEXTRACT(B4159, ""/detail/([^/?]+)"") &amp; """""","""),"""feeeclckpfekcfbnplpmfoldhbllpikn"",")</f>
        <v>"feeeclckpfekcfbnplpmfoldhbllpikn",</v>
      </c>
    </row>
    <row r="4160">
      <c r="A4160" s="4" t="s">
        <v>23339</v>
      </c>
      <c r="B4160" s="4" t="s">
        <v>8286</v>
      </c>
      <c r="C4160" s="16" t="str">
        <f>IFERROR(__xludf.DUMMYFUNCTION(""""""""" &amp; REGEXEXTRACT(B4160, ""/detail/([^/?]+)"") &amp; """""","""),"""fehpipicaiihbpiegagncpdfkfmodiol"",")</f>
        <v>"fehpipicaiihbpiegagncpdfkfmodiol",</v>
      </c>
    </row>
    <row r="4161">
      <c r="A4161" s="4" t="s">
        <v>23340</v>
      </c>
      <c r="B4161" s="4" t="s">
        <v>8288</v>
      </c>
      <c r="C4161" s="16" t="str">
        <f>IFERROR(__xludf.DUMMYFUNCTION(""""""""" &amp; REGEXEXTRACT(B4161, ""/detail/([^/?]+)"") &amp; """""","""),"""feijekkdahhnjbhpiffgejphmokchdbo"",")</f>
        <v>"feijekkdahhnjbhpiffgejphmokchdbo",</v>
      </c>
    </row>
    <row r="4162">
      <c r="A4162" s="4" t="s">
        <v>23341</v>
      </c>
      <c r="B4162" s="4" t="s">
        <v>8290</v>
      </c>
      <c r="C4162" s="16" t="str">
        <f>IFERROR(__xludf.DUMMYFUNCTION(""""""""" &amp; REGEXEXTRACT(B4162, ""/detail/([^/?]+)"") &amp; """""","""),"""fejhallhnhclcidkbgclianhgfoendle"",")</f>
        <v>"fejhallhnhclcidkbgclianhgfoendle",</v>
      </c>
    </row>
    <row r="4163">
      <c r="A4163" s="4" t="s">
        <v>23342</v>
      </c>
      <c r="B4163" s="4" t="s">
        <v>8292</v>
      </c>
      <c r="C4163" s="16" t="str">
        <f>IFERROR(__xludf.DUMMYFUNCTION(""""""""" &amp; REGEXEXTRACT(B4163, ""/detail/([^/?]+)"") &amp; """""","""),"""femolaikomdnigbodefkjhpjgkdopbci"",")</f>
        <v>"femolaikomdnigbodefkjhpjgkdopbci",</v>
      </c>
    </row>
    <row r="4164">
      <c r="A4164" s="4" t="s">
        <v>23343</v>
      </c>
      <c r="B4164" s="4" t="s">
        <v>8294</v>
      </c>
      <c r="C4164" s="16" t="str">
        <f>IFERROR(__xludf.DUMMYFUNCTION(""""""""" &amp; REGEXEXTRACT(B4164, ""/detail/([^/?]+)"") &amp; """""","""),"""fepcenjlhhocbchbhfconcfeblaflgab"",")</f>
        <v>"fepcenjlhhocbchbhfconcfeblaflgab",</v>
      </c>
    </row>
    <row r="4165">
      <c r="A4165" s="4" t="s">
        <v>23344</v>
      </c>
      <c r="B4165" s="4" t="s">
        <v>8296</v>
      </c>
      <c r="C4165" s="16" t="str">
        <f>IFERROR(__xludf.DUMMYFUNCTION(""""""""" &amp; REGEXEXTRACT(B4165, ""/detail/([^/?]+)"") &amp; """""","""),"""ffcinmkbpiamlpccghkkglghggpahnab"",")</f>
        <v>"ffcinmkbpiamlpccghkkglghggpahnab",</v>
      </c>
    </row>
    <row r="4166">
      <c r="A4166" s="4" t="s">
        <v>23345</v>
      </c>
      <c r="B4166" s="4" t="s">
        <v>8298</v>
      </c>
      <c r="C4166" s="16" t="str">
        <f>IFERROR(__xludf.DUMMYFUNCTION(""""""""" &amp; REGEXEXTRACT(B4166, ""/detail/([^/?]+)"") &amp; """""","""),"""fffhmhcillaopdbhllfffhfhbcnkioco"",")</f>
        <v>"fffhmhcillaopdbhllfffhfhbcnkioco",</v>
      </c>
    </row>
    <row r="4167">
      <c r="A4167" s="4" t="s">
        <v>23346</v>
      </c>
      <c r="B4167" s="4" t="s">
        <v>8300</v>
      </c>
      <c r="C4167" s="16" t="str">
        <f>IFERROR(__xludf.DUMMYFUNCTION(""""""""" &amp; REGEXEXTRACT(B4167, ""/detail/([^/?]+)"") &amp; """""","""),"""ffpjegijenjngmidlmahaekajbhhdmml"",")</f>
        <v>"ffpjegijenjngmidlmahaekajbhhdmml",</v>
      </c>
    </row>
    <row r="4168">
      <c r="A4168" s="4" t="s">
        <v>23347</v>
      </c>
      <c r="B4168" s="4" t="s">
        <v>8302</v>
      </c>
      <c r="C4168" s="16" t="str">
        <f>IFERROR(__xludf.DUMMYFUNCTION(""""""""" &amp; REGEXEXTRACT(B4168, ""/detail/([^/?]+)"") &amp; """""","""),"""fgjpbkpdakjgkgndpophdhjdnkchijjd"",")</f>
        <v>"fgjpbkpdakjgkgndpophdhjdnkchijjd",</v>
      </c>
    </row>
    <row r="4169">
      <c r="A4169" s="4" t="s">
        <v>23348</v>
      </c>
      <c r="B4169" s="4" t="s">
        <v>8304</v>
      </c>
      <c r="C4169" s="16" t="str">
        <f>IFERROR(__xludf.DUMMYFUNCTION(""""""""" &amp; REGEXEXTRACT(B4169, ""/detail/([^/?]+)"") &amp; """""","""),"""fglojcpjnipennndfejiehbndbidenbh"",")</f>
        <v>"fglojcpjnipennndfejiehbndbidenbh",</v>
      </c>
    </row>
    <row r="4170">
      <c r="A4170" s="4" t="s">
        <v>23349</v>
      </c>
      <c r="B4170" s="4" t="s">
        <v>8306</v>
      </c>
      <c r="C4170" s="16" t="str">
        <f>IFERROR(__xludf.DUMMYFUNCTION(""""""""" &amp; REGEXEXTRACT(B4170, ""/detail/([^/?]+)"") &amp; """""","""),"""fgmeboblogphchmhbkppjdjohckmmhan"",")</f>
        <v>"fgmeboblogphchmhbkppjdjohckmmhan",</v>
      </c>
    </row>
    <row r="4171">
      <c r="A4171" s="4" t="s">
        <v>23350</v>
      </c>
      <c r="B4171" s="4" t="s">
        <v>8308</v>
      </c>
      <c r="C4171" s="16" t="str">
        <f>IFERROR(__xludf.DUMMYFUNCTION(""""""""" &amp; REGEXEXTRACT(B4171, ""/detail/([^/?]+)"") &amp; """""","""),"""fhdmpmfccmhbdmlaclcllpfdddfnhbec"",")</f>
        <v>"fhdmpmfccmhbdmlaclcllpfdddfnhbec",</v>
      </c>
    </row>
    <row r="4172">
      <c r="A4172" s="4" t="s">
        <v>23351</v>
      </c>
      <c r="B4172" s="4" t="s">
        <v>8310</v>
      </c>
      <c r="C4172" s="16" t="str">
        <f>IFERROR(__xludf.DUMMYFUNCTION(""""""""" &amp; REGEXEXTRACT(B4172, ""/detail/([^/?]+)"") &amp; """""","""),"""fhgfkokmjjnahoomiaocooplcahgccna"",")</f>
        <v>"fhgfkokmjjnahoomiaocooplcahgccna",</v>
      </c>
    </row>
    <row r="4173">
      <c r="A4173" s="4" t="s">
        <v>23352</v>
      </c>
      <c r="B4173" s="4" t="s">
        <v>8312</v>
      </c>
      <c r="C4173" s="16" t="str">
        <f>IFERROR(__xludf.DUMMYFUNCTION(""""""""" &amp; REGEXEXTRACT(B4173, ""/detail/([^/?]+)"") &amp; """""","""),"""fhgkjpalccpgngmppjgfgeknfehopmoj"",")</f>
        <v>"fhgkjpalccpgngmppjgfgeknfehopmoj",</v>
      </c>
    </row>
    <row r="4174">
      <c r="A4174" s="4" t="s">
        <v>23353</v>
      </c>
      <c r="B4174" s="4" t="s">
        <v>8314</v>
      </c>
      <c r="C4174" s="16" t="str">
        <f>IFERROR(__xludf.DUMMYFUNCTION(""""""""" &amp; REGEXEXTRACT(B4174, ""/detail/([^/?]+)"") &amp; """""","""),"""fhkechjkbbenaaoghnlmcepoolbfdmca"",")</f>
        <v>"fhkechjkbbenaaoghnlmcepoolbfdmca",</v>
      </c>
    </row>
    <row r="4175">
      <c r="A4175" s="4" t="s">
        <v>23354</v>
      </c>
      <c r="B4175" s="4" t="s">
        <v>8316</v>
      </c>
      <c r="C4175" s="16" t="str">
        <f>IFERROR(__xludf.DUMMYFUNCTION(""""""""" &amp; REGEXEXTRACT(B4175, ""/detail/([^/?]+)"") &amp; """""","""),"""fhnkhcdcpalgfgneoojgcbmhnfjaepii"",")</f>
        <v>"fhnkhcdcpalgfgneoojgcbmhnfjaepii",</v>
      </c>
    </row>
    <row r="4176">
      <c r="A4176" s="4" t="s">
        <v>23355</v>
      </c>
      <c r="B4176" s="4" t="s">
        <v>8318</v>
      </c>
      <c r="C4176" s="16" t="str">
        <f>IFERROR(__xludf.DUMMYFUNCTION(""""""""" &amp; REGEXEXTRACT(B4176, ""/detail/([^/?]+)"") &amp; """""","""),"""fholofncjefknlbmfkjondfolbgddjon"",")</f>
        <v>"fholofncjefknlbmfkjondfolbgddjon",</v>
      </c>
    </row>
    <row r="4177">
      <c r="A4177" s="4" t="s">
        <v>23356</v>
      </c>
      <c r="B4177" s="4" t="s">
        <v>8320</v>
      </c>
      <c r="C4177" s="16" t="str">
        <f>IFERROR(__xludf.DUMMYFUNCTION(""""""""" &amp; REGEXEXTRACT(B4177, ""/detail/([^/?]+)"") &amp; """""","""),"""fiabhebnoobfodnondepifmhgooeompn"",")</f>
        <v>"fiabhebnoobfodnondepifmhgooeompn",</v>
      </c>
    </row>
    <row r="4178">
      <c r="A4178" s="4" t="s">
        <v>23357</v>
      </c>
      <c r="B4178" s="4" t="s">
        <v>8322</v>
      </c>
      <c r="C4178" s="16" t="str">
        <f>IFERROR(__xludf.DUMMYFUNCTION(""""""""" &amp; REGEXEXTRACT(B4178, ""/detail/([^/?]+)"") &amp; """""","""),"""fiffpcmdajgojnmfdfangagpimonnmdc"",")</f>
        <v>"fiffpcmdajgojnmfdfangagpimonnmdc",</v>
      </c>
    </row>
    <row r="4179">
      <c r="A4179" s="4" t="s">
        <v>23358</v>
      </c>
      <c r="B4179" s="4" t="s">
        <v>8324</v>
      </c>
      <c r="C4179" s="16" t="str">
        <f>IFERROR(__xludf.DUMMYFUNCTION(""""""""" &amp; REGEXEXTRACT(B4179, ""/detail/([^/?]+)"") &amp; """""","""),"""fihebcnndekipadhomlgaiajoipkophe"",")</f>
        <v>"fihebcnndekipadhomlgaiajoipkophe",</v>
      </c>
    </row>
    <row r="4180">
      <c r="A4180" s="4" t="s">
        <v>23359</v>
      </c>
      <c r="B4180" s="4" t="s">
        <v>8326</v>
      </c>
      <c r="C4180" s="16" t="str">
        <f>IFERROR(__xludf.DUMMYFUNCTION(""""""""" &amp; REGEXEXTRACT(B4180, ""/detail/([^/?]+)"") &amp; """""","""),"""fiibfdgjeodlnklafeiginlalmdhjmmn"",")</f>
        <v>"fiibfdgjeodlnklafeiginlalmdhjmmn",</v>
      </c>
    </row>
    <row r="4181">
      <c r="A4181" s="4" t="s">
        <v>23360</v>
      </c>
      <c r="B4181" s="4" t="s">
        <v>8328</v>
      </c>
      <c r="C4181" s="16" t="str">
        <f>IFERROR(__xludf.DUMMYFUNCTION(""""""""" &amp; REGEXEXTRACT(B4181, ""/detail/([^/?]+)"") &amp; """""","""),"""filkeckmpdjogddcamkafnekhgfaehkc"",")</f>
        <v>"filkeckmpdjogddcamkafnekhgfaehkc",</v>
      </c>
    </row>
    <row r="4182">
      <c r="A4182" s="4" t="s">
        <v>23361</v>
      </c>
      <c r="B4182" s="4" t="s">
        <v>8330</v>
      </c>
      <c r="C4182" s="16" t="str">
        <f>IFERROR(__xludf.DUMMYFUNCTION(""""""""" &amp; REGEXEXTRACT(B4182, ""/detail/([^/?]+)"") &amp; """""","""),"""filngkjpmpaglfkcenjiljkmeajoaiff"",")</f>
        <v>"filngkjpmpaglfkcenjiljkmeajoaiff",</v>
      </c>
    </row>
    <row r="4183">
      <c r="A4183" s="4" t="s">
        <v>23362</v>
      </c>
      <c r="B4183" s="4" t="s">
        <v>8332</v>
      </c>
      <c r="C4183" s="16" t="str">
        <f>IFERROR(__xludf.DUMMYFUNCTION(""""""""" &amp; REGEXEXTRACT(B4183, ""/detail/([^/?]+)"") &amp; """""","""),"""fipboklgcfdipbmihkgjofbemfbjhomf"",")</f>
        <v>"fipboklgcfdipbmihkgjofbemfbjhomf",</v>
      </c>
    </row>
    <row r="4184">
      <c r="A4184" s="4" t="s">
        <v>23363</v>
      </c>
      <c r="B4184" s="4" t="s">
        <v>8334</v>
      </c>
      <c r="C4184" s="16" t="str">
        <f>IFERROR(__xludf.DUMMYFUNCTION(""""""""" &amp; REGEXEXTRACT(B4184, ""/detail/([^/?]+)"") &amp; """""","""),"""fjbjobpmgmgpcbdndpelgbfhnfjaacil"",")</f>
        <v>"fjbjobpmgmgpcbdndpelgbfhnfjaacil",</v>
      </c>
    </row>
    <row r="4185">
      <c r="A4185" s="4" t="s">
        <v>23364</v>
      </c>
      <c r="B4185" s="4" t="s">
        <v>8336</v>
      </c>
      <c r="C4185" s="16" t="str">
        <f>IFERROR(__xludf.DUMMYFUNCTION(""""""""" &amp; REGEXEXTRACT(B4185, ""/detail/([^/?]+)"") &amp; """""","""),"""fjdogeikdkhflgmciddlakccnghigakg"",")</f>
        <v>"fjdogeikdkhflgmciddlakccnghigakg",</v>
      </c>
    </row>
    <row r="4186">
      <c r="A4186" s="4" t="s">
        <v>23365</v>
      </c>
      <c r="B4186" s="4" t="s">
        <v>8338</v>
      </c>
      <c r="C4186" s="16" t="str">
        <f>IFERROR(__xludf.DUMMYFUNCTION(""""""""" &amp; REGEXEXTRACT(B4186, ""/detail/([^/?]+)"") &amp; """""","""),"""fjiicadehcnbkjkkeoggfamngbfibicn"",")</f>
        <v>"fjiicadehcnbkjkkeoggfamngbfibicn",</v>
      </c>
    </row>
    <row r="4187">
      <c r="A4187" s="4" t="s">
        <v>23366</v>
      </c>
      <c r="B4187" s="4" t="s">
        <v>8340</v>
      </c>
      <c r="C4187" s="16" t="str">
        <f>IFERROR(__xludf.DUMMYFUNCTION(""""""""" &amp; REGEXEXTRACT(B4187, ""/detail/([^/?]+)"") &amp; """""","""),"""fjjomhepnnicmnkfiopeimfpdbpegboa"",")</f>
        <v>"fjjomhepnnicmnkfiopeimfpdbpegboa",</v>
      </c>
    </row>
    <row r="4188">
      <c r="A4188" s="4" t="s">
        <v>23367</v>
      </c>
      <c r="B4188" s="4" t="s">
        <v>8342</v>
      </c>
      <c r="C4188" s="16" t="str">
        <f>IFERROR(__xludf.DUMMYFUNCTION(""""""""" &amp; REGEXEXTRACT(B4188, ""/detail/([^/?]+)"") &amp; """""","""),"""fjkehfaokpmcbigmbgdhmjblecgfkedg"",")</f>
        <v>"fjkehfaokpmcbigmbgdhmjblecgfkedg",</v>
      </c>
    </row>
    <row r="4189">
      <c r="A4189" s="4" t="s">
        <v>23368</v>
      </c>
      <c r="B4189" s="4" t="s">
        <v>8344</v>
      </c>
      <c r="C4189" s="16" t="str">
        <f>IFERROR(__xludf.DUMMYFUNCTION(""""""""" &amp; REGEXEXTRACT(B4189, ""/detail/([^/?]+)"") &amp; """""","""),"""fjljjpffehpkhlppnbhmeonlanjmkhhf"",")</f>
        <v>"fjljjpffehpkhlppnbhmeonlanjmkhhf",</v>
      </c>
    </row>
    <row r="4190">
      <c r="A4190" s="4" t="s">
        <v>23369</v>
      </c>
      <c r="B4190" s="4" t="s">
        <v>8346</v>
      </c>
      <c r="C4190" s="16" t="str">
        <f>IFERROR(__xludf.DUMMYFUNCTION(""""""""" &amp; REGEXEXTRACT(B4190, ""/detail/([^/?]+)"") &amp; """""","""),"""fjmnijfljaoenghofncmjikccfjdaldg"",")</f>
        <v>"fjmnijfljaoenghofncmjikccfjdaldg",</v>
      </c>
    </row>
    <row r="4191">
      <c r="A4191" s="4" t="s">
        <v>23370</v>
      </c>
      <c r="B4191" s="4" t="s">
        <v>8348</v>
      </c>
      <c r="C4191" s="16" t="str">
        <f>IFERROR(__xludf.DUMMYFUNCTION(""""""""" &amp; REGEXEXTRACT(B4191, ""/detail/([^/?]+)"") &amp; """""","""),"""fjmoemhemaejfjodjgnpkelbdgejnpgd"",")</f>
        <v>"fjmoemhemaejfjodjgnpkelbdgejnpgd",</v>
      </c>
    </row>
    <row r="4192">
      <c r="A4192" s="4" t="s">
        <v>23371</v>
      </c>
      <c r="B4192" s="4" t="s">
        <v>8350</v>
      </c>
      <c r="C4192" s="16" t="str">
        <f>IFERROR(__xludf.DUMMYFUNCTION(""""""""" &amp; REGEXEXTRACT(B4192, ""/detail/([^/?]+)"") &amp; """""","""),"""fjnapmokjlagcbibhioepcfijehhlbpj"",")</f>
        <v>"fjnapmokjlagcbibhioepcfijehhlbpj",</v>
      </c>
    </row>
    <row r="4193">
      <c r="A4193" s="4" t="s">
        <v>23372</v>
      </c>
      <c r="B4193" s="4" t="s">
        <v>8352</v>
      </c>
      <c r="C4193" s="16" t="str">
        <f>IFERROR(__xludf.DUMMYFUNCTION(""""""""" &amp; REGEXEXTRACT(B4193, ""/detail/([^/?]+)"") &amp; """""","""),"""fjnfifedbeeeibikgpggddmfbaeccaoh"",")</f>
        <v>"fjnfifedbeeeibikgpggddmfbaeccaoh",</v>
      </c>
    </row>
    <row r="4194">
      <c r="A4194" s="4" t="s">
        <v>23373</v>
      </c>
      <c r="B4194" s="4" t="s">
        <v>8354</v>
      </c>
      <c r="C4194" s="16" t="str">
        <f>IFERROR(__xludf.DUMMYFUNCTION(""""""""" &amp; REGEXEXTRACT(B4194, ""/detail/([^/?]+)"") &amp; """""","""),"""fkgnekciniccjnacbafpgepgdngeapbb"",")</f>
        <v>"fkgnekciniccjnacbafpgepgdngeapbb",</v>
      </c>
    </row>
    <row r="4195">
      <c r="A4195" s="4" t="s">
        <v>23374</v>
      </c>
      <c r="B4195" s="4" t="s">
        <v>8356</v>
      </c>
      <c r="C4195" s="16" t="str">
        <f>IFERROR(__xludf.DUMMYFUNCTION(""""""""" &amp; REGEXEXTRACT(B4195, ""/detail/([^/?]+)"") &amp; """""","""),"""fkjidelplakiboijmadcpcbpboihkmee"",")</f>
        <v>"fkjidelplakiboijmadcpcbpboihkmee",</v>
      </c>
    </row>
    <row r="4196">
      <c r="A4196" s="4" t="s">
        <v>23375</v>
      </c>
      <c r="B4196" s="4" t="s">
        <v>8358</v>
      </c>
      <c r="C4196" s="16" t="str">
        <f>IFERROR(__xludf.DUMMYFUNCTION(""""""""" &amp; REGEXEXTRACT(B4196, ""/detail/([^/?]+)"") &amp; """""","""),"""fkmojdpmdmdmeohmebiejjclmegkalli"",")</f>
        <v>"fkmojdpmdmdmeohmebiejjclmegkalli",</v>
      </c>
    </row>
    <row r="4197">
      <c r="A4197" s="4" t="s">
        <v>23376</v>
      </c>
      <c r="B4197" s="4" t="s">
        <v>8360</v>
      </c>
      <c r="C4197" s="16" t="str">
        <f>IFERROR(__xludf.DUMMYFUNCTION(""""""""" &amp; REGEXEXTRACT(B4197, ""/detail/([^/?]+)"") &amp; """""","""),"""flhghpihapijancfhnicbnjifdodohpi"",")</f>
        <v>"flhghpihapijancfhnicbnjifdodohpi",</v>
      </c>
    </row>
    <row r="4198">
      <c r="A4198" s="4" t="s">
        <v>23377</v>
      </c>
      <c r="B4198" s="4" t="s">
        <v>8362</v>
      </c>
      <c r="C4198" s="16" t="str">
        <f>IFERROR(__xludf.DUMMYFUNCTION(""""""""" &amp; REGEXEXTRACT(B4198, ""/detail/([^/?]+)"") &amp; """""","""),"""fllomkdgoahjlgcblpldnpjcilipjelp"",")</f>
        <v>"fllomkdgoahjlgcblpldnpjcilipjelp",</v>
      </c>
    </row>
    <row r="4199">
      <c r="A4199" s="4" t="s">
        <v>23378</v>
      </c>
      <c r="B4199" s="4" t="s">
        <v>8364</v>
      </c>
      <c r="C4199" s="16" t="str">
        <f>IFERROR(__xludf.DUMMYFUNCTION(""""""""" &amp; REGEXEXTRACT(B4199, ""/detail/([^/?]+)"") &amp; """""","""),"""flmfagndkngjknjjcoejaihmibcfcjdh"",")</f>
        <v>"flmfagndkngjknjjcoejaihmibcfcjdh",</v>
      </c>
    </row>
    <row r="4200">
      <c r="A4200" s="4" t="s">
        <v>23379</v>
      </c>
      <c r="B4200" s="4" t="s">
        <v>8366</v>
      </c>
      <c r="C4200" s="16" t="str">
        <f>IFERROR(__xludf.DUMMYFUNCTION(""""""""" &amp; REGEXEXTRACT(B4200, ""/detail/([^/?]+)"") &amp; """""","""),"""fmdigckemedcngcmnkjkcjimcihmogdc"",")</f>
        <v>"fmdigckemedcngcmnkjkcjimcihmogdc",</v>
      </c>
    </row>
    <row r="4201">
      <c r="A4201" s="4" t="s">
        <v>23380</v>
      </c>
      <c r="B4201" s="4" t="s">
        <v>8368</v>
      </c>
      <c r="C4201" s="16" t="str">
        <f>IFERROR(__xludf.DUMMYFUNCTION(""""""""" &amp; REGEXEXTRACT(B4201, ""/detail/([^/?]+)"") &amp; """""","""),"""fmecikjllhmgphepkbjdbngfedfiiabf"",")</f>
        <v>"fmecikjllhmgphepkbjdbngfedfiiabf",</v>
      </c>
    </row>
    <row r="4202">
      <c r="A4202" s="4" t="s">
        <v>23381</v>
      </c>
      <c r="B4202" s="4" t="s">
        <v>8370</v>
      </c>
      <c r="C4202" s="16" t="str">
        <f>IFERROR(__xludf.DUMMYFUNCTION(""""""""" &amp; REGEXEXTRACT(B4202, ""/detail/([^/?]+)"") &amp; """""","""),"""fmffbkdjpleccffeakmpdkinffkahbgb"",")</f>
        <v>"fmffbkdjpleccffeakmpdkinffkahbgb",</v>
      </c>
    </row>
    <row r="4203">
      <c r="A4203" s="4" t="s">
        <v>23382</v>
      </c>
      <c r="B4203" s="4" t="s">
        <v>8372</v>
      </c>
      <c r="C4203" s="16" t="str">
        <f>IFERROR(__xludf.DUMMYFUNCTION(""""""""" &amp; REGEXEXTRACT(B4203, ""/detail/([^/?]+)"") &amp; """""","""),"""fmnbendpgeigfbbggclcongjkmpjnina"",")</f>
        <v>"fmnbendpgeigfbbggclcongjkmpjnina",</v>
      </c>
    </row>
    <row r="4204">
      <c r="A4204" s="4" t="s">
        <v>23383</v>
      </c>
      <c r="B4204" s="4" t="s">
        <v>8374</v>
      </c>
      <c r="C4204" s="16" t="str">
        <f>IFERROR(__xludf.DUMMYFUNCTION(""""""""" &amp; REGEXEXTRACT(B4204, ""/detail/([^/?]+)"") &amp; """""","""),"""fniphkhigniidpeeogcnmhgcnhfnajbo"",")</f>
        <v>"fniphkhigniidpeeogcnmhgcnhfnajbo",</v>
      </c>
    </row>
    <row r="4205">
      <c r="A4205" s="4" t="s">
        <v>23384</v>
      </c>
      <c r="B4205" s="4" t="s">
        <v>8376</v>
      </c>
      <c r="C4205" s="16" t="str">
        <f>IFERROR(__xludf.DUMMYFUNCTION(""""""""" &amp; REGEXEXTRACT(B4205, ""/detail/([^/?]+)"") &amp; """""","""),"""fnmgefajmfpflnopkgeodcbfkgpkbcaa"",")</f>
        <v>"fnmgefajmfpflnopkgeodcbfkgpkbcaa",</v>
      </c>
    </row>
    <row r="4206">
      <c r="A4206" s="4" t="s">
        <v>23385</v>
      </c>
      <c r="B4206" s="4" t="s">
        <v>8378</v>
      </c>
      <c r="C4206" s="16" t="str">
        <f>IFERROR(__xludf.DUMMYFUNCTION(""""""""" &amp; REGEXEXTRACT(B4206, ""/detail/([^/?]+)"") &amp; """""","""),"""focmpdmaogbbmkdcdnofaifpkmcbmfdp"",")</f>
        <v>"focmpdmaogbbmkdcdnofaifpkmcbmfdp",</v>
      </c>
    </row>
    <row r="4207">
      <c r="A4207" s="4" t="s">
        <v>23386</v>
      </c>
      <c r="B4207" s="4" t="s">
        <v>8380</v>
      </c>
      <c r="C4207" s="16" t="str">
        <f>IFERROR(__xludf.DUMMYFUNCTION(""""""""" &amp; REGEXEXTRACT(B4207, ""/detail/([^/?]+)"") &amp; """""","""),"""foieejideloffcogfliehljobfocglfc"",")</f>
        <v>"foieejideloffcogfliehljobfocglfc",</v>
      </c>
    </row>
    <row r="4208">
      <c r="A4208" s="4" t="s">
        <v>23387</v>
      </c>
      <c r="B4208" s="4" t="s">
        <v>8382</v>
      </c>
      <c r="C4208" s="16" t="str">
        <f>IFERROR(__xludf.DUMMYFUNCTION(""""""""" &amp; REGEXEXTRACT(B4208, ""/detail/([^/?]+)"") &amp; """""","""),"""fojocjhjjckpokddghpfadcgeldkfafn"",")</f>
        <v>"fojocjhjjckpokddghpfadcgeldkfafn",</v>
      </c>
    </row>
    <row r="4209">
      <c r="A4209" s="4" t="s">
        <v>23388</v>
      </c>
      <c r="B4209" s="4" t="s">
        <v>8384</v>
      </c>
      <c r="C4209" s="16" t="str">
        <f>IFERROR(__xludf.DUMMYFUNCTION(""""""""" &amp; REGEXEXTRACT(B4209, ""/detail/([^/?]+)"") &amp; """""","""),"""fomomdfamkmilpipcbnapeiegbiadbic"",")</f>
        <v>"fomomdfamkmilpipcbnapeiegbiadbic",</v>
      </c>
    </row>
    <row r="4210">
      <c r="A4210" s="10" t="s">
        <v>23389</v>
      </c>
      <c r="B4210" s="4" t="s">
        <v>8386</v>
      </c>
      <c r="C4210" s="16" t="str">
        <f>IFERROR(__xludf.DUMMYFUNCTION(""""""""" &amp; REGEXEXTRACT(B4210, ""/detail/([^/?]+)"") &amp; """""","""),"""fpaofkicpfiiifjpmkcadjpedlohpgep"",")</f>
        <v>"fpaofkicpfiiifjpmkcadjpedlohpgep",</v>
      </c>
    </row>
    <row r="4211">
      <c r="A4211" s="4" t="s">
        <v>23390</v>
      </c>
      <c r="B4211" s="4" t="s">
        <v>8388</v>
      </c>
      <c r="C4211" s="16" t="str">
        <f>IFERROR(__xludf.DUMMYFUNCTION(""""""""" &amp; REGEXEXTRACT(B4211, ""/detail/([^/?]+)"") &amp; """""","""),"""fpbbmgkekkdgipkngmlgcfgadhnapdle"",")</f>
        <v>"fpbbmgkekkdgipkngmlgcfgadhnapdle",</v>
      </c>
    </row>
    <row r="4212">
      <c r="A4212" s="4" t="s">
        <v>23391</v>
      </c>
      <c r="B4212" s="4" t="s">
        <v>8390</v>
      </c>
      <c r="C4212" s="16" t="str">
        <f>IFERROR(__xludf.DUMMYFUNCTION(""""""""" &amp; REGEXEXTRACT(B4212, ""/detail/([^/?]+)"") &amp; """""","""),"""fpeemclhojbkjkamiinkplghgkhddcgc"",")</f>
        <v>"fpeemclhojbkjkamiinkplghgkhddcgc",</v>
      </c>
    </row>
    <row r="4213">
      <c r="A4213" s="4" t="s">
        <v>23392</v>
      </c>
      <c r="B4213" s="4" t="s">
        <v>8392</v>
      </c>
      <c r="C4213" s="16" t="str">
        <f>IFERROR(__xludf.DUMMYFUNCTION(""""""""" &amp; REGEXEXTRACT(B4213, ""/detail/([^/?]+)"") &amp; """""","""),"""gaahlcaciakkdkggcjhdhlhgfdblabec"",")</f>
        <v>"gaahlcaciakkdkggcjhdhlhgfdblabec",</v>
      </c>
    </row>
    <row r="4214">
      <c r="A4214" s="4" t="s">
        <v>23393</v>
      </c>
      <c r="B4214" s="4" t="s">
        <v>8394</v>
      </c>
      <c r="C4214" s="16" t="str">
        <f>IFERROR(__xludf.DUMMYFUNCTION(""""""""" &amp; REGEXEXTRACT(B4214, ""/detail/([^/?]+)"") &amp; """""","""),"""gadbenpggeagjgnameagcpjnjdlckkpb"",")</f>
        <v>"gadbenpggeagjgnameagcpjnjdlckkpb",</v>
      </c>
    </row>
    <row r="4215">
      <c r="A4215" s="4" t="s">
        <v>23394</v>
      </c>
      <c r="B4215" s="4" t="s">
        <v>8396</v>
      </c>
      <c r="C4215" s="16" t="str">
        <f>IFERROR(__xludf.DUMMYFUNCTION(""""""""" &amp; REGEXEXTRACT(B4215, ""/detail/([^/?]+)"") &amp; """""","""),"""gadkijfpineeapfidmlddbaiemjigpdb"",")</f>
        <v>"gadkijfpineeapfidmlddbaiemjigpdb",</v>
      </c>
    </row>
    <row r="4216">
      <c r="A4216" s="4" t="s">
        <v>23395</v>
      </c>
      <c r="B4216" s="4" t="s">
        <v>8398</v>
      </c>
      <c r="C4216" s="16" t="str">
        <f>IFERROR(__xludf.DUMMYFUNCTION(""""""""" &amp; REGEXEXTRACT(B4216, ""/detail/([^/?]+)"") &amp; """""","""),"""gafcchglbfbajijlhhcnklpdcljldhlk"",")</f>
        <v>"gafcchglbfbajijlhhcnklpdcljldhlk",</v>
      </c>
    </row>
    <row r="4217">
      <c r="A4217" s="4" t="s">
        <v>23396</v>
      </c>
      <c r="B4217" s="4" t="s">
        <v>8400</v>
      </c>
      <c r="C4217" s="16" t="str">
        <f>IFERROR(__xludf.DUMMYFUNCTION(""""""""" &amp; REGEXEXTRACT(B4217, ""/detail/([^/?]+)"") &amp; """""","""),"""gahbhdbjjomehdmbjielhoflcmnecief"",")</f>
        <v>"gahbhdbjjomehdmbjielhoflcmnecief",</v>
      </c>
    </row>
    <row r="4218">
      <c r="A4218" s="4" t="s">
        <v>23397</v>
      </c>
      <c r="B4218" s="4" t="s">
        <v>8402</v>
      </c>
      <c r="C4218" s="16" t="str">
        <f>IFERROR(__xludf.DUMMYFUNCTION(""""""""" &amp; REGEXEXTRACT(B4218, ""/detail/([^/?]+)"") &amp; """""","""),"""gaodmenekccdomeicdoldgdpcemlgiag"",")</f>
        <v>"gaodmenekccdomeicdoldgdpcemlgiag",</v>
      </c>
    </row>
    <row r="4219">
      <c r="A4219" s="4" t="s">
        <v>23398</v>
      </c>
      <c r="B4219" s="4" t="s">
        <v>8404</v>
      </c>
      <c r="C4219" s="16" t="str">
        <f>IFERROR(__xludf.DUMMYFUNCTION(""""""""" &amp; REGEXEXTRACT(B4219, ""/detail/([^/?]+)"") &amp; """""","""),"""gaojaekjdcfbdfiiggmklaocglaknnkd"",")</f>
        <v>"gaojaekjdcfbdfiiggmklaocglaknnkd",</v>
      </c>
    </row>
    <row r="4220">
      <c r="A4220" s="4" t="s">
        <v>23399</v>
      </c>
      <c r="B4220" s="4" t="s">
        <v>8406</v>
      </c>
      <c r="C4220" s="16" t="str">
        <f>IFERROR(__xludf.DUMMYFUNCTION(""""""""" &amp; REGEXEXTRACT(B4220, ""/detail/([^/?]+)"") &amp; """""","""),"""gbkddinkjahdfhaiifploahejhmaaeoa"",")</f>
        <v>"gbkddinkjahdfhaiifploahejhmaaeoa",</v>
      </c>
    </row>
    <row r="4221">
      <c r="A4221" s="4" t="s">
        <v>23400</v>
      </c>
      <c r="B4221" s="4" t="s">
        <v>8408</v>
      </c>
      <c r="C4221" s="16" t="str">
        <f>IFERROR(__xludf.DUMMYFUNCTION(""""""""" &amp; REGEXEXTRACT(B4221, ""/detail/([^/?]+)"") &amp; """""","""),"""gblkogokfmmijbaimilacehnjajkenmc"",")</f>
        <v>"gblkogokfmmijbaimilacehnjajkenmc",</v>
      </c>
    </row>
    <row r="4222">
      <c r="A4222" s="4" t="s">
        <v>23401</v>
      </c>
      <c r="B4222" s="4" t="s">
        <v>8410</v>
      </c>
      <c r="C4222" s="16" t="str">
        <f>IFERROR(__xludf.DUMMYFUNCTION(""""""""" &amp; REGEXEXTRACT(B4222, ""/detail/([^/?]+)"") &amp; """""","""),"""gbloepphddjkabijnjhaplhhamkmkmik"",")</f>
        <v>"gbloepphddjkabijnjhaplhhamkmkmik",</v>
      </c>
    </row>
    <row r="4223">
      <c r="A4223" s="4" t="s">
        <v>23402</v>
      </c>
      <c r="B4223" s="4" t="s">
        <v>8412</v>
      </c>
      <c r="C4223" s="16" t="str">
        <f>IFERROR(__xludf.DUMMYFUNCTION(""""""""" &amp; REGEXEXTRACT(B4223, ""/detail/([^/?]+)"") &amp; """""","""),"""gcagclbpmooihllccniifbdekfeneebm"",")</f>
        <v>"gcagclbpmooihllccniifbdekfeneebm",</v>
      </c>
    </row>
    <row r="4224">
      <c r="A4224" s="4" t="s">
        <v>23403</v>
      </c>
      <c r="B4224" s="4" t="s">
        <v>8414</v>
      </c>
      <c r="C4224" s="16" t="str">
        <f>IFERROR(__xludf.DUMMYFUNCTION(""""""""" &amp; REGEXEXTRACT(B4224, ""/detail/([^/?]+)"") &amp; """""","""),"""gcgdpgjockahmkhjgcfidmlahiicmagj"",")</f>
        <v>"gcgdpgjockahmkhjgcfidmlahiicmagj",</v>
      </c>
    </row>
    <row r="4225">
      <c r="A4225" s="4" t="s">
        <v>23404</v>
      </c>
      <c r="B4225" s="4" t="s">
        <v>8416</v>
      </c>
      <c r="C4225" s="16" t="str">
        <f>IFERROR(__xludf.DUMMYFUNCTION(""""""""" &amp; REGEXEXTRACT(B4225, ""/detail/([^/?]+)"") &amp; """""","""),"""gcknejnpflbcggigdinhahgngfhaomik"",")</f>
        <v>"gcknejnpflbcggigdinhahgngfhaomik",</v>
      </c>
    </row>
    <row r="4226">
      <c r="A4226" s="4" t="s">
        <v>23405</v>
      </c>
      <c r="B4226" s="4" t="s">
        <v>8418</v>
      </c>
      <c r="C4226" s="16" t="str">
        <f>IFERROR(__xludf.DUMMYFUNCTION(""""""""" &amp; REGEXEXTRACT(B4226, ""/detail/([^/?]+)"") &amp; """""","""),"""gcmjpicopfkgmjdomahfjkmhpcelklba"",")</f>
        <v>"gcmjpicopfkgmjdomahfjkmhpcelklba",</v>
      </c>
    </row>
    <row r="4227">
      <c r="A4227" s="4" t="s">
        <v>23406</v>
      </c>
      <c r="B4227" s="4" t="s">
        <v>8420</v>
      </c>
      <c r="C4227" s="16" t="str">
        <f>IFERROR(__xludf.DUMMYFUNCTION(""""""""" &amp; REGEXEXTRACT(B4227, ""/detail/([^/?]+)"") &amp; """""","""),"""gddhicbfkbaeciiogipbgjdmkjdfanng"",")</f>
        <v>"gddhicbfkbaeciiogipbgjdmkjdfanng",</v>
      </c>
    </row>
    <row r="4228">
      <c r="A4228" s="4" t="s">
        <v>23407</v>
      </c>
      <c r="B4228" s="4" t="s">
        <v>8422</v>
      </c>
      <c r="C4228" s="16" t="str">
        <f>IFERROR(__xludf.DUMMYFUNCTION(""""""""" &amp; REGEXEXTRACT(B4228, ""/detail/([^/?]+)"") &amp; """""","""),"""gdimodggclcfachocbnfnciifajkmfpc"",")</f>
        <v>"gdimodggclcfachocbnfnciifajkmfpc",</v>
      </c>
    </row>
    <row r="4229">
      <c r="A4229" s="4" t="s">
        <v>23408</v>
      </c>
      <c r="B4229" s="4" t="s">
        <v>8424</v>
      </c>
      <c r="C4229" s="16" t="str">
        <f>IFERROR(__xludf.DUMMYFUNCTION(""""""""" &amp; REGEXEXTRACT(B4229, ""/detail/([^/?]+)"") &amp; """""","""),"""gedlidghoggkjjbjjfklaljpcfioikho"",")</f>
        <v>"gedlidghoggkjjbjjfklaljpcfioikho",</v>
      </c>
    </row>
    <row r="4230">
      <c r="A4230" s="4" t="s">
        <v>23409</v>
      </c>
      <c r="B4230" s="4" t="s">
        <v>8426</v>
      </c>
      <c r="C4230" s="16" t="str">
        <f>IFERROR(__xludf.DUMMYFUNCTION(""""""""" &amp; REGEXEXTRACT(B4230, ""/detail/([^/?]+)"") &amp; """""","""),"""gegegmbnpdigalgfkegjgnfcpmolijdg"",")</f>
        <v>"gegegmbnpdigalgfkegjgnfcpmolijdg",</v>
      </c>
    </row>
    <row r="4231">
      <c r="A4231" s="4" t="s">
        <v>23410</v>
      </c>
      <c r="B4231" s="4" t="s">
        <v>8428</v>
      </c>
      <c r="C4231" s="16" t="str">
        <f>IFERROR(__xludf.DUMMYFUNCTION(""""""""" &amp; REGEXEXTRACT(B4231, ""/detail/([^/?]+)"") &amp; """""","""),"""gegndkiddfjlkjkeahlajekmamjgpngl"",")</f>
        <v>"gegndkiddfjlkjkeahlajekmamjgpngl",</v>
      </c>
    </row>
    <row r="4232">
      <c r="A4232" s="4" t="s">
        <v>23411</v>
      </c>
      <c r="B4232" s="4" t="s">
        <v>8430</v>
      </c>
      <c r="C4232" s="16" t="str">
        <f>IFERROR(__xludf.DUMMYFUNCTION(""""""""" &amp; REGEXEXTRACT(B4232, ""/detail/([^/?]+)"") &amp; """""","""),"""gelkllafbnhilefggkgjgjanooclhddn"",")</f>
        <v>"gelkllafbnhilefggkgjgjanooclhddn",</v>
      </c>
    </row>
    <row r="4233">
      <c r="A4233" s="4" t="s">
        <v>23412</v>
      </c>
      <c r="B4233" s="4" t="s">
        <v>8432</v>
      </c>
      <c r="C4233" s="16" t="str">
        <f>IFERROR(__xludf.DUMMYFUNCTION(""""""""" &amp; REGEXEXTRACT(B4233, ""/detail/([^/?]+)"") &amp; """""","""),"""genocmfcloockjjgkdgifiabfampcgif"",")</f>
        <v>"genocmfcloockjjgkdgifiabfampcgif",</v>
      </c>
    </row>
    <row r="4234">
      <c r="A4234" s="4" t="s">
        <v>23413</v>
      </c>
      <c r="B4234" s="4" t="s">
        <v>8434</v>
      </c>
      <c r="C4234" s="16" t="str">
        <f>IFERROR(__xludf.DUMMYFUNCTION(""""""""" &amp; REGEXEXTRACT(B4234, ""/detail/([^/?]+)"") &amp; """""","""),"""gfefaehopggffjmpodfdplcjkjbmlpnc"",")</f>
        <v>"gfefaehopggffjmpodfdplcjkjbmlpnc",</v>
      </c>
    </row>
    <row r="4235">
      <c r="A4235" s="4" t="s">
        <v>23414</v>
      </c>
      <c r="B4235" s="4" t="s">
        <v>8436</v>
      </c>
      <c r="C4235" s="16" t="str">
        <f>IFERROR(__xludf.DUMMYFUNCTION(""""""""" &amp; REGEXEXTRACT(B4235, ""/detail/([^/?]+)"") &amp; """""","""),"""gfibffekgcmgabbfaibbbcapgnfobnoi"",")</f>
        <v>"gfibffekgcmgabbfaibbbcapgnfobnoi",</v>
      </c>
    </row>
    <row r="4236">
      <c r="A4236" s="4" t="s">
        <v>23415</v>
      </c>
      <c r="B4236" s="4" t="s">
        <v>8438</v>
      </c>
      <c r="C4236" s="16" t="str">
        <f>IFERROR(__xludf.DUMMYFUNCTION(""""""""" &amp; REGEXEXTRACT(B4236, ""/detail/([^/?]+)"") &amp; """""","""),"""gfmeadbjkfhkeklgaomifcaihbhpeido"",")</f>
        <v>"gfmeadbjkfhkeklgaomifcaihbhpeido",</v>
      </c>
    </row>
    <row r="4237">
      <c r="A4237" s="4" t="s">
        <v>23416</v>
      </c>
      <c r="B4237" s="4" t="s">
        <v>8440</v>
      </c>
      <c r="C4237" s="16" t="str">
        <f>IFERROR(__xludf.DUMMYFUNCTION(""""""""" &amp; REGEXEXTRACT(B4237, ""/detail/([^/?]+)"") &amp; """""","""),"""gfmlilhophdchbdmihgdiphkkeeepecj"",")</f>
        <v>"gfmlilhophdchbdmihgdiphkkeeepecj",</v>
      </c>
    </row>
    <row r="4238">
      <c r="A4238" s="4" t="s">
        <v>23417</v>
      </c>
      <c r="B4238" s="4" t="s">
        <v>8442</v>
      </c>
      <c r="C4238" s="16" t="str">
        <f>IFERROR(__xludf.DUMMYFUNCTION(""""""""" &amp; REGEXEXTRACT(B4238, ""/detail/([^/?]+)"") &amp; """""","""),"""gfobbobglfbphfkaeifonggijdmdgiaa"",")</f>
        <v>"gfobbobglfbphfkaeifonggijdmdgiaa",</v>
      </c>
    </row>
    <row r="4239">
      <c r="A4239" s="4" t="s">
        <v>23418</v>
      </c>
      <c r="B4239" s="4" t="s">
        <v>8444</v>
      </c>
      <c r="C4239" s="16" t="str">
        <f>IFERROR(__xludf.DUMMYFUNCTION(""""""""" &amp; REGEXEXTRACT(B4239, ""/detail/([^/?]+)"") &amp; """""","""),"""ggeclmklnppbanapfalngfepijekjpki"",")</f>
        <v>"ggeclmklnppbanapfalngfepijekjpki",</v>
      </c>
    </row>
    <row r="4240">
      <c r="A4240" s="4" t="s">
        <v>23419</v>
      </c>
      <c r="B4240" s="4" t="s">
        <v>8446</v>
      </c>
      <c r="C4240" s="16" t="str">
        <f>IFERROR(__xludf.DUMMYFUNCTION(""""""""" &amp; REGEXEXTRACT(B4240, ""/detail/([^/?]+)"") &amp; """""","""),"""gghbihjmlhobaiedlbhcaellinkmlogj"",")</f>
        <v>"gghbihjmlhobaiedlbhcaellinkmlogj",</v>
      </c>
    </row>
    <row r="4241">
      <c r="A4241" s="4" t="s">
        <v>23420</v>
      </c>
      <c r="B4241" s="4" t="s">
        <v>8448</v>
      </c>
      <c r="C4241" s="16" t="str">
        <f>IFERROR(__xludf.DUMMYFUNCTION(""""""""" &amp; REGEXEXTRACT(B4241, ""/detail/([^/?]+)"") &amp; """""","""),"""ggjfmmgmhdopapbclggmlhjdepljpmha"",")</f>
        <v>"ggjfmmgmhdopapbclggmlhjdepljpmha",</v>
      </c>
    </row>
    <row r="4242">
      <c r="A4242" s="4" t="s">
        <v>23421</v>
      </c>
      <c r="B4242" s="4" t="s">
        <v>8450</v>
      </c>
      <c r="C4242" s="16" t="str">
        <f>IFERROR(__xludf.DUMMYFUNCTION(""""""""" &amp; REGEXEXTRACT(B4242, ""/detail/([^/?]+)"") &amp; """""","""),"""ggkedpioohgmaanpifhldbboibljkdmp"",")</f>
        <v>"ggkedpioohgmaanpifhldbboibljkdmp",</v>
      </c>
    </row>
    <row r="4243">
      <c r="A4243" s="4" t="s">
        <v>23422</v>
      </c>
      <c r="B4243" s="4" t="s">
        <v>8452</v>
      </c>
      <c r="C4243" s="16" t="str">
        <f>IFERROR(__xludf.DUMMYFUNCTION(""""""""" &amp; REGEXEXTRACT(B4243, ""/detail/([^/?]+)"") &amp; """""","""),"""ggnpgmocgnboafcpdmdojkdaaoddjape"",")</f>
        <v>"ggnpgmocgnboafcpdmdojkdaaoddjape",</v>
      </c>
    </row>
    <row r="4244">
      <c r="A4244" s="4" t="s">
        <v>23423</v>
      </c>
      <c r="B4244" s="4" t="s">
        <v>8454</v>
      </c>
      <c r="C4244" s="16" t="str">
        <f>IFERROR(__xludf.DUMMYFUNCTION(""""""""" &amp; REGEXEXTRACT(B4244, ""/detail/([^/?]+)"") &amp; """""","""),"""ggofbbndaeneibofhcakocmknlcoleaa"",")</f>
        <v>"ggofbbndaeneibofhcakocmknlcoleaa",</v>
      </c>
    </row>
    <row r="4245">
      <c r="A4245" s="4" t="s">
        <v>23424</v>
      </c>
      <c r="B4245" s="4" t="s">
        <v>8456</v>
      </c>
      <c r="C4245" s="16" t="str">
        <f>IFERROR(__xludf.DUMMYFUNCTION(""""""""" &amp; REGEXEXTRACT(B4245, ""/detail/([^/?]+)"") &amp; """""","""),"""ghefodhmgeofnfpbmjlkglokpgomcodc"",")</f>
        <v>"ghefodhmgeofnfpbmjlkglokpgomcodc",</v>
      </c>
    </row>
    <row r="4246">
      <c r="A4246" s="4" t="s">
        <v>23425</v>
      </c>
      <c r="B4246" s="4" t="s">
        <v>8458</v>
      </c>
      <c r="C4246" s="16" t="str">
        <f>IFERROR(__xludf.DUMMYFUNCTION(""""""""" &amp; REGEXEXTRACT(B4246, ""/detail/([^/?]+)"") &amp; """""","""),"""ghfmjkamilolkalibpmokjigalmncfek"",")</f>
        <v>"ghfmjkamilolkalibpmokjigalmncfek",</v>
      </c>
    </row>
    <row r="4247">
      <c r="A4247" s="4" t="s">
        <v>23426</v>
      </c>
      <c r="B4247" s="4" t="s">
        <v>8460</v>
      </c>
      <c r="C4247" s="16" t="str">
        <f>IFERROR(__xludf.DUMMYFUNCTION(""""""""" &amp; REGEXEXTRACT(B4247, ""/detail/([^/?]+)"") &amp; """""","""),"""ghfooiajeobmcfhmajcblmompfdehnli"",")</f>
        <v>"ghfooiajeobmcfhmajcblmompfdehnli",</v>
      </c>
    </row>
    <row r="4248">
      <c r="A4248" s="4" t="s">
        <v>23427</v>
      </c>
      <c r="B4248" s="4" t="s">
        <v>8462</v>
      </c>
      <c r="C4248" s="16" t="str">
        <f>IFERROR(__xludf.DUMMYFUNCTION(""""""""" &amp; REGEXEXTRACT(B4248, ""/detail/([^/?]+)"") &amp; """""","""),"""ghjadbffkapbnlbccfjoljfhgolbofhi"",")</f>
        <v>"ghjadbffkapbnlbccfjoljfhgolbofhi",</v>
      </c>
    </row>
    <row r="4249">
      <c r="A4249" s="4" t="s">
        <v>23428</v>
      </c>
      <c r="B4249" s="4" t="s">
        <v>8464</v>
      </c>
      <c r="C4249" s="16" t="str">
        <f>IFERROR(__xludf.DUMMYFUNCTION(""""""""" &amp; REGEXEXTRACT(B4249, ""/detail/([^/?]+)"") &amp; """""","""),"""gihphjdlkigognnhkankfjcclijhadpe"",")</f>
        <v>"gihphjdlkigognnhkankfjcclijhadpe",</v>
      </c>
    </row>
    <row r="4250">
      <c r="A4250" s="4" t="s">
        <v>23429</v>
      </c>
      <c r="B4250" s="4" t="s">
        <v>8466</v>
      </c>
      <c r="C4250" s="16" t="str">
        <f>IFERROR(__xludf.DUMMYFUNCTION(""""""""" &amp; REGEXEXTRACT(B4250, ""/detail/([^/?]+)"") &amp; """""","""),"""giigiakobnabpjepaocchngobehpbbgb"",")</f>
        <v>"giigiakobnabpjepaocchngobehpbbgb",</v>
      </c>
    </row>
    <row r="4251">
      <c r="A4251" s="4" t="s">
        <v>23430</v>
      </c>
      <c r="B4251" s="4" t="s">
        <v>8468</v>
      </c>
      <c r="C4251" s="16" t="str">
        <f>IFERROR(__xludf.DUMMYFUNCTION(""""""""" &amp; REGEXEXTRACT(B4251, ""/detail/([^/?]+)"") &amp; """""","""),"""gjfkonhifbgbcbdjjggkiibcmljfdfpb"",")</f>
        <v>"gjfkonhifbgbcbdjjggkiibcmljfdfpb",</v>
      </c>
    </row>
    <row r="4252">
      <c r="A4252" s="4" t="s">
        <v>23431</v>
      </c>
      <c r="B4252" s="4" t="s">
        <v>8470</v>
      </c>
      <c r="C4252" s="16" t="str">
        <f>IFERROR(__xludf.DUMMYFUNCTION(""""""""" &amp; REGEXEXTRACT(B4252, ""/detail/([^/?]+)"") &amp; """""","""),"""gjimohgoppopjioaalcikagnlhbhmimo"",")</f>
        <v>"gjimohgoppopjioaalcikagnlhbhmimo",</v>
      </c>
    </row>
    <row r="4253">
      <c r="A4253" s="4" t="s">
        <v>23432</v>
      </c>
      <c r="B4253" s="4" t="s">
        <v>8472</v>
      </c>
      <c r="C4253" s="16" t="str">
        <f>IFERROR(__xludf.DUMMYFUNCTION(""""""""" &amp; REGEXEXTRACT(B4253, ""/detail/([^/?]+)"") &amp; """""","""),"""gjoopnklngamokaeodcngfcfdbomihdd"",")</f>
        <v>"gjoopnklngamokaeodcngfcfdbomihdd",</v>
      </c>
    </row>
    <row r="4254">
      <c r="A4254" s="4" t="s">
        <v>23433</v>
      </c>
      <c r="B4254" s="4" t="s">
        <v>8474</v>
      </c>
      <c r="C4254" s="16" t="str">
        <f>IFERROR(__xludf.DUMMYFUNCTION(""""""""" &amp; REGEXEXTRACT(B4254, ""/detail/([^/?]+)"") &amp; """""","""),"""gjpgpobcdndcdcidmgcmlphbomllapjp"",")</f>
        <v>"gjpgpobcdndcdcidmgcmlphbomllapjp",</v>
      </c>
    </row>
    <row r="4255">
      <c r="A4255" s="4" t="s">
        <v>23434</v>
      </c>
      <c r="B4255" s="4" t="s">
        <v>8476</v>
      </c>
      <c r="C4255" s="16" t="str">
        <f>IFERROR(__xludf.DUMMYFUNCTION(""""""""" &amp; REGEXEXTRACT(B4255, ""/detail/([^/?]+)"") &amp; """""","""),"""gjpkdldojiaeanjdoifmldjdlgflemkl"",")</f>
        <v>"gjpkdldojiaeanjdoifmldjdlgflemkl",</v>
      </c>
    </row>
    <row r="4256">
      <c r="A4256" s="4" t="s">
        <v>23435</v>
      </c>
      <c r="B4256" s="4" t="s">
        <v>8478</v>
      </c>
      <c r="C4256" s="16" t="str">
        <f>IFERROR(__xludf.DUMMYFUNCTION(""""""""" &amp; REGEXEXTRACT(B4256, ""/detail/([^/?]+)"") &amp; """""","""),"""gkgfjfgolebaenhefmjbldmmiiokabni"",")</f>
        <v>"gkgfjfgolebaenhefmjbldmmiiokabni",</v>
      </c>
    </row>
    <row r="4257">
      <c r="A4257" s="4" t="s">
        <v>23436</v>
      </c>
      <c r="B4257" s="4" t="s">
        <v>8480</v>
      </c>
      <c r="C4257" s="16" t="str">
        <f>IFERROR(__xludf.DUMMYFUNCTION(""""""""" &amp; REGEXEXTRACT(B4257, ""/detail/([^/?]+)"") &amp; """""","""),"""gkpaagblehjajcbedipoaipnhclecemn"",")</f>
        <v>"gkpaagblehjajcbedipoaipnhclecemn",</v>
      </c>
    </row>
    <row r="4258">
      <c r="A4258" s="4" t="s">
        <v>23437</v>
      </c>
      <c r="B4258" s="4" t="s">
        <v>8482</v>
      </c>
      <c r="C4258" s="16" t="str">
        <f>IFERROR(__xludf.DUMMYFUNCTION(""""""""" &amp; REGEXEXTRACT(B4258, ""/detail/([^/?]+)"") &amp; """""","""),"""glaicnlmooddlibnipmedfkfjkphoklc"",")</f>
        <v>"glaicnlmooddlibnipmedfkfjkphoklc",</v>
      </c>
    </row>
    <row r="4259">
      <c r="A4259" s="4" t="s">
        <v>23438</v>
      </c>
      <c r="B4259" s="4" t="s">
        <v>8484</v>
      </c>
      <c r="C4259" s="16" t="str">
        <f>IFERROR(__xludf.DUMMYFUNCTION(""""""""" &amp; REGEXEXTRACT(B4259, ""/detail/([^/?]+)"") &amp; """""","""),"""glcfcbpnklnoioicglgeagddedkbfbmk"",")</f>
        <v>"glcfcbpnklnoioicglgeagddedkbfbmk",</v>
      </c>
    </row>
    <row r="4260">
      <c r="A4260" s="4" t="s">
        <v>23439</v>
      </c>
      <c r="B4260" s="4" t="s">
        <v>8486</v>
      </c>
      <c r="C4260" s="16" t="str">
        <f>IFERROR(__xludf.DUMMYFUNCTION(""""""""" &amp; REGEXEXTRACT(B4260, ""/detail/([^/?]+)"") &amp; """""","""),"""gldfiobnglilbkgbbahifeikpngcjmme"",")</f>
        <v>"gldfiobnglilbkgbbahifeikpngcjmme",</v>
      </c>
    </row>
    <row r="4261">
      <c r="A4261" s="4" t="s">
        <v>23440</v>
      </c>
      <c r="B4261" s="4" t="s">
        <v>8488</v>
      </c>
      <c r="C4261" s="16" t="str">
        <f>IFERROR(__xludf.DUMMYFUNCTION(""""""""" &amp; REGEXEXTRACT(B4261, ""/detail/([^/?]+)"") &amp; """""","""),"""glegacjlklaemdoofcoaainnhjcoadfn"",")</f>
        <v>"glegacjlklaemdoofcoaainnhjcoadfn",</v>
      </c>
    </row>
    <row r="4262">
      <c r="A4262" s="4" t="s">
        <v>23441</v>
      </c>
      <c r="B4262" s="4" t="s">
        <v>8490</v>
      </c>
      <c r="C4262" s="16" t="str">
        <f>IFERROR(__xludf.DUMMYFUNCTION(""""""""" &amp; REGEXEXTRACT(B4262, ""/detail/([^/?]+)"") &amp; """""","""),"""glhnfeapdblacaodpihdfcaijfddedec"",")</f>
        <v>"glhnfeapdblacaodpihdfcaijfddedec",</v>
      </c>
    </row>
    <row r="4263">
      <c r="A4263" s="4" t="s">
        <v>23442</v>
      </c>
      <c r="B4263" s="4" t="s">
        <v>8492</v>
      </c>
      <c r="C4263" s="16" t="str">
        <f>IFERROR(__xludf.DUMMYFUNCTION(""""""""" &amp; REGEXEXTRACT(B4263, ""/detail/([^/?]+)"") &amp; """""","""),"""gljdkkichjgocpdmiaachhlfccddcjgb"",")</f>
        <v>"gljdkkichjgocpdmiaachhlfccddcjgb",</v>
      </c>
    </row>
    <row r="4264">
      <c r="A4264" s="4" t="s">
        <v>23443</v>
      </c>
      <c r="B4264" s="4" t="s">
        <v>8494</v>
      </c>
      <c r="C4264" s="16" t="str">
        <f>IFERROR(__xludf.DUMMYFUNCTION(""""""""" &amp; REGEXEXTRACT(B4264, ""/detail/([^/?]+)"") &amp; """""","""),"""glmlgaadcaohdmmpkkllhdkpjbeibond"",")</f>
        <v>"glmlgaadcaohdmmpkkllhdkpjbeibond",</v>
      </c>
    </row>
    <row r="4265">
      <c r="A4265" s="4" t="s">
        <v>23444</v>
      </c>
      <c r="B4265" s="4" t="s">
        <v>8496</v>
      </c>
      <c r="C4265" s="16" t="str">
        <f>IFERROR(__xludf.DUMMYFUNCTION(""""""""" &amp; REGEXEXTRACT(B4265, ""/detail/([^/?]+)"") &amp; """""","""),"""glnajkhggmbljlcafknlkcihcheoankc"",")</f>
        <v>"glnajkhggmbljlcafknlkcihcheoankc",</v>
      </c>
    </row>
    <row r="4266">
      <c r="A4266" s="4" t="s">
        <v>23445</v>
      </c>
      <c r="B4266" s="4" t="s">
        <v>8498</v>
      </c>
      <c r="C4266" s="16" t="str">
        <f>IFERROR(__xludf.DUMMYFUNCTION(""""""""" &amp; REGEXEXTRACT(B4266, ""/detail/([^/?]+)"") &amp; """""","""),"""glnbjmdjpcccpdlckpenknmacmgbecpa"",")</f>
        <v>"glnbjmdjpcccpdlckpenknmacmgbecpa",</v>
      </c>
    </row>
    <row r="4267">
      <c r="A4267" s="4" t="s">
        <v>23446</v>
      </c>
      <c r="B4267" s="4" t="s">
        <v>8500</v>
      </c>
      <c r="C4267" s="16" t="str">
        <f>IFERROR(__xludf.DUMMYFUNCTION(""""""""" &amp; REGEXEXTRACT(B4267, ""/detail/([^/?]+)"") &amp; """""","""),"""glnikkggejkcjnnpjgafjjplofcamkae"",")</f>
        <v>"glnikkggejkcjnnpjgafjjplofcamkae",</v>
      </c>
    </row>
    <row r="4268">
      <c r="A4268" s="4" t="s">
        <v>23447</v>
      </c>
      <c r="B4268" s="4" t="s">
        <v>8502</v>
      </c>
      <c r="C4268" s="16" t="str">
        <f>IFERROR(__xludf.DUMMYFUNCTION(""""""""" &amp; REGEXEXTRACT(B4268, ""/detail/([^/?]+)"") &amp; """""","""),"""gmhecmaeajphjedhdjogmmaakkfainfk"",")</f>
        <v>"gmhecmaeajphjedhdjogmmaakkfainfk",</v>
      </c>
    </row>
    <row r="4269">
      <c r="A4269" s="4" t="s">
        <v>23448</v>
      </c>
      <c r="B4269" s="4" t="s">
        <v>8504</v>
      </c>
      <c r="C4269" s="16" t="str">
        <f>IFERROR(__xludf.DUMMYFUNCTION(""""""""" &amp; REGEXEXTRACT(B4269, ""/detail/([^/?]+)"") &amp; """""","""),"""gmmjfgbacaloikamokicljdicelmdihp"",")</f>
        <v>"gmmjfgbacaloikamokicljdicelmdihp",</v>
      </c>
    </row>
    <row r="4270">
      <c r="A4270" s="4" t="s">
        <v>23449</v>
      </c>
      <c r="B4270" s="4" t="s">
        <v>8506</v>
      </c>
      <c r="C4270" s="16" t="str">
        <f>IFERROR(__xludf.DUMMYFUNCTION(""""""""" &amp; REGEXEXTRACT(B4270, ""/detail/([^/?]+)"") &amp; """""","""),"""gmojcbijaafhccilpieladabaiendmmd"",")</f>
        <v>"gmojcbijaafhccilpieladabaiendmmd",</v>
      </c>
    </row>
    <row r="4271">
      <c r="A4271" s="4" t="s">
        <v>23450</v>
      </c>
      <c r="B4271" s="4" t="s">
        <v>8508</v>
      </c>
      <c r="C4271" s="16" t="str">
        <f>IFERROR(__xludf.DUMMYFUNCTION(""""""""" &amp; REGEXEXTRACT(B4271, ""/detail/([^/?]+)"") &amp; """""","""),"""gndlahfkkmgaanliojbppponkcpohhnm"",")</f>
        <v>"gndlahfkkmgaanliojbppponkcpohhnm",</v>
      </c>
    </row>
    <row r="4272">
      <c r="A4272" s="4" t="s">
        <v>23451</v>
      </c>
      <c r="B4272" s="4" t="s">
        <v>8510</v>
      </c>
      <c r="C4272" s="16" t="str">
        <f>IFERROR(__xludf.DUMMYFUNCTION(""""""""" &amp; REGEXEXTRACT(B4272, ""/detail/([^/?]+)"") &amp; """""","""),"""gnlfpcbhdipbidmkchkjlleppeijclbj"",")</f>
        <v>"gnlfpcbhdipbidmkchkjlleppeijclbj",</v>
      </c>
    </row>
    <row r="4273">
      <c r="A4273" s="4" t="s">
        <v>23452</v>
      </c>
      <c r="B4273" s="4" t="s">
        <v>8512</v>
      </c>
      <c r="C4273" s="16" t="str">
        <f>IFERROR(__xludf.DUMMYFUNCTION(""""""""" &amp; REGEXEXTRACT(B4273, ""/detail/([^/?]+)"") &amp; """""","""),"""gnmjncgndkpfalekfpclgiikaljccpcl"",")</f>
        <v>"gnmjncgndkpfalekfpclgiikaljccpcl",</v>
      </c>
    </row>
    <row r="4274">
      <c r="A4274" s="4" t="s">
        <v>23453</v>
      </c>
      <c r="B4274" s="4" t="s">
        <v>8514</v>
      </c>
      <c r="C4274" s="16" t="str">
        <f>IFERROR(__xludf.DUMMYFUNCTION(""""""""" &amp; REGEXEXTRACT(B4274, ""/detail/([^/?]+)"") &amp; """""","""),"""gnmpjacikebepcldbeiaghdlobpbbnjo"",")</f>
        <v>"gnmpjacikebepcldbeiaghdlobpbbnjo",</v>
      </c>
    </row>
    <row r="4275">
      <c r="A4275" s="4" t="s">
        <v>23454</v>
      </c>
      <c r="B4275" s="4" t="s">
        <v>8516</v>
      </c>
      <c r="C4275" s="16" t="str">
        <f>IFERROR(__xludf.DUMMYFUNCTION(""""""""" &amp; REGEXEXTRACT(B4275, ""/detail/([^/?]+)"") &amp; """""","""),"""goajlbdffkligccnfgibeilhdnnpaead"",")</f>
        <v>"goajlbdffkligccnfgibeilhdnnpaead",</v>
      </c>
    </row>
    <row r="4276">
      <c r="A4276" s="4" t="s">
        <v>23455</v>
      </c>
      <c r="B4276" s="4" t="s">
        <v>8518</v>
      </c>
      <c r="C4276" s="16" t="str">
        <f>IFERROR(__xludf.DUMMYFUNCTION(""""""""" &amp; REGEXEXTRACT(B4276, ""/detail/([^/?]+)"") &amp; """""","""),"""gocmebnobccjiigdnakfmlieghedgdhk"",")</f>
        <v>"gocmebnobccjiigdnakfmlieghedgdhk",</v>
      </c>
    </row>
    <row r="4277">
      <c r="A4277" s="4" t="s">
        <v>23456</v>
      </c>
      <c r="B4277" s="4" t="s">
        <v>8520</v>
      </c>
      <c r="C4277" s="16" t="str">
        <f>IFERROR(__xludf.DUMMYFUNCTION(""""""""" &amp; REGEXEXTRACT(B4277, ""/detail/([^/?]+)"") &amp; """""","""),"""goinehmnmhnoaepodbngfgdgjeibgelh"",")</f>
        <v>"goinehmnmhnoaepodbngfgdgjeibgelh",</v>
      </c>
    </row>
    <row r="4278">
      <c r="A4278" s="4" t="s">
        <v>23457</v>
      </c>
      <c r="B4278" s="4" t="s">
        <v>8522</v>
      </c>
      <c r="C4278" s="16" t="str">
        <f>IFERROR(__xludf.DUMMYFUNCTION(""""""""" &amp; REGEXEXTRACT(B4278, ""/detail/([^/?]+)"") &amp; """""","""),"""gokdopjgopnkdginfdjhpbakchalalfp"",")</f>
        <v>"gokdopjgopnkdginfdjhpbakchalalfp",</v>
      </c>
    </row>
    <row r="4279">
      <c r="A4279" s="4" t="s">
        <v>23458</v>
      </c>
      <c r="B4279" s="4" t="s">
        <v>8524</v>
      </c>
      <c r="C4279" s="16" t="str">
        <f>IFERROR(__xludf.DUMMYFUNCTION(""""""""" &amp; REGEXEXTRACT(B4279, ""/detail/([^/?]+)"") &amp; """""","""),"""gomddcmabinakjildbgfoabbiakfkkfk"",")</f>
        <v>"gomddcmabinakjildbgfoabbiakfkkfk",</v>
      </c>
    </row>
    <row r="4280">
      <c r="A4280" s="4" t="s">
        <v>23459</v>
      </c>
      <c r="B4280" s="4" t="s">
        <v>8526</v>
      </c>
      <c r="C4280" s="16" t="str">
        <f>IFERROR(__xludf.DUMMYFUNCTION(""""""""" &amp; REGEXEXTRACT(B4280, ""/detail/([^/?]+)"") &amp; """""","""),"""gooemkdilmkoeinjobpbmgbogjopbbif"",")</f>
        <v>"gooemkdilmkoeinjobpbmgbogjopbbif",</v>
      </c>
    </row>
    <row r="4281">
      <c r="A4281" s="4" t="s">
        <v>23460</v>
      </c>
      <c r="B4281" s="4" t="s">
        <v>8528</v>
      </c>
      <c r="C4281" s="16" t="str">
        <f>IFERROR(__xludf.DUMMYFUNCTION(""""""""" &amp; REGEXEXTRACT(B4281, ""/detail/([^/?]+)"") &amp; """""","""),"""gpcddccmdcalkmfjicallifmnddihkgp"",")</f>
        <v>"gpcddccmdcalkmfjicallifmnddihkgp",</v>
      </c>
    </row>
    <row r="4282">
      <c r="A4282" s="4" t="s">
        <v>23461</v>
      </c>
      <c r="B4282" s="4" t="s">
        <v>8530</v>
      </c>
      <c r="C4282" s="16" t="str">
        <f>IFERROR(__xludf.DUMMYFUNCTION(""""""""" &amp; REGEXEXTRACT(B4282, ""/detail/([^/?]+)"") &amp; """""","""),"""gpcjjddhdnilcbddlonlfgdbejfboonn"",")</f>
        <v>"gpcjjddhdnilcbddlonlfgdbejfboonn",</v>
      </c>
    </row>
    <row r="4283">
      <c r="A4283" s="4" t="s">
        <v>23462</v>
      </c>
      <c r="B4283" s="4" t="s">
        <v>8532</v>
      </c>
      <c r="C4283" s="16" t="str">
        <f>IFERROR(__xludf.DUMMYFUNCTION(""""""""" &amp; REGEXEXTRACT(B4283, ""/detail/([^/?]+)"") &amp; """""","""),"""gpkimglohcihapifmlbojjpdgeiejcip"",")</f>
        <v>"gpkimglohcihapifmlbojjpdgeiejcip",</v>
      </c>
    </row>
    <row r="4284">
      <c r="A4284" s="4" t="s">
        <v>23463</v>
      </c>
      <c r="B4284" s="4" t="s">
        <v>8534</v>
      </c>
      <c r="C4284" s="16" t="str">
        <f>IFERROR(__xludf.DUMMYFUNCTION(""""""""" &amp; REGEXEXTRACT(B4284, ""/detail/([^/?]+)"") &amp; """""","""),"""gpnjkkgajfmdmbbpadigjlhpkaopfccl"",")</f>
        <v>"gpnjkkgajfmdmbbpadigjlhpkaopfccl",</v>
      </c>
    </row>
    <row r="4285">
      <c r="A4285" s="4" t="s">
        <v>23464</v>
      </c>
      <c r="B4285" s="4" t="s">
        <v>8536</v>
      </c>
      <c r="C4285" s="16" t="str">
        <f>IFERROR(__xludf.DUMMYFUNCTION(""""""""" &amp; REGEXEXTRACT(B4285, ""/detail/([^/?]+)"") &amp; """""","""),"""gppjdeelhcpegjlfgfjnbeljgbcejbmp"",")</f>
        <v>"gppjdeelhcpegjlfgfjnbeljgbcejbmp",</v>
      </c>
    </row>
    <row r="4286">
      <c r="A4286" s="4" t="s">
        <v>23465</v>
      </c>
      <c r="B4286" s="4" t="s">
        <v>8538</v>
      </c>
      <c r="C4286" s="16" t="str">
        <f>IFERROR(__xludf.DUMMYFUNCTION(""""""""" &amp; REGEXEXTRACT(B4286, ""/detail/([^/?]+)"") &amp; """""","""),"""haafcedjaceogpbeopamdmeckgdmldbb"",")</f>
        <v>"haafcedjaceogpbeopamdmeckgdmldbb",</v>
      </c>
    </row>
    <row r="4287">
      <c r="A4287" s="4" t="s">
        <v>23466</v>
      </c>
      <c r="B4287" s="4" t="s">
        <v>8540</v>
      </c>
      <c r="C4287" s="16" t="str">
        <f>IFERROR(__xludf.DUMMYFUNCTION(""""""""" &amp; REGEXEXTRACT(B4287, ""/detail/([^/?]+)"") &amp; """""","""),"""habdalaejnjehgaadeignhbmllkdngpf"",")</f>
        <v>"habdalaejnjehgaadeignhbmllkdngpf",</v>
      </c>
    </row>
    <row r="4288">
      <c r="A4288" s="4" t="s">
        <v>23467</v>
      </c>
      <c r="B4288" s="4" t="s">
        <v>8542</v>
      </c>
      <c r="C4288" s="16" t="str">
        <f>IFERROR(__xludf.DUMMYFUNCTION(""""""""" &amp; REGEXEXTRACT(B4288, ""/detail/([^/?]+)"") &amp; """""","""),"""habonpimjphpdnmcfkaockjnffodikoj"",")</f>
        <v>"habonpimjphpdnmcfkaockjnffodikoj",</v>
      </c>
    </row>
    <row r="4289">
      <c r="A4289" s="4" t="s">
        <v>23468</v>
      </c>
      <c r="B4289" s="4" t="s">
        <v>8544</v>
      </c>
      <c r="C4289" s="16" t="str">
        <f>IFERROR(__xludf.DUMMYFUNCTION(""""""""" &amp; REGEXEXTRACT(B4289, ""/detail/([^/?]+)"") &amp; """""","""),"""hamjjddlcjfininpcaoankggglkblckb"",")</f>
        <v>"hamjjddlcjfininpcaoankggglkblckb",</v>
      </c>
    </row>
    <row r="4290">
      <c r="A4290" s="4" t="s">
        <v>23469</v>
      </c>
      <c r="B4290" s="4" t="s">
        <v>8546</v>
      </c>
      <c r="C4290" s="16" t="str">
        <f>IFERROR(__xludf.DUMMYFUNCTION(""""""""" &amp; REGEXEXTRACT(B4290, ""/detail/([^/?]+)"") &amp; """""","""),"""hapeijdlgbbhjmijhmgggnakcgdcpfap"",")</f>
        <v>"hapeijdlgbbhjmijhmgggnakcgdcpfap",</v>
      </c>
    </row>
    <row r="4291">
      <c r="A4291" s="4" t="s">
        <v>23470</v>
      </c>
      <c r="B4291" s="4" t="s">
        <v>8548</v>
      </c>
      <c r="C4291" s="16" t="str">
        <f>IFERROR(__xludf.DUMMYFUNCTION(""""""""" &amp; REGEXEXTRACT(B4291, ""/detail/([^/?]+)"") &amp; """""","""),"""hbcmpkcpbnecinpngdnfbnknfkdpdfli"",")</f>
        <v>"hbcmpkcpbnecinpngdnfbnknfkdpdfli",</v>
      </c>
    </row>
    <row r="4292">
      <c r="A4292" s="4" t="s">
        <v>23471</v>
      </c>
      <c r="B4292" s="4" t="s">
        <v>8550</v>
      </c>
      <c r="C4292" s="16" t="str">
        <f>IFERROR(__xludf.DUMMYFUNCTION(""""""""" &amp; REGEXEXTRACT(B4292, ""/detail/([^/?]+)"") &amp; """""","""),"""hbcnmbidfinkocndbbchppnnnmlcdocl"",")</f>
        <v>"hbcnmbidfinkocndbbchppnnnmlcdocl",</v>
      </c>
    </row>
    <row r="4293">
      <c r="A4293" s="4" t="s">
        <v>23472</v>
      </c>
      <c r="B4293" s="4" t="s">
        <v>8552</v>
      </c>
      <c r="C4293" s="16" t="str">
        <f>IFERROR(__xludf.DUMMYFUNCTION(""""""""" &amp; REGEXEXTRACT(B4293, ""/detail/([^/?]+)"") &amp; """""","""),"""hbpagabeiphkfhbboacggckhkkipgdmh"",")</f>
        <v>"hbpagabeiphkfhbboacggckhkkipgdmh",</v>
      </c>
    </row>
    <row r="4294">
      <c r="A4294" s="4" t="s">
        <v>23473</v>
      </c>
      <c r="B4294" s="4" t="s">
        <v>8554</v>
      </c>
      <c r="C4294" s="16" t="str">
        <f>IFERROR(__xludf.DUMMYFUNCTION(""""""""" &amp; REGEXEXTRACT(B4294, ""/detail/([^/?]+)"") &amp; """""","""),"""hbplgmpfdabobhnadbfpknppljdfkiia"",")</f>
        <v>"hbplgmpfdabobhnadbfpknppljdfkiia",</v>
      </c>
    </row>
    <row r="4295">
      <c r="A4295" s="4" t="s">
        <v>23474</v>
      </c>
      <c r="B4295" s="4" t="s">
        <v>8556</v>
      </c>
      <c r="C4295" s="16" t="str">
        <f>IFERROR(__xludf.DUMMYFUNCTION(""""""""" &amp; REGEXEXTRACT(B4295, ""/detail/([^/?]+)"") &amp; """""","""),"""hcbifpgnodngojidpmahogbpchlcmjmd"",")</f>
        <v>"hcbifpgnodngojidpmahogbpchlcmjmd",</v>
      </c>
    </row>
    <row r="4296">
      <c r="A4296" s="4" t="s">
        <v>23475</v>
      </c>
      <c r="B4296" s="4" t="s">
        <v>8558</v>
      </c>
      <c r="C4296" s="16" t="str">
        <f>IFERROR(__xludf.DUMMYFUNCTION(""""""""" &amp; REGEXEXTRACT(B4296, ""/detail/([^/?]+)"") &amp; """""","""),"""hcepmnlphdfefjddkgkblcjkbpbpemac"",")</f>
        <v>"hcepmnlphdfefjddkgkblcjkbpbpemac",</v>
      </c>
    </row>
    <row r="4297">
      <c r="A4297" s="4" t="s">
        <v>23476</v>
      </c>
      <c r="B4297" s="4" t="s">
        <v>8560</v>
      </c>
      <c r="C4297" s="16" t="str">
        <f>IFERROR(__xludf.DUMMYFUNCTION(""""""""" &amp; REGEXEXTRACT(B4297, ""/detail/([^/?]+)"") &amp; """""","""),"""hcgieffgpbjghiibedcileaobhopaodg"",")</f>
        <v>"hcgieffgpbjghiibedcileaobhopaodg",</v>
      </c>
    </row>
    <row r="4298">
      <c r="A4298" s="4" t="s">
        <v>23477</v>
      </c>
      <c r="B4298" s="4" t="s">
        <v>8562</v>
      </c>
      <c r="C4298" s="16" t="str">
        <f>IFERROR(__xludf.DUMMYFUNCTION(""""""""" &amp; REGEXEXTRACT(B4298, ""/detail/([^/?]+)"") &amp; """""","""),"""hcllofidbkalfnhfapholimfflgpojdp"",")</f>
        <v>"hcllofidbkalfnhfapholimfflgpojdp",</v>
      </c>
    </row>
    <row r="4299">
      <c r="A4299" s="4" t="s">
        <v>23478</v>
      </c>
      <c r="B4299" s="4" t="s">
        <v>8564</v>
      </c>
      <c r="C4299" s="16" t="str">
        <f>IFERROR(__xludf.DUMMYFUNCTION(""""""""" &amp; REGEXEXTRACT(B4299, ""/detail/([^/?]+)"") &amp; """""","""),"""hcmgcfdnagjkihmgjhbiombjdcgckgnb"",")</f>
        <v>"hcmgcfdnagjkihmgjhbiombjdcgckgnb",</v>
      </c>
    </row>
    <row r="4300">
      <c r="A4300" s="4" t="s">
        <v>23479</v>
      </c>
      <c r="B4300" s="4" t="s">
        <v>8566</v>
      </c>
      <c r="C4300" s="16" t="str">
        <f>IFERROR(__xludf.DUMMYFUNCTION(""""""""" &amp; REGEXEXTRACT(B4300, ""/detail/([^/?]+)"") &amp; """""","""),"""hdbkcjlhppelfoljjhfkgaeffmamkmcb"",")</f>
        <v>"hdbkcjlhppelfoljjhfkgaeffmamkmcb",</v>
      </c>
    </row>
    <row r="4301">
      <c r="A4301" s="4" t="s">
        <v>23480</v>
      </c>
      <c r="B4301" s="4" t="s">
        <v>8568</v>
      </c>
      <c r="C4301" s="16" t="str">
        <f>IFERROR(__xludf.DUMMYFUNCTION(""""""""" &amp; REGEXEXTRACT(B4301, ""/detail/([^/?]+)"") &amp; """""","""),"""hdnbkdgkacokppmmcgbmljaoljkbnell"",")</f>
        <v>"hdnbkdgkacokppmmcgbmljaoljkbnell",</v>
      </c>
    </row>
    <row r="4302">
      <c r="A4302" s="4" t="s">
        <v>23481</v>
      </c>
      <c r="B4302" s="4" t="s">
        <v>8570</v>
      </c>
      <c r="C4302" s="16" t="str">
        <f>IFERROR(__xludf.DUMMYFUNCTION(""""""""" &amp; REGEXEXTRACT(B4302, ""/detail/([^/?]+)"") &amp; """""","""),"""hdoplfhlfoagdghmfamhnakmjjffeila"",")</f>
        <v>"hdoplfhlfoagdghmfamhnakmjjffeila",</v>
      </c>
    </row>
    <row r="4303">
      <c r="A4303" s="4" t="s">
        <v>23482</v>
      </c>
      <c r="B4303" s="4" t="s">
        <v>8572</v>
      </c>
      <c r="C4303" s="16" t="str">
        <f>IFERROR(__xludf.DUMMYFUNCTION(""""""""" &amp; REGEXEXTRACT(B4303, ""/detail/([^/?]+)"") &amp; """""","""),"""healhengajmbpahbgiokccdoemnnlaak"",")</f>
        <v>"healhengajmbpahbgiokccdoemnnlaak",</v>
      </c>
    </row>
    <row r="4304">
      <c r="A4304" s="4" t="s">
        <v>23483</v>
      </c>
      <c r="B4304" s="4" t="s">
        <v>8574</v>
      </c>
      <c r="C4304" s="16" t="str">
        <f>IFERROR(__xludf.DUMMYFUNCTION(""""""""" &amp; REGEXEXTRACT(B4304, ""/detail/([^/?]+)"") &amp; """""","""),"""heephfjhabnjmmeiindjefllheeddogn"",")</f>
        <v>"heephfjhabnjmmeiindjefllheeddogn",</v>
      </c>
    </row>
    <row r="4305">
      <c r="A4305" s="4" t="s">
        <v>23484</v>
      </c>
      <c r="B4305" s="4" t="s">
        <v>8576</v>
      </c>
      <c r="C4305" s="16" t="str">
        <f>IFERROR(__xludf.DUMMYFUNCTION(""""""""" &amp; REGEXEXTRACT(B4305, ""/detail/([^/?]+)"") &amp; """""","""),"""hehejefmdmpijnamjenkjogiamhoahha"",")</f>
        <v>"hehejefmdmpijnamjenkjogiamhoahha",</v>
      </c>
    </row>
    <row r="4306">
      <c r="A4306" s="4" t="s">
        <v>23485</v>
      </c>
      <c r="B4306" s="4" t="s">
        <v>8578</v>
      </c>
      <c r="C4306" s="16" t="str">
        <f>IFERROR(__xludf.DUMMYFUNCTION(""""""""" &amp; REGEXEXTRACT(B4306, ""/detail/([^/?]+)"") &amp; """""","""),"""hemkkjpjknkkndhconammdhlhdkjclim"",")</f>
        <v>"hemkkjpjknkkndhconammdhlhdkjclim",</v>
      </c>
    </row>
    <row r="4307">
      <c r="A4307" s="4" t="s">
        <v>23486</v>
      </c>
      <c r="B4307" s="4" t="s">
        <v>8580</v>
      </c>
      <c r="C4307" s="16" t="str">
        <f>IFERROR(__xludf.DUMMYFUNCTION(""""""""" &amp; REGEXEXTRACT(B4307, ""/detail/([^/?]+)"") &amp; """""","""),"""hfaafepenlpgdjdkhdgdgidipgohdclf"",")</f>
        <v>"hfaafepenlpgdjdkhdgdgidipgohdclf",</v>
      </c>
    </row>
    <row r="4308">
      <c r="A4308" s="4" t="s">
        <v>23487</v>
      </c>
      <c r="B4308" s="4" t="s">
        <v>8582</v>
      </c>
      <c r="C4308" s="16" t="str">
        <f>IFERROR(__xludf.DUMMYFUNCTION(""""""""" &amp; REGEXEXTRACT(B4308, ""/detail/([^/?]+)"") &amp; """""","""),"""hfemgdpfoemphmhakjpcbepaggjmhjci"",")</f>
        <v>"hfemgdpfoemphmhakjpcbepaggjmhjci",</v>
      </c>
    </row>
    <row r="4309">
      <c r="A4309" s="4" t="s">
        <v>23488</v>
      </c>
      <c r="B4309" s="4" t="s">
        <v>8584</v>
      </c>
      <c r="C4309" s="16" t="str">
        <f>IFERROR(__xludf.DUMMYFUNCTION(""""""""" &amp; REGEXEXTRACT(B4309, ""/detail/([^/?]+)"") &amp; """""","""),"""hfiffenhnefppjhloglpebefjlbhoeai"",")</f>
        <v>"hfiffenhnefppjhloglpebefjlbhoeai",</v>
      </c>
    </row>
    <row r="4310">
      <c r="A4310" s="4" t="s">
        <v>23489</v>
      </c>
      <c r="B4310" s="4" t="s">
        <v>8586</v>
      </c>
      <c r="C4310" s="16" t="str">
        <f>IFERROR(__xludf.DUMMYFUNCTION(""""""""" &amp; REGEXEXTRACT(B4310, ""/detail/([^/?]+)"") &amp; """""","""),"""hfkcemahdlffhnlkogfmddikhggegfmg"",")</f>
        <v>"hfkcemahdlffhnlkogfmddikhggegfmg",</v>
      </c>
    </row>
    <row r="4311">
      <c r="A4311" s="4" t="s">
        <v>23490</v>
      </c>
      <c r="B4311" s="4" t="s">
        <v>8588</v>
      </c>
      <c r="C4311" s="16" t="str">
        <f>IFERROR(__xludf.DUMMYFUNCTION(""""""""" &amp; REGEXEXTRACT(B4311, ""/detail/([^/?]+)"") &amp; """""","""),"""hfnkpihhjamocbcmdcjdbbplgjoklmno"",")</f>
        <v>"hfnkpihhjamocbcmdcjdbbplgjoklmno",</v>
      </c>
    </row>
    <row r="4312">
      <c r="A4312" s="4" t="s">
        <v>23491</v>
      </c>
      <c r="B4312" s="4" t="s">
        <v>8590</v>
      </c>
      <c r="C4312" s="16" t="str">
        <f>IFERROR(__xludf.DUMMYFUNCTION(""""""""" &amp; REGEXEXTRACT(B4312, ""/detail/([^/?]+)"") &amp; """""","""),"""hgabmgeiblbaoolibacenpdndiepahkk"",")</f>
        <v>"hgabmgeiblbaoolibacenpdndiepahkk",</v>
      </c>
    </row>
    <row r="4313">
      <c r="A4313" s="4" t="s">
        <v>23492</v>
      </c>
      <c r="B4313" s="4" t="s">
        <v>8592</v>
      </c>
      <c r="C4313" s="16" t="str">
        <f>IFERROR(__xludf.DUMMYFUNCTION(""""""""" &amp; REGEXEXTRACT(B4313, ""/detail/([^/?]+)"") &amp; """""","""),"""hgfcjgkfpcgkpjejigpabfioeghofajm"",")</f>
        <v>"hgfcjgkfpcgkpjejigpabfioeghofajm",</v>
      </c>
    </row>
    <row r="4314">
      <c r="A4314" s="4" t="s">
        <v>23493</v>
      </c>
      <c r="B4314" s="4" t="s">
        <v>8594</v>
      </c>
      <c r="C4314" s="16" t="str">
        <f>IFERROR(__xludf.DUMMYFUNCTION(""""""""" &amp; REGEXEXTRACT(B4314, ""/detail/([^/?]+)"") &amp; """""","""),"""hglehkpfnjjjnihahbhbppiciggfaphh"",")</f>
        <v>"hglehkpfnjjjnihahbhbppiciggfaphh",</v>
      </c>
    </row>
    <row r="4315">
      <c r="A4315" s="4" t="s">
        <v>23494</v>
      </c>
      <c r="B4315" s="4" t="s">
        <v>8596</v>
      </c>
      <c r="C4315" s="16" t="str">
        <f>IFERROR(__xludf.DUMMYFUNCTION(""""""""" &amp; REGEXEXTRACT(B4315, ""/detail/([^/?]+)"") &amp; """""","""),"""hgoiijmhpdjkmecnlkpdcflgfjebpbhe"",")</f>
        <v>"hgoiijmhpdjkmecnlkpdcflgfjebpbhe",</v>
      </c>
    </row>
    <row r="4316">
      <c r="A4316" s="4" t="s">
        <v>23495</v>
      </c>
      <c r="B4316" s="4" t="s">
        <v>8598</v>
      </c>
      <c r="C4316" s="16" t="str">
        <f>IFERROR(__xludf.DUMMYFUNCTION(""""""""" &amp; REGEXEXTRACT(B4316, ""/detail/([^/?]+)"") &amp; """""","""),"""hhcmoefkofcdbfbpgibmffepdgaklppi"",")</f>
        <v>"hhcmoefkofcdbfbpgibmffepdgaklppi",</v>
      </c>
    </row>
    <row r="4317">
      <c r="A4317" s="4" t="s">
        <v>23496</v>
      </c>
      <c r="B4317" s="4" t="s">
        <v>8600</v>
      </c>
      <c r="C4317" s="16" t="str">
        <f>IFERROR(__xludf.DUMMYFUNCTION(""""""""" &amp; REGEXEXTRACT(B4317, ""/detail/([^/?]+)"") &amp; """""","""),"""hicmfobjcbinceoeegookkgllpdgkcdc"",")</f>
        <v>"hicmfobjcbinceoeegookkgllpdgkcdc",</v>
      </c>
    </row>
    <row r="4318">
      <c r="A4318" s="4" t="s">
        <v>23497</v>
      </c>
      <c r="B4318" s="4" t="s">
        <v>8602</v>
      </c>
      <c r="C4318" s="16" t="str">
        <f>IFERROR(__xludf.DUMMYFUNCTION(""""""""" &amp; REGEXEXTRACT(B4318, ""/detail/([^/?]+)"") &amp; """""","""),"""hiekdllknpjfplfdejdbajoahehmkogk"",")</f>
        <v>"hiekdllknpjfplfdejdbajoahehmkogk",</v>
      </c>
    </row>
    <row r="4319">
      <c r="A4319" s="4" t="s">
        <v>23498</v>
      </c>
      <c r="B4319" s="4" t="s">
        <v>8604</v>
      </c>
      <c r="C4319" s="16" t="str">
        <f>IFERROR(__xludf.DUMMYFUNCTION(""""""""" &amp; REGEXEXTRACT(B4319, ""/detail/([^/?]+)"") &amp; """""","""),"""himccccaelhgphommckogopgpddngimf"",")</f>
        <v>"himccccaelhgphommckogopgpddngimf",</v>
      </c>
    </row>
    <row r="4320">
      <c r="A4320" s="4" t="s">
        <v>23499</v>
      </c>
      <c r="B4320" s="4" t="s">
        <v>8606</v>
      </c>
      <c r="C4320" s="16" t="str">
        <f>IFERROR(__xludf.DUMMYFUNCTION(""""""""" &amp; REGEXEXTRACT(B4320, ""/detail/([^/?]+)"") &amp; """""","""),"""himjbijchjdfcpnihaajckmjlignpkmh"",")</f>
        <v>"himjbijchjdfcpnihaajckmjlignpkmh",</v>
      </c>
    </row>
    <row r="4321">
      <c r="A4321" s="4" t="s">
        <v>23500</v>
      </c>
      <c r="B4321" s="4" t="s">
        <v>8608</v>
      </c>
      <c r="C4321" s="16" t="str">
        <f>IFERROR(__xludf.DUMMYFUNCTION(""""""""" &amp; REGEXEXTRACT(B4321, ""/detail/([^/?]+)"") &amp; """""","""),"""hipnhfelcpeakkbodboaekadfleolnbi"",")</f>
        <v>"hipnhfelcpeakkbodboaekadfleolnbi",</v>
      </c>
    </row>
    <row r="4322">
      <c r="A4322" s="4" t="s">
        <v>23501</v>
      </c>
      <c r="B4322" s="4" t="s">
        <v>8610</v>
      </c>
      <c r="C4322" s="16" t="str">
        <f>IFERROR(__xludf.DUMMYFUNCTION(""""""""" &amp; REGEXEXTRACT(B4322, ""/detail/([^/?]+)"") &amp; """""","""),"""hkclahnmhniojcpfpkmolmdknbpnaccp"",")</f>
        <v>"hkclahnmhniojcpfpkmolmdknbpnaccp",</v>
      </c>
    </row>
    <row r="4323">
      <c r="A4323" s="4" t="s">
        <v>23502</v>
      </c>
      <c r="B4323" s="4" t="s">
        <v>8612</v>
      </c>
      <c r="C4323" s="16" t="str">
        <f>IFERROR(__xludf.DUMMYFUNCTION(""""""""" &amp; REGEXEXTRACT(B4323, ""/detail/([^/?]+)"") &amp; """""","""),"""hkglibabhninbjmaccpajiakojeacnaf"",")</f>
        <v>"hkglibabhninbjmaccpajiakojeacnaf",</v>
      </c>
    </row>
    <row r="4324">
      <c r="A4324" s="4" t="s">
        <v>23503</v>
      </c>
      <c r="B4324" s="4" t="s">
        <v>8614</v>
      </c>
      <c r="C4324" s="16" t="str">
        <f>IFERROR(__xludf.DUMMYFUNCTION(""""""""" &amp; REGEXEXTRACT(B4324, ""/detail/([^/?]+)"") &amp; """""","""),"""hkgnleedlgehhehjjjbipfjlceepfkjk"",")</f>
        <v>"hkgnleedlgehhehjjjbipfjlceepfkjk",</v>
      </c>
    </row>
    <row r="4325">
      <c r="A4325" s="4" t="s">
        <v>23504</v>
      </c>
      <c r="B4325" s="4" t="s">
        <v>8616</v>
      </c>
      <c r="C4325" s="16" t="str">
        <f>IFERROR(__xludf.DUMMYFUNCTION(""""""""" &amp; REGEXEXTRACT(B4325, ""/detail/([^/?]+)"") &amp; """""","""),"""hkkgiaikmcbodmomfcadhdgconbijlbh"",")</f>
        <v>"hkkgiaikmcbodmomfcadhdgconbijlbh",</v>
      </c>
    </row>
    <row r="4326">
      <c r="A4326" s="4" t="s">
        <v>23505</v>
      </c>
      <c r="B4326" s="4" t="s">
        <v>8618</v>
      </c>
      <c r="C4326" s="16" t="str">
        <f>IFERROR(__xludf.DUMMYFUNCTION(""""""""" &amp; REGEXEXTRACT(B4326, ""/detail/([^/?]+)"") &amp; """""","""),"""hklcgjcljkpbpkaammpdgajgoejolfmm"",")</f>
        <v>"hklcgjcljkpbpkaammpdgajgoejolfmm",</v>
      </c>
    </row>
    <row r="4327">
      <c r="A4327" s="4" t="s">
        <v>23506</v>
      </c>
      <c r="B4327" s="4" t="s">
        <v>8620</v>
      </c>
      <c r="C4327" s="16" t="str">
        <f>IFERROR(__xludf.DUMMYFUNCTION(""""""""" &amp; REGEXEXTRACT(B4327, ""/detail/([^/?]+)"") &amp; """""","""),"""hlbknenglceebfhkcdbechnidloaphmc"",")</f>
        <v>"hlbknenglceebfhkcdbechnidloaphmc",</v>
      </c>
    </row>
    <row r="4328">
      <c r="A4328" s="4" t="s">
        <v>23507</v>
      </c>
      <c r="B4328" s="4" t="s">
        <v>8621</v>
      </c>
      <c r="C4328" s="16" t="str">
        <f>IFERROR(__xludf.DUMMYFUNCTION(""""""""" &amp; REGEXEXTRACT(B4328, ""/detail/([^/?]+)"") &amp; """""","""),"""hleifpgbhiladknmecmkpgbgfmlnjhoh"",")</f>
        <v>"hleifpgbhiladknmecmkpgbgfmlnjhoh",</v>
      </c>
    </row>
    <row r="4329">
      <c r="A4329" s="4" t="s">
        <v>23508</v>
      </c>
      <c r="B4329" s="4" t="s">
        <v>8623</v>
      </c>
      <c r="C4329" s="16" t="str">
        <f>IFERROR(__xludf.DUMMYFUNCTION(""""""""" &amp; REGEXEXTRACT(B4329, ""/detail/([^/?]+)"") &amp; """""","""),"""hlhoffhnpiiamppijcbelojhpnhpjdcg"",")</f>
        <v>"hlhoffhnpiiamppijcbelojhpnhpjdcg",</v>
      </c>
    </row>
    <row r="4330">
      <c r="A4330" s="4" t="s">
        <v>23509</v>
      </c>
      <c r="B4330" s="4" t="s">
        <v>8625</v>
      </c>
      <c r="C4330" s="16" t="str">
        <f>IFERROR(__xludf.DUMMYFUNCTION(""""""""" &amp; REGEXEXTRACT(B4330, ""/detail/([^/?]+)"") &amp; """""","""),"""hljmjgbejhgcdpjabemfbhdhophhndfd"",")</f>
        <v>"hljmjgbejhgcdpjabemfbhdhophhndfd",</v>
      </c>
    </row>
    <row r="4331">
      <c r="A4331" s="4" t="s">
        <v>23510</v>
      </c>
      <c r="B4331" s="4" t="s">
        <v>8627</v>
      </c>
      <c r="C4331" s="16" t="str">
        <f>IFERROR(__xludf.DUMMYFUNCTION(""""""""" &amp; REGEXEXTRACT(B4331, ""/detail/([^/?]+)"") &amp; """""","""),"""hlnddbinpplgecdbgpmjjcbbcleokmgj"",")</f>
        <v>"hlnddbinpplgecdbgpmjjcbbcleokmgj",</v>
      </c>
    </row>
    <row r="4332">
      <c r="A4332" s="4" t="s">
        <v>23511</v>
      </c>
      <c r="B4332" s="4" t="s">
        <v>8629</v>
      </c>
      <c r="C4332" s="16" t="str">
        <f>IFERROR(__xludf.DUMMYFUNCTION(""""""""" &amp; REGEXEXTRACT(B4332, ""/detail/([^/?]+)"") &amp; """""","""),"""hlpjhlifkgmoibhollggngbbhbejecph"",")</f>
        <v>"hlpjhlifkgmoibhollggngbbhbejecph",</v>
      </c>
    </row>
    <row r="4333">
      <c r="A4333" s="4" t="s">
        <v>23512</v>
      </c>
      <c r="B4333" s="4" t="s">
        <v>8631</v>
      </c>
      <c r="C4333" s="16" t="str">
        <f>IFERROR(__xludf.DUMMYFUNCTION(""""""""" &amp; REGEXEXTRACT(B4333, ""/detail/([^/?]+)"") &amp; """""","""),"""hlppghpgkinhomcehphccgkbjkbkcgkh"",")</f>
        <v>"hlppghpgkinhomcehphccgkbjkbkcgkh",</v>
      </c>
    </row>
    <row r="4334">
      <c r="A4334" s="4" t="s">
        <v>23513</v>
      </c>
      <c r="B4334" s="4" t="s">
        <v>8633</v>
      </c>
      <c r="C4334" s="16" t="str">
        <f>IFERROR(__xludf.DUMMYFUNCTION(""""""""" &amp; REGEXEXTRACT(B4334, ""/detail/([^/?]+)"") &amp; """""","""),"""hmaalfaappddkggilhahaebfhdmmmngf"",")</f>
        <v>"hmaalfaappddkggilhahaebfhdmmmngf",</v>
      </c>
    </row>
    <row r="4335">
      <c r="A4335" s="4" t="s">
        <v>23514</v>
      </c>
      <c r="B4335" s="4" t="s">
        <v>8635</v>
      </c>
      <c r="C4335" s="16" t="str">
        <f>IFERROR(__xludf.DUMMYFUNCTION(""""""""" &amp; REGEXEXTRACT(B4335, ""/detail/([^/?]+)"") &amp; """""","""),"""hmaldlpfgpmhhljpiihjidjgemodjogi"",")</f>
        <v>"hmaldlpfgpmhhljpiihjidjgemodjogi",</v>
      </c>
    </row>
    <row r="4336">
      <c r="A4336" s="4" t="s">
        <v>23515</v>
      </c>
      <c r="B4336" s="4" t="s">
        <v>8637</v>
      </c>
      <c r="C4336" s="16" t="str">
        <f>IFERROR(__xludf.DUMMYFUNCTION(""""""""" &amp; REGEXEXTRACT(B4336, ""/detail/([^/?]+)"") &amp; """""","""),"""hmgiolmlfpcefkdacnihdpbaoenenlef"",")</f>
        <v>"hmgiolmlfpcefkdacnihdpbaoenenlef",</v>
      </c>
    </row>
    <row r="4337">
      <c r="A4337" s="4" t="s">
        <v>23516</v>
      </c>
      <c r="B4337" s="4" t="s">
        <v>8639</v>
      </c>
      <c r="C4337" s="16" t="str">
        <f>IFERROR(__xludf.DUMMYFUNCTION(""""""""" &amp; REGEXEXTRACT(B4337, ""/detail/([^/?]+)"") &amp; """""","""),"""hmhhkndlnoppgilooalkecpmodbjkdmj"",")</f>
        <v>"hmhhkndlnoppgilooalkecpmodbjkdmj",</v>
      </c>
    </row>
    <row r="4338">
      <c r="A4338" s="4" t="s">
        <v>23517</v>
      </c>
      <c r="B4338" s="4" t="s">
        <v>8641</v>
      </c>
      <c r="C4338" s="16" t="str">
        <f>IFERROR(__xludf.DUMMYFUNCTION(""""""""" &amp; REGEXEXTRACT(B4338, ""/detail/([^/?]+)"") &amp; """""","""),"""hmnjehdhjcmffbfeeejinggfhhkghnkp"",")</f>
        <v>"hmnjehdhjcmffbfeeejinggfhhkghnkp",</v>
      </c>
    </row>
    <row r="4339">
      <c r="A4339" s="4" t="s">
        <v>23518</v>
      </c>
      <c r="B4339" s="4" t="s">
        <v>8643</v>
      </c>
      <c r="C4339" s="16" t="str">
        <f>IFERROR(__xludf.DUMMYFUNCTION(""""""""" &amp; REGEXEXTRACT(B4339, ""/detail/([^/?]+)"") &amp; """""","""),"""hmonmgdfpgohkocmljboopebpcpaccin"",")</f>
        <v>"hmonmgdfpgohkocmljboopebpcpaccin",</v>
      </c>
    </row>
    <row r="4340">
      <c r="A4340" s="4" t="s">
        <v>23519</v>
      </c>
      <c r="B4340" s="4" t="s">
        <v>8645</v>
      </c>
      <c r="C4340" s="16" t="str">
        <f>IFERROR(__xludf.DUMMYFUNCTION(""""""""" &amp; REGEXEXTRACT(B4340, ""/detail/([^/?]+)"") &amp; """""","""),"""hnciafnpogicjbaceehjoakjmgpbgdci"",")</f>
        <v>"hnciafnpogicjbaceehjoakjmgpbgdci",</v>
      </c>
    </row>
    <row r="4341">
      <c r="A4341" s="4" t="s">
        <v>23520</v>
      </c>
      <c r="B4341" s="4" t="s">
        <v>8647</v>
      </c>
      <c r="C4341" s="16" t="str">
        <f>IFERROR(__xludf.DUMMYFUNCTION(""""""""" &amp; REGEXEXTRACT(B4341, ""/detail/([^/?]+)"") &amp; """""","""),"""hndkippiajpholnhmcmlcebbcgnhldbo"",")</f>
        <v>"hndkippiajpholnhmcmlcebbcgnhldbo",</v>
      </c>
    </row>
    <row r="4342">
      <c r="A4342" s="4" t="s">
        <v>23521</v>
      </c>
      <c r="B4342" s="4" t="s">
        <v>8649</v>
      </c>
      <c r="C4342" s="16" t="str">
        <f>IFERROR(__xludf.DUMMYFUNCTION(""""""""" &amp; REGEXEXTRACT(B4342, ""/detail/([^/?]+)"") &amp; """""","""),"""hndoffepfnjbeinjkiaamdphgllpgnmi"",")</f>
        <v>"hndoffepfnjbeinjkiaamdphgllpgnmi",</v>
      </c>
    </row>
    <row r="4343">
      <c r="A4343" s="4" t="s">
        <v>23522</v>
      </c>
      <c r="B4343" s="4" t="s">
        <v>8651</v>
      </c>
      <c r="C4343" s="16" t="str">
        <f>IFERROR(__xludf.DUMMYFUNCTION(""""""""" &amp; REGEXEXTRACT(B4343, ""/detail/([^/?]+)"") &amp; """""","""),"""hngockjeakbglfgfbljedahgobammpbi"",")</f>
        <v>"hngockjeakbglfgfbljedahgobammpbi",</v>
      </c>
    </row>
    <row r="4344">
      <c r="A4344" s="4" t="s">
        <v>23523</v>
      </c>
      <c r="B4344" s="4" t="s">
        <v>8653</v>
      </c>
      <c r="C4344" s="16" t="str">
        <f>IFERROR(__xludf.DUMMYFUNCTION(""""""""" &amp; REGEXEXTRACT(B4344, ""/detail/([^/?]+)"") &amp; """""","""),"""hnhpmjnpbniipmhfkibjbplgkobpejbi"",")</f>
        <v>"hnhpmjnpbniipmhfkibjbplgkobpejbi",</v>
      </c>
    </row>
    <row r="4345">
      <c r="A4345" s="4" t="s">
        <v>23524</v>
      </c>
      <c r="B4345" s="4" t="s">
        <v>8655</v>
      </c>
      <c r="C4345" s="16" t="str">
        <f>IFERROR(__xludf.DUMMYFUNCTION(""""""""" &amp; REGEXEXTRACT(B4345, ""/detail/([^/?]+)"") &amp; """""","""),"""hnkbffipafpidcfbjnfmmdpdpmflocjf"",")</f>
        <v>"hnkbffipafpidcfbjnfmmdpdpmflocjf",</v>
      </c>
    </row>
    <row r="4346">
      <c r="A4346" s="4" t="s">
        <v>23525</v>
      </c>
      <c r="B4346" s="4" t="s">
        <v>8657</v>
      </c>
      <c r="C4346" s="16" t="str">
        <f>IFERROR(__xludf.DUMMYFUNCTION(""""""""" &amp; REGEXEXTRACT(B4346, ""/detail/([^/?]+)"") &amp; """""","""),"""hnmjkpjfkgkjennckgjdmoikjbfkbfhc"",")</f>
        <v>"hnmjkpjfkgkjennckgjdmoikjbfkbfhc",</v>
      </c>
    </row>
    <row r="4347">
      <c r="A4347" s="4" t="s">
        <v>23526</v>
      </c>
      <c r="B4347" s="4" t="s">
        <v>8659</v>
      </c>
      <c r="C4347" s="16" t="str">
        <f>IFERROR(__xludf.DUMMYFUNCTION(""""""""" &amp; REGEXEXTRACT(B4347, ""/detail/([^/?]+)"") &amp; """""","""),"""hnnabnffilimfgdcinlijkjkdemdonea"",")</f>
        <v>"hnnabnffilimfgdcinlijkjkdemdonea",</v>
      </c>
    </row>
    <row r="4348">
      <c r="A4348" s="4" t="s">
        <v>23527</v>
      </c>
      <c r="B4348" s="4" t="s">
        <v>8661</v>
      </c>
      <c r="C4348" s="16" t="str">
        <f>IFERROR(__xludf.DUMMYFUNCTION(""""""""" &amp; REGEXEXTRACT(B4348, ""/detail/([^/?]+)"") &amp; """""","""),"""hnpbnnaglicijamhpmphajfkmdfpobca"",")</f>
        <v>"hnpbnnaglicijamhpmphajfkmdfpobca",</v>
      </c>
    </row>
    <row r="4349">
      <c r="A4349" s="4" t="s">
        <v>23528</v>
      </c>
      <c r="B4349" s="4" t="s">
        <v>8663</v>
      </c>
      <c r="C4349" s="16" t="str">
        <f>IFERROR(__xludf.DUMMYFUNCTION(""""""""" &amp; REGEXEXTRACT(B4349, ""/detail/([^/?]+)"") &amp; """""","""),"""homplpaldlodpgkcilfgcbfoaolbmplm"",")</f>
        <v>"homplpaldlodpgkcilfgcbfoaolbmplm",</v>
      </c>
    </row>
    <row r="4350">
      <c r="A4350" s="4" t="s">
        <v>23529</v>
      </c>
      <c r="B4350" s="4" t="s">
        <v>8665</v>
      </c>
      <c r="C4350" s="16" t="str">
        <f>IFERROR(__xludf.DUMMYFUNCTION(""""""""" &amp; REGEXEXTRACT(B4350, ""/detail/([^/?]+)"") &amp; """""","""),"""honbeilkanbghjimjoniipnnehlmhggk"",")</f>
        <v>"honbeilkanbghjimjoniipnnehlmhggk",</v>
      </c>
    </row>
    <row r="4351">
      <c r="A4351" s="4" t="s">
        <v>23530</v>
      </c>
      <c r="B4351" s="4" t="s">
        <v>8667</v>
      </c>
      <c r="C4351" s="16" t="str">
        <f>IFERROR(__xludf.DUMMYFUNCTION(""""""""" &amp; REGEXEXTRACT(B4351, ""/detail/([^/?]+)"") &amp; """""","""),"""hopggcicaffnjomhjjpogcelclkbnigp"",")</f>
        <v>"hopggcicaffnjomhjjpogcelclkbnigp",</v>
      </c>
    </row>
    <row r="4352">
      <c r="A4352" s="4" t="s">
        <v>23531</v>
      </c>
      <c r="B4352" s="4" t="s">
        <v>8669</v>
      </c>
      <c r="C4352" s="16" t="str">
        <f>IFERROR(__xludf.DUMMYFUNCTION(""""""""" &amp; REGEXEXTRACT(B4352, ""/detail/([^/?]+)"") &amp; """""","""),"""hpbebebpjajeiadiakgckpahmhkbkpoa"",")</f>
        <v>"hpbebebpjajeiadiakgckpahmhkbkpoa",</v>
      </c>
    </row>
    <row r="4353">
      <c r="A4353" s="4" t="s">
        <v>23532</v>
      </c>
      <c r="B4353" s="4" t="s">
        <v>8671</v>
      </c>
      <c r="C4353" s="16" t="str">
        <f>IFERROR(__xludf.DUMMYFUNCTION(""""""""" &amp; REGEXEXTRACT(B4353, ""/detail/([^/?]+)"") &amp; """""","""),"""hpdmagfinfjkljobgngfeecfglalnfpk"",")</f>
        <v>"hpdmagfinfjkljobgngfeecfglalnfpk",</v>
      </c>
    </row>
    <row r="4354">
      <c r="A4354" s="4" t="s">
        <v>23533</v>
      </c>
      <c r="B4354" s="4" t="s">
        <v>8673</v>
      </c>
      <c r="C4354" s="16" t="str">
        <f>IFERROR(__xludf.DUMMYFUNCTION(""""""""" &amp; REGEXEXTRACT(B4354, ""/detail/([^/?]+)"") &amp; """""","""),"""hpijlfldendkjfhdaebnbglbiajhempp"",")</f>
        <v>"hpijlfldendkjfhdaebnbglbiajhempp",</v>
      </c>
    </row>
    <row r="4355">
      <c r="A4355" s="4" t="s">
        <v>23534</v>
      </c>
      <c r="B4355" s="4" t="s">
        <v>8675</v>
      </c>
      <c r="C4355" s="16" t="str">
        <f>IFERROR(__xludf.DUMMYFUNCTION(""""""""" &amp; REGEXEXTRACT(B4355, ""/detail/([^/?]+)"") &amp; """""","""),"""hpplgjkooibhfkmmepoikcjpadcojcik"",")</f>
        <v>"hpplgjkooibhfkmmepoikcjpadcojcik",</v>
      </c>
    </row>
    <row r="4356">
      <c r="A4356" s="4" t="s">
        <v>23535</v>
      </c>
      <c r="B4356" s="4" t="s">
        <v>8677</v>
      </c>
      <c r="C4356" s="16" t="str">
        <f>IFERROR(__xludf.DUMMYFUNCTION(""""""""" &amp; REGEXEXTRACT(B4356, ""/detail/([^/?]+)"") &amp; """""","""),"""iajmdojjjiapknggfnckblngginmjnbe"",")</f>
        <v>"iajmdojjjiapknggfnckblngginmjnbe",</v>
      </c>
    </row>
    <row r="4357">
      <c r="A4357" s="4" t="s">
        <v>23536</v>
      </c>
      <c r="B4357" s="4" t="s">
        <v>8679</v>
      </c>
      <c r="C4357" s="16" t="str">
        <f>IFERROR(__xludf.DUMMYFUNCTION(""""""""" &amp; REGEXEXTRACT(B4357, ""/detail/([^/?]+)"") &amp; """""","""),"""ialdfbinfjlmifbfolfjpmjgopapoigi"",")</f>
        <v>"ialdfbinfjlmifbfolfjpmjgopapoigi",</v>
      </c>
    </row>
    <row r="4358">
      <c r="A4358" s="4" t="s">
        <v>23537</v>
      </c>
      <c r="B4358" s="4" t="s">
        <v>8681</v>
      </c>
      <c r="C4358" s="16" t="str">
        <f>IFERROR(__xludf.DUMMYFUNCTION(""""""""" &amp; REGEXEXTRACT(B4358, ""/detail/([^/?]+)"") &amp; """""","""),"""ianjmfndalobopghadlipffinjopjgeg"",")</f>
        <v>"ianjmfndalobopghadlipffinjopjgeg",</v>
      </c>
    </row>
    <row r="4359">
      <c r="A4359" s="4" t="s">
        <v>23538</v>
      </c>
      <c r="B4359" s="4" t="s">
        <v>8683</v>
      </c>
      <c r="C4359" s="16" t="str">
        <f>IFERROR(__xludf.DUMMYFUNCTION(""""""""" &amp; REGEXEXTRACT(B4359, ""/detail/([^/?]+)"") &amp; """""","""),"""iapdnheekciiecjijobcglkcgeckpoia"",")</f>
        <v>"iapdnheekciiecjijobcglkcgeckpoia",</v>
      </c>
    </row>
    <row r="4360">
      <c r="A4360" s="4" t="s">
        <v>23539</v>
      </c>
      <c r="B4360" s="4" t="s">
        <v>8685</v>
      </c>
      <c r="C4360" s="16" t="str">
        <f>IFERROR(__xludf.DUMMYFUNCTION(""""""""" &amp; REGEXEXTRACT(B4360, ""/detail/([^/?]+)"") &amp; """""","""),"""ibbcojjolkfhjaecoicbmnokmbcaaigi"",")</f>
        <v>"ibbcojjolkfhjaecoicbmnokmbcaaigi",</v>
      </c>
    </row>
    <row r="4361">
      <c r="A4361" s="4" t="s">
        <v>23540</v>
      </c>
      <c r="B4361" s="4" t="s">
        <v>8687</v>
      </c>
      <c r="C4361" s="16" t="str">
        <f>IFERROR(__xludf.DUMMYFUNCTION(""""""""" &amp; REGEXEXTRACT(B4361, ""/detail/([^/?]+)"") &amp; """""","""),"""ibcpcdiajmfmkieocebkoiofgdbbecel"",")</f>
        <v>"ibcpcdiajmfmkieocebkoiofgdbbecel",</v>
      </c>
    </row>
    <row r="4362">
      <c r="A4362" s="4" t="s">
        <v>23541</v>
      </c>
      <c r="B4362" s="4" t="s">
        <v>8689</v>
      </c>
      <c r="C4362" s="16" t="str">
        <f>IFERROR(__xludf.DUMMYFUNCTION(""""""""" &amp; REGEXEXTRACT(B4362, ""/detail/([^/?]+)"") &amp; """""","""),"""ibmcbgbkeofegdhoeijhfhofjkmdoima"",")</f>
        <v>"ibmcbgbkeofegdhoeijhfhofjkmdoima",</v>
      </c>
    </row>
    <row r="4363">
      <c r="A4363" s="4" t="s">
        <v>23542</v>
      </c>
      <c r="B4363" s="4" t="s">
        <v>8690</v>
      </c>
      <c r="C4363" s="16" t="str">
        <f>IFERROR(__xludf.DUMMYFUNCTION(""""""""" &amp; REGEXEXTRACT(B4363, ""/detail/([^/?]+)"") &amp; """""","""),"""ibmpamplhebgoidhhlpdgenhdhmchdoa"",")</f>
        <v>"ibmpamplhebgoidhhlpdgenhdhmchdoa",</v>
      </c>
    </row>
    <row r="4364">
      <c r="A4364" s="4" t="s">
        <v>23543</v>
      </c>
      <c r="B4364" s="4" t="s">
        <v>8692</v>
      </c>
      <c r="C4364" s="16" t="str">
        <f>IFERROR(__xludf.DUMMYFUNCTION(""""""""" &amp; REGEXEXTRACT(B4364, ""/detail/([^/?]+)"") &amp; """""","""),"""icgpkdoghndaeolkpcikaieakkfjnall"",")</f>
        <v>"icgpkdoghndaeolkpcikaieakkfjnall",</v>
      </c>
    </row>
    <row r="4365">
      <c r="A4365" s="4" t="s">
        <v>23544</v>
      </c>
      <c r="B4365" s="4" t="s">
        <v>8694</v>
      </c>
      <c r="C4365" s="16" t="str">
        <f>IFERROR(__xludf.DUMMYFUNCTION(""""""""" &amp; REGEXEXTRACT(B4365, ""/detail/([^/?]+)"") &amp; """""","""),"""icmnaoekiaeclonjdfheaomemmpapknm"",")</f>
        <v>"icmnaoekiaeclonjdfheaomemmpapknm",</v>
      </c>
    </row>
    <row r="4366">
      <c r="A4366" s="4" t="s">
        <v>23545</v>
      </c>
      <c r="B4366" s="4" t="s">
        <v>8696</v>
      </c>
      <c r="C4366" s="16" t="str">
        <f>IFERROR(__xludf.DUMMYFUNCTION(""""""""" &amp; REGEXEXTRACT(B4366, ""/detail/([^/?]+)"") &amp; """""","""),"""icolobglimlklcdpecoaecmdhlehbgkg"",")</f>
        <v>"icolobglimlklcdpecoaecmdhlehbgkg",</v>
      </c>
    </row>
    <row r="4367">
      <c r="A4367" s="4" t="s">
        <v>23546</v>
      </c>
      <c r="B4367" s="4" t="s">
        <v>8698</v>
      </c>
      <c r="C4367" s="16" t="str">
        <f>IFERROR(__xludf.DUMMYFUNCTION(""""""""" &amp; REGEXEXTRACT(B4367, ""/detail/([^/?]+)"") &amp; """""","""),"""idnfbhpmefhpjhipmodgoabndangiljd"",")</f>
        <v>"idnfbhpmefhpjhipmodgoabndangiljd",</v>
      </c>
    </row>
    <row r="4368">
      <c r="A4368" s="4" t="s">
        <v>23547</v>
      </c>
      <c r="B4368" s="4" t="s">
        <v>8700</v>
      </c>
      <c r="C4368" s="16" t="str">
        <f>IFERROR(__xludf.DUMMYFUNCTION(""""""""" &amp; REGEXEXTRACT(B4368, ""/detail/([^/?]+)"") &amp; """""","""),"""idphhflanmeibmjgaciaadkmjebljhcc"",")</f>
        <v>"idphhflanmeibmjgaciaadkmjebljhcc",</v>
      </c>
    </row>
    <row r="4369">
      <c r="A4369" s="4" t="s">
        <v>23548</v>
      </c>
      <c r="B4369" s="4" t="s">
        <v>8702</v>
      </c>
      <c r="C4369" s="16" t="str">
        <f>IFERROR(__xludf.DUMMYFUNCTION(""""""""" &amp; REGEXEXTRACT(B4369, ""/detail/([^/?]+)"") &amp; """""","""),"""idpokbmjkdnilkconegegocjmogiomgi"",")</f>
        <v>"idpokbmjkdnilkconegegocjmogiomgi",</v>
      </c>
    </row>
    <row r="4370">
      <c r="A4370" s="4" t="s">
        <v>23549</v>
      </c>
      <c r="B4370" s="4" t="s">
        <v>8704</v>
      </c>
      <c r="C4370" s="16" t="str">
        <f>IFERROR(__xludf.DUMMYFUNCTION(""""""""" &amp; REGEXEXTRACT(B4370, ""/detail/([^/?]+)"") &amp; """""","""),"""iekppabgndnppcokphidmgaodcfmlhac"",")</f>
        <v>"iekppabgndnppcokphidmgaodcfmlhac",</v>
      </c>
    </row>
    <row r="4371">
      <c r="A4371" s="4" t="s">
        <v>23550</v>
      </c>
      <c r="B4371" s="4" t="s">
        <v>8706</v>
      </c>
      <c r="C4371" s="16" t="str">
        <f>IFERROR(__xludf.DUMMYFUNCTION(""""""""" &amp; REGEXEXTRACT(B4371, ""/detail/([^/?]+)"") &amp; """""","""),"""ielmojibkdphejjmkggejcjgclchomlg"",")</f>
        <v>"ielmojibkdphejjmkggejcjgclchomlg",</v>
      </c>
    </row>
    <row r="4372">
      <c r="A4372" s="4" t="s">
        <v>23551</v>
      </c>
      <c r="B4372" s="4" t="s">
        <v>8708</v>
      </c>
      <c r="C4372" s="16" t="str">
        <f>IFERROR(__xludf.DUMMYFUNCTION(""""""""" &amp; REGEXEXTRACT(B4372, ""/detail/([^/?]+)"") &amp; """""","""),"""ifakdojghbjeahenejfpgdfhhcmjgfle"",")</f>
        <v>"ifakdojghbjeahenejfpgdfhhcmjgfle",</v>
      </c>
    </row>
    <row r="4373">
      <c r="A4373" s="4" t="s">
        <v>23552</v>
      </c>
      <c r="B4373" s="4" t="s">
        <v>8710</v>
      </c>
      <c r="C4373" s="16" t="str">
        <f>IFERROR(__xludf.DUMMYFUNCTION(""""""""" &amp; REGEXEXTRACT(B4373, ""/detail/([^/?]+)"") &amp; """""","""),"""ifikafigdaiookblpafdpjfkffiocafj"",")</f>
        <v>"ifikafigdaiookblpafdpjfkffiocafj",</v>
      </c>
    </row>
    <row r="4374">
      <c r="A4374" s="4" t="s">
        <v>23553</v>
      </c>
      <c r="B4374" s="4" t="s">
        <v>8712</v>
      </c>
      <c r="C4374" s="16" t="str">
        <f>IFERROR(__xludf.DUMMYFUNCTION(""""""""" &amp; REGEXEXTRACT(B4374, ""/detail/([^/?]+)"") &amp; """""","""),"""ifohmndbcefggppiblfofpbkmdfmeing"",")</f>
        <v>"ifohmndbcefggppiblfofpbkmdfmeing",</v>
      </c>
    </row>
    <row r="4375">
      <c r="A4375" s="4" t="s">
        <v>23554</v>
      </c>
      <c r="B4375" s="4" t="s">
        <v>8714</v>
      </c>
      <c r="C4375" s="16" t="str">
        <f>IFERROR(__xludf.DUMMYFUNCTION(""""""""" &amp; REGEXEXTRACT(B4375, ""/detail/([^/?]+)"") &amp; """""","""),"""igcbippnjiingjjdgcghglopgkjcoahb"",")</f>
        <v>"igcbippnjiingjjdgcghglopgkjcoahb",</v>
      </c>
    </row>
    <row r="4376">
      <c r="A4376" s="4" t="s">
        <v>23555</v>
      </c>
      <c r="B4376" s="4" t="s">
        <v>8716</v>
      </c>
      <c r="C4376" s="16" t="str">
        <f>IFERROR(__xludf.DUMMYFUNCTION(""""""""" &amp; REGEXEXTRACT(B4376, ""/detail/([^/?]+)"") &amp; """""","""),"""igkahjifnfkdaekmfddldheeddgmmbpp"",")</f>
        <v>"igkahjifnfkdaekmfddldheeddgmmbpp",</v>
      </c>
    </row>
    <row r="4377">
      <c r="A4377" s="4" t="s">
        <v>23556</v>
      </c>
      <c r="B4377" s="4" t="s">
        <v>8718</v>
      </c>
      <c r="C4377" s="16" t="str">
        <f>IFERROR(__xludf.DUMMYFUNCTION(""""""""" &amp; REGEXEXTRACT(B4377, ""/detail/([^/?]+)"") &amp; """""","""),"""igncokdengclanbghanhfichlnhlpihl"",")</f>
        <v>"igncokdengclanbghanhfichlnhlpihl",</v>
      </c>
    </row>
    <row r="4378">
      <c r="A4378" s="4" t="s">
        <v>23557</v>
      </c>
      <c r="B4378" s="4" t="s">
        <v>8720</v>
      </c>
      <c r="C4378" s="16" t="str">
        <f>IFERROR(__xludf.DUMMYFUNCTION(""""""""" &amp; REGEXEXTRACT(B4378, ""/detail/([^/?]+)"") &amp; """""","""),"""iheomcimaienmjdfppikgopbibjmcnda"",")</f>
        <v>"iheomcimaienmjdfppikgopbibjmcnda",</v>
      </c>
    </row>
    <row r="4379">
      <c r="A4379" s="4" t="s">
        <v>23558</v>
      </c>
      <c r="B4379" s="4" t="s">
        <v>8722</v>
      </c>
      <c r="C4379" s="16" t="str">
        <f>IFERROR(__xludf.DUMMYFUNCTION(""""""""" &amp; REGEXEXTRACT(B4379, ""/detail/([^/?]+)"") &amp; """""","""),"""ihfogeehoikadinpdoeapemeolcppfjf"",")</f>
        <v>"ihfogeehoikadinpdoeapemeolcppfjf",</v>
      </c>
    </row>
    <row r="4380">
      <c r="A4380" s="4" t="s">
        <v>23559</v>
      </c>
      <c r="B4380" s="4" t="s">
        <v>8724</v>
      </c>
      <c r="C4380" s="16" t="str">
        <f>IFERROR(__xludf.DUMMYFUNCTION(""""""""" &amp; REGEXEXTRACT(B4380, ""/detail/([^/?]+)"") &amp; """""","""),"""ihgjiapheabakagbnbaminbheoihgajn"",")</f>
        <v>"ihgjiapheabakagbnbaminbheoihgajn",</v>
      </c>
    </row>
    <row r="4381">
      <c r="A4381" s="4" t="s">
        <v>23560</v>
      </c>
      <c r="B4381" s="4" t="s">
        <v>8726</v>
      </c>
      <c r="C4381" s="16" t="str">
        <f>IFERROR(__xludf.DUMMYFUNCTION(""""""""" &amp; REGEXEXTRACT(B4381, ""/detail/([^/?]+)"") &amp; """""","""),"""ihlalbalpneokgcdiafhkjpnbekhlnmc"",")</f>
        <v>"ihlalbalpneokgcdiafhkjpnbekhlnmc",</v>
      </c>
    </row>
    <row r="4382">
      <c r="A4382" s="4" t="s">
        <v>23561</v>
      </c>
      <c r="B4382" s="4" t="s">
        <v>8728</v>
      </c>
      <c r="C4382" s="16" t="str">
        <f>IFERROR(__xludf.DUMMYFUNCTION(""""""""" &amp; REGEXEXTRACT(B4382, ""/detail/([^/?]+)"") &amp; """""","""),"""ihmllonaidjepimjdhjdcgodgekcmhop"",")</f>
        <v>"ihmllonaidjepimjdhjdcgodgekcmhop",</v>
      </c>
    </row>
    <row r="4383">
      <c r="A4383" s="4" t="s">
        <v>23562</v>
      </c>
      <c r="B4383" s="4" t="s">
        <v>8730</v>
      </c>
      <c r="C4383" s="16" t="str">
        <f>IFERROR(__xludf.DUMMYFUNCTION(""""""""" &amp; REGEXEXTRACT(B4383, ""/detail/([^/?]+)"") &amp; """""","""),"""iiegolhfllkppagjhcchakhkkbmepdgd"",")</f>
        <v>"iiegolhfllkppagjhcchakhkkbmepdgd",</v>
      </c>
    </row>
    <row r="4384">
      <c r="A4384" s="4" t="s">
        <v>23563</v>
      </c>
      <c r="B4384" s="4" t="s">
        <v>8732</v>
      </c>
      <c r="C4384" s="16" t="str">
        <f>IFERROR(__xludf.DUMMYFUNCTION(""""""""" &amp; REGEXEXTRACT(B4384, ""/detail/([^/?]+)"") &amp; """""","""),"""iilpjebedgohcmlffhnkhbjhabkdhfmn"",")</f>
        <v>"iilpjebedgohcmlffhnkhbjhabkdhfmn",</v>
      </c>
    </row>
    <row r="4385">
      <c r="A4385" s="4" t="s">
        <v>23564</v>
      </c>
      <c r="B4385" s="4" t="s">
        <v>8734</v>
      </c>
      <c r="C4385" s="16" t="str">
        <f>IFERROR(__xludf.DUMMYFUNCTION(""""""""" &amp; REGEXEXTRACT(B4385, ""/detail/([^/?]+)"") &amp; """""","""),"""iimhkldbldnmapepklmeeinclchfkddd"",")</f>
        <v>"iimhkldbldnmapepklmeeinclchfkddd",</v>
      </c>
    </row>
    <row r="4386">
      <c r="A4386" s="4" t="s">
        <v>23565</v>
      </c>
      <c r="B4386" s="4" t="s">
        <v>8736</v>
      </c>
      <c r="C4386" s="16" t="str">
        <f>IFERROR(__xludf.DUMMYFUNCTION(""""""""" &amp; REGEXEXTRACT(B4386, ""/detail/([^/?]+)"") &amp; """""","""),"""ijloicdileadhbjdlccmbaihgjjhkmjl"",")</f>
        <v>"ijloicdileadhbjdlccmbaihgjjhkmjl",</v>
      </c>
    </row>
    <row r="4387">
      <c r="A4387" s="4" t="s">
        <v>23566</v>
      </c>
      <c r="B4387" s="4" t="s">
        <v>8738</v>
      </c>
      <c r="C4387" s="16" t="str">
        <f>IFERROR(__xludf.DUMMYFUNCTION(""""""""" &amp; REGEXEXTRACT(B4387, ""/detail/([^/?]+)"") &amp; """""","""),"""ijoeanckpfaegjkbdmbihinbdpgpcbba"",")</f>
        <v>"ijoeanckpfaegjkbdmbihinbdpgpcbba",</v>
      </c>
    </row>
    <row r="4388">
      <c r="A4388" s="4" t="s">
        <v>23567</v>
      </c>
      <c r="B4388" s="4" t="s">
        <v>8740</v>
      </c>
      <c r="C4388" s="16" t="str">
        <f>IFERROR(__xludf.DUMMYFUNCTION(""""""""" &amp; REGEXEXTRACT(B4388, ""/detail/([^/?]+)"") &amp; """""","""),"""ikbcccnfbfobgioefgaodgmnnnbjbbfn"",")</f>
        <v>"ikbcccnfbfobgioefgaodgmnnnbjbbfn",</v>
      </c>
    </row>
    <row r="4389">
      <c r="A4389" s="4" t="s">
        <v>23568</v>
      </c>
      <c r="B4389" s="4" t="s">
        <v>8742</v>
      </c>
      <c r="C4389" s="16" t="str">
        <f>IFERROR(__xludf.DUMMYFUNCTION(""""""""" &amp; REGEXEXTRACT(B4389, ""/detail/([^/?]+)"") &amp; """""","""),"""ikjiakenkeediiafhihmipcdafkkhdno"",")</f>
        <v>"ikjiakenkeediiafhihmipcdafkkhdno",</v>
      </c>
    </row>
    <row r="4390">
      <c r="A4390" s="4" t="s">
        <v>23569</v>
      </c>
      <c r="B4390" s="4" t="s">
        <v>8744</v>
      </c>
      <c r="C4390" s="16" t="str">
        <f>IFERROR(__xludf.DUMMYFUNCTION(""""""""" &amp; REGEXEXTRACT(B4390, ""/detail/([^/?]+)"") &amp; """""","""),"""ikoompcclgdajbbijbhpgfpigolnbgpk"",")</f>
        <v>"ikoompcclgdajbbijbhpgfpigolnbgpk",</v>
      </c>
    </row>
    <row r="4391">
      <c r="A4391" s="4" t="s">
        <v>23570</v>
      </c>
      <c r="B4391" s="4" t="s">
        <v>8746</v>
      </c>
      <c r="C4391" s="16" t="str">
        <f>IFERROR(__xludf.DUMMYFUNCTION(""""""""" &amp; REGEXEXTRACT(B4391, ""/detail/([^/?]+)"") &amp; """""","""),"""ilabeeklpmaacpjamehodpkgkjidnmpf"",")</f>
        <v>"ilabeeklpmaacpjamehodpkgkjidnmpf",</v>
      </c>
    </row>
    <row r="4392">
      <c r="A4392" s="4" t="s">
        <v>23571</v>
      </c>
      <c r="B4392" s="4" t="s">
        <v>8748</v>
      </c>
      <c r="C4392" s="16" t="str">
        <f>IFERROR(__xludf.DUMMYFUNCTION(""""""""" &amp; REGEXEXTRACT(B4392, ""/detail/([^/?]+)"") &amp; """""","""),"""ilaebdchnmobmcalandfmfmlneeghoag"",")</f>
        <v>"ilaebdchnmobmcalandfmfmlneeghoag",</v>
      </c>
    </row>
    <row r="4393">
      <c r="A4393" s="4" t="s">
        <v>23572</v>
      </c>
      <c r="B4393" s="4" t="s">
        <v>8750</v>
      </c>
      <c r="C4393" s="16" t="str">
        <f>IFERROR(__xludf.DUMMYFUNCTION(""""""""" &amp; REGEXEXTRACT(B4393, ""/detail/([^/?]+)"") &amp; """""","""),"""ilagegjgkbifmeambdfapeklafmnfmae"",")</f>
        <v>"ilagegjgkbifmeambdfapeklafmnfmae",</v>
      </c>
    </row>
    <row r="4394">
      <c r="A4394" s="4" t="s">
        <v>23573</v>
      </c>
      <c r="B4394" s="4" t="s">
        <v>8752</v>
      </c>
      <c r="C4394" s="16" t="str">
        <f>IFERROR(__xludf.DUMMYFUNCTION(""""""""" &amp; REGEXEXTRACT(B4394, ""/detail/([^/?]+)"") &amp; """""","""),"""ildjeipiccodnhbpjebhhodledejdeip"",")</f>
        <v>"ildjeipiccodnhbpjebhhodledejdeip",</v>
      </c>
    </row>
    <row r="4395">
      <c r="A4395" s="4" t="s">
        <v>23574</v>
      </c>
      <c r="B4395" s="4" t="s">
        <v>8754</v>
      </c>
      <c r="C4395" s="16" t="str">
        <f>IFERROR(__xludf.DUMMYFUNCTION(""""""""" &amp; REGEXEXTRACT(B4395, ""/detail/([^/?]+)"") &amp; """""","""),"""ilhlicblaojlghndblbncdehbakkebim"",")</f>
        <v>"ilhlicblaojlghndblbncdehbakkebim",</v>
      </c>
    </row>
    <row r="4396">
      <c r="A4396" s="4" t="s">
        <v>23575</v>
      </c>
      <c r="B4396" s="4" t="s">
        <v>8756</v>
      </c>
      <c r="C4396" s="16" t="str">
        <f>IFERROR(__xludf.DUMMYFUNCTION(""""""""" &amp; REGEXEXTRACT(B4396, ""/detail/([^/?]+)"") &amp; """""","""),"""illmpnnkeobcgnnjghammeohfjpjoljp"",")</f>
        <v>"illmpnnkeobcgnnjghammeohfjpjoljp",</v>
      </c>
    </row>
    <row r="4397">
      <c r="A4397" s="4" t="s">
        <v>23576</v>
      </c>
      <c r="B4397" s="4" t="s">
        <v>8758</v>
      </c>
      <c r="C4397" s="16" t="str">
        <f>IFERROR(__xludf.DUMMYFUNCTION(""""""""" &amp; REGEXEXTRACT(B4397, ""/detail/([^/?]+)"") &amp; """""","""),"""ilmaafbmfcklldgoehebccigadbkbdpc"",")</f>
        <v>"ilmaafbmfcklldgoehebccigadbkbdpc",</v>
      </c>
    </row>
    <row r="4398">
      <c r="A4398" s="4" t="s">
        <v>23577</v>
      </c>
      <c r="B4398" s="4" t="s">
        <v>8760</v>
      </c>
      <c r="C4398" s="16" t="str">
        <f>IFERROR(__xludf.DUMMYFUNCTION(""""""""" &amp; REGEXEXTRACT(B4398, ""/detail/([^/?]+)"") &amp; """""","""),"""ilnalplocpellobinblnoaeafioahbmo"",")</f>
        <v>"ilnalplocpellobinblnoaeafioahbmo",</v>
      </c>
    </row>
    <row r="4399">
      <c r="A4399" s="4" t="s">
        <v>23578</v>
      </c>
      <c r="B4399" s="4" t="s">
        <v>8762</v>
      </c>
      <c r="C4399" s="16" t="str">
        <f>IFERROR(__xludf.DUMMYFUNCTION(""""""""" &amp; REGEXEXTRACT(B4399, ""/detail/([^/?]+)"") &amp; """""","""),"""imnggmkkiihmhjjadialnhgpnpcolpji"",")</f>
        <v>"imnggmkkiihmhjjadialnhgpnpcolpji",</v>
      </c>
    </row>
    <row r="4400">
      <c r="A4400" s="4" t="s">
        <v>23579</v>
      </c>
      <c r="B4400" s="4" t="s">
        <v>8764</v>
      </c>
      <c r="C4400" s="16" t="str">
        <f>IFERROR(__xludf.DUMMYFUNCTION(""""""""" &amp; REGEXEXTRACT(B4400, ""/detail/([^/?]+)"") &amp; """""","""),"""impicfhanbdnokdchlcnafgdhenlffph"",")</f>
        <v>"impicfhanbdnokdchlcnafgdhenlffph",</v>
      </c>
    </row>
    <row r="4401">
      <c r="A4401" s="4" t="s">
        <v>23580</v>
      </c>
      <c r="B4401" s="4" t="s">
        <v>8766</v>
      </c>
      <c r="C4401" s="16" t="str">
        <f>IFERROR(__xludf.DUMMYFUNCTION(""""""""" &amp; REGEXEXTRACT(B4401, ""/detail/([^/?]+)"") &amp; """""","""),"""inagencdkahngbepkiglkggohojnmgnj"",")</f>
        <v>"inagencdkahngbepkiglkggohojnmgnj",</v>
      </c>
    </row>
    <row r="4402">
      <c r="A4402" s="4" t="s">
        <v>23581</v>
      </c>
      <c r="B4402" s="4" t="s">
        <v>8768</v>
      </c>
      <c r="C4402" s="16" t="str">
        <f>IFERROR(__xludf.DUMMYFUNCTION(""""""""" &amp; REGEXEXTRACT(B4402, ""/detail/([^/?]+)"") &amp; """""","""),"""inedpbopjmklilkeklabaailcdjegflc"",")</f>
        <v>"inedpbopjmklilkeklabaailcdjegflc",</v>
      </c>
    </row>
    <row r="4403">
      <c r="A4403" s="10" t="s">
        <v>23582</v>
      </c>
      <c r="B4403" s="4" t="s">
        <v>8770</v>
      </c>
      <c r="C4403" s="16" t="str">
        <f>IFERROR(__xludf.DUMMYFUNCTION(""""""""" &amp; REGEXEXTRACT(B4403, ""/detail/([^/?]+)"") &amp; """""","""),"""ingpkkkghfgkpejmhnojmmmjjfgkncga"",")</f>
        <v>"ingpkkkghfgkpejmhnojmmmjjfgkncga",</v>
      </c>
    </row>
    <row r="4404">
      <c r="A4404" s="4" t="s">
        <v>23583</v>
      </c>
      <c r="B4404" s="4" t="s">
        <v>8772</v>
      </c>
      <c r="C4404" s="16" t="str">
        <f>IFERROR(__xludf.DUMMYFUNCTION(""""""""" &amp; REGEXEXTRACT(B4404, ""/detail/([^/?]+)"") &amp; """""","""),"""inncfpkneoefpgnoggjhcnkjhbcdeimo"",")</f>
        <v>"inncfpkneoefpgnoggjhcnkjhbcdeimo",</v>
      </c>
    </row>
    <row r="4405">
      <c r="A4405" s="4" t="s">
        <v>23584</v>
      </c>
      <c r="B4405" s="4" t="s">
        <v>8774</v>
      </c>
      <c r="C4405" s="16" t="str">
        <f>IFERROR(__xludf.DUMMYFUNCTION(""""""""" &amp; REGEXEXTRACT(B4405, ""/detail/([^/?]+)"") &amp; """""","""),"""ioanocinpfgampobfhpajpojecdjnnno"",")</f>
        <v>"ioanocinpfgampobfhpajpojecdjnnno",</v>
      </c>
    </row>
    <row r="4406">
      <c r="A4406" s="4" t="s">
        <v>23585</v>
      </c>
      <c r="B4406" s="4" t="s">
        <v>8776</v>
      </c>
      <c r="C4406" s="16" t="str">
        <f>IFERROR(__xludf.DUMMYFUNCTION(""""""""" &amp; REGEXEXTRACT(B4406, ""/detail/([^/?]+)"") &amp; """""","""),"""iocebdgkllilbhbekghlbpmhfeejgcgi"",")</f>
        <v>"iocebdgkllilbhbekghlbpmhfeejgcgi",</v>
      </c>
    </row>
    <row r="4407">
      <c r="A4407" s="4" t="s">
        <v>23586</v>
      </c>
      <c r="B4407" s="4" t="s">
        <v>8778</v>
      </c>
      <c r="C4407" s="16" t="str">
        <f>IFERROR(__xludf.DUMMYFUNCTION(""""""""" &amp; REGEXEXTRACT(B4407, ""/detail/([^/?]+)"") &amp; """""","""),"""iojdllcccblbhnmidkcjkldijflcoblb"",")</f>
        <v>"iojdllcccblbhnmidkcjkldijflcoblb",</v>
      </c>
    </row>
    <row r="4408">
      <c r="A4408" s="4" t="s">
        <v>23587</v>
      </c>
      <c r="B4408" s="4" t="s">
        <v>8780</v>
      </c>
      <c r="C4408" s="16" t="str">
        <f>IFERROR(__xludf.DUMMYFUNCTION(""""""""" &amp; REGEXEXTRACT(B4408, ""/detail/([^/?]+)"") &amp; """""","""),"""ioppgifkecchbmpobbkdkobildodihed"",")</f>
        <v>"ioppgifkecchbmpobbkdkobildodihed",</v>
      </c>
    </row>
    <row r="4409">
      <c r="A4409" s="4" t="s">
        <v>23588</v>
      </c>
      <c r="B4409" s="4" t="s">
        <v>8782</v>
      </c>
      <c r="C4409" s="16" t="str">
        <f>IFERROR(__xludf.DUMMYFUNCTION(""""""""" &amp; REGEXEXTRACT(B4409, ""/detail/([^/?]+)"") &amp; """""","""),"""jaafhbjfikdfpofhpkekcbfcfapafbmf"",")</f>
        <v>"jaafhbjfikdfpofhpkekcbfcfapafbmf",</v>
      </c>
    </row>
    <row r="4410">
      <c r="A4410" s="4" t="s">
        <v>23589</v>
      </c>
      <c r="B4410" s="4" t="s">
        <v>8784</v>
      </c>
      <c r="C4410" s="16" t="str">
        <f>IFERROR(__xludf.DUMMYFUNCTION(""""""""" &amp; REGEXEXTRACT(B4410, ""/detail/([^/?]+)"") &amp; """""","""),"""jadldmlipbooilonkjgpepfoalappaog"",")</f>
        <v>"jadldmlipbooilonkjgpepfoalappaog",</v>
      </c>
    </row>
    <row r="4411">
      <c r="A4411" s="4" t="s">
        <v>23590</v>
      </c>
      <c r="B4411" s="4" t="s">
        <v>8786</v>
      </c>
      <c r="C4411" s="16" t="str">
        <f>IFERROR(__xludf.DUMMYFUNCTION(""""""""" &amp; REGEXEXTRACT(B4411, ""/detail/([^/?]+)"") &amp; """""","""),"""jajkeadlaiibpkpnnihopfalndpfioag"",")</f>
        <v>"jajkeadlaiibpkpnnihopfalndpfioag",</v>
      </c>
    </row>
    <row r="4412">
      <c r="A4412" s="4" t="s">
        <v>23591</v>
      </c>
      <c r="B4412" s="4" t="s">
        <v>8788</v>
      </c>
      <c r="C4412" s="16" t="str">
        <f>IFERROR(__xludf.DUMMYFUNCTION(""""""""" &amp; REGEXEXTRACT(B4412, ""/detail/([^/?]+)"") &amp; """""","""),"""jajkmamknneolieidnbnlhighhehbpik"",")</f>
        <v>"jajkmamknneolieidnbnlhighhehbpik",</v>
      </c>
    </row>
    <row r="4413">
      <c r="A4413" s="4" t="s">
        <v>23592</v>
      </c>
      <c r="B4413" s="4" t="s">
        <v>8790</v>
      </c>
      <c r="C4413" s="16" t="str">
        <f>IFERROR(__xludf.DUMMYFUNCTION(""""""""" &amp; REGEXEXTRACT(B4413, ""/detail/([^/?]+)"") &amp; """""","""),"""jamfbhbmmopcmncgnapfifjiimomgpfp"",")</f>
        <v>"jamfbhbmmopcmncgnapfifjiimomgpfp",</v>
      </c>
    </row>
    <row r="4414">
      <c r="A4414" s="4" t="s">
        <v>23593</v>
      </c>
      <c r="B4414" s="4" t="s">
        <v>8792</v>
      </c>
      <c r="C4414" s="16" t="str">
        <f>IFERROR(__xludf.DUMMYFUNCTION(""""""""" &amp; REGEXEXTRACT(B4414, ""/detail/([^/?]+)"") &amp; """""","""),"""japjbgpadlgeagbegagkfccjpfnadgeb"",")</f>
        <v>"japjbgpadlgeagbegagkfccjpfnadgeb",</v>
      </c>
    </row>
    <row r="4415">
      <c r="A4415" s="4" t="s">
        <v>23594</v>
      </c>
      <c r="B4415" s="4" t="s">
        <v>8794</v>
      </c>
      <c r="C4415" s="16" t="str">
        <f>IFERROR(__xludf.DUMMYFUNCTION(""""""""" &amp; REGEXEXTRACT(B4415, ""/detail/([^/?]+)"") &amp; """""","""),"""jbbhegjcohelhpcpbmdlmbegdifpmmkm"",")</f>
        <v>"jbbhegjcohelhpcpbmdlmbegdifpmmkm",</v>
      </c>
    </row>
    <row r="4416">
      <c r="A4416" s="4" t="s">
        <v>23595</v>
      </c>
      <c r="B4416" s="4" t="s">
        <v>8796</v>
      </c>
      <c r="C4416" s="16" t="str">
        <f>IFERROR(__xludf.DUMMYFUNCTION(""""""""" &amp; REGEXEXTRACT(B4416, ""/detail/([^/?]+)"") &amp; """""","""),"""jbehgpdjkcconnaagjhddddfdajbpfhi"",")</f>
        <v>"jbehgpdjkcconnaagjhddddfdajbpfhi",</v>
      </c>
    </row>
    <row r="4417">
      <c r="A4417" s="4" t="s">
        <v>23596</v>
      </c>
      <c r="B4417" s="4" t="s">
        <v>8798</v>
      </c>
      <c r="C4417" s="16" t="str">
        <f>IFERROR(__xludf.DUMMYFUNCTION(""""""""" &amp; REGEXEXTRACT(B4417, ""/detail/([^/?]+)"") &amp; """""","""),"""jbhickinadkalablbimhndacboibojem"",")</f>
        <v>"jbhickinadkalablbimhndacboibojem",</v>
      </c>
    </row>
    <row r="4418">
      <c r="A4418" s="4" t="s">
        <v>23597</v>
      </c>
      <c r="B4418" s="4" t="s">
        <v>8799</v>
      </c>
      <c r="C4418" s="16" t="str">
        <f>IFERROR(__xludf.DUMMYFUNCTION(""""""""" &amp; REGEXEXTRACT(B4418, ""/detail/([^/?]+)"") &amp; """""","""),"""jbnhjginpjihefndhjlhlggblfbefpod"",")</f>
        <v>"jbnhjginpjihefndhjlhlggblfbefpod",</v>
      </c>
    </row>
    <row r="4419">
      <c r="A4419" s="4" t="s">
        <v>23598</v>
      </c>
      <c r="B4419" s="4" t="s">
        <v>8801</v>
      </c>
      <c r="C4419" s="16" t="str">
        <f>IFERROR(__xludf.DUMMYFUNCTION(""""""""" &amp; REGEXEXTRACT(B4419, ""/detail/([^/?]+)"") &amp; """""","""),"""jcjaaeialhaakckfpmpkipnjeiggekib"",")</f>
        <v>"jcjaaeialhaakckfpmpkipnjeiggekib",</v>
      </c>
    </row>
    <row r="4420">
      <c r="A4420" s="4" t="s">
        <v>23599</v>
      </c>
      <c r="B4420" s="4" t="s">
        <v>8803</v>
      </c>
      <c r="C4420" s="16" t="str">
        <f>IFERROR(__xludf.DUMMYFUNCTION(""""""""" &amp; REGEXEXTRACT(B4420, ""/detail/([^/?]+)"") &amp; """""","""),"""jcjnciohaigmilnefoekdcpankdgkbpp"",")</f>
        <v>"jcjnciohaigmilnefoekdcpankdgkbpp",</v>
      </c>
    </row>
    <row r="4421">
      <c r="A4421" s="4" t="s">
        <v>23600</v>
      </c>
      <c r="B4421" s="4" t="s">
        <v>8805</v>
      </c>
      <c r="C4421" s="16" t="str">
        <f>IFERROR(__xludf.DUMMYFUNCTION(""""""""" &amp; REGEXEXTRACT(B4421, ""/detail/([^/?]+)"") &amp; """""","""),"""jcofnjnjaijcgkcdklddpokkdmdnmckn"",")</f>
        <v>"jcofnjnjaijcgkcdklddpokkdmdnmckn",</v>
      </c>
    </row>
    <row r="4422">
      <c r="A4422" s="4" t="s">
        <v>23601</v>
      </c>
      <c r="B4422" s="4" t="s">
        <v>8807</v>
      </c>
      <c r="C4422" s="16" t="str">
        <f>IFERROR(__xludf.DUMMYFUNCTION(""""""""" &amp; REGEXEXTRACT(B4422, ""/detail/([^/?]+)"") &amp; """""","""),"""jddckpfgmljninkckblfgdgkbondijge"",")</f>
        <v>"jddckpfgmljninkckblfgdgkbondijge",</v>
      </c>
    </row>
    <row r="4423">
      <c r="A4423" s="4" t="s">
        <v>23602</v>
      </c>
      <c r="B4423" s="4" t="s">
        <v>8809</v>
      </c>
      <c r="C4423" s="16" t="str">
        <f>IFERROR(__xludf.DUMMYFUNCTION(""""""""" &amp; REGEXEXTRACT(B4423, ""/detail/([^/?]+)"") &amp; """""","""),"""jdgnicdahegmelcbafckanbaidnkdmbe"",")</f>
        <v>"jdgnicdahegmelcbafckanbaidnkdmbe",</v>
      </c>
    </row>
    <row r="4424">
      <c r="A4424" s="4" t="s">
        <v>23603</v>
      </c>
      <c r="B4424" s="4" t="s">
        <v>8811</v>
      </c>
      <c r="C4424" s="16" t="str">
        <f>IFERROR(__xludf.DUMMYFUNCTION(""""""""" &amp; REGEXEXTRACT(B4424, ""/detail/([^/?]+)"") &amp; """""","""),"""jdlbgoobbclpbbdnhadjhojbnhfnlfcf"",")</f>
        <v>"jdlbgoobbclpbbdnhadjhojbnhfnlfcf",</v>
      </c>
    </row>
    <row r="4425">
      <c r="A4425" s="4" t="s">
        <v>23604</v>
      </c>
      <c r="B4425" s="4" t="s">
        <v>8813</v>
      </c>
      <c r="C4425" s="16" t="str">
        <f>IFERROR(__xludf.DUMMYFUNCTION(""""""""" &amp; REGEXEXTRACT(B4425, ""/detail/([^/?]+)"") &amp; """""","""),"""jeehkhpiepgmjpbcckdglnfmogadopkj"",")</f>
        <v>"jeehkhpiepgmjpbcckdglnfmogadopkj",</v>
      </c>
    </row>
    <row r="4426">
      <c r="A4426" s="4" t="s">
        <v>23605</v>
      </c>
      <c r="B4426" s="4" t="s">
        <v>8815</v>
      </c>
      <c r="C4426" s="16" t="str">
        <f>IFERROR(__xludf.DUMMYFUNCTION(""""""""" &amp; REGEXEXTRACT(B4426, ""/detail/([^/?]+)"") &amp; """""","""),"""jefgmnencamogchjibmjbikfjhkkbgkh"",")</f>
        <v>"jefgmnencamogchjibmjbikfjhkkbgkh",</v>
      </c>
    </row>
    <row r="4427">
      <c r="A4427" s="4" t="s">
        <v>23606</v>
      </c>
      <c r="B4427" s="4" t="s">
        <v>8817</v>
      </c>
      <c r="C4427" s="16" t="str">
        <f>IFERROR(__xludf.DUMMYFUNCTION(""""""""" &amp; REGEXEXTRACT(B4427, ""/detail/([^/?]+)"") &amp; """""","""),"""jegkfbnfbfnohncpcfcimepibmhlkldo"",")</f>
        <v>"jegkfbnfbfnohncpcfcimepibmhlkldo",</v>
      </c>
    </row>
    <row r="4428">
      <c r="A4428" s="4" t="s">
        <v>23607</v>
      </c>
      <c r="B4428" s="4" t="s">
        <v>8819</v>
      </c>
      <c r="C4428" s="16" t="str">
        <f>IFERROR(__xludf.DUMMYFUNCTION(""""""""" &amp; REGEXEXTRACT(B4428, ""/detail/([^/?]+)"") &amp; """""","""),"""jeieekjcmkhfffleemgbiooooockfmha"",")</f>
        <v>"jeieekjcmkhfffleemgbiooooockfmha",</v>
      </c>
    </row>
    <row r="4429">
      <c r="A4429" s="4" t="s">
        <v>23608</v>
      </c>
      <c r="B4429" s="4" t="s">
        <v>8821</v>
      </c>
      <c r="C4429" s="16" t="str">
        <f>IFERROR(__xludf.DUMMYFUNCTION(""""""""" &amp; REGEXEXTRACT(B4429, ""/detail/([^/?]+)"") &amp; """""","""),"""jekojlmhflhofoniakbljfijmhobcgam"",")</f>
        <v>"jekojlmhflhofoniakbljfijmhobcgam",</v>
      </c>
    </row>
    <row r="4430">
      <c r="A4430" s="4" t="s">
        <v>23609</v>
      </c>
      <c r="B4430" s="4" t="s">
        <v>8823</v>
      </c>
      <c r="C4430" s="16" t="str">
        <f>IFERROR(__xludf.DUMMYFUNCTION(""""""""" &amp; REGEXEXTRACT(B4430, ""/detail/([^/?]+)"") &amp; """""","""),"""jeonhldgclpilgdoioblomenlbokoaff"",")</f>
        <v>"jeonhldgclpilgdoioblomenlbokoaff",</v>
      </c>
    </row>
    <row r="4431">
      <c r="A4431" s="4" t="s">
        <v>23610</v>
      </c>
      <c r="B4431" s="4" t="s">
        <v>8825</v>
      </c>
      <c r="C4431" s="16" t="str">
        <f>IFERROR(__xludf.DUMMYFUNCTION(""""""""" &amp; REGEXEXTRACT(B4431, ""/detail/([^/?]+)"") &amp; """""","""),"""jfaelnolkgonnjdlkfokjadedkacbnib"",")</f>
        <v>"jfaelnolkgonnjdlkfokjadedkacbnib",</v>
      </c>
    </row>
    <row r="4432">
      <c r="A4432" s="4" t="s">
        <v>23611</v>
      </c>
      <c r="B4432" s="4" t="s">
        <v>8827</v>
      </c>
      <c r="C4432" s="16" t="str">
        <f>IFERROR(__xludf.DUMMYFUNCTION(""""""""" &amp; REGEXEXTRACT(B4432, ""/detail/([^/?]+)"") &amp; """""","""),"""jfbeaemkapflnkojkefefbpliabnflpf"",")</f>
        <v>"jfbeaemkapflnkojkefefbpliabnflpf",</v>
      </c>
    </row>
    <row r="4433">
      <c r="A4433" s="4" t="s">
        <v>23612</v>
      </c>
      <c r="B4433" s="4" t="s">
        <v>8829</v>
      </c>
      <c r="C4433" s="16" t="str">
        <f>IFERROR(__xludf.DUMMYFUNCTION(""""""""" &amp; REGEXEXTRACT(B4433, ""/detail/([^/?]+)"") &amp; """""","""),"""jfcncfpncjolblnbmgolgngenbofmgil"",")</f>
        <v>"jfcncfpncjolblnbmgolgngenbofmgil",</v>
      </c>
    </row>
    <row r="4434">
      <c r="A4434" s="4" t="s">
        <v>23613</v>
      </c>
      <c r="B4434" s="4" t="s">
        <v>8831</v>
      </c>
      <c r="C4434" s="16" t="str">
        <f>IFERROR(__xludf.DUMMYFUNCTION(""""""""" &amp; REGEXEXTRACT(B4434, ""/detail/([^/?]+)"") &amp; """""","""),"""jfjffepjjcndpmlblipanlddaiebobgh"",")</f>
        <v>"jfjffepjjcndpmlblipanlddaiebobgh",</v>
      </c>
    </row>
    <row r="4435">
      <c r="A4435" s="4" t="s">
        <v>23614</v>
      </c>
      <c r="B4435" s="4" t="s">
        <v>8833</v>
      </c>
      <c r="C4435" s="16" t="str">
        <f>IFERROR(__xludf.DUMMYFUNCTION(""""""""" &amp; REGEXEXTRACT(B4435, ""/detail/([^/?]+)"") &amp; """""","""),"""jfnlkegibnoaagfdabjkchhocdhnoofk"",")</f>
        <v>"jfnlkegibnoaagfdabjkchhocdhnoofk",</v>
      </c>
    </row>
    <row r="4436">
      <c r="A4436" s="4" t="s">
        <v>23615</v>
      </c>
      <c r="B4436" s="4" t="s">
        <v>8835</v>
      </c>
      <c r="C4436" s="16" t="str">
        <f>IFERROR(__xludf.DUMMYFUNCTION(""""""""" &amp; REGEXEXTRACT(B4436, ""/detail/([^/?]+)"") &amp; """""","""),"""jgaaimajipbpdogpdglhaphldakikgef"",")</f>
        <v>"jgaaimajipbpdogpdglhaphldakikgef",</v>
      </c>
    </row>
    <row r="4437">
      <c r="A4437" s="4" t="s">
        <v>23616</v>
      </c>
      <c r="B4437" s="4" t="s">
        <v>8837</v>
      </c>
      <c r="C4437" s="16" t="str">
        <f>IFERROR(__xludf.DUMMYFUNCTION(""""""""" &amp; REGEXEXTRACT(B4437, ""/detail/([^/?]+)"") &amp; """""","""),"""jgmemodiapblpagmpfdkpjinbhfkpife"",")</f>
        <v>"jgmemodiapblpagmpfdkpjinbhfkpife",</v>
      </c>
    </row>
    <row r="4438">
      <c r="A4438" s="4" t="s">
        <v>23617</v>
      </c>
      <c r="B4438" s="4" t="s">
        <v>8839</v>
      </c>
      <c r="C4438" s="16" t="str">
        <f>IFERROR(__xludf.DUMMYFUNCTION(""""""""" &amp; REGEXEXTRACT(B4438, ""/detail/([^/?]+)"") &amp; """""","""),"""jgmkoefgnppfpagkhifpialkkkgnfgag"",")</f>
        <v>"jgmkoefgnppfpagkhifpialkkkgnfgag",</v>
      </c>
    </row>
    <row r="4439">
      <c r="A4439" s="4" t="s">
        <v>23618</v>
      </c>
      <c r="B4439" s="4" t="s">
        <v>8841</v>
      </c>
      <c r="C4439" s="16" t="str">
        <f>IFERROR(__xludf.DUMMYFUNCTION(""""""""" &amp; REGEXEXTRACT(B4439, ""/detail/([^/?]+)"") &amp; """""","""),"""jgnbklefkgedfbpjebhjgibfnobjcbli"",")</f>
        <v>"jgnbklefkgedfbpjebhjgibfnobjcbli",</v>
      </c>
    </row>
    <row r="4440">
      <c r="A4440" s="4" t="s">
        <v>23619</v>
      </c>
      <c r="B4440" s="4" t="s">
        <v>8843</v>
      </c>
      <c r="C4440" s="16" t="str">
        <f>IFERROR(__xludf.DUMMYFUNCTION(""""""""" &amp; REGEXEXTRACT(B4440, ""/detail/([^/?]+)"") &amp; """""","""),"""jgpilhblmknfggjpkdcabajchcccgfeo"",")</f>
        <v>"jgpilhblmknfggjpkdcabajchcccgfeo",</v>
      </c>
    </row>
    <row r="4441">
      <c r="A4441" s="4" t="s">
        <v>23620</v>
      </c>
      <c r="B4441" s="4" t="s">
        <v>8845</v>
      </c>
      <c r="C4441" s="16" t="str">
        <f>IFERROR(__xludf.DUMMYFUNCTION(""""""""" &amp; REGEXEXTRACT(B4441, ""/detail/([^/?]+)"") &amp; """""","""),"""jhgjgbepielhcjdamofdopfmfcdcfiin"",")</f>
        <v>"jhgjgbepielhcjdamofdopfmfcdcfiin",</v>
      </c>
    </row>
    <row r="4442">
      <c r="A4442" s="4" t="s">
        <v>23621</v>
      </c>
      <c r="B4442" s="4" t="s">
        <v>8847</v>
      </c>
      <c r="C4442" s="16" t="str">
        <f>IFERROR(__xludf.DUMMYFUNCTION(""""""""" &amp; REGEXEXTRACT(B4442, ""/detail/([^/?]+)"") &amp; """""","""),"""jhpjlmmgagjofmhmbpdhpjifdgghobkn"",")</f>
        <v>"jhpjlmmgagjofmhmbpdhpjifdgghobkn",</v>
      </c>
    </row>
    <row r="4443">
      <c r="A4443" s="4" t="s">
        <v>23622</v>
      </c>
      <c r="B4443" s="4" t="s">
        <v>8849</v>
      </c>
      <c r="C4443" s="16" t="str">
        <f>IFERROR(__xludf.DUMMYFUNCTION(""""""""" &amp; REGEXEXTRACT(B4443, ""/detail/([^/?]+)"") &amp; """""","""),"""jiijikchlpdbgiddomlooeippbamognf"",")</f>
        <v>"jiijikchlpdbgiddomlooeippbamognf",</v>
      </c>
    </row>
    <row r="4444">
      <c r="A4444" s="4" t="s">
        <v>23623</v>
      </c>
      <c r="B4444" s="4" t="s">
        <v>8851</v>
      </c>
      <c r="C4444" s="16" t="str">
        <f>IFERROR(__xludf.DUMMYFUNCTION(""""""""" &amp; REGEXEXTRACT(B4444, ""/detail/([^/?]+)"") &amp; """""","""),"""jijileelaefjahodboljljdgfpbjjlac"",")</f>
        <v>"jijileelaefjahodboljljdgfpbjjlac",</v>
      </c>
    </row>
    <row r="4445">
      <c r="A4445" s="4" t="s">
        <v>23624</v>
      </c>
      <c r="B4445" s="4" t="s">
        <v>8853</v>
      </c>
      <c r="C4445" s="16" t="str">
        <f>IFERROR(__xludf.DUMMYFUNCTION(""""""""" &amp; REGEXEXTRACT(B4445, ""/detail/([^/?]+)"") &amp; """""","""),"""jipobffkabkgddgmdmmgjoaopbnjnffn"",")</f>
        <v>"jipobffkabkgddgmdmmgjoaopbnjnffn",</v>
      </c>
    </row>
    <row r="4446">
      <c r="A4446" s="4" t="s">
        <v>23625</v>
      </c>
      <c r="B4446" s="4" t="s">
        <v>8855</v>
      </c>
      <c r="C4446" s="16" t="str">
        <f>IFERROR(__xludf.DUMMYFUNCTION(""""""""" &amp; REGEXEXTRACT(B4446, ""/detail/([^/?]+)"") &amp; """""","""),"""jjbeocfmgckcnabhefnjnhbpppfmcgfd"",")</f>
        <v>"jjbeocfmgckcnabhefnjnhbpppfmcgfd",</v>
      </c>
    </row>
    <row r="4447">
      <c r="A4447" s="4" t="s">
        <v>23626</v>
      </c>
      <c r="B4447" s="4" t="s">
        <v>8857</v>
      </c>
      <c r="C4447" s="16" t="str">
        <f>IFERROR(__xludf.DUMMYFUNCTION(""""""""" &amp; REGEXEXTRACT(B4447, ""/detail/([^/?]+)"") &amp; """""","""),"""jjjjekfmojknabiflakbmnmapkkmefbe"",")</f>
        <v>"jjjjekfmojknabiflakbmnmapkkmefbe",</v>
      </c>
    </row>
    <row r="4448">
      <c r="A4448" s="4" t="s">
        <v>23627</v>
      </c>
      <c r="B4448" s="4" t="s">
        <v>8859</v>
      </c>
      <c r="C4448" s="16" t="str">
        <f>IFERROR(__xludf.DUMMYFUNCTION(""""""""" &amp; REGEXEXTRACT(B4448, ""/detail/([^/?]+)"") &amp; """""","""),"""jjkdinonnkgnnapdocolkjfnabepfkmj"",")</f>
        <v>"jjkdinonnkgnnapdocolkjfnabepfkmj",</v>
      </c>
    </row>
    <row r="4449">
      <c r="A4449" s="4" t="s">
        <v>23628</v>
      </c>
      <c r="B4449" s="4" t="s">
        <v>8861</v>
      </c>
      <c r="C4449" s="16" t="str">
        <f>IFERROR(__xludf.DUMMYFUNCTION(""""""""" &amp; REGEXEXTRACT(B4449, ""/detail/([^/?]+)"") &amp; """""","""),"""jjklmnaplojhioaalkolmpmbakgicpfc"",")</f>
        <v>"jjklmnaplojhioaalkolmpmbakgicpfc",</v>
      </c>
    </row>
    <row r="4450">
      <c r="A4450" s="4" t="s">
        <v>23629</v>
      </c>
      <c r="B4450" s="4" t="s">
        <v>8863</v>
      </c>
      <c r="C4450" s="16" t="str">
        <f>IFERROR(__xludf.DUMMYFUNCTION(""""""""" &amp; REGEXEXTRACT(B4450, ""/detail/([^/?]+)"") &amp; """""","""),"""jjppfdghakbnajlcgimoocongklffodn"",")</f>
        <v>"jjppfdghakbnajlcgimoocongklffodn",</v>
      </c>
    </row>
    <row r="4451">
      <c r="A4451" s="4" t="s">
        <v>23630</v>
      </c>
      <c r="B4451" s="4" t="s">
        <v>8865</v>
      </c>
      <c r="C4451" s="16" t="str">
        <f>IFERROR(__xludf.DUMMYFUNCTION(""""""""" &amp; REGEXEXTRACT(B4451, ""/detail/([^/?]+)"") &amp; """""","""),"""jkcbiekaonbmiomkbhhfdpllnjgicble"",")</f>
        <v>"jkcbiekaonbmiomkbhhfdpllnjgicble",</v>
      </c>
    </row>
    <row r="4452">
      <c r="A4452" s="4" t="s">
        <v>23631</v>
      </c>
      <c r="B4452" s="4" t="s">
        <v>8867</v>
      </c>
      <c r="C4452" s="16" t="str">
        <f>IFERROR(__xludf.DUMMYFUNCTION(""""""""" &amp; REGEXEXTRACT(B4452, ""/detail/([^/?]+)"") &amp; """""","""),"""jkfdkjomocoaljglgddnmhcbolldcafd"",")</f>
        <v>"jkfdkjomocoaljglgddnmhcbolldcafd",</v>
      </c>
    </row>
    <row r="4453">
      <c r="A4453" s="4" t="s">
        <v>23632</v>
      </c>
      <c r="B4453" s="4" t="s">
        <v>8869</v>
      </c>
      <c r="C4453" s="16" t="str">
        <f>IFERROR(__xludf.DUMMYFUNCTION(""""""""" &amp; REGEXEXTRACT(B4453, ""/detail/([^/?]+)"") &amp; """""","""),"""jkiedgmdpandlnbobnjcbhfklnpdaflc"",")</f>
        <v>"jkiedgmdpandlnbobnjcbhfklnpdaflc",</v>
      </c>
    </row>
    <row r="4454">
      <c r="A4454" s="4" t="s">
        <v>23633</v>
      </c>
      <c r="B4454" s="4" t="s">
        <v>8871</v>
      </c>
      <c r="C4454" s="16" t="str">
        <f>IFERROR(__xludf.DUMMYFUNCTION(""""""""" &amp; REGEXEXTRACT(B4454, ""/detail/([^/?]+)"") &amp; """""","""),"""jmdenoijfejikcljfggmiijccnmdifjj"",")</f>
        <v>"jmdenoijfejikcljfggmiijccnmdifjj",</v>
      </c>
    </row>
    <row r="4455">
      <c r="A4455" s="4" t="s">
        <v>23634</v>
      </c>
      <c r="B4455" s="4" t="s">
        <v>8873</v>
      </c>
      <c r="C4455" s="16" t="str">
        <f>IFERROR(__xludf.DUMMYFUNCTION(""""""""" &amp; REGEXEXTRACT(B4455, ""/detail/([^/?]+)"") &amp; """""","""),"""jmhkbmmljlemjenoklondlldimojdgll"",")</f>
        <v>"jmhkbmmljlemjenoklondlldimojdgll",</v>
      </c>
    </row>
    <row r="4456">
      <c r="A4456" s="4" t="s">
        <v>23635</v>
      </c>
      <c r="B4456" s="4" t="s">
        <v>8875</v>
      </c>
      <c r="C4456" s="16" t="str">
        <f>IFERROR(__xludf.DUMMYFUNCTION(""""""""" &amp; REGEXEXTRACT(B4456, ""/detail/([^/?]+)"") &amp; """""","""),"""jmhlhicfnbopnflmpgdbeicgooafepli"",")</f>
        <v>"jmhlhicfnbopnflmpgdbeicgooafepli",</v>
      </c>
    </row>
    <row r="4457">
      <c r="A4457" s="4" t="s">
        <v>23636</v>
      </c>
      <c r="B4457" s="4" t="s">
        <v>8877</v>
      </c>
      <c r="C4457" s="16" t="str">
        <f>IFERROR(__xludf.DUMMYFUNCTION(""""""""" &amp; REGEXEXTRACT(B4457, ""/detail/([^/?]+)"") &amp; """""","""),"""jmlgjpmnmoamefpgloiafheajackekeb"",")</f>
        <v>"jmlgjpmnmoamefpgloiafheajackekeb",</v>
      </c>
    </row>
    <row r="4458">
      <c r="A4458" s="4" t="s">
        <v>23637</v>
      </c>
      <c r="B4458" s="4" t="s">
        <v>8879</v>
      </c>
      <c r="C4458" s="16" t="str">
        <f>IFERROR(__xludf.DUMMYFUNCTION(""""""""" &amp; REGEXEXTRACT(B4458, ""/detail/([^/?]+)"") &amp; """""","""),"""jneeammdkdmlfgidcacmjmbijdmkdbjm"",")</f>
        <v>"jneeammdkdmlfgidcacmjmbijdmkdbjm",</v>
      </c>
    </row>
    <row r="4459">
      <c r="A4459" s="4" t="s">
        <v>23638</v>
      </c>
      <c r="B4459" s="4" t="s">
        <v>8881</v>
      </c>
      <c r="C4459" s="16" t="str">
        <f>IFERROR(__xludf.DUMMYFUNCTION(""""""""" &amp; REGEXEXTRACT(B4459, ""/detail/([^/?]+)"") &amp; """""","""),"""jnknjejacdkpnaacfgolbmdohkhpphjb"",")</f>
        <v>"jnknjejacdkpnaacfgolbmdohkhpphjb",</v>
      </c>
    </row>
    <row r="4460">
      <c r="A4460" s="4" t="s">
        <v>23639</v>
      </c>
      <c r="B4460" s="4" t="s">
        <v>8883</v>
      </c>
      <c r="C4460" s="16" t="str">
        <f>IFERROR(__xludf.DUMMYFUNCTION(""""""""" &amp; REGEXEXTRACT(B4460, ""/detail/([^/?]+)"") &amp; """""","""),"""jnlnibjgafmamocabdhidiaajkdphkpe"",")</f>
        <v>"jnlnibjgafmamocabdhidiaajkdphkpe",</v>
      </c>
    </row>
    <row r="4461">
      <c r="A4461" s="4" t="s">
        <v>23640</v>
      </c>
      <c r="B4461" s="4" t="s">
        <v>8885</v>
      </c>
      <c r="C4461" s="16" t="str">
        <f>IFERROR(__xludf.DUMMYFUNCTION(""""""""" &amp; REGEXEXTRACT(B4461, ""/detail/([^/?]+)"") &amp; """""","""),"""jnmdcbmpmfhnlchjdkcngihpjmgofajm"",")</f>
        <v>"jnmdcbmpmfhnlchjdkcngihpjmgofajm",</v>
      </c>
    </row>
    <row r="4462">
      <c r="A4462" s="4" t="s">
        <v>23641</v>
      </c>
      <c r="B4462" s="4" t="s">
        <v>8887</v>
      </c>
      <c r="C4462" s="16" t="str">
        <f>IFERROR(__xludf.DUMMYFUNCTION(""""""""" &amp; REGEXEXTRACT(B4462, ""/detail/([^/?]+)"") &amp; """""","""),"""jnnifhpbkkodhfneckeloephjcopmlcd"",")</f>
        <v>"jnnifhpbkkodhfneckeloephjcopmlcd",</v>
      </c>
    </row>
    <row r="4463">
      <c r="A4463" s="4" t="s">
        <v>23642</v>
      </c>
      <c r="B4463" s="4" t="s">
        <v>8889</v>
      </c>
      <c r="C4463" s="16" t="str">
        <f>IFERROR(__xludf.DUMMYFUNCTION(""""""""" &amp; REGEXEXTRACT(B4463, ""/detail/([^/?]+)"") &amp; """""","""),"""jolbgfjnbicnaipkklmgkpcfjkkgflcb"",")</f>
        <v>"jolbgfjnbicnaipkklmgkpcfjkkgflcb",</v>
      </c>
    </row>
    <row r="4464">
      <c r="A4464" s="4" t="s">
        <v>23643</v>
      </c>
      <c r="B4464" s="4" t="s">
        <v>8891</v>
      </c>
      <c r="C4464" s="16" t="str">
        <f>IFERROR(__xludf.DUMMYFUNCTION(""""""""" &amp; REGEXEXTRACT(B4464, ""/detail/([^/?]+)"") &amp; """""","""),"""jpafaidkicnfcohbcfegbokibbghpnee"",")</f>
        <v>"jpafaidkicnfcohbcfegbokibbghpnee",</v>
      </c>
    </row>
    <row r="4465">
      <c r="A4465" s="4" t="s">
        <v>23644</v>
      </c>
      <c r="B4465" s="4" t="s">
        <v>8893</v>
      </c>
      <c r="C4465" s="16" t="str">
        <f>IFERROR(__xludf.DUMMYFUNCTION(""""""""" &amp; REGEXEXTRACT(B4465, ""/detail/([^/?]+)"") &amp; """""","""),"""jpoihkdhglpoihdkjmmgdkllpjalbmei"",")</f>
        <v>"jpoihkdhglpoihdkjmmgdkllpjalbmei",</v>
      </c>
    </row>
    <row r="4466">
      <c r="A4466" s="4" t="s">
        <v>23645</v>
      </c>
      <c r="B4466" s="4" t="s">
        <v>8895</v>
      </c>
      <c r="C4466" s="16" t="str">
        <f>IFERROR(__xludf.DUMMYFUNCTION(""""""""" &amp; REGEXEXTRACT(B4466, ""/detail/([^/?]+)"") &amp; """""","""),"""kaioddlknfmbibclnlnmbgjajbacgnab"",")</f>
        <v>"kaioddlknfmbibclnlnmbgjajbacgnab",</v>
      </c>
    </row>
    <row r="4467">
      <c r="A4467" s="4" t="s">
        <v>23646</v>
      </c>
      <c r="B4467" s="4" t="s">
        <v>8897</v>
      </c>
      <c r="C4467" s="16" t="str">
        <f>IFERROR(__xludf.DUMMYFUNCTION(""""""""" &amp; REGEXEXTRACT(B4467, ""/detail/([^/?]+)"") &amp; """""","""),"""kaiofkekiongfpgocmlpomimfnmcnfii"",")</f>
        <v>"kaiofkekiongfpgocmlpomimfnmcnfii",</v>
      </c>
    </row>
    <row r="4468">
      <c r="A4468" s="4" t="s">
        <v>23647</v>
      </c>
      <c r="B4468" s="4" t="s">
        <v>8899</v>
      </c>
      <c r="C4468" s="16" t="str">
        <f>IFERROR(__xludf.DUMMYFUNCTION(""""""""" &amp; REGEXEXTRACT(B4468, ""/detail/([^/?]+)"") &amp; """""","""),"""kalbgfbifcaigjnkgagbeimcflnaijmc"",")</f>
        <v>"kalbgfbifcaigjnkgagbeimcflnaijmc",</v>
      </c>
    </row>
    <row r="4469">
      <c r="A4469" s="4" t="s">
        <v>23648</v>
      </c>
      <c r="B4469" s="4" t="s">
        <v>8901</v>
      </c>
      <c r="C4469" s="16" t="str">
        <f>IFERROR(__xludf.DUMMYFUNCTION(""""""""" &amp; REGEXEXTRACT(B4469, ""/detail/([^/?]+)"") &amp; """""","""),"""kanfjhdeebkfgkbmnfknhejpadhlmiab"",")</f>
        <v>"kanfjhdeebkfgkbmnfknhejpadhlmiab",</v>
      </c>
    </row>
    <row r="4470">
      <c r="A4470" s="4" t="s">
        <v>23649</v>
      </c>
      <c r="B4470" s="4" t="s">
        <v>8903</v>
      </c>
      <c r="C4470" s="16" t="str">
        <f>IFERROR(__xludf.DUMMYFUNCTION(""""""""" &amp; REGEXEXTRACT(B4470, ""/detail/([^/?]+)"") &amp; """""","""),"""kbbachocflopihajoahdchlbjpdfdfkk"",")</f>
        <v>"kbbachocflopihajoahdchlbjpdfdfkk",</v>
      </c>
    </row>
    <row r="4471">
      <c r="A4471" s="4" t="s">
        <v>23650</v>
      </c>
      <c r="B4471" s="4" t="s">
        <v>8905</v>
      </c>
      <c r="C4471" s="16" t="str">
        <f>IFERROR(__xludf.DUMMYFUNCTION(""""""""" &amp; REGEXEXTRACT(B4471, ""/detail/([^/?]+)"") &amp; """""","""),"""kbhidgghgflkbalnkoeokcipocmigkfh"",")</f>
        <v>"kbhidgghgflkbalnkoeokcipocmigkfh",</v>
      </c>
    </row>
    <row r="4472">
      <c r="A4472" s="4" t="s">
        <v>23651</v>
      </c>
      <c r="B4472" s="4" t="s">
        <v>8907</v>
      </c>
      <c r="C4472" s="16" t="str">
        <f>IFERROR(__xludf.DUMMYFUNCTION(""""""""" &amp; REGEXEXTRACT(B4472, ""/detail/([^/?]+)"") &amp; """""","""),"""kbkjgbkmphnikcpkcodjbifkblmgidia"",")</f>
        <v>"kbkjgbkmphnikcpkcodjbifkblmgidia",</v>
      </c>
    </row>
    <row r="4473">
      <c r="A4473" s="4" t="s">
        <v>23652</v>
      </c>
      <c r="B4473" s="4" t="s">
        <v>8909</v>
      </c>
      <c r="C4473" s="16" t="str">
        <f>IFERROR(__xludf.DUMMYFUNCTION(""""""""" &amp; REGEXEXTRACT(B4473, ""/detail/([^/?]+)"") &amp; """""","""),"""kbkofmkelombofknjlippaelfjhbpena"",")</f>
        <v>"kbkofmkelombofknjlippaelfjhbpena",</v>
      </c>
    </row>
    <row r="4474">
      <c r="A4474" s="4" t="s">
        <v>23653</v>
      </c>
      <c r="B4474" s="4" t="s">
        <v>8911</v>
      </c>
      <c r="C4474" s="16" t="str">
        <f>IFERROR(__xludf.DUMMYFUNCTION(""""""""" &amp; REGEXEXTRACT(B4474, ""/detail/([^/?]+)"") &amp; """""","""),"""kbokemhcejmkhggldpaeojhhejmnffjc"",")</f>
        <v>"kbokemhcejmkhggldpaeojhhejmnffjc",</v>
      </c>
    </row>
    <row r="4475">
      <c r="A4475" s="4" t="s">
        <v>23654</v>
      </c>
      <c r="B4475" s="4" t="s">
        <v>8913</v>
      </c>
      <c r="C4475" s="16" t="str">
        <f>IFERROR(__xludf.DUMMYFUNCTION(""""""""" &amp; REGEXEXTRACT(B4475, ""/detail/([^/?]+)"") &amp; """""","""),"""kcalekkcloenlggckljneebibcfpoidh"",")</f>
        <v>"kcalekkcloenlggckljneebibcfpoidh",</v>
      </c>
    </row>
    <row r="4476">
      <c r="A4476" s="4" t="s">
        <v>23655</v>
      </c>
      <c r="B4476" s="4" t="s">
        <v>8915</v>
      </c>
      <c r="C4476" s="16" t="str">
        <f>IFERROR(__xludf.DUMMYFUNCTION(""""""""" &amp; REGEXEXTRACT(B4476, ""/detail/([^/?]+)"") &amp; """""","""),"""kcebcpmpalcalchafgbhehjblldcakjb"",")</f>
        <v>"kcebcpmpalcalchafgbhehjblldcakjb",</v>
      </c>
    </row>
    <row r="4477">
      <c r="A4477" s="4" t="s">
        <v>23656</v>
      </c>
      <c r="B4477" s="4" t="s">
        <v>8917</v>
      </c>
      <c r="C4477" s="16" t="str">
        <f>IFERROR(__xludf.DUMMYFUNCTION(""""""""" &amp; REGEXEXTRACT(B4477, ""/detail/([^/?]+)"") &amp; """""","""),"""kcigpjcafekokoclamfendmaapcljead"",")</f>
        <v>"kcigpjcafekokoclamfendmaapcljead",</v>
      </c>
    </row>
    <row r="4478">
      <c r="A4478" s="4" t="s">
        <v>23657</v>
      </c>
      <c r="B4478" s="4" t="s">
        <v>8919</v>
      </c>
      <c r="C4478" s="16" t="str">
        <f>IFERROR(__xludf.DUMMYFUNCTION(""""""""" &amp; REGEXEXTRACT(B4478, ""/detail/([^/?]+)"") &amp; """""","""),"""kclmpmjofefcpjlommdpokoccidafnbi"",")</f>
        <v>"kclmpmjofefcpjlommdpokoccidafnbi",</v>
      </c>
    </row>
    <row r="4479">
      <c r="A4479" s="4" t="s">
        <v>23658</v>
      </c>
      <c r="B4479" s="4" t="s">
        <v>8921</v>
      </c>
      <c r="C4479" s="16" t="str">
        <f>IFERROR(__xludf.DUMMYFUNCTION(""""""""" &amp; REGEXEXTRACT(B4479, ""/detail/([^/?]+)"") &amp; """""","""),"""kcoiifklhfpfmpllamlgpbjbogafgini"",")</f>
        <v>"kcoiifklhfpfmpllamlgpbjbogafgini",</v>
      </c>
    </row>
    <row r="4480">
      <c r="A4480" s="4" t="s">
        <v>23659</v>
      </c>
      <c r="B4480" s="4" t="s">
        <v>8923</v>
      </c>
      <c r="C4480" s="16" t="str">
        <f>IFERROR(__xludf.DUMMYFUNCTION(""""""""" &amp; REGEXEXTRACT(B4480, ""/detail/([^/?]+)"") &amp; """""","""),"""kddidpldlbihphhcbiicmnldjhocmmpl"",")</f>
        <v>"kddidpldlbihphhcbiicmnldjhocmmpl",</v>
      </c>
    </row>
    <row r="4481">
      <c r="A4481" s="4" t="s">
        <v>23660</v>
      </c>
      <c r="B4481" s="4" t="s">
        <v>8925</v>
      </c>
      <c r="C4481" s="16" t="str">
        <f>IFERROR(__xludf.DUMMYFUNCTION(""""""""" &amp; REGEXEXTRACT(B4481, ""/detail/([^/?]+)"") &amp; """""","""),"""kdelmhecjnbelecadmekaelngjhmadoi"",")</f>
        <v>"kdelmhecjnbelecadmekaelngjhmadoi",</v>
      </c>
    </row>
    <row r="4482">
      <c r="A4482" s="4" t="s">
        <v>23661</v>
      </c>
      <c r="B4482" s="4" t="s">
        <v>8927</v>
      </c>
      <c r="C4482" s="16" t="str">
        <f>IFERROR(__xludf.DUMMYFUNCTION(""""""""" &amp; REGEXEXTRACT(B4482, ""/detail/([^/?]+)"") &amp; """""","""),"""kdfhnpognnnngdhdkdhkkmdgfklljnkg"",")</f>
        <v>"kdfhnpognnnngdhdkdhkkmdgfklljnkg",</v>
      </c>
    </row>
    <row r="4483">
      <c r="A4483" s="4" t="s">
        <v>23662</v>
      </c>
      <c r="B4483" s="4" t="s">
        <v>8929</v>
      </c>
      <c r="C4483" s="16" t="str">
        <f>IFERROR(__xludf.DUMMYFUNCTION(""""""""" &amp; REGEXEXTRACT(B4483, ""/detail/([^/?]+)"") &amp; """""","""),"""kdjabmieeogkccoiopmaaapnilmonjfj"",")</f>
        <v>"kdjabmieeogkccoiopmaaapnilmonjfj",</v>
      </c>
    </row>
    <row r="4484">
      <c r="A4484" s="4" t="s">
        <v>23663</v>
      </c>
      <c r="B4484" s="4" t="s">
        <v>8931</v>
      </c>
      <c r="C4484" s="16" t="str">
        <f>IFERROR(__xludf.DUMMYFUNCTION(""""""""" &amp; REGEXEXTRACT(B4484, ""/detail/([^/?]+)"") &amp; """""","""),"""keckkajhmnildpdamoepjjnkbgkcfhpl"",")</f>
        <v>"keckkajhmnildpdamoepjjnkbgkcfhpl",</v>
      </c>
    </row>
    <row r="4485">
      <c r="A4485" s="4" t="s">
        <v>23664</v>
      </c>
      <c r="B4485" s="4" t="s">
        <v>8933</v>
      </c>
      <c r="C4485" s="16" t="str">
        <f>IFERROR(__xludf.DUMMYFUNCTION(""""""""" &amp; REGEXEXTRACT(B4485, ""/detail/([^/?]+)"") &amp; """""","""),"""keddpcnedcpoeephcakklnpbihhccdpn"",")</f>
        <v>"keddpcnedcpoeephcakklnpbihhccdpn",</v>
      </c>
    </row>
    <row r="4486">
      <c r="A4486" s="4" t="s">
        <v>23665</v>
      </c>
      <c r="B4486" s="4" t="s">
        <v>8935</v>
      </c>
      <c r="C4486" s="16" t="str">
        <f>IFERROR(__xludf.DUMMYFUNCTION(""""""""" &amp; REGEXEXTRACT(B4486, ""/detail/([^/?]+)"") &amp; """""","""),"""kegeenojcnijgmfgkcokknkbpmjcabdm"",")</f>
        <v>"kegeenojcnijgmfgkcokknkbpmjcabdm",</v>
      </c>
    </row>
    <row r="4487">
      <c r="A4487" s="4" t="s">
        <v>23666</v>
      </c>
      <c r="B4487" s="4" t="s">
        <v>8937</v>
      </c>
      <c r="C4487" s="16" t="str">
        <f>IFERROR(__xludf.DUMMYFUNCTION(""""""""" &amp; REGEXEXTRACT(B4487, ""/detail/([^/?]+)"") &amp; """""","""),"""kekjbckkfbdknpcpcdpmlkbnleeddamg"",")</f>
        <v>"kekjbckkfbdknpcpcdpmlkbnleeddamg",</v>
      </c>
    </row>
    <row r="4488">
      <c r="A4488" s="4" t="s">
        <v>23667</v>
      </c>
      <c r="B4488" s="4" t="s">
        <v>8939</v>
      </c>
      <c r="C4488" s="16" t="str">
        <f>IFERROR(__xludf.DUMMYFUNCTION(""""""""" &amp; REGEXEXTRACT(B4488, ""/detail/([^/?]+)"") &amp; """""","""),"""kelgbdopkppoipmnjaeggkcbhncpeplb"",")</f>
        <v>"kelgbdopkppoipmnjaeggkcbhncpeplb",</v>
      </c>
    </row>
    <row r="4489">
      <c r="A4489" s="4" t="s">
        <v>23668</v>
      </c>
      <c r="B4489" s="4" t="s">
        <v>8941</v>
      </c>
      <c r="C4489" s="16" t="str">
        <f>IFERROR(__xludf.DUMMYFUNCTION(""""""""" &amp; REGEXEXTRACT(B4489, ""/detail/([^/?]+)"") &amp; """""","""),"""kenkeoadgknhbidjgipfoganifcbbhkg"",")</f>
        <v>"kenkeoadgknhbidjgipfoganifcbbhkg",</v>
      </c>
    </row>
    <row r="4490">
      <c r="A4490" s="4" t="s">
        <v>23669</v>
      </c>
      <c r="B4490" s="4" t="s">
        <v>8943</v>
      </c>
      <c r="C4490" s="16" t="str">
        <f>IFERROR(__xludf.DUMMYFUNCTION(""""""""" &amp; REGEXEXTRACT(B4490, ""/detail/([^/?]+)"") &amp; """""","""),"""kfaajmhbkjgcpgehokmponmafikeojoi"",")</f>
        <v>"kfaajmhbkjgcpgehokmponmafikeojoi",</v>
      </c>
    </row>
    <row r="4491">
      <c r="A4491" s="4" t="s">
        <v>23670</v>
      </c>
      <c r="B4491" s="4" t="s">
        <v>8945</v>
      </c>
      <c r="C4491" s="16" t="str">
        <f>IFERROR(__xludf.DUMMYFUNCTION(""""""""" &amp; REGEXEXTRACT(B4491, ""/detail/([^/?]+)"") &amp; """""","""),"""kflgmkikmbklpikoicfhonemdcemkdia"",")</f>
        <v>"kflgmkikmbklpikoicfhonemdcemkdia",</v>
      </c>
    </row>
    <row r="4492">
      <c r="A4492" s="4" t="s">
        <v>23671</v>
      </c>
      <c r="B4492" s="4" t="s">
        <v>8947</v>
      </c>
      <c r="C4492" s="16" t="str">
        <f>IFERROR(__xludf.DUMMYFUNCTION(""""""""" &amp; REGEXEXTRACT(B4492, ""/detail/([^/?]+)"") &amp; """""","""),"""kfmkbbiclelmdohlohkbiafbelpnnlda"",")</f>
        <v>"kfmkbbiclelmdohlohkbiafbelpnnlda",</v>
      </c>
    </row>
    <row r="4493">
      <c r="A4493" s="4" t="s">
        <v>23672</v>
      </c>
      <c r="B4493" s="4" t="s">
        <v>8949</v>
      </c>
      <c r="C4493" s="16" t="str">
        <f>IFERROR(__xludf.DUMMYFUNCTION(""""""""" &amp; REGEXEXTRACT(B4493, ""/detail/([^/?]+)"") &amp; """""","""),"""kfnkfhdbeidcdpdlefbfabepmfhldkoi"",")</f>
        <v>"kfnkfhdbeidcdpdlefbfabepmfhldkoi",</v>
      </c>
    </row>
    <row r="4494">
      <c r="A4494" s="4" t="s">
        <v>23673</v>
      </c>
      <c r="B4494" s="4" t="s">
        <v>8951</v>
      </c>
      <c r="C4494" s="16" t="str">
        <f>IFERROR(__xludf.DUMMYFUNCTION(""""""""" &amp; REGEXEXTRACT(B4494, ""/detail/([^/?]+)"") &amp; """""","""),"""kfollpcdnbaimpmjhkoghaegiendpidj"",")</f>
        <v>"kfollpcdnbaimpmjhkoghaegiendpidj",</v>
      </c>
    </row>
    <row r="4495">
      <c r="A4495" s="4" t="s">
        <v>23674</v>
      </c>
      <c r="B4495" s="4" t="s">
        <v>8953</v>
      </c>
      <c r="C4495" s="16" t="str">
        <f>IFERROR(__xludf.DUMMYFUNCTION(""""""""" &amp; REGEXEXTRACT(B4495, ""/detail/([^/?]+)"") &amp; """""","""),"""kfopmjhmejbgomgeajemgpgpbckpoopg"",")</f>
        <v>"kfopmjhmejbgomgeajemgpgpbckpoopg",</v>
      </c>
    </row>
    <row r="4496">
      <c r="A4496" s="4" t="s">
        <v>23675</v>
      </c>
      <c r="B4496" s="4" t="s">
        <v>8955</v>
      </c>
      <c r="C4496" s="16" t="str">
        <f>IFERROR(__xludf.DUMMYFUNCTION(""""""""" &amp; REGEXEXTRACT(B4496, ""/detail/([^/?]+)"") &amp; """""","""),"""kgdbehohjbnkilhnglcmeaobgkfojnlo"",")</f>
        <v>"kgdbehohjbnkilhnglcmeaobgkfojnlo",</v>
      </c>
    </row>
    <row r="4497">
      <c r="A4497" s="4" t="s">
        <v>23676</v>
      </c>
      <c r="B4497" s="4" t="s">
        <v>8957</v>
      </c>
      <c r="C4497" s="16" t="str">
        <f>IFERROR(__xludf.DUMMYFUNCTION(""""""""" &amp; REGEXEXTRACT(B4497, ""/detail/([^/?]+)"") &amp; """""","""),"""kgdllopgpknhbnmagaiifhddjkchmeln"",")</f>
        <v>"kgdllopgpknhbnmagaiifhddjkchmeln",</v>
      </c>
    </row>
    <row r="4498">
      <c r="A4498" s="4" t="s">
        <v>23677</v>
      </c>
      <c r="B4498" s="4" t="s">
        <v>8959</v>
      </c>
      <c r="C4498" s="16" t="str">
        <f>IFERROR(__xludf.DUMMYFUNCTION(""""""""" &amp; REGEXEXTRACT(B4498, ""/detail/([^/?]+)"") &amp; """""","""),"""kgecldbalfgmgelepbblodfoogmjdgmj"",")</f>
        <v>"kgecldbalfgmgelepbblodfoogmjdgmj",</v>
      </c>
    </row>
    <row r="4499">
      <c r="A4499" s="4" t="s">
        <v>23678</v>
      </c>
      <c r="B4499" s="4" t="s">
        <v>8961</v>
      </c>
      <c r="C4499" s="16" t="str">
        <f>IFERROR(__xludf.DUMMYFUNCTION(""""""""" &amp; REGEXEXTRACT(B4499, ""/detail/([^/?]+)"") &amp; """""","""),"""kgfjafdahhkoiabgaappgdnojpgjbahi"",")</f>
        <v>"kgfjafdahhkoiabgaappgdnojpgjbahi",</v>
      </c>
    </row>
    <row r="4500">
      <c r="A4500" s="4" t="s">
        <v>23679</v>
      </c>
      <c r="B4500" s="4" t="s">
        <v>8963</v>
      </c>
      <c r="C4500" s="16" t="str">
        <f>IFERROR(__xludf.DUMMYFUNCTION(""""""""" &amp; REGEXEXTRACT(B4500, ""/detail/([^/?]+)"") &amp; """""","""),"""kgfmdmaophhlcbningclnghjeijcokmi"",")</f>
        <v>"kgfmdmaophhlcbningclnghjeijcokmi",</v>
      </c>
    </row>
    <row r="4501">
      <c r="A4501" s="4" t="s">
        <v>23680</v>
      </c>
      <c r="B4501" s="4" t="s">
        <v>8965</v>
      </c>
      <c r="C4501" s="16" t="str">
        <f>IFERROR(__xludf.DUMMYFUNCTION(""""""""" &amp; REGEXEXTRACT(B4501, ""/detail/([^/?]+)"") &amp; """""","""),"""kgmadhplahebfoiijgloflhakfjlkbpb"",")</f>
        <v>"kgmadhplahebfoiijgloflhakfjlkbpb",</v>
      </c>
    </row>
    <row r="4502">
      <c r="A4502" s="4" t="s">
        <v>23681</v>
      </c>
      <c r="B4502" s="4" t="s">
        <v>8967</v>
      </c>
      <c r="C4502" s="16" t="str">
        <f>IFERROR(__xludf.DUMMYFUNCTION(""""""""" &amp; REGEXEXTRACT(B4502, ""/detail/([^/?]+)"") &amp; """""","""),"""kgoiecbcpnodglnehemdbnkdmelhonec"",")</f>
        <v>"kgoiecbcpnodglnehemdbnkdmelhonec",</v>
      </c>
    </row>
    <row r="4503">
      <c r="A4503" s="4" t="s">
        <v>23682</v>
      </c>
      <c r="B4503" s="4" t="s">
        <v>8969</v>
      </c>
      <c r="C4503" s="16" t="str">
        <f>IFERROR(__xludf.DUMMYFUNCTION(""""""""" &amp; REGEXEXTRACT(B4503, ""/detail/([^/?]+)"") &amp; """""","""),"""kgpiejjjpjkcijopeabfleliifbhfnci"",")</f>
        <v>"kgpiejjjpjkcijopeabfleliifbhfnci",</v>
      </c>
    </row>
    <row r="4504">
      <c r="A4504" s="4" t="s">
        <v>23683</v>
      </c>
      <c r="B4504" s="4" t="s">
        <v>8971</v>
      </c>
      <c r="C4504" s="16" t="str">
        <f>IFERROR(__xludf.DUMMYFUNCTION(""""""""" &amp; REGEXEXTRACT(B4504, ""/detail/([^/?]+)"") &amp; """""","""),"""khfheicddakgkjkocaokijccaaeebfko"",")</f>
        <v>"khfheicddakgkjkocaokijccaaeebfko",</v>
      </c>
    </row>
    <row r="4505">
      <c r="A4505" s="4" t="s">
        <v>23684</v>
      </c>
      <c r="B4505" s="4" t="s">
        <v>8973</v>
      </c>
      <c r="C4505" s="16" t="str">
        <f>IFERROR(__xludf.DUMMYFUNCTION(""""""""" &amp; REGEXEXTRACT(B4505, ""/detail/([^/?]+)"") &amp; """""","""),"""khjolfgpcjhcmealonfmmchhagngnecf"",")</f>
        <v>"khjolfgpcjhcmealonfmmchhagngnecf",</v>
      </c>
    </row>
    <row r="4506">
      <c r="A4506" s="4" t="s">
        <v>23685</v>
      </c>
      <c r="B4506" s="4" t="s">
        <v>8975</v>
      </c>
      <c r="C4506" s="16" t="str">
        <f>IFERROR(__xludf.DUMMYFUNCTION(""""""""" &amp; REGEXEXTRACT(B4506, ""/detail/([^/?]+)"") &amp; """""","""),"""khnloieeghjghmpjeaopaenibbneljpk"",")</f>
        <v>"khnloieeghjghmpjeaopaenibbneljpk",</v>
      </c>
    </row>
    <row r="4507">
      <c r="A4507" s="4" t="s">
        <v>23686</v>
      </c>
      <c r="B4507" s="4" t="s">
        <v>8977</v>
      </c>
      <c r="C4507" s="16" t="str">
        <f>IFERROR(__xludf.DUMMYFUNCTION(""""""""" &amp; REGEXEXTRACT(B4507, ""/detail/([^/?]+)"") &amp; """""","""),"""khohmflpainliicgcnenjnldnmffnaec"",")</f>
        <v>"khohmflpainliicgcnenjnldnmffnaec",</v>
      </c>
    </row>
    <row r="4508">
      <c r="A4508" s="4" t="s">
        <v>23687</v>
      </c>
      <c r="B4508" s="4" t="s">
        <v>8979</v>
      </c>
      <c r="C4508" s="16" t="str">
        <f>IFERROR(__xludf.DUMMYFUNCTION(""""""""" &amp; REGEXEXTRACT(B4508, ""/detail/([^/?]+)"") &amp; """""","""),"""kidgbjjjkhkickaakajjpgdkcfnidphn"",")</f>
        <v>"kidgbjjjkhkickaakajjpgdkcfnidphn",</v>
      </c>
    </row>
    <row r="4509">
      <c r="A4509" s="4" t="s">
        <v>23688</v>
      </c>
      <c r="B4509" s="4" t="s">
        <v>8981</v>
      </c>
      <c r="C4509" s="16" t="str">
        <f>IFERROR(__xludf.DUMMYFUNCTION(""""""""" &amp; REGEXEXTRACT(B4509, ""/detail/([^/?]+)"") &amp; """""","""),"""kjehaadplpgckpgeoddpnijogjaldela"",")</f>
        <v>"kjehaadplpgckpgeoddpnijogjaldela",</v>
      </c>
    </row>
    <row r="4510">
      <c r="A4510" s="4" t="s">
        <v>23689</v>
      </c>
      <c r="B4510" s="4" t="s">
        <v>8983</v>
      </c>
      <c r="C4510" s="16" t="str">
        <f>IFERROR(__xludf.DUMMYFUNCTION(""""""""" &amp; REGEXEXTRACT(B4510, ""/detail/([^/?]+)"") &amp; """""","""),"""kjjlfnmamiphaeamdngahedegooecnnc"",")</f>
        <v>"kjjlfnmamiphaeamdngahedegooecnnc",</v>
      </c>
    </row>
    <row r="4511">
      <c r="A4511" s="4" t="s">
        <v>23690</v>
      </c>
      <c r="B4511" s="4" t="s">
        <v>8985</v>
      </c>
      <c r="C4511" s="16" t="str">
        <f>IFERROR(__xludf.DUMMYFUNCTION(""""""""" &amp; REGEXEXTRACT(B4511, ""/detail/([^/?]+)"") &amp; """""","""),"""kkbhjaadbajeblffmifelmhmagjmlpne"",")</f>
        <v>"kkbhjaadbajeblffmifelmhmagjmlpne",</v>
      </c>
    </row>
    <row r="4512">
      <c r="A4512" s="4" t="s">
        <v>23691</v>
      </c>
      <c r="B4512" s="4" t="s">
        <v>8987</v>
      </c>
      <c r="C4512" s="16" t="str">
        <f>IFERROR(__xludf.DUMMYFUNCTION(""""""""" &amp; REGEXEXTRACT(B4512, ""/detail/([^/?]+)"") &amp; """""","""),"""kkdiabnhbdikbmpaabginbifkmhbpbcf"",")</f>
        <v>"kkdiabnhbdikbmpaabginbifkmhbpbcf",</v>
      </c>
    </row>
    <row r="4513">
      <c r="A4513" s="4" t="s">
        <v>23692</v>
      </c>
      <c r="B4513" s="4" t="s">
        <v>8989</v>
      </c>
      <c r="C4513" s="16" t="str">
        <f>IFERROR(__xludf.DUMMYFUNCTION(""""""""" &amp; REGEXEXTRACT(B4513, ""/detail/([^/?]+)"") &amp; """""","""),"""klcpekhgaebbghffffpofgaipfcdplkc"",")</f>
        <v>"klcpekhgaebbghffffpofgaipfcdplkc",</v>
      </c>
    </row>
    <row r="4514">
      <c r="A4514" s="4" t="s">
        <v>23693</v>
      </c>
      <c r="B4514" s="4" t="s">
        <v>8991</v>
      </c>
      <c r="C4514" s="16" t="str">
        <f>IFERROR(__xludf.DUMMYFUNCTION(""""""""" &amp; REGEXEXTRACT(B4514, ""/detail/([^/?]+)"") &amp; """""","""),"""kllkegeooedapeomenkneoilkodcleaa"",")</f>
        <v>"kllkegeooedapeomenkneoilkodcleaa",</v>
      </c>
    </row>
    <row r="4515">
      <c r="A4515" s="4" t="s">
        <v>23694</v>
      </c>
      <c r="B4515" s="4" t="s">
        <v>8993</v>
      </c>
      <c r="C4515" s="16" t="str">
        <f>IFERROR(__xludf.DUMMYFUNCTION(""""""""" &amp; REGEXEXTRACT(B4515, ""/detail/([^/?]+)"") &amp; """""","""),"""klommbdmeefgobphaflhmnieheipjajm"",")</f>
        <v>"klommbdmeefgobphaflhmnieheipjajm",</v>
      </c>
    </row>
    <row r="4516">
      <c r="A4516" s="4" t="s">
        <v>23695</v>
      </c>
      <c r="B4516" s="4" t="s">
        <v>8995</v>
      </c>
      <c r="C4516" s="16" t="str">
        <f>IFERROR(__xludf.DUMMYFUNCTION(""""""""" &amp; REGEXEXTRACT(B4516, ""/detail/([^/?]+)"") &amp; """""","""),"""kmbmjdabhpdnpeobnbdchihdcdaccidi"",")</f>
        <v>"kmbmjdabhpdnpeobnbdchihdcdaccidi",</v>
      </c>
    </row>
    <row r="4517">
      <c r="A4517" s="4" t="s">
        <v>23696</v>
      </c>
      <c r="B4517" s="4" t="s">
        <v>8997</v>
      </c>
      <c r="C4517" s="16" t="str">
        <f>IFERROR(__xludf.DUMMYFUNCTION(""""""""" &amp; REGEXEXTRACT(B4517, ""/detail/([^/?]+)"") &amp; """""","""),"""kmbnhpalnepccnjgaobhndnkimepecbl"",")</f>
        <v>"kmbnhpalnepccnjgaobhndnkimepecbl",</v>
      </c>
    </row>
    <row r="4518">
      <c r="A4518" s="4" t="s">
        <v>23697</v>
      </c>
      <c r="B4518" s="4" t="s">
        <v>8999</v>
      </c>
      <c r="C4518" s="16" t="str">
        <f>IFERROR(__xludf.DUMMYFUNCTION(""""""""" &amp; REGEXEXTRACT(B4518, ""/detail/([^/?]+)"") &amp; """""","""),"""kmdepbjjhlbhohppiancfgdpkjcoajgb"",")</f>
        <v>"kmdepbjjhlbhohppiancfgdpkjcoajgb",</v>
      </c>
    </row>
    <row r="4519">
      <c r="A4519" s="4" t="s">
        <v>23698</v>
      </c>
      <c r="B4519" s="4" t="s">
        <v>9001</v>
      </c>
      <c r="C4519" s="16" t="str">
        <f>IFERROR(__xludf.DUMMYFUNCTION(""""""""" &amp; REGEXEXTRACT(B4519, ""/detail/([^/?]+)"") &amp; """""","""),"""kmegdgpjegibeilcfnaoodjmfhajbffh"",")</f>
        <v>"kmegdgpjegibeilcfnaoodjmfhajbffh",</v>
      </c>
    </row>
    <row r="4520">
      <c r="A4520" s="4" t="s">
        <v>23699</v>
      </c>
      <c r="B4520" s="4" t="s">
        <v>9003</v>
      </c>
      <c r="C4520" s="16" t="str">
        <f>IFERROR(__xludf.DUMMYFUNCTION(""""""""" &amp; REGEXEXTRACT(B4520, ""/detail/([^/?]+)"") &amp; """""","""),"""kmelgddoogigbocjfhgplgjplmlgclmo"",")</f>
        <v>"kmelgddoogigbocjfhgplgjplmlgclmo",</v>
      </c>
    </row>
    <row r="4521">
      <c r="A4521" s="4" t="s">
        <v>23700</v>
      </c>
      <c r="B4521" s="4" t="s">
        <v>9005</v>
      </c>
      <c r="C4521" s="16" t="str">
        <f>IFERROR(__xludf.DUMMYFUNCTION(""""""""" &amp; REGEXEXTRACT(B4521, ""/detail/([^/?]+)"") &amp; """""","""),"""kmmedleieefbfhaifgpleobiikoegbof"",")</f>
        <v>"kmmedleieefbfhaifgpleobiikoegbof",</v>
      </c>
    </row>
    <row r="4522">
      <c r="A4522" s="4" t="s">
        <v>23701</v>
      </c>
      <c r="B4522" s="4" t="s">
        <v>9007</v>
      </c>
      <c r="C4522" s="16" t="str">
        <f>IFERROR(__xludf.DUMMYFUNCTION(""""""""" &amp; REGEXEXTRACT(B4522, ""/detail/([^/?]+)"") &amp; """""","""),"""kmpgegdondpjighcnnlnomapbefebhpj"",")</f>
        <v>"kmpgegdondpjighcnnlnomapbefebhpj",</v>
      </c>
    </row>
    <row r="4523">
      <c r="A4523" s="4" t="s">
        <v>23702</v>
      </c>
      <c r="B4523" s="4" t="s">
        <v>9009</v>
      </c>
      <c r="C4523" s="16" t="str">
        <f>IFERROR(__xludf.DUMMYFUNCTION(""""""""" &amp; REGEXEXTRACT(B4523, ""/detail/([^/?]+)"") &amp; """""","""),"""kmpmofoajdopdjcgpbobcmlllfnjdknn"",")</f>
        <v>"kmpmofoajdopdjcgpbobcmlllfnjdknn",</v>
      </c>
    </row>
    <row r="4524">
      <c r="A4524" s="4" t="s">
        <v>23703</v>
      </c>
      <c r="B4524" s="4" t="s">
        <v>9011</v>
      </c>
      <c r="C4524" s="16" t="str">
        <f>IFERROR(__xludf.DUMMYFUNCTION(""""""""" &amp; REGEXEXTRACT(B4524, ""/detail/([^/?]+)"") &amp; """""","""),"""kndacjhnpeocfgcflefoakfnegadncna"",")</f>
        <v>"kndacjhnpeocfgcflefoakfnegadncna",</v>
      </c>
    </row>
    <row r="4525">
      <c r="A4525" s="4" t="s">
        <v>23704</v>
      </c>
      <c r="B4525" s="4" t="s">
        <v>9013</v>
      </c>
      <c r="C4525" s="16" t="str">
        <f>IFERROR(__xludf.DUMMYFUNCTION(""""""""" &amp; REGEXEXTRACT(B4525, ""/detail/([^/?]+)"") &amp; """""","""),"""knliaomflpbgdhnlhomjmmoahdfhnhae"",")</f>
        <v>"knliaomflpbgdhnlhomjmmoahdfhnhae",</v>
      </c>
    </row>
    <row r="4526">
      <c r="A4526" s="4" t="s">
        <v>23705</v>
      </c>
      <c r="B4526" s="4" t="s">
        <v>9015</v>
      </c>
      <c r="C4526" s="16" t="str">
        <f>IFERROR(__xludf.DUMMYFUNCTION(""""""""" &amp; REGEXEXTRACT(B4526, ""/detail/([^/?]+)"") &amp; """""","""),"""knooimelchgpbpblfhlgkdifnabcolin"",")</f>
        <v>"knooimelchgpbpblfhlgkdifnabcolin",</v>
      </c>
    </row>
    <row r="4527">
      <c r="A4527" s="4" t="s">
        <v>23706</v>
      </c>
      <c r="B4527" s="4" t="s">
        <v>9017</v>
      </c>
      <c r="C4527" s="16" t="str">
        <f>IFERROR(__xludf.DUMMYFUNCTION(""""""""" &amp; REGEXEXTRACT(B4527, ""/detail/([^/?]+)"") &amp; """""","""),"""kobbebjdlkjcdbnnonblhfofcajfkigj"",")</f>
        <v>"kobbebjdlkjcdbnnonblhfofcajfkigj",</v>
      </c>
    </row>
    <row r="4528">
      <c r="A4528" s="4" t="s">
        <v>23707</v>
      </c>
      <c r="B4528" s="4" t="s">
        <v>9019</v>
      </c>
      <c r="C4528" s="16" t="str">
        <f>IFERROR(__xludf.DUMMYFUNCTION(""""""""" &amp; REGEXEXTRACT(B4528, ""/detail/([^/?]+)"") &amp; """""","""),"""kogebojdmfhcaipmkfnnandcjmppfplh"",")</f>
        <v>"kogebojdmfhcaipmkfnnandcjmppfplh",</v>
      </c>
    </row>
    <row r="4529">
      <c r="A4529" s="4" t="s">
        <v>23708</v>
      </c>
      <c r="B4529" s="4" t="s">
        <v>9021</v>
      </c>
      <c r="C4529" s="16" t="str">
        <f>IFERROR(__xludf.DUMMYFUNCTION(""""""""" &amp; REGEXEXTRACT(B4529, ""/detail/([^/?]+)"") &amp; """""","""),"""kpapekbedehhbojdcjklkjoflfncfpfa"",")</f>
        <v>"kpapekbedehhbojdcjklkjoflfncfpfa",</v>
      </c>
    </row>
    <row r="4530">
      <c r="A4530" s="4" t="s">
        <v>23709</v>
      </c>
      <c r="B4530" s="4" t="s">
        <v>9023</v>
      </c>
      <c r="C4530" s="16" t="str">
        <f>IFERROR(__xludf.DUMMYFUNCTION(""""""""" &amp; REGEXEXTRACT(B4530, ""/detail/([^/?]+)"") &amp; """""","""),"""kpgmkamkehfbeilamncpcaafbdfbjmmc"",")</f>
        <v>"kpgmkamkehfbeilamncpcaafbdfbjmmc",</v>
      </c>
    </row>
    <row r="4531">
      <c r="A4531" s="4" t="s">
        <v>23710</v>
      </c>
      <c r="B4531" s="4" t="s">
        <v>9025</v>
      </c>
      <c r="C4531" s="16" t="str">
        <f>IFERROR(__xludf.DUMMYFUNCTION(""""""""" &amp; REGEXEXTRACT(B4531, ""/detail/([^/?]+)"") &amp; """""","""),"""kpkplkjmphmbgikkcfdfefdmpdojapdj"",")</f>
        <v>"kpkplkjmphmbgikkcfdfefdmpdojapdj",</v>
      </c>
    </row>
    <row r="4532">
      <c r="A4532" s="4" t="s">
        <v>23711</v>
      </c>
      <c r="B4532" s="4" t="s">
        <v>9027</v>
      </c>
      <c r="C4532" s="16" t="str">
        <f>IFERROR(__xludf.DUMMYFUNCTION(""""""""" &amp; REGEXEXTRACT(B4532, ""/detail/([^/?]+)"") &amp; """""","""),"""kppdpnmdpdjckgihabenefhimmebobgc"",")</f>
        <v>"kppdpnmdpdjckgihabenefhimmebobgc",</v>
      </c>
    </row>
    <row r="4533">
      <c r="A4533" s="4" t="s">
        <v>23712</v>
      </c>
      <c r="B4533" s="4" t="s">
        <v>9029</v>
      </c>
      <c r="C4533" s="16" t="str">
        <f>IFERROR(__xludf.DUMMYFUNCTION(""""""""" &amp; REGEXEXTRACT(B4533, ""/detail/([^/?]+)"") &amp; """""","""),"""laejnpabidnmdilphnjohkghnflgafdb"",")</f>
        <v>"laejnpabidnmdilphnjohkghnflgafdb",</v>
      </c>
    </row>
    <row r="4534">
      <c r="A4534" s="4" t="s">
        <v>23713</v>
      </c>
      <c r="B4534" s="4" t="s">
        <v>9031</v>
      </c>
      <c r="C4534" s="16" t="str">
        <f>IFERROR(__xludf.DUMMYFUNCTION(""""""""" &amp; REGEXEXTRACT(B4534, ""/detail/([^/?]+)"") &amp; """""","""),"""lalhboihpjkhmcalhjlkehfnphpjebma"",")</f>
        <v>"lalhboihpjkhmcalhjlkehfnphpjebma",</v>
      </c>
    </row>
    <row r="4535">
      <c r="A4535" s="4" t="s">
        <v>23714</v>
      </c>
      <c r="B4535" s="4" t="s">
        <v>9033</v>
      </c>
      <c r="C4535" s="16" t="str">
        <f>IFERROR(__xludf.DUMMYFUNCTION(""""""""" &amp; REGEXEXTRACT(B4535, ""/detail/([^/?]+)"") &amp; """""","""),"""laoclledadegilngghaiilbepfgpekil"",")</f>
        <v>"laoclledadegilngghaiilbepfgpekil",</v>
      </c>
    </row>
    <row r="4536">
      <c r="A4536" s="4" t="s">
        <v>23715</v>
      </c>
      <c r="B4536" s="4" t="s">
        <v>9035</v>
      </c>
      <c r="C4536" s="16" t="str">
        <f>IFERROR(__xludf.DUMMYFUNCTION(""""""""" &amp; REGEXEXTRACT(B4536, ""/detail/([^/?]+)"") &amp; """""","""),"""lbehdhpgigdlinfkidifkbhjnaglfojc"",")</f>
        <v>"lbehdhpgigdlinfkidifkbhjnaglfojc",</v>
      </c>
    </row>
    <row r="4537">
      <c r="A4537" s="4" t="s">
        <v>23716</v>
      </c>
      <c r="B4537" s="4" t="s">
        <v>9037</v>
      </c>
      <c r="C4537" s="16" t="str">
        <f>IFERROR(__xludf.DUMMYFUNCTION(""""""""" &amp; REGEXEXTRACT(B4537, ""/detail/([^/?]+)"") &amp; """""","""),"""lbeomnhfagdagoldnknhbfjfkdndfjof"",")</f>
        <v>"lbeomnhfagdagoldnknhbfjfkdndfjof",</v>
      </c>
    </row>
    <row r="4538">
      <c r="A4538" s="4" t="s">
        <v>23717</v>
      </c>
      <c r="B4538" s="4" t="s">
        <v>9039</v>
      </c>
      <c r="C4538" s="16" t="str">
        <f>IFERROR(__xludf.DUMMYFUNCTION(""""""""" &amp; REGEXEXTRACT(B4538, ""/detail/([^/?]+)"") &amp; """""","""),"""lbjfeiidhldnfohmhnnnjgcmgjbnibgd"",")</f>
        <v>"lbjfeiidhldnfohmhnnnjgcmgjbnibgd",</v>
      </c>
    </row>
    <row r="4539">
      <c r="A4539" s="4" t="s">
        <v>23718</v>
      </c>
      <c r="B4539" s="4" t="s">
        <v>9041</v>
      </c>
      <c r="C4539" s="16" t="str">
        <f>IFERROR(__xludf.DUMMYFUNCTION(""""""""" &amp; REGEXEXTRACT(B4539, ""/detail/([^/?]+)"") &amp; """""","""),"""lbkpckaekpilejfambbkphfedniacanj"",")</f>
        <v>"lbkpckaekpilejfambbkphfedniacanj",</v>
      </c>
    </row>
    <row r="4540">
      <c r="A4540" s="4" t="s">
        <v>23719</v>
      </c>
      <c r="B4540" s="4" t="s">
        <v>9043</v>
      </c>
      <c r="C4540" s="16" t="str">
        <f>IFERROR(__xludf.DUMMYFUNCTION(""""""""" &amp; REGEXEXTRACT(B4540, ""/detail/([^/?]+)"") &amp; """""","""),"""lbmeghcehlmclgjmnefeflchpbdblamd"",")</f>
        <v>"lbmeghcehlmclgjmnefeflchpbdblamd",</v>
      </c>
    </row>
    <row r="4541">
      <c r="A4541" s="4" t="s">
        <v>23720</v>
      </c>
      <c r="B4541" s="4" t="s">
        <v>9045</v>
      </c>
      <c r="C4541" s="16" t="str">
        <f>IFERROR(__xludf.DUMMYFUNCTION(""""""""" &amp; REGEXEXTRACT(B4541, ""/detail/([^/?]+)"") &amp; """""","""),"""lcanobbdndljimodckphgdmllahfcadd"",")</f>
        <v>"lcanobbdndljimodckphgdmllahfcadd",</v>
      </c>
    </row>
    <row r="4542">
      <c r="A4542" s="4" t="s">
        <v>23721</v>
      </c>
      <c r="B4542" s="4" t="s">
        <v>9047</v>
      </c>
      <c r="C4542" s="16" t="str">
        <f>IFERROR(__xludf.DUMMYFUNCTION(""""""""" &amp; REGEXEXTRACT(B4542, ""/detail/([^/?]+)"") &amp; """""","""),"""lcficnblkhejenkbmiloebohoclaebdj"",")</f>
        <v>"lcficnblkhejenkbmiloebohoclaebdj",</v>
      </c>
    </row>
    <row r="4543">
      <c r="A4543" s="4" t="s">
        <v>23722</v>
      </c>
      <c r="B4543" s="4" t="s">
        <v>9049</v>
      </c>
      <c r="C4543" s="16" t="str">
        <f>IFERROR(__xludf.DUMMYFUNCTION(""""""""" &amp; REGEXEXTRACT(B4543, ""/detail/([^/?]+)"") &amp; """""","""),"""lcipncfbfemopganndembnmjjnhbaomk"",")</f>
        <v>"lcipncfbfemopganndembnmjjnhbaomk",</v>
      </c>
    </row>
    <row r="4544">
      <c r="A4544" s="4" t="s">
        <v>23723</v>
      </c>
      <c r="B4544" s="4" t="s">
        <v>9051</v>
      </c>
      <c r="C4544" s="16" t="str">
        <f>IFERROR(__xludf.DUMMYFUNCTION(""""""""" &amp; REGEXEXTRACT(B4544, ""/detail/([^/?]+)"") &amp; """""","""),"""lckanjabhailhdngplhaejjjbpnfmdld"",")</f>
        <v>"lckanjabhailhdngplhaejjjbpnfmdld",</v>
      </c>
    </row>
    <row r="4545">
      <c r="A4545" s="4" t="s">
        <v>23724</v>
      </c>
      <c r="B4545" s="4" t="s">
        <v>9053</v>
      </c>
      <c r="C4545" s="16" t="str">
        <f>IFERROR(__xludf.DUMMYFUNCTION(""""""""" &amp; REGEXEXTRACT(B4545, ""/detail/([^/?]+)"") &amp; """""","""),"""lclaiahiipkdhlgaepaklgpcggmgcfid"",")</f>
        <v>"lclaiahiipkdhlgaepaklgpcggmgcfid",</v>
      </c>
    </row>
    <row r="4546">
      <c r="A4546" s="4" t="s">
        <v>23725</v>
      </c>
      <c r="B4546" s="4" t="s">
        <v>9055</v>
      </c>
      <c r="C4546" s="16" t="str">
        <f>IFERROR(__xludf.DUMMYFUNCTION(""""""""" &amp; REGEXEXTRACT(B4546, ""/detail/([^/?]+)"") &amp; """""","""),"""ldblmmabeclbplhbniokpnpaojcaekif"",")</f>
        <v>"ldblmmabeclbplhbniokpnpaojcaekif",</v>
      </c>
    </row>
    <row r="4547">
      <c r="A4547" s="4" t="s">
        <v>23726</v>
      </c>
      <c r="B4547" s="4" t="s">
        <v>9057</v>
      </c>
      <c r="C4547" s="16" t="str">
        <f>IFERROR(__xludf.DUMMYFUNCTION(""""""""" &amp; REGEXEXTRACT(B4547, ""/detail/([^/?]+)"") &amp; """""","""),"""lddpfhnjbpgjdklcemagkpmoooejhkfk"",")</f>
        <v>"lddpfhnjbpgjdklcemagkpmoooejhkfk",</v>
      </c>
    </row>
    <row r="4548">
      <c r="A4548" s="4" t="s">
        <v>23727</v>
      </c>
      <c r="B4548" s="4" t="s">
        <v>9059</v>
      </c>
      <c r="C4548" s="16" t="str">
        <f>IFERROR(__xludf.DUMMYFUNCTION(""""""""" &amp; REGEXEXTRACT(B4548, ""/detail/([^/?]+)"") &amp; """""","""),"""ldfboinpfdahkgnljbkohgimhimmafip"",")</f>
        <v>"ldfboinpfdahkgnljbkohgimhimmafip",</v>
      </c>
    </row>
    <row r="4549">
      <c r="A4549" s="4" t="s">
        <v>23728</v>
      </c>
      <c r="B4549" s="4" t="s">
        <v>9061</v>
      </c>
      <c r="C4549" s="16" t="str">
        <f>IFERROR(__xludf.DUMMYFUNCTION(""""""""" &amp; REGEXEXTRACT(B4549, ""/detail/([^/?]+)"") &amp; """""","""),"""ldifejjbhohmbcmepeoapookgnilmjlk"",")</f>
        <v>"ldifejjbhohmbcmepeoapookgnilmjlk",</v>
      </c>
    </row>
    <row r="4550">
      <c r="A4550" s="4" t="s">
        <v>23729</v>
      </c>
      <c r="B4550" s="4" t="s">
        <v>9063</v>
      </c>
      <c r="C4550" s="16" t="str">
        <f>IFERROR(__xludf.DUMMYFUNCTION(""""""""" &amp; REGEXEXTRACT(B4550, ""/detail/([^/?]+)"") &amp; """""","""),"""ldkfclmdlbkfifhjmheijigihfbpjmfg"",")</f>
        <v>"ldkfclmdlbkfifhjmheijigihfbpjmfg",</v>
      </c>
    </row>
    <row r="4551">
      <c r="A4551" s="4" t="s">
        <v>23730</v>
      </c>
      <c r="B4551" s="4" t="s">
        <v>9065</v>
      </c>
      <c r="C4551" s="16" t="str">
        <f>IFERROR(__xludf.DUMMYFUNCTION(""""""""" &amp; REGEXEXTRACT(B4551, ""/detail/([^/?]+)"") &amp; """""","""),"""ldlogbmoofpmjhkccjhajjkkkjojenip"",")</f>
        <v>"ldlogbmoofpmjhkccjhajjkkkjojenip",</v>
      </c>
    </row>
    <row r="4552">
      <c r="A4552" s="4" t="s">
        <v>23731</v>
      </c>
      <c r="B4552" s="4" t="s">
        <v>9067</v>
      </c>
      <c r="C4552" s="16" t="str">
        <f>IFERROR(__xludf.DUMMYFUNCTION(""""""""" &amp; REGEXEXTRACT(B4552, ""/detail/([^/?]+)"") &amp; """""","""),"""ldphmgppmllkbknkbjkhpimlgjgkbogp"",")</f>
        <v>"ldphmgppmllkbknkbjkhpimlgjgkbogp",</v>
      </c>
    </row>
    <row r="4553">
      <c r="A4553" s="4" t="s">
        <v>23732</v>
      </c>
      <c r="B4553" s="4" t="s">
        <v>9069</v>
      </c>
      <c r="C4553" s="16" t="str">
        <f>IFERROR(__xludf.DUMMYFUNCTION(""""""""" &amp; REGEXEXTRACT(B4553, ""/detail/([^/?]+)"") &amp; """""","""),"""leakgmkipjfnmnacgakpggmilnhlmbcg"",")</f>
        <v>"leakgmkipjfnmnacgakpggmilnhlmbcg",</v>
      </c>
    </row>
    <row r="4554">
      <c r="A4554" s="4" t="s">
        <v>23733</v>
      </c>
      <c r="B4554" s="4" t="s">
        <v>9071</v>
      </c>
      <c r="C4554" s="16" t="str">
        <f>IFERROR(__xludf.DUMMYFUNCTION(""""""""" &amp; REGEXEXTRACT(B4554, ""/detail/([^/?]+)"") &amp; """""","""),"""ledenamcmhhcjlolpkcglgcbbcjfmahg"",")</f>
        <v>"ledenamcmhhcjlolpkcglgcbbcjfmahg",</v>
      </c>
    </row>
    <row r="4555">
      <c r="A4555" s="4" t="s">
        <v>23734</v>
      </c>
      <c r="B4555" s="4" t="s">
        <v>9073</v>
      </c>
      <c r="C4555" s="16" t="str">
        <f>IFERROR(__xludf.DUMMYFUNCTION(""""""""" &amp; REGEXEXTRACT(B4555, ""/detail/([^/?]+)"") &amp; """""","""),"""lehhmglccbkmehbbldcmekdegmapaknb"",")</f>
        <v>"lehhmglccbkmehbbldcmekdegmapaknb",</v>
      </c>
    </row>
    <row r="4556">
      <c r="A4556" s="4" t="s">
        <v>23735</v>
      </c>
      <c r="B4556" s="4" t="s">
        <v>9075</v>
      </c>
      <c r="C4556" s="16" t="str">
        <f>IFERROR(__xludf.DUMMYFUNCTION(""""""""" &amp; REGEXEXTRACT(B4556, ""/detail/([^/?]+)"") &amp; """""","""),"""lehnmibfjbbbpmfableamfaoieocghgn"",")</f>
        <v>"lehnmibfjbbbpmfableamfaoieocghgn",</v>
      </c>
    </row>
    <row r="4557">
      <c r="A4557" s="4" t="s">
        <v>23736</v>
      </c>
      <c r="B4557" s="4" t="s">
        <v>9077</v>
      </c>
      <c r="C4557" s="16" t="str">
        <f>IFERROR(__xludf.DUMMYFUNCTION(""""""""" &amp; REGEXEXTRACT(B4557, ""/detail/([^/?]+)"") &amp; """""","""),"""leiejllaoknebomjeebdjfeicdaaeijp"",")</f>
        <v>"leiejllaoknebomjeebdjfeicdaaeijp",</v>
      </c>
    </row>
    <row r="4558">
      <c r="A4558" s="4" t="s">
        <v>23737</v>
      </c>
      <c r="B4558" s="4" t="s">
        <v>9079</v>
      </c>
      <c r="C4558" s="16" t="str">
        <f>IFERROR(__xludf.DUMMYFUNCTION(""""""""" &amp; REGEXEXTRACT(B4558, ""/detail/([^/?]+)"") &amp; """""","""),"""leimmikdkodgbaimglohhceidbooddma"",")</f>
        <v>"leimmikdkodgbaimglohhceidbooddma",</v>
      </c>
    </row>
    <row r="4559">
      <c r="A4559" s="4" t="s">
        <v>23738</v>
      </c>
      <c r="B4559" s="4" t="s">
        <v>9081</v>
      </c>
      <c r="C4559" s="16" t="str">
        <f>IFERROR(__xludf.DUMMYFUNCTION(""""""""" &amp; REGEXEXTRACT(B4559, ""/detail/([^/?]+)"") &amp; """""","""),"""lekmaaaemhcgldgmgalajmoehddphfag"",")</f>
        <v>"lekmaaaemhcgldgmgalajmoehddphfag",</v>
      </c>
    </row>
    <row r="4560">
      <c r="A4560" s="4" t="s">
        <v>23739</v>
      </c>
      <c r="B4560" s="4" t="s">
        <v>9083</v>
      </c>
      <c r="C4560" s="16" t="str">
        <f>IFERROR(__xludf.DUMMYFUNCTION(""""""""" &amp; REGEXEXTRACT(B4560, ""/detail/([^/?]+)"") &amp; """""","""),"""lencaglpgihlglecbdkfhelldkbdholc"",")</f>
        <v>"lencaglpgihlglecbdkfhelldkbdholc",</v>
      </c>
    </row>
    <row r="4561">
      <c r="A4561" s="4" t="s">
        <v>23740</v>
      </c>
      <c r="B4561" s="4" t="s">
        <v>9085</v>
      </c>
      <c r="C4561" s="16" t="str">
        <f>IFERROR(__xludf.DUMMYFUNCTION(""""""""" &amp; REGEXEXTRACT(B4561, ""/detail/([^/?]+)"") &amp; """""","""),"""lfccbkicpiohnnalhapdgjadlcahicip"",")</f>
        <v>"lfccbkicpiohnnalhapdgjadlcahicip",</v>
      </c>
    </row>
    <row r="4562">
      <c r="A4562" s="4" t="s">
        <v>23741</v>
      </c>
      <c r="B4562" s="4" t="s">
        <v>9087</v>
      </c>
      <c r="C4562" s="16" t="str">
        <f>IFERROR(__xludf.DUMMYFUNCTION(""""""""" &amp; REGEXEXTRACT(B4562, ""/detail/([^/?]+)"") &amp; """""","""),"""lfecojmicibekimjllflggfnbacephnm"",")</f>
        <v>"lfecojmicibekimjllflggfnbacephnm",</v>
      </c>
    </row>
    <row r="4563">
      <c r="A4563" s="4" t="s">
        <v>23742</v>
      </c>
      <c r="B4563" s="4" t="s">
        <v>9089</v>
      </c>
      <c r="C4563" s="16" t="str">
        <f>IFERROR(__xludf.DUMMYFUNCTION(""""""""" &amp; REGEXEXTRACT(B4563, ""/detail/([^/?]+)"") &amp; """""","""),"""lfojgmgodcgmjoiokklgmailddgolmda"",")</f>
        <v>"lfojgmgodcgmjoiokklgmailddgolmda",</v>
      </c>
    </row>
    <row r="4564">
      <c r="A4564" s="4" t="s">
        <v>23743</v>
      </c>
      <c r="B4564" s="4" t="s">
        <v>9091</v>
      </c>
      <c r="C4564" s="16" t="str">
        <f>IFERROR(__xludf.DUMMYFUNCTION(""""""""" &amp; REGEXEXTRACT(B4564, ""/detail/([^/?]+)"") &amp; """""","""),"""lgbommihnaoiabjnhfhckodfmfppfcgl"",")</f>
        <v>"lgbommihnaoiabjnhfhckodfmfppfcgl",</v>
      </c>
    </row>
    <row r="4565">
      <c r="A4565" s="4" t="s">
        <v>23744</v>
      </c>
      <c r="B4565" s="4" t="s">
        <v>9093</v>
      </c>
      <c r="C4565" s="16" t="str">
        <f>IFERROR(__xludf.DUMMYFUNCTION(""""""""" &amp; REGEXEXTRACT(B4565, ""/detail/([^/?]+)"") &amp; """""","""),"""lgcickaldmfnogadcbgiadelhbfmbeoi"",")</f>
        <v>"lgcickaldmfnogadcbgiadelhbfmbeoi",</v>
      </c>
    </row>
    <row r="4566">
      <c r="A4566" s="4" t="s">
        <v>23745</v>
      </c>
      <c r="B4566" s="4" t="s">
        <v>9095</v>
      </c>
      <c r="C4566" s="16" t="str">
        <f>IFERROR(__xludf.DUMMYFUNCTION(""""""""" &amp; REGEXEXTRACT(B4566, ""/detail/([^/?]+)"") &amp; """""","""),"""lgjdkielngenkbnfmioemjcldnhlcpkn"",")</f>
        <v>"lgjdkielngenkbnfmioemjcldnhlcpkn",</v>
      </c>
    </row>
    <row r="4567">
      <c r="A4567" s="4" t="s">
        <v>23746</v>
      </c>
      <c r="B4567" s="4" t="s">
        <v>9097</v>
      </c>
      <c r="C4567" s="16" t="str">
        <f>IFERROR(__xludf.DUMMYFUNCTION(""""""""" &amp; REGEXEXTRACT(B4567, ""/detail/([^/?]+)"") &amp; """""","""),"""lglmeekjblljbeemilnpakfhgaodnpik"",")</f>
        <v>"lglmeekjblljbeemilnpakfhgaodnpik",</v>
      </c>
    </row>
    <row r="4568">
      <c r="A4568" s="4" t="s">
        <v>23747</v>
      </c>
      <c r="B4568" s="4" t="s">
        <v>9099</v>
      </c>
      <c r="C4568" s="16" t="str">
        <f>IFERROR(__xludf.DUMMYFUNCTION(""""""""" &amp; REGEXEXTRACT(B4568, ""/detail/([^/?]+)"") &amp; """""","""),"""lhaamjcmnafobcjjcjfpglfonpdkoedb"",")</f>
        <v>"lhaamjcmnafobcjjcjfpglfonpdkoedb",</v>
      </c>
    </row>
    <row r="4569">
      <c r="A4569" s="4" t="s">
        <v>23748</v>
      </c>
      <c r="B4569" s="4" t="s">
        <v>9101</v>
      </c>
      <c r="C4569" s="16" t="str">
        <f>IFERROR(__xludf.DUMMYFUNCTION(""""""""" &amp; REGEXEXTRACT(B4569, ""/detail/([^/?]+)"") &amp; """""","""),"""lhdfonhgkclaigpfmclbahllambeednh"",")</f>
        <v>"lhdfonhgkclaigpfmclbahllambeednh",</v>
      </c>
    </row>
    <row r="4570">
      <c r="A4570" s="4" t="s">
        <v>23749</v>
      </c>
      <c r="B4570" s="4" t="s">
        <v>9103</v>
      </c>
      <c r="C4570" s="16" t="str">
        <f>IFERROR(__xludf.DUMMYFUNCTION(""""""""" &amp; REGEXEXTRACT(B4570, ""/detail/([^/?]+)"") &amp; """""","""),"""lhhpifdkcdahnllampbkpideiogbjplm"",")</f>
        <v>"lhhpifdkcdahnllampbkpideiogbjplm",</v>
      </c>
    </row>
    <row r="4571">
      <c r="A4571" s="4" t="s">
        <v>23750</v>
      </c>
      <c r="B4571" s="4" t="s">
        <v>9105</v>
      </c>
      <c r="C4571" s="16" t="str">
        <f>IFERROR(__xludf.DUMMYFUNCTION(""""""""" &amp; REGEXEXTRACT(B4571, ""/detail/([^/?]+)"") &amp; """""","""),"""lhieoncdgamiiogcllfmboilhgoknmpi"",")</f>
        <v>"lhieoncdgamiiogcllfmboilhgoknmpi",</v>
      </c>
    </row>
    <row r="4572">
      <c r="A4572" s="4" t="s">
        <v>23751</v>
      </c>
      <c r="B4572" s="4" t="s">
        <v>9107</v>
      </c>
      <c r="C4572" s="16" t="str">
        <f>IFERROR(__xludf.DUMMYFUNCTION(""""""""" &amp; REGEXEXTRACT(B4572, ""/detail/([^/?]+)"") &amp; """""","""),"""lhpckbimofmmlihkgccfhejhjdklcemp"",")</f>
        <v>"lhpckbimofmmlihkgccfhejhjdklcemp",</v>
      </c>
    </row>
    <row r="4573">
      <c r="A4573" s="4" t="s">
        <v>23752</v>
      </c>
      <c r="B4573" s="4" t="s">
        <v>9109</v>
      </c>
      <c r="C4573" s="16" t="str">
        <f>IFERROR(__xludf.DUMMYFUNCTION(""""""""" &amp; REGEXEXTRACT(B4573, ""/detail/([^/?]+)"") &amp; """""","""),"""liceejagengiobjejmofgipjdmcojlli"",")</f>
        <v>"liceejagengiobjejmofgipjdmcojlli",</v>
      </c>
    </row>
    <row r="4574">
      <c r="A4574" s="4" t="s">
        <v>23753</v>
      </c>
      <c r="B4574" s="4" t="s">
        <v>9111</v>
      </c>
      <c r="C4574" s="16" t="str">
        <f>IFERROR(__xludf.DUMMYFUNCTION(""""""""" &amp; REGEXEXTRACT(B4574, ""/detail/([^/?]+)"") &amp; """""","""),"""licgjijkcdabjnhdhadlpepdigkjjigp"",")</f>
        <v>"licgjijkcdabjnhdhadlpepdigkjjigp",</v>
      </c>
    </row>
    <row r="4575">
      <c r="A4575" s="4" t="s">
        <v>23754</v>
      </c>
      <c r="B4575" s="4" t="s">
        <v>9113</v>
      </c>
      <c r="C4575" s="16" t="str">
        <f>IFERROR(__xludf.DUMMYFUNCTION(""""""""" &amp; REGEXEXTRACT(B4575, ""/detail/([^/?]+)"") &amp; """""","""),"""ljbmkpdkikehladkjibcgdgogagagcag"",")</f>
        <v>"ljbmkpdkikehladkjibcgdgogagagcag",</v>
      </c>
    </row>
    <row r="4576">
      <c r="A4576" s="4" t="s">
        <v>23755</v>
      </c>
      <c r="B4576" s="4" t="s">
        <v>9115</v>
      </c>
      <c r="C4576" s="16" t="str">
        <f>IFERROR(__xludf.DUMMYFUNCTION(""""""""" &amp; REGEXEXTRACT(B4576, ""/detail/([^/?]+)"") &amp; """""","""),"""ljdgplocfnmnofbhpkjclbefmjoikgke"",")</f>
        <v>"ljdgplocfnmnofbhpkjclbefmjoikgke",</v>
      </c>
    </row>
    <row r="4577">
      <c r="A4577" s="4" t="s">
        <v>23756</v>
      </c>
      <c r="B4577" s="4" t="s">
        <v>9117</v>
      </c>
      <c r="C4577" s="16" t="str">
        <f>IFERROR(__xludf.DUMMYFUNCTION(""""""""" &amp; REGEXEXTRACT(B4577, ""/detail/([^/?]+)"") &amp; """""","""),"""ljdhjpmbnkbengahefamnhmegbdifhlb"",")</f>
        <v>"ljdhjpmbnkbengahefamnhmegbdifhlb",</v>
      </c>
    </row>
    <row r="4578">
      <c r="A4578" s="4" t="s">
        <v>23757</v>
      </c>
      <c r="B4578" s="4" t="s">
        <v>9119</v>
      </c>
      <c r="C4578" s="16" t="str">
        <f>IFERROR(__xludf.DUMMYFUNCTION(""""""""" &amp; REGEXEXTRACT(B4578, ""/detail/([^/?]+)"") &amp; """""","""),"""ljobjlafonikaiipfkggjbhkghgicgoh"",")</f>
        <v>"ljobjlafonikaiipfkggjbhkghgicgoh",</v>
      </c>
    </row>
    <row r="4579">
      <c r="A4579" s="4" t="s">
        <v>23758</v>
      </c>
      <c r="B4579" s="4" t="s">
        <v>9121</v>
      </c>
      <c r="C4579" s="16" t="str">
        <f>IFERROR(__xludf.DUMMYFUNCTION(""""""""" &amp; REGEXEXTRACT(B4579, ""/detail/([^/?]+)"") &amp; """""","""),"""ljocfimgoablkhddbgakcbgfhdoamkhi"",")</f>
        <v>"ljocfimgoablkhddbgakcbgfhdoamkhi",</v>
      </c>
    </row>
    <row r="4580">
      <c r="A4580" s="4" t="s">
        <v>23759</v>
      </c>
      <c r="B4580" s="4" t="s">
        <v>9123</v>
      </c>
      <c r="C4580" s="16" t="str">
        <f>IFERROR(__xludf.DUMMYFUNCTION(""""""""" &amp; REGEXEXTRACT(B4580, ""/detail/([^/?]+)"") &amp; """""","""),"""lkdmfkbmdklogdfgcbcgdfhkmanmbhih"",")</f>
        <v>"lkdmfkbmdklogdfgcbcgdfhkmanmbhih",</v>
      </c>
    </row>
    <row r="4581">
      <c r="A4581" s="4" t="s">
        <v>23760</v>
      </c>
      <c r="B4581" s="4" t="s">
        <v>9125</v>
      </c>
      <c r="C4581" s="16" t="str">
        <f>IFERROR(__xludf.DUMMYFUNCTION(""""""""" &amp; REGEXEXTRACT(B4581, ""/detail/([^/?]+)"") &amp; """""","""),"""lkkdmddhgagekfkngjpldinmkjbfcfab"",")</f>
        <v>"lkkdmddhgagekfkngjpldinmkjbfcfab",</v>
      </c>
    </row>
    <row r="4582">
      <c r="A4582" s="4" t="s">
        <v>23761</v>
      </c>
      <c r="B4582" s="4" t="s">
        <v>9127</v>
      </c>
      <c r="C4582" s="16" t="str">
        <f>IFERROR(__xludf.DUMMYFUNCTION(""""""""" &amp; REGEXEXTRACT(B4582, ""/detail/([^/?]+)"") &amp; """""","""),"""lklafmehbmplcclnpcnpafbkocebmbam"",")</f>
        <v>"lklafmehbmplcclnpcnpafbkocebmbam",</v>
      </c>
    </row>
    <row r="4583">
      <c r="A4583" s="4" t="s">
        <v>23762</v>
      </c>
      <c r="B4583" s="4" t="s">
        <v>9129</v>
      </c>
      <c r="C4583" s="16" t="str">
        <f>IFERROR(__xludf.DUMMYFUNCTION(""""""""" &amp; REGEXEXTRACT(B4583, ""/detail/([^/?]+)"") &amp; """""","""),"""lknjmkdopggoignpeekjhlldnmlfibef"",")</f>
        <v>"lknjmkdopggoignpeekjhlldnmlfibef",</v>
      </c>
    </row>
    <row r="4584">
      <c r="A4584" s="4" t="s">
        <v>23763</v>
      </c>
      <c r="B4584" s="4" t="s">
        <v>9131</v>
      </c>
      <c r="C4584" s="16" t="str">
        <f>IFERROR(__xludf.DUMMYFUNCTION(""""""""" &amp; REGEXEXTRACT(B4584, ""/detail/([^/?]+)"") &amp; """""","""),"""lkoingeajallinlnijfpmmddoeoficef"",")</f>
        <v>"lkoingeajallinlnijfpmmddoeoficef",</v>
      </c>
    </row>
    <row r="4585">
      <c r="A4585" s="4" t="s">
        <v>23764</v>
      </c>
      <c r="B4585" s="4" t="s">
        <v>9133</v>
      </c>
      <c r="C4585" s="16" t="str">
        <f>IFERROR(__xludf.DUMMYFUNCTION(""""""""" &amp; REGEXEXTRACT(B4585, ""/detail/([^/?]+)"") &amp; """""","""),"""llbjnfdjheebjhdojkmlgpnlmfmgicdc"",")</f>
        <v>"llbjnfdjheebjhdojkmlgpnlmfmgicdc",</v>
      </c>
    </row>
    <row r="4586">
      <c r="A4586" s="4" t="s">
        <v>23765</v>
      </c>
      <c r="B4586" s="4" t="s">
        <v>9135</v>
      </c>
      <c r="C4586" s="16" t="str">
        <f>IFERROR(__xludf.DUMMYFUNCTION(""""""""" &amp; REGEXEXTRACT(B4586, ""/detail/([^/?]+)"") &amp; """""","""),"""llegephenamkbmnjbjpgkdakkfmgeggp"",")</f>
        <v>"llegephenamkbmnjbjpgkdakkfmgeggp",</v>
      </c>
    </row>
    <row r="4587">
      <c r="A4587" s="4" t="s">
        <v>23766</v>
      </c>
      <c r="B4587" s="4" t="s">
        <v>9137</v>
      </c>
      <c r="C4587" s="16" t="str">
        <f>IFERROR(__xludf.DUMMYFUNCTION(""""""""" &amp; REGEXEXTRACT(B4587, ""/detail/([^/?]+)"") &amp; """""","""),"""llgknofgmghejanicfcjdibnhpofaefd"",")</f>
        <v>"llgknofgmghejanicfcjdibnhpofaefd",</v>
      </c>
    </row>
    <row r="4588">
      <c r="A4588" s="4" t="s">
        <v>23767</v>
      </c>
      <c r="B4588" s="4" t="s">
        <v>9139</v>
      </c>
      <c r="C4588" s="16" t="str">
        <f>IFERROR(__xludf.DUMMYFUNCTION(""""""""" &amp; REGEXEXTRACT(B4588, ""/detail/([^/?]+)"") &amp; """""","""),"""llhdoolhgigbnppanegcohafahjgbpek"",")</f>
        <v>"llhdoolhgigbnppanegcohafahjgbpek",</v>
      </c>
    </row>
    <row r="4589">
      <c r="A4589" s="4" t="s">
        <v>23768</v>
      </c>
      <c r="B4589" s="4" t="s">
        <v>9141</v>
      </c>
      <c r="C4589" s="16" t="str">
        <f>IFERROR(__xludf.DUMMYFUNCTION(""""""""" &amp; REGEXEXTRACT(B4589, ""/detail/([^/?]+)"") &amp; """""","""),"""llhmhhnpmiikplpnkmbgbgmlenleecle"",")</f>
        <v>"llhmhhnpmiikplpnkmbgbgmlenleecle",</v>
      </c>
    </row>
    <row r="4590">
      <c r="A4590" s="4" t="s">
        <v>23769</v>
      </c>
      <c r="B4590" s="4" t="s">
        <v>9143</v>
      </c>
      <c r="C4590" s="16" t="str">
        <f>IFERROR(__xludf.DUMMYFUNCTION(""""""""" &amp; REGEXEXTRACT(B4590, ""/detail/([^/?]+)"") &amp; """""","""),"""lllcghinlkiklfoijochnncceebbnkoo"",")</f>
        <v>"lllcghinlkiklfoijochnncceebbnkoo",</v>
      </c>
    </row>
    <row r="4591">
      <c r="A4591" s="4" t="s">
        <v>23770</v>
      </c>
      <c r="B4591" s="4" t="s">
        <v>9145</v>
      </c>
      <c r="C4591" s="16" t="str">
        <f>IFERROR(__xludf.DUMMYFUNCTION(""""""""" &amp; REGEXEXTRACT(B4591, ""/detail/([^/?]+)"") &amp; """""","""),"""lloolcmnedpjhdcjpjoelobpagijonnp"",")</f>
        <v>"lloolcmnedpjhdcjpjoelobpagijonnp",</v>
      </c>
    </row>
    <row r="4592">
      <c r="A4592" s="4" t="s">
        <v>23771</v>
      </c>
      <c r="B4592" s="4" t="s">
        <v>9147</v>
      </c>
      <c r="C4592" s="16" t="str">
        <f>IFERROR(__xludf.DUMMYFUNCTION(""""""""" &amp; REGEXEXTRACT(B4592, ""/detail/([^/?]+)"") &amp; """""","""),"""lmelpnmpkekjahgdihfajfebaddffokl"",")</f>
        <v>"lmelpnmpkekjahgdihfajfebaddffokl",</v>
      </c>
    </row>
    <row r="4593">
      <c r="A4593" s="4" t="s">
        <v>23772</v>
      </c>
      <c r="B4593" s="4" t="s">
        <v>9149</v>
      </c>
      <c r="C4593" s="16" t="str">
        <f>IFERROR(__xludf.DUMMYFUNCTION(""""""""" &amp; REGEXEXTRACT(B4593, ""/detail/([^/?]+)"") &amp; """""","""),"""lmhkmmkefopogbadhkfcaccjnaihajbh"",")</f>
        <v>"lmhkmmkefopogbadhkfcaccjnaihajbh",</v>
      </c>
    </row>
    <row r="4594">
      <c r="A4594" s="4" t="s">
        <v>23773</v>
      </c>
      <c r="B4594" s="4" t="s">
        <v>9151</v>
      </c>
      <c r="C4594" s="16" t="str">
        <f>IFERROR(__xludf.DUMMYFUNCTION(""""""""" &amp; REGEXEXTRACT(B4594, ""/detail/([^/?]+)"") &amp; """""","""),"""lmkkgchhgipopmpglpnpggpjgoipkobi"",")</f>
        <v>"lmkkgchhgipopmpglpnpggpjgoipkobi",</v>
      </c>
    </row>
    <row r="4595">
      <c r="A4595" s="4" t="s">
        <v>23774</v>
      </c>
      <c r="B4595" s="4" t="s">
        <v>9153</v>
      </c>
      <c r="C4595" s="16" t="str">
        <f>IFERROR(__xludf.DUMMYFUNCTION(""""""""" &amp; REGEXEXTRACT(B4595, ""/detail/([^/?]+)"") &amp; """""","""),"""lmmkdhhionkgeflajjokpmeogekfdoel"",")</f>
        <v>"lmmkdhhionkgeflajjokpmeogekfdoel",</v>
      </c>
    </row>
    <row r="4596">
      <c r="A4596" s="4" t="s">
        <v>23775</v>
      </c>
      <c r="B4596" s="4" t="s">
        <v>9155</v>
      </c>
      <c r="C4596" s="16" t="str">
        <f>IFERROR(__xludf.DUMMYFUNCTION(""""""""" &amp; REGEXEXTRACT(B4596, ""/detail/([^/?]+)"") &amp; """""","""),"""lndphafdikhmpgopmchckooegfnifafm"",")</f>
        <v>"lndphafdikhmpgopmchckooegfnifafm",</v>
      </c>
    </row>
    <row r="4597">
      <c r="A4597" s="4" t="s">
        <v>23776</v>
      </c>
      <c r="B4597" s="4" t="s">
        <v>9157</v>
      </c>
      <c r="C4597" s="16" t="str">
        <f>IFERROR(__xludf.DUMMYFUNCTION(""""""""" &amp; REGEXEXTRACT(B4597, ""/detail/([^/?]+)"") &amp; """""","""),"""locbifcbeldmnphbgkdigjmkbfkhbnca"",")</f>
        <v>"locbifcbeldmnphbgkdigjmkbfkhbnca",</v>
      </c>
    </row>
    <row r="4598">
      <c r="A4598" s="4" t="s">
        <v>23777</v>
      </c>
      <c r="B4598" s="4" t="s">
        <v>9159</v>
      </c>
      <c r="C4598" s="16" t="str">
        <f>IFERROR(__xludf.DUMMYFUNCTION(""""""""" &amp; REGEXEXTRACT(B4598, ""/detail/([^/?]+)"") &amp; """""","""),"""loiinpcflpeaeiojgdaidimhemjhobjp"",")</f>
        <v>"loiinpcflpeaeiojgdaidimhemjhobjp",</v>
      </c>
    </row>
    <row r="4599">
      <c r="A4599" s="4" t="s">
        <v>23778</v>
      </c>
      <c r="B4599" s="4" t="s">
        <v>9161</v>
      </c>
      <c r="C4599" s="16" t="str">
        <f>IFERROR(__xludf.DUMMYFUNCTION(""""""""" &amp; REGEXEXTRACT(B4599, ""/detail/([^/?]+)"") &amp; """""","""),"""lpedgppinmnpgdblfmjdppaeeldcpnil"",")</f>
        <v>"lpedgppinmnpgdblfmjdppaeeldcpnil",</v>
      </c>
    </row>
    <row r="4600">
      <c r="A4600" s="4" t="s">
        <v>23779</v>
      </c>
      <c r="B4600" s="4" t="s">
        <v>9163</v>
      </c>
      <c r="C4600" s="16" t="str">
        <f>IFERROR(__xludf.DUMMYFUNCTION(""""""""" &amp; REGEXEXTRACT(B4600, ""/detail/([^/?]+)"") &amp; """""","""),"""lpfiljldhgjecfepfljnbjnbjfhennpd"",")</f>
        <v>"lpfiljldhgjecfepfljnbjnbjfhennpd",</v>
      </c>
    </row>
    <row r="4601">
      <c r="A4601" s="4" t="s">
        <v>23780</v>
      </c>
      <c r="B4601" s="4" t="s">
        <v>9165</v>
      </c>
      <c r="C4601" s="16" t="str">
        <f>IFERROR(__xludf.DUMMYFUNCTION(""""""""" &amp; REGEXEXTRACT(B4601, ""/detail/([^/?]+)"") &amp; """""","""),"""lpjdifkmhncpkkaaglchomjbgbopfjeo"",")</f>
        <v>"lpjdifkmhncpkkaaglchomjbgbopfjeo",</v>
      </c>
    </row>
    <row r="4602">
      <c r="A4602" s="4" t="s">
        <v>23781</v>
      </c>
      <c r="B4602" s="4" t="s">
        <v>9167</v>
      </c>
      <c r="C4602" s="16" t="str">
        <f>IFERROR(__xludf.DUMMYFUNCTION(""""""""" &amp; REGEXEXTRACT(B4602, ""/detail/([^/?]+)"") &amp; """""","""),"""maaccnhcoaehdeehahenkmchinbdjjmi"",")</f>
        <v>"maaccnhcoaehdeehahenkmchinbdjjmi",</v>
      </c>
    </row>
    <row r="4603">
      <c r="A4603" s="4" t="s">
        <v>23782</v>
      </c>
      <c r="B4603" s="4" t="s">
        <v>9169</v>
      </c>
      <c r="C4603" s="16" t="str">
        <f>IFERROR(__xludf.DUMMYFUNCTION(""""""""" &amp; REGEXEXTRACT(B4603, ""/detail/([^/?]+)"") &amp; """""","""),"""maffnemieclgahnalopfngbddfhneghd"",")</f>
        <v>"maffnemieclgahnalopfngbddfhneghd",</v>
      </c>
    </row>
    <row r="4604">
      <c r="A4604" s="4" t="s">
        <v>23783</v>
      </c>
      <c r="B4604" s="4" t="s">
        <v>9171</v>
      </c>
      <c r="C4604" s="16" t="str">
        <f>IFERROR(__xludf.DUMMYFUNCTION(""""""""" &amp; REGEXEXTRACT(B4604, ""/detail/([^/?]+)"") &amp; """""","""),"""maglaephdkllcoiapnigipoejifepooh"",")</f>
        <v>"maglaephdkllcoiapnigipoejifepooh",</v>
      </c>
    </row>
    <row r="4605">
      <c r="A4605" s="4" t="s">
        <v>23784</v>
      </c>
      <c r="B4605" s="4" t="s">
        <v>9173</v>
      </c>
      <c r="C4605" s="16" t="str">
        <f>IFERROR(__xludf.DUMMYFUNCTION(""""""""" &amp; REGEXEXTRACT(B4605, ""/detail/([^/?]+)"") &amp; """""","""),"""mahlicjkigbecnbblcogenidhakmghdk"",")</f>
        <v>"mahlicjkigbecnbblcogenidhakmghdk",</v>
      </c>
    </row>
    <row r="4606">
      <c r="A4606" s="4" t="s">
        <v>23785</v>
      </c>
      <c r="B4606" s="4" t="s">
        <v>9175</v>
      </c>
      <c r="C4606" s="16" t="str">
        <f>IFERROR(__xludf.DUMMYFUNCTION(""""""""" &amp; REGEXEXTRACT(B4606, ""/detail/([^/?]+)"") &amp; """""","""),"""maldlhiallkfciipjnedanjjpnfaljpl"",")</f>
        <v>"maldlhiallkfciipjnedanjjpnfaljpl",</v>
      </c>
    </row>
    <row r="4607">
      <c r="A4607" s="4" t="s">
        <v>23786</v>
      </c>
      <c r="B4607" s="4" t="s">
        <v>9177</v>
      </c>
      <c r="C4607" s="16" t="str">
        <f>IFERROR(__xludf.DUMMYFUNCTION(""""""""" &amp; REGEXEXTRACT(B4607, ""/detail/([^/?]+)"") &amp; """""","""),"""manbfoambbfcbnhmjbnbggklhoclonnb"",")</f>
        <v>"manbfoambbfcbnhmjbnbggklhoclonnb",</v>
      </c>
    </row>
    <row r="4608">
      <c r="A4608" s="4" t="s">
        <v>23787</v>
      </c>
      <c r="B4608" s="4" t="s">
        <v>9179</v>
      </c>
      <c r="C4608" s="16" t="str">
        <f>IFERROR(__xludf.DUMMYFUNCTION(""""""""" &amp; REGEXEXTRACT(B4608, ""/detail/([^/?]+)"") &amp; """""","""),"""mbaflkdlneldejanggphlhcepncjfaco"",")</f>
        <v>"mbaflkdlneldejanggphlhcepncjfaco",</v>
      </c>
    </row>
    <row r="4609">
      <c r="A4609" s="4" t="s">
        <v>23788</v>
      </c>
      <c r="B4609" s="4" t="s">
        <v>9181</v>
      </c>
      <c r="C4609" s="16" t="str">
        <f>IFERROR(__xludf.DUMMYFUNCTION(""""""""" &amp; REGEXEXTRACT(B4609, ""/detail/([^/?]+)"") &amp; """""","""),"""mbdbfbeebekieflbpicploepnkblcmjp"",")</f>
        <v>"mbdbfbeebekieflbpicploepnkblcmjp",</v>
      </c>
    </row>
    <row r="4610">
      <c r="A4610" s="4" t="s">
        <v>23789</v>
      </c>
      <c r="B4610" s="4" t="s">
        <v>9183</v>
      </c>
      <c r="C4610" s="16" t="str">
        <f>IFERROR(__xludf.DUMMYFUNCTION(""""""""" &amp; REGEXEXTRACT(B4610, ""/detail/([^/?]+)"") &amp; """""","""),"""mbeedbpphndkijipfcklhlgmoolapiml"",")</f>
        <v>"mbeedbpphndkijipfcklhlgmoolapiml",</v>
      </c>
    </row>
    <row r="4611">
      <c r="A4611" s="4" t="s">
        <v>23790</v>
      </c>
      <c r="B4611" s="4" t="s">
        <v>9185</v>
      </c>
      <c r="C4611" s="16" t="str">
        <f>IFERROR(__xludf.DUMMYFUNCTION(""""""""" &amp; REGEXEXTRACT(B4611, ""/detail/([^/?]+)"") &amp; """""","""),"""mbmmfmfiglgpcpboljabbhlogbcpebdh"",")</f>
        <v>"mbmmfmfiglgpcpboljabbhlogbcpebdh",</v>
      </c>
    </row>
    <row r="4612">
      <c r="A4612" s="4" t="s">
        <v>23791</v>
      </c>
      <c r="B4612" s="4" t="s">
        <v>9187</v>
      </c>
      <c r="C4612" s="16" t="str">
        <f>IFERROR(__xludf.DUMMYFUNCTION(""""""""" &amp; REGEXEXTRACT(B4612, ""/detail/([^/?]+)"") &amp; """""","""),"""mcaikbdablblhjhgpnbknbkbegogbhlm"",")</f>
        <v>"mcaikbdablblhjhgpnbknbkbegogbhlm",</v>
      </c>
    </row>
    <row r="4613">
      <c r="A4613" s="4" t="s">
        <v>23792</v>
      </c>
      <c r="B4613" s="4" t="s">
        <v>9189</v>
      </c>
      <c r="C4613" s="16" t="str">
        <f>IFERROR(__xludf.DUMMYFUNCTION(""""""""" &amp; REGEXEXTRACT(B4613, ""/detail/([^/?]+)"") &amp; """""","""),"""mciklklnhemleglghlcjeigibjohmgac"",")</f>
        <v>"mciklklnhemleglghlcjeigibjohmgac",</v>
      </c>
    </row>
    <row r="4614">
      <c r="A4614" s="4" t="s">
        <v>23793</v>
      </c>
      <c r="B4614" s="4" t="s">
        <v>9191</v>
      </c>
      <c r="C4614" s="16" t="str">
        <f>IFERROR(__xludf.DUMMYFUNCTION(""""""""" &amp; REGEXEXTRACT(B4614, ""/detail/([^/?]+)"") &amp; """""","""),"""mcjbehbddnhmcecicjalhcigjhdccaac"",")</f>
        <v>"mcjbehbddnhmcecicjalhcigjhdccaac",</v>
      </c>
    </row>
    <row r="4615">
      <c r="A4615" s="4" t="s">
        <v>23794</v>
      </c>
      <c r="B4615" s="4" t="s">
        <v>9193</v>
      </c>
      <c r="C4615" s="16" t="str">
        <f>IFERROR(__xludf.DUMMYFUNCTION(""""""""" &amp; REGEXEXTRACT(B4615, ""/detail/([^/?]+)"") &amp; """""","""),"""mcnddmglmjbomnfgkehnnblncllkaedm"",")</f>
        <v>"mcnddmglmjbomnfgkehnnblncllkaedm",</v>
      </c>
    </row>
    <row r="4616">
      <c r="A4616" s="4" t="s">
        <v>23795</v>
      </c>
      <c r="B4616" s="4" t="s">
        <v>9195</v>
      </c>
      <c r="C4616" s="16" t="str">
        <f>IFERROR(__xludf.DUMMYFUNCTION(""""""""" &amp; REGEXEXTRACT(B4616, ""/detail/([^/?]+)"") &amp; """""","""),"""mddbkffabnjjaihpiocjdagclghhlcmd"",")</f>
        <v>"mddbkffabnjjaihpiocjdagclghhlcmd",</v>
      </c>
    </row>
    <row r="4617">
      <c r="A4617" s="4" t="s">
        <v>23796</v>
      </c>
      <c r="B4617" s="4" t="s">
        <v>9197</v>
      </c>
      <c r="C4617" s="16" t="str">
        <f>IFERROR(__xludf.DUMMYFUNCTION(""""""""" &amp; REGEXEXTRACT(B4617, ""/detail/([^/?]+)"") &amp; """""","""),"""mdgncmfemcgcpdmchnenmkgfdpedokgo"",")</f>
        <v>"mdgncmfemcgcpdmchnenmkgfdpedokgo",</v>
      </c>
    </row>
    <row r="4618">
      <c r="A4618" s="4" t="s">
        <v>23797</v>
      </c>
      <c r="B4618" s="4" t="s">
        <v>9199</v>
      </c>
      <c r="C4618" s="16" t="str">
        <f>IFERROR(__xludf.DUMMYFUNCTION(""""""""" &amp; REGEXEXTRACT(B4618, ""/detail/([^/?]+)"") &amp; """""","""),"""mdjljoiaeenpboejapmbogfjpdljjndh"",")</f>
        <v>"mdjljoiaeenpboejapmbogfjpdljjndh",</v>
      </c>
    </row>
    <row r="4619">
      <c r="A4619" s="4" t="s">
        <v>23798</v>
      </c>
      <c r="B4619" s="4" t="s">
        <v>9201</v>
      </c>
      <c r="C4619" s="16" t="str">
        <f>IFERROR(__xludf.DUMMYFUNCTION(""""""""" &amp; REGEXEXTRACT(B4619, ""/detail/([^/?]+)"") &amp; """""","""),"""mebfblkahpknogabckmdjcmjbnpfdpcj"",")</f>
        <v>"mebfblkahpknogabckmdjcmjbnpfdpcj",</v>
      </c>
    </row>
    <row r="4620">
      <c r="A4620" s="4" t="s">
        <v>23799</v>
      </c>
      <c r="B4620" s="4" t="s">
        <v>9203</v>
      </c>
      <c r="C4620" s="16" t="str">
        <f>IFERROR(__xludf.DUMMYFUNCTION(""""""""" &amp; REGEXEXTRACT(B4620, ""/detail/([^/?]+)"") &amp; """""","""),"""mefkpmhgfljflbldannlgahlmhagdcoe"",")</f>
        <v>"mefkpmhgfljflbldannlgahlmhagdcoe",</v>
      </c>
    </row>
    <row r="4621">
      <c r="A4621" s="4" t="s">
        <v>23800</v>
      </c>
      <c r="B4621" s="4" t="s">
        <v>9205</v>
      </c>
      <c r="C4621" s="16" t="str">
        <f>IFERROR(__xludf.DUMMYFUNCTION(""""""""" &amp; REGEXEXTRACT(B4621, ""/detail/([^/?]+)"") &amp; """""","""),"""melffdlldjphddahoppfddcacpaophhf"",")</f>
        <v>"melffdlldjphddahoppfddcacpaophhf",</v>
      </c>
    </row>
    <row r="4622">
      <c r="A4622" s="4" t="s">
        <v>23801</v>
      </c>
      <c r="B4622" s="4" t="s">
        <v>9207</v>
      </c>
      <c r="C4622" s="16" t="str">
        <f>IFERROR(__xludf.DUMMYFUNCTION(""""""""" &amp; REGEXEXTRACT(B4622, ""/detail/([^/?]+)"") &amp; """""","""),"""mepooemkkklmilplmgkeljlnpnokjlbo"",")</f>
        <v>"mepooemkkklmilplmgkeljlnpnokjlbo",</v>
      </c>
    </row>
    <row r="4623">
      <c r="A4623" s="4" t="s">
        <v>23802</v>
      </c>
      <c r="B4623" s="4" t="s">
        <v>9209</v>
      </c>
      <c r="C4623" s="16" t="str">
        <f>IFERROR(__xludf.DUMMYFUNCTION(""""""""" &amp; REGEXEXTRACT(B4623, ""/detail/([^/?]+)"") &amp; """""","""),"""mfckggnkebdpaocogfekaaicafooeiik"",")</f>
        <v>"mfckggnkebdpaocogfekaaicafooeiik",</v>
      </c>
    </row>
    <row r="4624">
      <c r="A4624" s="4" t="s">
        <v>23803</v>
      </c>
      <c r="B4624" s="4" t="s">
        <v>9211</v>
      </c>
      <c r="C4624" s="16" t="str">
        <f>IFERROR(__xludf.DUMMYFUNCTION(""""""""" &amp; REGEXEXTRACT(B4624, ""/detail/([^/?]+)"") &amp; """""","""),"""mfdedbeljebbgkenmgfpjmjfnkgcffdm"",")</f>
        <v>"mfdedbeljebbgkenmgfpjmjfnkgcffdm",</v>
      </c>
    </row>
    <row r="4625">
      <c r="A4625" s="4" t="s">
        <v>23804</v>
      </c>
      <c r="B4625" s="4" t="s">
        <v>9213</v>
      </c>
      <c r="C4625" s="16" t="str">
        <f>IFERROR(__xludf.DUMMYFUNCTION(""""""""" &amp; REGEXEXTRACT(B4625, ""/detail/([^/?]+)"") &amp; """""","""),"""mfdnijcalgckckdhbfplfjaoiclaagnj"",")</f>
        <v>"mfdnijcalgckckdhbfplfjaoiclaagnj",</v>
      </c>
    </row>
    <row r="4626">
      <c r="A4626" s="4" t="s">
        <v>23805</v>
      </c>
      <c r="B4626" s="4" t="s">
        <v>9215</v>
      </c>
      <c r="C4626" s="16" t="str">
        <f>IFERROR(__xludf.DUMMYFUNCTION(""""""""" &amp; REGEXEXTRACT(B4626, ""/detail/([^/?]+)"") &amp; """""","""),"""mffcogdacgpjnckjepacaicfliaocneb"",")</f>
        <v>"mffcogdacgpjnckjepacaicfliaocneb",</v>
      </c>
    </row>
    <row r="4627">
      <c r="A4627" s="4" t="s">
        <v>23806</v>
      </c>
      <c r="B4627" s="4" t="s">
        <v>9217</v>
      </c>
      <c r="C4627" s="16" t="str">
        <f>IFERROR(__xludf.DUMMYFUNCTION(""""""""" &amp; REGEXEXTRACT(B4627, ""/detail/([^/?]+)"") &amp; """""","""),"""mfinfiagnpnbijihonbeadgnfbihhpcf"",")</f>
        <v>"mfinfiagnpnbijihonbeadgnfbihhpcf",</v>
      </c>
    </row>
    <row r="4628">
      <c r="A4628" s="4" t="s">
        <v>23807</v>
      </c>
      <c r="B4628" s="4" t="s">
        <v>9219</v>
      </c>
      <c r="C4628" s="16" t="str">
        <f>IFERROR(__xludf.DUMMYFUNCTION(""""""""" &amp; REGEXEXTRACT(B4628, ""/detail/([^/?]+)"") &amp; """""","""),"""mflkegihknjnhmpfnaimpfkjbkelhhkf"",")</f>
        <v>"mflkegihknjnhmpfnaimpfkjbkelhhkf",</v>
      </c>
    </row>
    <row r="4629">
      <c r="A4629" s="4" t="s">
        <v>23808</v>
      </c>
      <c r="B4629" s="4" t="s">
        <v>9221</v>
      </c>
      <c r="C4629" s="16" t="str">
        <f>IFERROR(__xludf.DUMMYFUNCTION(""""""""" &amp; REGEXEXTRACT(B4629, ""/detail/([^/?]+)"") &amp; """""","""),"""mfojbimoijkkmhoinjalikpafpklfdif"",")</f>
        <v>"mfojbimoijkkmhoinjalikpafpklfdif",</v>
      </c>
    </row>
    <row r="4630">
      <c r="A4630" s="4" t="s">
        <v>23809</v>
      </c>
      <c r="B4630" s="4" t="s">
        <v>9223</v>
      </c>
      <c r="C4630" s="16" t="str">
        <f>IFERROR(__xludf.DUMMYFUNCTION(""""""""" &amp; REGEXEXTRACT(B4630, ""/detail/([^/?]+)"") &amp; """""","""),"""mganbjhcinhhpelabgdgnogoaedcakke"",")</f>
        <v>"mganbjhcinhhpelabgdgnogoaedcakke",</v>
      </c>
    </row>
    <row r="4631">
      <c r="A4631" s="4" t="s">
        <v>23810</v>
      </c>
      <c r="B4631" s="4" t="s">
        <v>9225</v>
      </c>
      <c r="C4631" s="16" t="str">
        <f>IFERROR(__xludf.DUMMYFUNCTION(""""""""" &amp; REGEXEXTRACT(B4631, ""/detail/([^/?]+)"") &amp; """""","""),"""mgaphgebhfgmkahikdhdomnnpelbijmo"",")</f>
        <v>"mgaphgebhfgmkahikdhdomnnpelbijmo",</v>
      </c>
    </row>
    <row r="4632">
      <c r="A4632" s="4" t="s">
        <v>23811</v>
      </c>
      <c r="B4632" s="4" t="s">
        <v>9227</v>
      </c>
      <c r="C4632" s="16" t="str">
        <f>IFERROR(__xludf.DUMMYFUNCTION(""""""""" &amp; REGEXEXTRACT(B4632, ""/detail/([^/?]+)"") &amp; """""","""),"""mgbnhohohiggdomiccdpkhaponabbfbc"",")</f>
        <v>"mgbnhohohiggdomiccdpkhaponabbfbc",</v>
      </c>
    </row>
    <row r="4633">
      <c r="A4633" s="4" t="s">
        <v>23812</v>
      </c>
      <c r="B4633" s="4" t="s">
        <v>9229</v>
      </c>
      <c r="C4633" s="16" t="str">
        <f>IFERROR(__xludf.DUMMYFUNCTION(""""""""" &amp; REGEXEXTRACT(B4633, ""/detail/([^/?]+)"") &amp; """""","""),"""mghdcdlpcdiodelbplncnodiiadljhhk"",")</f>
        <v>"mghdcdlpcdiodelbplncnodiiadljhhk",</v>
      </c>
    </row>
    <row r="4634">
      <c r="A4634" s="4" t="s">
        <v>23813</v>
      </c>
      <c r="B4634" s="4" t="s">
        <v>9231</v>
      </c>
      <c r="C4634" s="16" t="str">
        <f>IFERROR(__xludf.DUMMYFUNCTION(""""""""" &amp; REGEXEXTRACT(B4634, ""/detail/([^/?]+)"") &amp; """""","""),"""mginbgceeeielfenknclfcfegblhpkpf"",")</f>
        <v>"mginbgceeeielfenknclfcfegblhpkpf",</v>
      </c>
    </row>
    <row r="4635">
      <c r="A4635" s="4" t="s">
        <v>23814</v>
      </c>
      <c r="B4635" s="4" t="s">
        <v>9233</v>
      </c>
      <c r="C4635" s="16" t="str">
        <f>IFERROR(__xludf.DUMMYFUNCTION(""""""""" &amp; REGEXEXTRACT(B4635, ""/detail/([^/?]+)"") &amp; """""","""),"""mhhnbhdbgdlbolfilnpiecnkleiliidk"",")</f>
        <v>"mhhnbhdbgdlbolfilnpiecnkleiliidk",</v>
      </c>
    </row>
    <row r="4636">
      <c r="A4636" s="4" t="s">
        <v>23815</v>
      </c>
      <c r="B4636" s="4" t="s">
        <v>9235</v>
      </c>
      <c r="C4636" s="16" t="str">
        <f>IFERROR(__xludf.DUMMYFUNCTION(""""""""" &amp; REGEXEXTRACT(B4636, ""/detail/([^/?]+)"") &amp; """""","""),"""mhijjfhmpocbdbjkhcodbllohlobkpko"",")</f>
        <v>"mhijjfhmpocbdbjkhcodbllohlobkpko",</v>
      </c>
    </row>
    <row r="4637">
      <c r="A4637" s="4" t="s">
        <v>23816</v>
      </c>
      <c r="B4637" s="4" t="s">
        <v>9237</v>
      </c>
      <c r="C4637" s="16" t="str">
        <f>IFERROR(__xludf.DUMMYFUNCTION(""""""""" &amp; REGEXEXTRACT(B4637, ""/detail/([^/?]+)"") &amp; """""","""),"""mhpfiackdifhfjphkicjidjlnibkfgek"",")</f>
        <v>"mhpfiackdifhfjphkicjidjlnibkfgek",</v>
      </c>
    </row>
    <row r="4638">
      <c r="A4638" s="4" t="s">
        <v>23817</v>
      </c>
      <c r="B4638" s="4" t="s">
        <v>9239</v>
      </c>
      <c r="C4638" s="16" t="str">
        <f>IFERROR(__xludf.DUMMYFUNCTION(""""""""" &amp; REGEXEXTRACT(B4638, ""/detail/([^/?]+)"") &amp; """""","""),"""miccnfohnpjfahhbghknejkbmpkkbapa"",")</f>
        <v>"miccnfohnpjfahhbghknejkbmpkkbapa",</v>
      </c>
    </row>
    <row r="4639">
      <c r="A4639" s="4" t="s">
        <v>23818</v>
      </c>
      <c r="B4639" s="4" t="s">
        <v>9241</v>
      </c>
      <c r="C4639" s="16" t="str">
        <f>IFERROR(__xludf.DUMMYFUNCTION(""""""""" &amp; REGEXEXTRACT(B4639, ""/detail/([^/?]+)"") &amp; """""","""),"""mihnakoibnncegmcibpgallmgephjepk"",")</f>
        <v>"mihnakoibnncegmcibpgallmgephjepk",</v>
      </c>
    </row>
    <row r="4640">
      <c r="A4640" s="4" t="s">
        <v>23819</v>
      </c>
      <c r="B4640" s="4" t="s">
        <v>9243</v>
      </c>
      <c r="C4640" s="16" t="str">
        <f>IFERROR(__xludf.DUMMYFUNCTION(""""""""" &amp; REGEXEXTRACT(B4640, ""/detail/([^/?]+)"") &amp; """""","""),"""mjfkhdokgloajdhicnjngfldhfibkckp"",")</f>
        <v>"mjfkhdokgloajdhicnjngfldhfibkckp",</v>
      </c>
    </row>
    <row r="4641">
      <c r="A4641" s="4" t="s">
        <v>23820</v>
      </c>
      <c r="B4641" s="4" t="s">
        <v>9245</v>
      </c>
      <c r="C4641" s="16" t="str">
        <f>IFERROR(__xludf.DUMMYFUNCTION(""""""""" &amp; REGEXEXTRACT(B4641, ""/detail/([^/?]+)"") &amp; """""","""),"""mjfpekkpgmdihmfemmiodkhiebgbjnhm"",")</f>
        <v>"mjfpekkpgmdihmfemmiodkhiebgbjnhm",</v>
      </c>
    </row>
    <row r="4642">
      <c r="A4642" s="4" t="s">
        <v>23821</v>
      </c>
      <c r="B4642" s="4" t="s">
        <v>9247</v>
      </c>
      <c r="C4642" s="16" t="str">
        <f>IFERROR(__xludf.DUMMYFUNCTION(""""""""" &amp; REGEXEXTRACT(B4642, ""/detail/([^/?]+)"") &amp; """""","""),"""mjlgdiclanhcloangjbhpmoagbhmjlgc"",")</f>
        <v>"mjlgdiclanhcloangjbhpmoagbhmjlgc",</v>
      </c>
    </row>
    <row r="4643">
      <c r="A4643" s="4" t="s">
        <v>23822</v>
      </c>
      <c r="B4643" s="4" t="s">
        <v>9249</v>
      </c>
      <c r="C4643" s="16" t="str">
        <f>IFERROR(__xludf.DUMMYFUNCTION(""""""""" &amp; REGEXEXTRACT(B4643, ""/detail/([^/?]+)"") &amp; """""","""),"""mjmkojcifkohagopplnehodbmlcacjlh"",")</f>
        <v>"mjmkojcifkohagopplnehodbmlcacjlh",</v>
      </c>
    </row>
    <row r="4644">
      <c r="A4644" s="4" t="s">
        <v>23823</v>
      </c>
      <c r="B4644" s="4" t="s">
        <v>9251</v>
      </c>
      <c r="C4644" s="16" t="str">
        <f>IFERROR(__xludf.DUMMYFUNCTION(""""""""" &amp; REGEXEXTRACT(B4644, ""/detail/([^/?]+)"") &amp; """""","""),"""mjonmjnmjeopaknkgopihjpmlbbkkchj"",")</f>
        <v>"mjonmjnmjeopaknkgopihjpmlbbkkchj",</v>
      </c>
    </row>
    <row r="4645">
      <c r="A4645" s="4" t="s">
        <v>23824</v>
      </c>
      <c r="B4645" s="4" t="s">
        <v>9253</v>
      </c>
      <c r="C4645" s="16" t="str">
        <f>IFERROR(__xludf.DUMMYFUNCTION(""""""""" &amp; REGEXEXTRACT(B4645, ""/detail/([^/?]+)"") &amp; """""","""),"""mkflfhejpbpoinpcenpmfpbfgkeldfod"",")</f>
        <v>"mkflfhejpbpoinpcenpmfpbfgkeldfod",</v>
      </c>
    </row>
    <row r="4646">
      <c r="A4646" s="4" t="s">
        <v>23825</v>
      </c>
      <c r="B4646" s="4" t="s">
        <v>9255</v>
      </c>
      <c r="C4646" s="16" t="str">
        <f>IFERROR(__xludf.DUMMYFUNCTION(""""""""" &amp; REGEXEXTRACT(B4646, ""/detail/([^/?]+)"") &amp; """""","""),"""mkhdgadimehhojbgpphhkodolihgmmfe"",")</f>
        <v>"mkhdgadimehhojbgpphhkodolihgmmfe",</v>
      </c>
    </row>
    <row r="4647">
      <c r="A4647" s="4" t="s">
        <v>23826</v>
      </c>
      <c r="B4647" s="4" t="s">
        <v>9257</v>
      </c>
      <c r="C4647" s="16" t="str">
        <f>IFERROR(__xludf.DUMMYFUNCTION(""""""""" &amp; REGEXEXTRACT(B4647, ""/detail/([^/?]+)"") &amp; """""","""),"""mlelamfpbkmcjighmglfodehbknhmlod"",")</f>
        <v>"mlelamfpbkmcjighmglfodehbknhmlod",</v>
      </c>
    </row>
    <row r="4648">
      <c r="A4648" s="4" t="s">
        <v>23827</v>
      </c>
      <c r="B4648" s="4" t="s">
        <v>9259</v>
      </c>
      <c r="C4648" s="16" t="str">
        <f>IFERROR(__xludf.DUMMYFUNCTION(""""""""" &amp; REGEXEXTRACT(B4648, ""/detail/([^/?]+)"") &amp; """""","""),"""mlgnpmfabelpnbinakibjcaibnfdnpkn"",")</f>
        <v>"mlgnpmfabelpnbinakibjcaibnfdnpkn",</v>
      </c>
    </row>
    <row r="4649">
      <c r="A4649" s="4" t="s">
        <v>23828</v>
      </c>
      <c r="B4649" s="4" t="s">
        <v>9261</v>
      </c>
      <c r="C4649" s="16" t="str">
        <f>IFERROR(__xludf.DUMMYFUNCTION(""""""""" &amp; REGEXEXTRACT(B4649, ""/detail/([^/?]+)"") &amp; """""","""),"""mloainmlkoomaleindanmpgialfgbjjc"",")</f>
        <v>"mloainmlkoomaleindanmpgialfgbjjc",</v>
      </c>
    </row>
    <row r="4650">
      <c r="A4650" s="4" t="s">
        <v>23829</v>
      </c>
      <c r="B4650" s="4" t="s">
        <v>9263</v>
      </c>
      <c r="C4650" s="16" t="str">
        <f>IFERROR(__xludf.DUMMYFUNCTION(""""""""" &amp; REGEXEXTRACT(B4650, ""/detail/([^/?]+)"") &amp; """""","""),"""mmamcliopoldnjhobmflbocmblapjhhn"",")</f>
        <v>"mmamcliopoldnjhobmflbocmblapjhhn",</v>
      </c>
    </row>
    <row r="4651">
      <c r="A4651" s="4" t="s">
        <v>23830</v>
      </c>
      <c r="B4651" s="4" t="s">
        <v>9265</v>
      </c>
      <c r="C4651" s="16" t="str">
        <f>IFERROR(__xludf.DUMMYFUNCTION(""""""""" &amp; REGEXEXTRACT(B4651, ""/detail/([^/?]+)"") &amp; """""","""),"""mmfbdcekojokeeonagpnlpoklelkcjon"",")</f>
        <v>"mmfbdcekojokeeonagpnlpoklelkcjon",</v>
      </c>
    </row>
    <row r="4652">
      <c r="A4652" s="4" t="s">
        <v>23831</v>
      </c>
      <c r="B4652" s="4" t="s">
        <v>9267</v>
      </c>
      <c r="C4652" s="16" t="str">
        <f>IFERROR(__xludf.DUMMYFUNCTION(""""""""" &amp; REGEXEXTRACT(B4652, ""/detail/([^/?]+)"") &amp; """""","""),"""mmgfafehampkahlmoahbjcjcmgmkppab"",")</f>
        <v>"mmgfafehampkahlmoahbjcjcmgmkppab",</v>
      </c>
    </row>
    <row r="4653">
      <c r="A4653" s="4" t="s">
        <v>23832</v>
      </c>
      <c r="B4653" s="4" t="s">
        <v>9269</v>
      </c>
      <c r="C4653" s="16" t="str">
        <f>IFERROR(__xludf.DUMMYFUNCTION(""""""""" &amp; REGEXEXTRACT(B4653, ""/detail/([^/?]+)"") &amp; """""","""),"""mnbfkkkpphlcbeaeemeblclibjnofamn"",")</f>
        <v>"mnbfkkkpphlcbeaeemeblclibjnofamn",</v>
      </c>
    </row>
    <row r="4654">
      <c r="A4654" s="4" t="s">
        <v>23833</v>
      </c>
      <c r="B4654" s="4" t="s">
        <v>9271</v>
      </c>
      <c r="C4654" s="16" t="str">
        <f>IFERROR(__xludf.DUMMYFUNCTION(""""""""" &amp; REGEXEXTRACT(B4654, ""/detail/([^/?]+)"") &amp; """""","""),"""mncdeeeclhogadpcgpjalpkjfobildhe"",")</f>
        <v>"mncdeeeclhogadpcgpjalpkjfobildhe",</v>
      </c>
    </row>
    <row r="4655">
      <c r="A4655" s="4" t="s">
        <v>23834</v>
      </c>
      <c r="B4655" s="4" t="s">
        <v>9273</v>
      </c>
      <c r="C4655" s="16" t="str">
        <f>IFERROR(__xludf.DUMMYFUNCTION(""""""""" &amp; REGEXEXTRACT(B4655, ""/detail/([^/?]+)"") &amp; """""","""),"""mncidhppmkifjpbcjbhkcbdlgdjgbpah"",")</f>
        <v>"mncidhppmkifjpbcjbhkcbdlgdjgbpah",</v>
      </c>
    </row>
    <row r="4656">
      <c r="A4656" s="4" t="s">
        <v>23835</v>
      </c>
      <c r="B4656" s="4" t="s">
        <v>9275</v>
      </c>
      <c r="C4656" s="16" t="str">
        <f>IFERROR(__xludf.DUMMYFUNCTION(""""""""" &amp; REGEXEXTRACT(B4656, ""/detail/([^/?]+)"") &amp; """""","""),"""mndijfcodpjlhgjcpcbhncjakaboedbl"",")</f>
        <v>"mndijfcodpjlhgjcpcbhncjakaboedbl",</v>
      </c>
    </row>
    <row r="4657">
      <c r="A4657" s="4" t="s">
        <v>23836</v>
      </c>
      <c r="B4657" s="4" t="s">
        <v>9277</v>
      </c>
      <c r="C4657" s="16" t="str">
        <f>IFERROR(__xludf.DUMMYFUNCTION(""""""""" &amp; REGEXEXTRACT(B4657, ""/detail/([^/?]+)"") &amp; """""","""),"""mnghobmdphconlpnmemodmmmcpoopecj"",")</f>
        <v>"mnghobmdphconlpnmemodmmmcpoopecj",</v>
      </c>
    </row>
    <row r="4658">
      <c r="A4658" s="4" t="s">
        <v>23837</v>
      </c>
      <c r="B4658" s="4" t="s">
        <v>9279</v>
      </c>
      <c r="C4658" s="16" t="str">
        <f>IFERROR(__xludf.DUMMYFUNCTION(""""""""" &amp; REGEXEXTRACT(B4658, ""/detail/([^/?]+)"") &amp; """""","""),"""mnnkkdhkjbcnjljenmicbmlojmnpmaaf"",")</f>
        <v>"mnnkkdhkjbcnjljenmicbmlojmnpmaaf",</v>
      </c>
    </row>
    <row r="4659">
      <c r="A4659" s="4" t="s">
        <v>23838</v>
      </c>
      <c r="B4659" s="4" t="s">
        <v>9281</v>
      </c>
      <c r="C4659" s="16" t="str">
        <f>IFERROR(__xludf.DUMMYFUNCTION(""""""""" &amp; REGEXEXTRACT(B4659, ""/detail/([^/?]+)"") &amp; """""","""),"""mnonoobhfgdhidonjmabidmejggjcnil"",")</f>
        <v>"mnonoobhfgdhidonjmabidmejggjcnil",</v>
      </c>
    </row>
    <row r="4660">
      <c r="A4660" s="4" t="s">
        <v>23839</v>
      </c>
      <c r="B4660" s="4" t="s">
        <v>9283</v>
      </c>
      <c r="C4660" s="16" t="str">
        <f>IFERROR(__xludf.DUMMYFUNCTION(""""""""" &amp; REGEXEXTRACT(B4660, ""/detail/([^/?]+)"") &amp; """""","""),"""moeffcjghgaaifjmiaheamkndbbaepmf"",")</f>
        <v>"moeffcjghgaaifjmiaheamkndbbaepmf",</v>
      </c>
    </row>
    <row r="4661">
      <c r="A4661" s="4" t="s">
        <v>23840</v>
      </c>
      <c r="B4661" s="4" t="s">
        <v>9285</v>
      </c>
      <c r="C4661" s="16" t="str">
        <f>IFERROR(__xludf.DUMMYFUNCTION(""""""""" &amp; REGEXEXTRACT(B4661, ""/detail/([^/?]+)"") &amp; """""","""),"""mogbbilahcoegijagmcmleheifpijffa"",")</f>
        <v>"mogbbilahcoegijagmcmleheifpijffa",</v>
      </c>
    </row>
    <row r="4662">
      <c r="A4662" s="4" t="s">
        <v>23841</v>
      </c>
      <c r="B4662" s="4" t="s">
        <v>9287</v>
      </c>
      <c r="C4662" s="16" t="str">
        <f>IFERROR(__xludf.DUMMYFUNCTION(""""""""" &amp; REGEXEXTRACT(B4662, ""/detail/([^/?]+)"") &amp; """""","""),"""moiimdfnkckkpfebeinkpoomplfdmgbh"",")</f>
        <v>"moiimdfnkckkpfebeinkpoomplfdmgbh",</v>
      </c>
    </row>
    <row r="4663">
      <c r="A4663" s="4" t="s">
        <v>23842</v>
      </c>
      <c r="B4663" s="4" t="s">
        <v>9289</v>
      </c>
      <c r="C4663" s="16" t="str">
        <f>IFERROR(__xludf.DUMMYFUNCTION(""""""""" &amp; REGEXEXTRACT(B4663, ""/detail/([^/?]+)"") &amp; """""","""),"""molhdaofohigaepljchpmfablknhabmo"",")</f>
        <v>"molhdaofohigaepljchpmfablknhabmo",</v>
      </c>
    </row>
    <row r="4664">
      <c r="A4664" s="4" t="s">
        <v>23843</v>
      </c>
      <c r="B4664" s="4" t="s">
        <v>9291</v>
      </c>
      <c r="C4664" s="16" t="str">
        <f>IFERROR(__xludf.DUMMYFUNCTION(""""""""" &amp; REGEXEXTRACT(B4664, ""/detail/([^/?]+)"") &amp; """""","""),"""molobeedbmpeindgkpkdokknjpoaaldg"",")</f>
        <v>"molobeedbmpeindgkpkdokknjpoaaldg",</v>
      </c>
    </row>
    <row r="4665">
      <c r="A4665" s="4" t="s">
        <v>23844</v>
      </c>
      <c r="B4665" s="4" t="s">
        <v>9293</v>
      </c>
      <c r="C4665" s="16" t="str">
        <f>IFERROR(__xludf.DUMMYFUNCTION(""""""""" &amp; REGEXEXTRACT(B4665, ""/detail/([^/?]+)"") &amp; """""","""),"""moncnfejkabmlhblomihhdoifkgpgkhh"",")</f>
        <v>"moncnfejkabmlhblomihhdoifkgpgkhh",</v>
      </c>
    </row>
    <row r="4666">
      <c r="A4666" s="4" t="s">
        <v>23845</v>
      </c>
      <c r="B4666" s="4" t="s">
        <v>9295</v>
      </c>
      <c r="C4666" s="16" t="str">
        <f>IFERROR(__xludf.DUMMYFUNCTION(""""""""" &amp; REGEXEXTRACT(B4666, ""/detail/([^/?]+)"") &amp; """""","""),"""moogknkkdfgmplijlmmdhfcjccaoahcl"",")</f>
        <v>"moogknkkdfgmplijlmmdhfcjccaoahcl",</v>
      </c>
    </row>
    <row r="4667">
      <c r="A4667" s="4" t="s">
        <v>23846</v>
      </c>
      <c r="B4667" s="4" t="s">
        <v>9297</v>
      </c>
      <c r="C4667" s="16" t="str">
        <f>IFERROR(__xludf.DUMMYFUNCTION(""""""""" &amp; REGEXEXTRACT(B4667, ""/detail/([^/?]+)"") &amp; """""","""),"""mpeppilpojkpjkplhihbcfapmlnlkckb"",")</f>
        <v>"mpeppilpojkpjkplhihbcfapmlnlkckb",</v>
      </c>
    </row>
    <row r="4668">
      <c r="A4668" s="4" t="s">
        <v>23847</v>
      </c>
      <c r="B4668" s="4" t="s">
        <v>9299</v>
      </c>
      <c r="C4668" s="16" t="str">
        <f>IFERROR(__xludf.DUMMYFUNCTION(""""""""" &amp; REGEXEXTRACT(B4668, ""/detail/([^/?]+)"") &amp; """""","""),"""mpfiekgcmecnlobbggjjlpnmdafenkmh"",")</f>
        <v>"mpfiekgcmecnlobbggjjlpnmdafenkmh",</v>
      </c>
    </row>
    <row r="4669">
      <c r="A4669" s="4" t="s">
        <v>23848</v>
      </c>
      <c r="B4669" s="4" t="s">
        <v>9301</v>
      </c>
      <c r="C4669" s="16" t="str">
        <f>IFERROR(__xludf.DUMMYFUNCTION(""""""""" &amp; REGEXEXTRACT(B4669, ""/detail/([^/?]+)"") &amp; """""","""),"""mponkehblfpkgfeomegpjmbadbkojdpb"",")</f>
        <v>"mponkehblfpkgfeomegpjmbadbkojdpb",</v>
      </c>
    </row>
    <row r="4670">
      <c r="A4670" s="4" t="s">
        <v>23849</v>
      </c>
      <c r="B4670" s="4" t="s">
        <v>9303</v>
      </c>
      <c r="C4670" s="16" t="str">
        <f>IFERROR(__xludf.DUMMYFUNCTION(""""""""" &amp; REGEXEXTRACT(B4670, ""/detail/([^/?]+)"") &amp; """""","""),"""naedodplkghehbefblmepndhpokdjobi"",")</f>
        <v>"naedodplkghehbefblmepndhpokdjobi",</v>
      </c>
    </row>
    <row r="4671">
      <c r="A4671" s="4" t="s">
        <v>23850</v>
      </c>
      <c r="B4671" s="4" t="s">
        <v>9305</v>
      </c>
      <c r="C4671" s="16" t="str">
        <f>IFERROR(__xludf.DUMMYFUNCTION(""""""""" &amp; REGEXEXTRACT(B4671, ""/detail/([^/?]+)"") &amp; """""","""),"""naigkjmkbhfljhflbnbfnmbdgdnlfael"",")</f>
        <v>"naigkjmkbhfljhflbnbfnmbdgdnlfael",</v>
      </c>
    </row>
    <row r="4672">
      <c r="A4672" s="4" t="s">
        <v>23851</v>
      </c>
      <c r="B4672" s="4" t="s">
        <v>9307</v>
      </c>
      <c r="C4672" s="16" t="str">
        <f>IFERROR(__xludf.DUMMYFUNCTION(""""""""" &amp; REGEXEXTRACT(B4672, ""/detail/([^/?]+)"") &amp; """""","""),"""nakcejjjkpbhmgkpkjeichbmklcgpjki"",")</f>
        <v>"nakcejjjkpbhmgkpkjeichbmklcgpjki",</v>
      </c>
    </row>
    <row r="4673">
      <c r="A4673" s="4" t="s">
        <v>23852</v>
      </c>
      <c r="B4673" s="4" t="s">
        <v>9309</v>
      </c>
      <c r="C4673" s="16" t="str">
        <f>IFERROR(__xludf.DUMMYFUNCTION(""""""""" &amp; REGEXEXTRACT(B4673, ""/detail/([^/?]+)"") &amp; """""","""),"""nalmbmopkipfhijmcncelapgbkgoligf"",")</f>
        <v>"nalmbmopkipfhijmcncelapgbkgoligf",</v>
      </c>
    </row>
    <row r="4674">
      <c r="A4674" s="4" t="s">
        <v>23853</v>
      </c>
      <c r="B4674" s="4" t="s">
        <v>9311</v>
      </c>
      <c r="C4674" s="16" t="str">
        <f>IFERROR(__xludf.DUMMYFUNCTION(""""""""" &amp; REGEXEXTRACT(B4674, ""/detail/([^/?]+)"") &amp; """""","""),"""nandgdgkehbimcjgfnkcebjkidimenee"",")</f>
        <v>"nandgdgkehbimcjgfnkcebjkidimenee",</v>
      </c>
    </row>
    <row r="4675">
      <c r="A4675" s="4" t="s">
        <v>23854</v>
      </c>
      <c r="B4675" s="4" t="s">
        <v>9313</v>
      </c>
      <c r="C4675" s="16" t="str">
        <f>IFERROR(__xludf.DUMMYFUNCTION(""""""""" &amp; REGEXEXTRACT(B4675, ""/detail/([^/?]+)"") &amp; """""","""),"""naoajjeoiblmpegfelhkapanmmaaghmi"",")</f>
        <v>"naoajjeoiblmpegfelhkapanmmaaghmi",</v>
      </c>
    </row>
    <row r="4676">
      <c r="A4676" s="4" t="s">
        <v>23855</v>
      </c>
      <c r="B4676" s="4" t="s">
        <v>9315</v>
      </c>
      <c r="C4676" s="16" t="str">
        <f>IFERROR(__xludf.DUMMYFUNCTION(""""""""" &amp; REGEXEXTRACT(B4676, ""/detail/([^/?]+)"") &amp; """""","""),"""naolnccddjabbhmjogiejjgocjnglmge"",")</f>
        <v>"naolnccddjabbhmjogiejjgocjnglmge",</v>
      </c>
    </row>
    <row r="4677">
      <c r="A4677" s="4" t="s">
        <v>23856</v>
      </c>
      <c r="B4677" s="4" t="s">
        <v>9317</v>
      </c>
      <c r="C4677" s="16" t="str">
        <f>IFERROR(__xludf.DUMMYFUNCTION(""""""""" &amp; REGEXEXTRACT(B4677, ""/detail/([^/?]+)"") &amp; """""","""),"""nbbdaammplbmfejknfanpgeeldmijppa"",")</f>
        <v>"nbbdaammplbmfejknfanpgeeldmijppa",</v>
      </c>
    </row>
    <row r="4678">
      <c r="A4678" s="4" t="s">
        <v>23857</v>
      </c>
      <c r="B4678" s="4" t="s">
        <v>9319</v>
      </c>
      <c r="C4678" s="16" t="str">
        <f>IFERROR(__xludf.DUMMYFUNCTION(""""""""" &amp; REGEXEXTRACT(B4678, ""/detail/([^/?]+)"") &amp; """""","""),"""nbclmofnhpkggnndkdeleaefmbkibmjg"",")</f>
        <v>"nbclmofnhpkggnndkdeleaefmbkibmjg",</v>
      </c>
    </row>
    <row r="4679">
      <c r="A4679" s="4" t="s">
        <v>23858</v>
      </c>
      <c r="B4679" s="4" t="s">
        <v>9321</v>
      </c>
      <c r="C4679" s="16" t="str">
        <f>IFERROR(__xludf.DUMMYFUNCTION(""""""""" &amp; REGEXEXTRACT(B4679, ""/detail/([^/?]+)"") &amp; """""","""),"""nbdhmbajecdannlcdfiomapadcaelnba"",")</f>
        <v>"nbdhmbajecdannlcdfiomapadcaelnba",</v>
      </c>
    </row>
    <row r="4680">
      <c r="A4680" s="4" t="s">
        <v>23859</v>
      </c>
      <c r="B4680" s="4" t="s">
        <v>9323</v>
      </c>
      <c r="C4680" s="16" t="str">
        <f>IFERROR(__xludf.DUMMYFUNCTION(""""""""" &amp; REGEXEXTRACT(B4680, ""/detail/([^/?]+)"") &amp; """""","""),"""nbegakpahlkccppnfdidkghekjdhbidg"",")</f>
        <v>"nbegakpahlkccppnfdidkghekjdhbidg",</v>
      </c>
    </row>
    <row r="4681">
      <c r="A4681" s="4" t="s">
        <v>23860</v>
      </c>
      <c r="B4681" s="4" t="s">
        <v>9325</v>
      </c>
      <c r="C4681" s="16" t="str">
        <f>IFERROR(__xludf.DUMMYFUNCTION(""""""""" &amp; REGEXEXTRACT(B4681, ""/detail/([^/?]+)"") &amp; """""","""),"""nbhdikhnaigcdlamenbgkmllgmfnngoi"",")</f>
        <v>"nbhdikhnaigcdlamenbgkmllgmfnngoi",</v>
      </c>
    </row>
    <row r="4682">
      <c r="A4682" s="4" t="s">
        <v>23861</v>
      </c>
      <c r="B4682" s="4" t="s">
        <v>9327</v>
      </c>
      <c r="C4682" s="16" t="str">
        <f>IFERROR(__xludf.DUMMYFUNCTION(""""""""" &amp; REGEXEXTRACT(B4682, ""/detail/([^/?]+)"") &amp; """""","""),"""nccohhimobidpghgpnejnbkpoichbbml"",")</f>
        <v>"nccohhimobidpghgpnejnbkpoichbbml",</v>
      </c>
    </row>
    <row r="4683">
      <c r="A4683" s="4" t="s">
        <v>23862</v>
      </c>
      <c r="B4683" s="4" t="s">
        <v>9329</v>
      </c>
      <c r="C4683" s="16" t="str">
        <f>IFERROR(__xludf.DUMMYFUNCTION(""""""""" &amp; REGEXEXTRACT(B4683, ""/detail/([^/?]+)"") &amp; """""","""),"""ncmfghlpmmpchbldmmkjialnhobbjdfb"",")</f>
        <v>"ncmfghlpmmpchbldmmkjialnhobbjdfb",</v>
      </c>
    </row>
    <row r="4684">
      <c r="A4684" s="4" t="s">
        <v>23863</v>
      </c>
      <c r="B4684" s="4" t="s">
        <v>9331</v>
      </c>
      <c r="C4684" s="16" t="str">
        <f>IFERROR(__xludf.DUMMYFUNCTION(""""""""" &amp; REGEXEXTRACT(B4684, ""/detail/([^/?]+)"") &amp; """""","""),"""ncmkhdipigpgfnponnnghhelehbfdggb"",")</f>
        <v>"ncmkhdipigpgfnponnnghhelehbfdggb",</v>
      </c>
    </row>
    <row r="4685">
      <c r="A4685" s="4" t="s">
        <v>23864</v>
      </c>
      <c r="B4685" s="4" t="s">
        <v>9332</v>
      </c>
      <c r="C4685" s="16" t="str">
        <f>IFERROR(__xludf.DUMMYFUNCTION(""""""""" &amp; REGEXEXTRACT(B4685, ""/detail/([^/?]+)"") &amp; """""","""),"""ndbojakfkagkdhnfjdkannpehpfdnaan"",")</f>
        <v>"ndbojakfkagkdhnfjdkannpehpfdnaan",</v>
      </c>
    </row>
    <row r="4686">
      <c r="A4686" s="4" t="s">
        <v>23865</v>
      </c>
      <c r="B4686" s="4" t="s">
        <v>9334</v>
      </c>
      <c r="C4686" s="16" t="str">
        <f>IFERROR(__xludf.DUMMYFUNCTION(""""""""" &amp; REGEXEXTRACT(B4686, ""/detail/([^/?]+)"") &amp; """""","""),"""nddaaiojgkoldnhnmkoldmkeocbooken"",")</f>
        <v>"nddaaiojgkoldnhnmkoldmkeocbooken",</v>
      </c>
    </row>
    <row r="4687">
      <c r="A4687" s="4" t="s">
        <v>23866</v>
      </c>
      <c r="B4687" s="4" t="s">
        <v>9336</v>
      </c>
      <c r="C4687" s="16" t="str">
        <f>IFERROR(__xludf.DUMMYFUNCTION(""""""""" &amp; REGEXEXTRACT(B4687, ""/detail/([^/?]+)"") &amp; """""","""),"""ndhmfmpajneebbbodogjhdampikelfch"",")</f>
        <v>"ndhmfmpajneebbbodogjhdampikelfch",</v>
      </c>
    </row>
    <row r="4688">
      <c r="A4688" s="4" t="s">
        <v>23867</v>
      </c>
      <c r="B4688" s="4" t="s">
        <v>9338</v>
      </c>
      <c r="C4688" s="16" t="str">
        <f>IFERROR(__xludf.DUMMYFUNCTION(""""""""" &amp; REGEXEXTRACT(B4688, ""/detail/([^/?]+)"") &amp; """""","""),"""ndinbeikllkfjbmlfghokbkmcciflpek"",")</f>
        <v>"ndinbeikllkfjbmlfghokbkmcciflpek",</v>
      </c>
    </row>
    <row r="4689">
      <c r="A4689" s="4" t="s">
        <v>23868</v>
      </c>
      <c r="B4689" s="4" t="s">
        <v>9340</v>
      </c>
      <c r="C4689" s="16" t="str">
        <f>IFERROR(__xludf.DUMMYFUNCTION(""""""""" &amp; REGEXEXTRACT(B4689, ""/detail/([^/?]+)"") &amp; """""","""),"""ndindkkcbpmfoinihohmhdhphgpiofbb"",")</f>
        <v>"ndindkkcbpmfoinihohmhdhphgpiofbb",</v>
      </c>
    </row>
    <row r="4690">
      <c r="A4690" s="4" t="s">
        <v>23869</v>
      </c>
      <c r="B4690" s="4" t="s">
        <v>9341</v>
      </c>
      <c r="C4690" s="16" t="str">
        <f>IFERROR(__xludf.DUMMYFUNCTION(""""""""" &amp; REGEXEXTRACT(B4690, ""/detail/([^/?]+)"") &amp; """""","""),"""ndmbeogingkjkmmkoomnigifmpajmbkc"",")</f>
        <v>"ndmbeogingkjkmmkoomnigifmpajmbkc",</v>
      </c>
    </row>
    <row r="4691">
      <c r="A4691" s="4" t="s">
        <v>23870</v>
      </c>
      <c r="B4691" s="4" t="s">
        <v>9343</v>
      </c>
      <c r="C4691" s="16" t="str">
        <f>IFERROR(__xludf.DUMMYFUNCTION(""""""""" &amp; REGEXEXTRACT(B4691, ""/detail/([^/?]+)"") &amp; """""","""),"""ndpmdcidjakfglhdplgnkncjhcfdoglm"",")</f>
        <v>"ndpmdcidjakfglhdplgnkncjhcfdoglm",</v>
      </c>
    </row>
    <row r="4692">
      <c r="A4692" s="4" t="s">
        <v>23871</v>
      </c>
      <c r="B4692" s="4" t="s">
        <v>9345</v>
      </c>
      <c r="C4692" s="16" t="str">
        <f>IFERROR(__xludf.DUMMYFUNCTION(""""""""" &amp; REGEXEXTRACT(B4692, ""/detail/([^/?]+)"") &amp; """""","""),"""negciknliikcmfcgegchjoemdmllgack"",")</f>
        <v>"negciknliikcmfcgegchjoemdmllgack",</v>
      </c>
    </row>
    <row r="4693">
      <c r="A4693" s="4" t="s">
        <v>23872</v>
      </c>
      <c r="B4693" s="4" t="s">
        <v>9347</v>
      </c>
      <c r="C4693" s="16" t="str">
        <f>IFERROR(__xludf.DUMMYFUNCTION(""""""""" &amp; REGEXEXTRACT(B4693, ""/detail/([^/?]+)"") &amp; """""","""),"""nehgalagbofmdpncplefbhhmoifapgjn"",")</f>
        <v>"nehgalagbofmdpncplefbhhmoifapgjn",</v>
      </c>
    </row>
    <row r="4694">
      <c r="A4694" s="4" t="s">
        <v>23873</v>
      </c>
      <c r="B4694" s="4" t="s">
        <v>9349</v>
      </c>
      <c r="C4694" s="16" t="str">
        <f>IFERROR(__xludf.DUMMYFUNCTION(""""""""" &amp; REGEXEXTRACT(B4694, ""/detail/([^/?]+)"") &amp; """""","""),"""nenmcifhoegealiiblnpihbnjenleong"",")</f>
        <v>"nenmcifhoegealiiblnpihbnjenleong",</v>
      </c>
    </row>
    <row r="4695">
      <c r="A4695" s="4" t="s">
        <v>23874</v>
      </c>
      <c r="B4695" s="4" t="s">
        <v>9351</v>
      </c>
      <c r="C4695" s="16" t="str">
        <f>IFERROR(__xludf.DUMMYFUNCTION(""""""""" &amp; REGEXEXTRACT(B4695, ""/detail/([^/?]+)"") &amp; """""","""),"""neokhcngmjnlbnphpfmiidlljbpffecd"",")</f>
        <v>"neokhcngmjnlbnphpfmiidlljbpffecd",</v>
      </c>
    </row>
    <row r="4696">
      <c r="A4696" s="4" t="s">
        <v>23875</v>
      </c>
      <c r="B4696" s="4" t="s">
        <v>9353</v>
      </c>
      <c r="C4696" s="16" t="str">
        <f>IFERROR(__xludf.DUMMYFUNCTION(""""""""" &amp; REGEXEXTRACT(B4696, ""/detail/([^/?]+)"") &amp; """""","""),"""nflgkajcbjiooanofomjjaagkaednbel"",")</f>
        <v>"nflgkajcbjiooanofomjjaagkaednbel",</v>
      </c>
    </row>
    <row r="4697">
      <c r="A4697" s="4" t="s">
        <v>23876</v>
      </c>
      <c r="B4697" s="4" t="s">
        <v>9355</v>
      </c>
      <c r="C4697" s="16" t="str">
        <f>IFERROR(__xludf.DUMMYFUNCTION(""""""""" &amp; REGEXEXTRACT(B4697, ""/detail/([^/?]+)"") &amp; """""","""),"""nfnladagngmiggfaojdbpjdpehdfgiac"",")</f>
        <v>"nfnladagngmiggfaojdbpjdpehdfgiac",</v>
      </c>
    </row>
    <row r="4698">
      <c r="A4698" s="4" t="s">
        <v>23877</v>
      </c>
      <c r="B4698" s="4" t="s">
        <v>9357</v>
      </c>
      <c r="C4698" s="16" t="str">
        <f>IFERROR(__xludf.DUMMYFUNCTION(""""""""" &amp; REGEXEXTRACT(B4698, ""/detail/([^/?]+)"") &amp; """""","""),"""ngeilhcbcilomppnpbalfdnmofpmdohj"",")</f>
        <v>"ngeilhcbcilomppnpbalfdnmofpmdohj",</v>
      </c>
    </row>
    <row r="4699">
      <c r="A4699" s="4" t="s">
        <v>23878</v>
      </c>
      <c r="B4699" s="4" t="s">
        <v>9359</v>
      </c>
      <c r="C4699" s="16" t="str">
        <f>IFERROR(__xludf.DUMMYFUNCTION(""""""""" &amp; REGEXEXTRACT(B4699, ""/detail/([^/?]+)"") &amp; """""","""),"""ngigalmiikbffkcabedaikboeodibhga"",")</f>
        <v>"ngigalmiikbffkcabedaikboeodibhga",</v>
      </c>
    </row>
    <row r="4700">
      <c r="A4700" s="4" t="s">
        <v>23879</v>
      </c>
      <c r="B4700" s="4" t="s">
        <v>9360</v>
      </c>
      <c r="C4700" s="16" t="str">
        <f>IFERROR(__xludf.DUMMYFUNCTION(""""""""" &amp; REGEXEXTRACT(B4700, ""/detail/([^/?]+)"") &amp; """""","""),"""ngiiaodmkjellommopgjfedfleidaagp"",")</f>
        <v>"ngiiaodmkjellommopgjfedfleidaagp",</v>
      </c>
    </row>
    <row r="4701">
      <c r="A4701" s="4" t="s">
        <v>23880</v>
      </c>
      <c r="B4701" s="4" t="s">
        <v>9362</v>
      </c>
      <c r="C4701" s="16" t="str">
        <f>IFERROR(__xludf.DUMMYFUNCTION(""""""""" &amp; REGEXEXTRACT(B4701, ""/detail/([^/?]+)"") &amp; """""","""),"""nglkdkpdncleifbbjhhlfpakclhahhkn"",")</f>
        <v>"nglkdkpdncleifbbjhhlfpakclhahhkn",</v>
      </c>
    </row>
    <row r="4702">
      <c r="A4702" s="4" t="s">
        <v>23881</v>
      </c>
      <c r="B4702" s="4" t="s">
        <v>9364</v>
      </c>
      <c r="C4702" s="16" t="str">
        <f>IFERROR(__xludf.DUMMYFUNCTION(""""""""" &amp; REGEXEXTRACT(B4702, ""/detail/([^/?]+)"") &amp; """""","""),"""nhfmebcjlggkbdmiefgnffgmpaaonndb"",")</f>
        <v>"nhfmebcjlggkbdmiefgnffgmpaaonndb",</v>
      </c>
    </row>
    <row r="4703">
      <c r="A4703" s="4" t="s">
        <v>23882</v>
      </c>
      <c r="B4703" s="4" t="s">
        <v>9366</v>
      </c>
      <c r="C4703" s="16" t="str">
        <f>IFERROR(__xludf.DUMMYFUNCTION(""""""""" &amp; REGEXEXTRACT(B4703, ""/detail/([^/?]+)"") &amp; """""","""),"""niapgcaeadldbabakiifalfcidacihap"",")</f>
        <v>"niapgcaeadldbabakiifalfcidacihap",</v>
      </c>
    </row>
    <row r="4704">
      <c r="A4704" s="4" t="s">
        <v>23883</v>
      </c>
      <c r="B4704" s="4" t="s">
        <v>9368</v>
      </c>
      <c r="C4704" s="16" t="str">
        <f>IFERROR(__xludf.DUMMYFUNCTION(""""""""" &amp; REGEXEXTRACT(B4704, ""/detail/([^/?]+)"") &amp; """""","""),"""nigokkecfbeblnmjhklmkcinncngkabb"",")</f>
        <v>"nigokkecfbeblnmjhklmkcinncngkabb",</v>
      </c>
    </row>
    <row r="4705">
      <c r="A4705" s="4" t="s">
        <v>23884</v>
      </c>
      <c r="B4705" s="4" t="s">
        <v>9370</v>
      </c>
      <c r="C4705" s="16" t="str">
        <f>IFERROR(__xludf.DUMMYFUNCTION(""""""""" &amp; REGEXEXTRACT(B4705, ""/detail/([^/?]+)"") &amp; """""","""),"""ninnnbfbjmbckdmnbbnpjfbbdmjegopb"",")</f>
        <v>"ninnnbfbjmbckdmnbbnpjfbbdmjegopb",</v>
      </c>
    </row>
    <row r="4706">
      <c r="A4706" s="4" t="s">
        <v>23885</v>
      </c>
      <c r="B4706" s="4" t="s">
        <v>9372</v>
      </c>
      <c r="C4706" s="16" t="str">
        <f>IFERROR(__xludf.DUMMYFUNCTION(""""""""" &amp; REGEXEXTRACT(B4706, ""/detail/([^/?]+)"") &amp; """""","""),"""nioemkhjlmohkgmkandecganpglmbhil"",")</f>
        <v>"nioemkhjlmohkgmkandecganpglmbhil",</v>
      </c>
    </row>
    <row r="4707">
      <c r="A4707" s="4" t="s">
        <v>23886</v>
      </c>
      <c r="B4707" s="4" t="s">
        <v>9374</v>
      </c>
      <c r="C4707" s="16" t="str">
        <f>IFERROR(__xludf.DUMMYFUNCTION(""""""""" &amp; REGEXEXTRACT(B4707, ""/detail/([^/?]+)"") &amp; """""","""),"""njbfimohacanhjdokmpagpaaadkkmhkh"",")</f>
        <v>"njbfimohacanhjdokmpagpaaadkkmhkh",</v>
      </c>
    </row>
    <row r="4708">
      <c r="A4708" s="4" t="s">
        <v>23887</v>
      </c>
      <c r="B4708" s="4" t="s">
        <v>9376</v>
      </c>
      <c r="C4708" s="16" t="str">
        <f>IFERROR(__xludf.DUMMYFUNCTION(""""""""" &amp; REGEXEXTRACT(B4708, ""/detail/([^/?]+)"") &amp; """""","""),"""njfipgfibcmkmgpgljmgjkcplnkjhaop"",")</f>
        <v>"njfipgfibcmkmgpgljmgjkcplnkjhaop",</v>
      </c>
    </row>
    <row r="4709">
      <c r="A4709" s="4" t="s">
        <v>23888</v>
      </c>
      <c r="B4709" s="4" t="s">
        <v>9378</v>
      </c>
      <c r="C4709" s="16" t="str">
        <f>IFERROR(__xludf.DUMMYFUNCTION(""""""""" &amp; REGEXEXTRACT(B4709, ""/detail/([^/?]+)"") &amp; """""","""),"""njkbjdmigienhoeccpigopgjmlgmdine"",")</f>
        <v>"njkbjdmigienhoeccpigopgjmlgmdine",</v>
      </c>
    </row>
    <row r="4710">
      <c r="A4710" s="4" t="s">
        <v>23889</v>
      </c>
      <c r="B4710" s="4" t="s">
        <v>9380</v>
      </c>
      <c r="C4710" s="16" t="str">
        <f>IFERROR(__xludf.DUMMYFUNCTION(""""""""" &amp; REGEXEXTRACT(B4710, ""/detail/([^/?]+)"") &amp; """""","""),"""njliioohopcgdkoajdijiiplofhbdnca"",")</f>
        <v>"njliioohopcgdkoajdijiiplofhbdnca",</v>
      </c>
    </row>
    <row r="4711">
      <c r="A4711" s="4" t="s">
        <v>23890</v>
      </c>
      <c r="B4711" s="4" t="s">
        <v>9382</v>
      </c>
      <c r="C4711" s="16" t="str">
        <f>IFERROR(__xludf.DUMMYFUNCTION(""""""""" &amp; REGEXEXTRACT(B4711, ""/detail/([^/?]+)"") &amp; """""","""),"""nkbpagohbgnpdpldlcmabekfidlkfcad"",")</f>
        <v>"nkbpagohbgnpdpldlcmabekfidlkfcad",</v>
      </c>
    </row>
    <row r="4712">
      <c r="A4712" s="4" t="s">
        <v>23891</v>
      </c>
      <c r="B4712" s="4" t="s">
        <v>9384</v>
      </c>
      <c r="C4712" s="16" t="str">
        <f>IFERROR(__xludf.DUMMYFUNCTION(""""""""" &amp; REGEXEXTRACT(B4712, ""/detail/([^/?]+)"") &amp; """""","""),"""nkfaodonjodminhlimbcefcpbmolhndc"",")</f>
        <v>"nkfaodonjodminhlimbcefcpbmolhndc",</v>
      </c>
    </row>
    <row r="4713">
      <c r="A4713" s="4" t="s">
        <v>23892</v>
      </c>
      <c r="B4713" s="4" t="s">
        <v>9386</v>
      </c>
      <c r="C4713" s="16" t="str">
        <f>IFERROR(__xludf.DUMMYFUNCTION(""""""""" &amp; REGEXEXTRACT(B4713, ""/detail/([^/?]+)"") &amp; """""","""),"""nkghaekndgmonifcpfgjmpfjlhnmflhp"",")</f>
        <v>"nkghaekndgmonifcpfgjmpfjlhnmflhp",</v>
      </c>
    </row>
    <row r="4714">
      <c r="A4714" s="4" t="s">
        <v>23893</v>
      </c>
      <c r="B4714" s="4" t="s">
        <v>9388</v>
      </c>
      <c r="C4714" s="16" t="str">
        <f>IFERROR(__xludf.DUMMYFUNCTION(""""""""" &amp; REGEXEXTRACT(B4714, ""/detail/([^/?]+)"") &amp; """""","""),"""nkmaeogddfijadboccpafnmhkjhidgeb"",")</f>
        <v>"nkmaeogddfijadboccpafnmhkjhidgeb",</v>
      </c>
    </row>
    <row r="4715">
      <c r="A4715" s="4" t="s">
        <v>23894</v>
      </c>
      <c r="B4715" s="4" t="s">
        <v>9390</v>
      </c>
      <c r="C4715" s="16" t="str">
        <f>IFERROR(__xludf.DUMMYFUNCTION(""""""""" &amp; REGEXEXTRACT(B4715, ""/detail/([^/?]+)"") &amp; """""","""),"""nkolhjkcfiifppjjkihkmebjkemcgllc"",")</f>
        <v>"nkolhjkcfiifppjjkihkmebjkemcgllc",</v>
      </c>
    </row>
    <row r="4716">
      <c r="A4716" s="4" t="s">
        <v>23895</v>
      </c>
      <c r="B4716" s="4" t="s">
        <v>9392</v>
      </c>
      <c r="C4716" s="16" t="str">
        <f>IFERROR(__xludf.DUMMYFUNCTION(""""""""" &amp; REGEXEXTRACT(B4716, ""/detail/([^/?]+)"") &amp; """""","""),"""nkpnfhfaabjfnfabmecmfdedkeoldogp"",")</f>
        <v>"nkpnfhfaabjfnfabmecmfdedkeoldogp",</v>
      </c>
    </row>
    <row r="4717">
      <c r="A4717" s="4" t="s">
        <v>23896</v>
      </c>
      <c r="B4717" s="4" t="s">
        <v>9394</v>
      </c>
      <c r="C4717" s="16" t="str">
        <f>IFERROR(__xludf.DUMMYFUNCTION(""""""""" &amp; REGEXEXTRACT(B4717, ""/detail/([^/?]+)"") &amp; """""","""),"""nlgbhdfgdhgbiamfdfmbikcdghidoadd"",")</f>
        <v>"nlgbhdfgdhgbiamfdfmbikcdghidoadd",</v>
      </c>
    </row>
    <row r="4718">
      <c r="A4718" s="4" t="s">
        <v>23897</v>
      </c>
      <c r="B4718" s="4" t="s">
        <v>9396</v>
      </c>
      <c r="C4718" s="16" t="str">
        <f>IFERROR(__xludf.DUMMYFUNCTION(""""""""" &amp; REGEXEXTRACT(B4718, ""/detail/([^/?]+)"") &amp; """""","""),"""nlikikggcdekbfenbebhnhdbefkenona"",")</f>
        <v>"nlikikggcdekbfenbebhnhdbefkenona",</v>
      </c>
    </row>
    <row r="4719">
      <c r="A4719" s="4" t="s">
        <v>23898</v>
      </c>
      <c r="B4719" s="4" t="s">
        <v>9398</v>
      </c>
      <c r="C4719" s="16" t="str">
        <f>IFERROR(__xludf.DUMMYFUNCTION(""""""""" &amp; REGEXEXTRACT(B4719, ""/detail/([^/?]+)"") &amp; """""","""),"""nlkpbfbbjlghoalcakopdnlohjhchfjf"",")</f>
        <v>"nlkpbfbbjlghoalcakopdnlohjhchfjf",</v>
      </c>
    </row>
    <row r="4720">
      <c r="A4720" s="4" t="s">
        <v>23899</v>
      </c>
      <c r="B4720" s="4" t="s">
        <v>9400</v>
      </c>
      <c r="C4720" s="16" t="str">
        <f>IFERROR(__xludf.DUMMYFUNCTION(""""""""" &amp; REGEXEXTRACT(B4720, ""/detail/([^/?]+)"") &amp; """""","""),"""nllifdhfbpcdinlojnghcojempoacpac"",")</f>
        <v>"nllifdhfbpcdinlojnghcojempoacpac",</v>
      </c>
    </row>
    <row r="4721">
      <c r="A4721" s="4" t="s">
        <v>23900</v>
      </c>
      <c r="B4721" s="4" t="s">
        <v>9402</v>
      </c>
      <c r="C4721" s="16" t="str">
        <f>IFERROR(__xludf.DUMMYFUNCTION(""""""""" &amp; REGEXEXTRACT(B4721, ""/detail/([^/?]+)"") &amp; """""","""),"""nllngonbmjjafbaalbkmopdbbeonoojo"",")</f>
        <v>"nllngonbmjjafbaalbkmopdbbeonoojo",</v>
      </c>
    </row>
    <row r="4722">
      <c r="A4722" s="4" t="s">
        <v>23901</v>
      </c>
      <c r="B4722" s="4" t="s">
        <v>9404</v>
      </c>
      <c r="C4722" s="16" t="str">
        <f>IFERROR(__xludf.DUMMYFUNCTION(""""""""" &amp; REGEXEXTRACT(B4722, ""/detail/([^/?]+)"") &amp; """""","""),"""nmbemomkalkilpcbddckndgpndajljal"",")</f>
        <v>"nmbemomkalkilpcbddckndgpndajljal",</v>
      </c>
    </row>
    <row r="4723">
      <c r="A4723" s="4" t="s">
        <v>23902</v>
      </c>
      <c r="B4723" s="4" t="s">
        <v>9406</v>
      </c>
      <c r="C4723" s="16" t="str">
        <f>IFERROR(__xludf.DUMMYFUNCTION(""""""""" &amp; REGEXEXTRACT(B4723, ""/detail/([^/?]+)"") &amp; """""","""),"""nmemjibioknipghbmhpdgbblddmncanb"",")</f>
        <v>"nmemjibioknipghbmhpdgbblddmncanb",</v>
      </c>
    </row>
    <row r="4724">
      <c r="A4724" s="4" t="s">
        <v>23903</v>
      </c>
      <c r="B4724" s="4" t="s">
        <v>9408</v>
      </c>
      <c r="C4724" s="16" t="str">
        <f>IFERROR(__xludf.DUMMYFUNCTION(""""""""" &amp; REGEXEXTRACT(B4724, ""/detail/([^/?]+)"") &amp; """""","""),"""nneaojlgmfmngeckfemdbfpgedgfpgdg"",")</f>
        <v>"nneaojlgmfmngeckfemdbfpgedgfpgdg",</v>
      </c>
    </row>
    <row r="4725">
      <c r="A4725" s="4" t="s">
        <v>23904</v>
      </c>
      <c r="B4725" s="4" t="s">
        <v>9410</v>
      </c>
      <c r="C4725" s="16" t="str">
        <f>IFERROR(__xludf.DUMMYFUNCTION(""""""""" &amp; REGEXEXTRACT(B4725, ""/detail/([^/?]+)"") &amp; """""","""),"""nnfgpokjdjekoafapiikeklhjhbckjah"",")</f>
        <v>"nnfgpokjdjekoafapiikeklhjhbckjah",</v>
      </c>
    </row>
    <row r="4726">
      <c r="A4726" s="4" t="s">
        <v>23905</v>
      </c>
      <c r="B4726" s="4" t="s">
        <v>9412</v>
      </c>
      <c r="C4726" s="16" t="str">
        <f>IFERROR(__xludf.DUMMYFUNCTION(""""""""" &amp; REGEXEXTRACT(B4726, ""/detail/([^/?]+)"") &amp; """""","""),"""nngeaaogaldpfiedmmpicdnoddglbkmi"",")</f>
        <v>"nngeaaogaldpfiedmmpicdnoddglbkmi",</v>
      </c>
    </row>
    <row r="4727">
      <c r="A4727" s="4" t="s">
        <v>23906</v>
      </c>
      <c r="B4727" s="4" t="s">
        <v>9414</v>
      </c>
      <c r="C4727" s="16" t="str">
        <f>IFERROR(__xludf.DUMMYFUNCTION(""""""""" &amp; REGEXEXTRACT(B4727, ""/detail/([^/?]+)"") &amp; """""","""),"""nnoilpdinmjmdfpkdkbbkajejflbkoma"",")</f>
        <v>"nnoilpdinmjmdfpkdkbbkajejflbkoma",</v>
      </c>
    </row>
    <row r="4728">
      <c r="A4728" s="4" t="s">
        <v>23907</v>
      </c>
      <c r="B4728" s="4" t="s">
        <v>9416</v>
      </c>
      <c r="C4728" s="16" t="str">
        <f>IFERROR(__xludf.DUMMYFUNCTION(""""""""" &amp; REGEXEXTRACT(B4728, ""/detail/([^/?]+)"") &amp; """""","""),"""nnpfigodphdaapfmkbgmkljndjckkegk"",")</f>
        <v>"nnpfigodphdaapfmkbgmkljndjckkegk",</v>
      </c>
    </row>
    <row r="4729">
      <c r="A4729" s="4" t="s">
        <v>23908</v>
      </c>
      <c r="B4729" s="4" t="s">
        <v>9418</v>
      </c>
      <c r="C4729" s="16" t="str">
        <f>IFERROR(__xludf.DUMMYFUNCTION(""""""""" &amp; REGEXEXTRACT(B4729, ""/detail/([^/?]+)"") &amp; """""","""),"""nnplcphaiknebllemeffbdpoaalnnncf"",")</f>
        <v>"nnplcphaiknebllemeffbdpoaalnnncf",</v>
      </c>
    </row>
    <row r="4730">
      <c r="A4730" s="4" t="s">
        <v>23909</v>
      </c>
      <c r="B4730" s="4" t="s">
        <v>9420</v>
      </c>
      <c r="C4730" s="16" t="str">
        <f>IFERROR(__xludf.DUMMYFUNCTION(""""""""" &amp; REGEXEXTRACT(B4730, ""/detail/([^/?]+)"") &amp; """""","""),"""nocfbnnmjnndkbipkabodnheejiegccf"",")</f>
        <v>"nocfbnnmjnndkbipkabodnheejiegccf",</v>
      </c>
    </row>
    <row r="4731">
      <c r="A4731" s="4" t="s">
        <v>23910</v>
      </c>
      <c r="B4731" s="4" t="s">
        <v>9422</v>
      </c>
      <c r="C4731" s="16" t="str">
        <f>IFERROR(__xludf.DUMMYFUNCTION(""""""""" &amp; REGEXEXTRACT(B4731, ""/detail/([^/?]+)"") &amp; """""","""),"""nogfmpkgdfgfealjjenelnmfdminfokd"",")</f>
        <v>"nogfmpkgdfgfealjjenelnmfdminfokd",</v>
      </c>
    </row>
    <row r="4732">
      <c r="A4732" s="4" t="s">
        <v>23911</v>
      </c>
      <c r="B4732" s="4" t="s">
        <v>9424</v>
      </c>
      <c r="C4732" s="16" t="str">
        <f>IFERROR(__xludf.DUMMYFUNCTION(""""""""" &amp; REGEXEXTRACT(B4732, ""/detail/([^/?]+)"") &amp; """""","""),"""nokkofkhgbnkfpoanjpkjpkgfpnpdpig"",")</f>
        <v>"nokkofkhgbnkfpoanjpkjpkgfpnpdpig",</v>
      </c>
    </row>
    <row r="4733">
      <c r="A4733" s="4" t="s">
        <v>23912</v>
      </c>
      <c r="B4733" s="4" t="s">
        <v>9426</v>
      </c>
      <c r="C4733" s="16" t="str">
        <f>IFERROR(__xludf.DUMMYFUNCTION(""""""""" &amp; REGEXEXTRACT(B4733, ""/detail/([^/?]+)"") &amp; """""","""),"""nomafcbgmkfdbodhjjiomjkkkmmnhbij"",")</f>
        <v>"nomafcbgmkfdbodhjjiomjkkkmmnhbij",</v>
      </c>
    </row>
    <row r="4734">
      <c r="A4734" s="4" t="s">
        <v>23913</v>
      </c>
      <c r="B4734" s="4" t="s">
        <v>9428</v>
      </c>
      <c r="C4734" s="16" t="str">
        <f>IFERROR(__xludf.DUMMYFUNCTION(""""""""" &amp; REGEXEXTRACT(B4734, ""/detail/([^/?]+)"") &amp; """""","""),"""npahnkjblgdfffkgogokpmeplpdoccib"",")</f>
        <v>"npahnkjblgdfffkgogokpmeplpdoccib",</v>
      </c>
    </row>
    <row r="4735">
      <c r="A4735" s="4" t="s">
        <v>23914</v>
      </c>
      <c r="B4735" s="4" t="s">
        <v>9430</v>
      </c>
      <c r="C4735" s="16" t="str">
        <f>IFERROR(__xludf.DUMMYFUNCTION(""""""""" &amp; REGEXEXTRACT(B4735, ""/detail/([^/?]+)"") &amp; """""","""),"""nphgibclfaabpdkkpcboafpaccplikfg"",")</f>
        <v>"nphgibclfaabpdkkpcboafpaccplikfg",</v>
      </c>
    </row>
    <row r="4736">
      <c r="A4736" s="4" t="s">
        <v>23915</v>
      </c>
      <c r="B4736" s="4" t="s">
        <v>9432</v>
      </c>
      <c r="C4736" s="16" t="str">
        <f>IFERROR(__xludf.DUMMYFUNCTION(""""""""" &amp; REGEXEXTRACT(B4736, ""/detail/([^/?]+)"") &amp; """""","""),"""npmapkgiaadjbidljilohekhlgakilim"",")</f>
        <v>"npmapkgiaadjbidljilohekhlgakilim",</v>
      </c>
    </row>
    <row r="4737">
      <c r="A4737" s="4" t="s">
        <v>23916</v>
      </c>
      <c r="B4737" s="4" t="s">
        <v>9433</v>
      </c>
      <c r="C4737" s="16" t="str">
        <f>IFERROR(__xludf.DUMMYFUNCTION(""""""""" &amp; REGEXEXTRACT(B4737, ""/detail/([^/?]+)"") &amp; """""","""),"""npmhdofgibpjgaieimbglhgblglaijnf"",")</f>
        <v>"npmhdofgibpjgaieimbglhgblglaijnf",</v>
      </c>
    </row>
    <row r="4738">
      <c r="A4738" s="4" t="s">
        <v>23917</v>
      </c>
      <c r="B4738" s="4" t="s">
        <v>9435</v>
      </c>
      <c r="C4738" s="16" t="str">
        <f>IFERROR(__xludf.DUMMYFUNCTION(""""""""" &amp; REGEXEXTRACT(B4738, ""/detail/([^/?]+)"") &amp; """""","""),"""oaafdjbfibmpcgefpapknfjcnfdkkkkp"",")</f>
        <v>"oaafdjbfibmpcgefpapknfjcnfdkkkkp",</v>
      </c>
    </row>
    <row r="4739">
      <c r="A4739" s="4" t="s">
        <v>23918</v>
      </c>
      <c r="B4739" s="4" t="s">
        <v>9437</v>
      </c>
      <c r="C4739" s="16" t="str">
        <f>IFERROR(__xludf.DUMMYFUNCTION(""""""""" &amp; REGEXEXTRACT(B4739, ""/detail/([^/?]+)"") &amp; """""","""),"""oadnllmpodddplkpoobefkknhhecjjbb"",")</f>
        <v>"oadnllmpodddplkpoobefkknhhecjjbb",</v>
      </c>
    </row>
    <row r="4740">
      <c r="A4740" s="4" t="s">
        <v>23919</v>
      </c>
      <c r="B4740" s="4" t="s">
        <v>9439</v>
      </c>
      <c r="C4740" s="16" t="str">
        <f>IFERROR(__xludf.DUMMYFUNCTION(""""""""" &amp; REGEXEXTRACT(B4740, ""/detail/([^/?]+)"") &amp; """""","""),"""oaihjcmhhokpahibakljjfkgbhghiffd"",")</f>
        <v>"oaihjcmhhokpahibakljjfkgbhghiffd",</v>
      </c>
    </row>
    <row r="4741">
      <c r="A4741" s="4" t="s">
        <v>23920</v>
      </c>
      <c r="B4741" s="4" t="s">
        <v>9440</v>
      </c>
      <c r="C4741" s="16" t="str">
        <f>IFERROR(__xludf.DUMMYFUNCTION(""""""""" &amp; REGEXEXTRACT(B4741, ""/detail/([^/?]+)"") &amp; """""","""),"""oaknkllfdceggjpbonhiegoaifjdkfjd"",")</f>
        <v>"oaknkllfdceggjpbonhiegoaifjdkfjd",</v>
      </c>
    </row>
    <row r="4742">
      <c r="A4742" s="4" t="s">
        <v>23921</v>
      </c>
      <c r="B4742" s="4" t="s">
        <v>9442</v>
      </c>
      <c r="C4742" s="16" t="str">
        <f>IFERROR(__xludf.DUMMYFUNCTION(""""""""" &amp; REGEXEXTRACT(B4742, ""/detail/([^/?]+)"") &amp; """""","""),"""oapindodkkndonmflelpddkehnocnenh"",")</f>
        <v>"oapindodkkndonmflelpddkehnocnenh",</v>
      </c>
    </row>
    <row r="4743">
      <c r="A4743" s="4" t="s">
        <v>23922</v>
      </c>
      <c r="B4743" s="4" t="s">
        <v>9444</v>
      </c>
      <c r="C4743" s="16" t="str">
        <f>IFERROR(__xludf.DUMMYFUNCTION(""""""""" &amp; REGEXEXTRACT(B4743, ""/detail/([^/?]+)"") &amp; """""","""),"""obgbcamdmcdcenchjmhggocjabmnnaab"",")</f>
        <v>"obgbcamdmcdcenchjmhggocjabmnnaab",</v>
      </c>
    </row>
    <row r="4744">
      <c r="A4744" s="4" t="s">
        <v>23923</v>
      </c>
      <c r="B4744" s="4" t="s">
        <v>9446</v>
      </c>
      <c r="C4744" s="16" t="str">
        <f>IFERROR(__xludf.DUMMYFUNCTION(""""""""" &amp; REGEXEXTRACT(B4744, ""/detail/([^/?]+)"") &amp; """""","""),"""obnalpnjpcdcdnoaalkjgmnpcjjmbcoh"",")</f>
        <v>"obnalpnjpcdcdnoaalkjgmnpcjjmbcoh",</v>
      </c>
    </row>
    <row r="4745">
      <c r="A4745" s="4" t="s">
        <v>23924</v>
      </c>
      <c r="B4745" s="4" t="s">
        <v>9448</v>
      </c>
      <c r="C4745" s="16" t="str">
        <f>IFERROR(__xludf.DUMMYFUNCTION(""""""""" &amp; REGEXEXTRACT(B4745, ""/detail/([^/?]+)"") &amp; """""","""),"""obngbhmmpnkomhgjjnddgoniplchmfkl"",")</f>
        <v>"obngbhmmpnkomhgjjnddgoniplchmfkl",</v>
      </c>
    </row>
    <row r="4746">
      <c r="A4746" s="4" t="s">
        <v>23925</v>
      </c>
      <c r="B4746" s="4" t="s">
        <v>9450</v>
      </c>
      <c r="C4746" s="16" t="str">
        <f>IFERROR(__xludf.DUMMYFUNCTION(""""""""" &amp; REGEXEXTRACT(B4746, ""/detail/([^/?]+)"") &amp; """""","""),"""ocpgloabohpofjmkpjbjdojknkaooend"",")</f>
        <v>"ocpgloabohpofjmkpjbjdojknkaooend",</v>
      </c>
    </row>
    <row r="4747">
      <c r="A4747" s="4" t="s">
        <v>23926</v>
      </c>
      <c r="B4747" s="4" t="s">
        <v>9452</v>
      </c>
      <c r="C4747" s="16" t="str">
        <f>IFERROR(__xludf.DUMMYFUNCTION(""""""""" &amp; REGEXEXTRACT(B4747, ""/detail/([^/?]+)"") &amp; """""","""),"""odchblbgkkchnldldakeikkjfbkllaah"",")</f>
        <v>"odchblbgkkchnldldakeikkjfbkllaah",</v>
      </c>
    </row>
    <row r="4748">
      <c r="A4748" s="4" t="s">
        <v>23927</v>
      </c>
      <c r="B4748" s="4" t="s">
        <v>9454</v>
      </c>
      <c r="C4748" s="16" t="str">
        <f>IFERROR(__xludf.DUMMYFUNCTION(""""""""" &amp; REGEXEXTRACT(B4748, ""/detail/([^/?]+)"") &amp; """""","""),"""odfhejmgfacekaepogjidhhlcmjfeekj"",")</f>
        <v>"odfhejmgfacekaepogjidhhlcmjfeekj",</v>
      </c>
    </row>
    <row r="4749">
      <c r="A4749" s="4" t="s">
        <v>23928</v>
      </c>
      <c r="B4749" s="4" t="s">
        <v>9456</v>
      </c>
      <c r="C4749" s="16" t="str">
        <f>IFERROR(__xludf.DUMMYFUNCTION(""""""""" &amp; REGEXEXTRACT(B4749, ""/detail/([^/?]+)"") &amp; """""","""),"""odgiehjnopebofbjkgdjenflakfaahnm"",")</f>
        <v>"odgiehjnopebofbjkgdjenflakfaahnm",</v>
      </c>
    </row>
    <row r="4750">
      <c r="A4750" s="4" t="s">
        <v>23929</v>
      </c>
      <c r="B4750" s="4" t="s">
        <v>9458</v>
      </c>
      <c r="C4750" s="16" t="str">
        <f>IFERROR(__xludf.DUMMYFUNCTION(""""""""" &amp; REGEXEXTRACT(B4750, ""/detail/([^/?]+)"") &amp; """""","""),"""odheabhapgcokfmbelploedoeooilfgd"",")</f>
        <v>"odheabhapgcokfmbelploedoeooilfgd",</v>
      </c>
    </row>
    <row r="4751">
      <c r="A4751" s="4" t="s">
        <v>23930</v>
      </c>
      <c r="B4751" s="4" t="s">
        <v>9460</v>
      </c>
      <c r="C4751" s="16" t="str">
        <f>IFERROR(__xludf.DUMMYFUNCTION(""""""""" &amp; REGEXEXTRACT(B4751, ""/detail/([^/?]+)"") &amp; """""","""),"""odialddippdmebbfbflcneemfdglimod"",")</f>
        <v>"odialddippdmebbfbflcneemfdglimod",</v>
      </c>
    </row>
    <row r="4752">
      <c r="A4752" s="4" t="s">
        <v>23931</v>
      </c>
      <c r="B4752" s="4" t="s">
        <v>9462</v>
      </c>
      <c r="C4752" s="16" t="str">
        <f>IFERROR(__xludf.DUMMYFUNCTION(""""""""" &amp; REGEXEXTRACT(B4752, ""/detail/([^/?]+)"") &amp; """""","""),"""odlmamilbohnpnoomjclomghphbajikp"",")</f>
        <v>"odlmamilbohnpnoomjclomghphbajikp",</v>
      </c>
    </row>
    <row r="4753">
      <c r="A4753" s="4" t="s">
        <v>23932</v>
      </c>
      <c r="B4753" s="4" t="s">
        <v>9464</v>
      </c>
      <c r="C4753" s="16" t="str">
        <f>IFERROR(__xludf.DUMMYFUNCTION(""""""""" &amp; REGEXEXTRACT(B4753, ""/detail/([^/?]+)"") &amp; """""","""),"""odoailephbfiobdjfmdndooklmnenjop"",")</f>
        <v>"odoailephbfiobdjfmdndooklmnenjop",</v>
      </c>
    </row>
    <row r="4754">
      <c r="A4754" s="4" t="s">
        <v>23933</v>
      </c>
      <c r="B4754" s="4" t="s">
        <v>9466</v>
      </c>
      <c r="C4754" s="16" t="str">
        <f>IFERROR(__xludf.DUMMYFUNCTION(""""""""" &amp; REGEXEXTRACT(B4754, ""/detail/([^/?]+)"") &amp; """""","""),"""odolflphhameojgliipcnahnipmogigo"",")</f>
        <v>"odolflphhameojgliipcnahnipmogigo",</v>
      </c>
    </row>
    <row r="4755">
      <c r="A4755" s="4" t="s">
        <v>23934</v>
      </c>
      <c r="B4755" s="4" t="s">
        <v>9468</v>
      </c>
      <c r="C4755" s="16" t="str">
        <f>IFERROR(__xludf.DUMMYFUNCTION(""""""""" &amp; REGEXEXTRACT(B4755, ""/detail/([^/?]+)"") &amp; """""","""),"""oebggekgendmoeedkkdkdcdbmfbfeldc"",")</f>
        <v>"oebggekgendmoeedkkdkdcdbmfbfeldc",</v>
      </c>
    </row>
    <row r="4756">
      <c r="A4756" s="4" t="s">
        <v>23935</v>
      </c>
      <c r="B4756" s="4" t="s">
        <v>9470</v>
      </c>
      <c r="C4756" s="16" t="str">
        <f>IFERROR(__xludf.DUMMYFUNCTION(""""""""" &amp; REGEXEXTRACT(B4756, ""/detail/([^/?]+)"") &amp; """""","""),"""oedekhelnfkcjohedbbcfckcjbghmmml"",")</f>
        <v>"oedekhelnfkcjohedbbcfckcjbghmmml",</v>
      </c>
    </row>
    <row r="4757">
      <c r="A4757" s="4" t="s">
        <v>23936</v>
      </c>
      <c r="B4757" s="4" t="s">
        <v>9472</v>
      </c>
      <c r="C4757" s="16" t="str">
        <f>IFERROR(__xludf.DUMMYFUNCTION(""""""""" &amp; REGEXEXTRACT(B4757, ""/detail/([^/?]+)"") &amp; """""","""),"""oedepfdhcakemgfedefnaccnifpnljmb"",")</f>
        <v>"oedepfdhcakemgfedefnaccnifpnljmb",</v>
      </c>
    </row>
    <row r="4758">
      <c r="A4758" s="4" t="s">
        <v>23937</v>
      </c>
      <c r="B4758" s="4" t="s">
        <v>9474</v>
      </c>
      <c r="C4758" s="16" t="str">
        <f>IFERROR(__xludf.DUMMYFUNCTION(""""""""" &amp; REGEXEXTRACT(B4758, ""/detail/([^/?]+)"") &amp; """""","""),"""oegcdpedgdcmfgmnncfeadklapgfpmgn"",")</f>
        <v>"oegcdpedgdcmfgmnncfeadklapgfpmgn",</v>
      </c>
    </row>
    <row r="4759">
      <c r="A4759" s="4" t="s">
        <v>23938</v>
      </c>
      <c r="B4759" s="4" t="s">
        <v>9476</v>
      </c>
      <c r="C4759" s="16" t="str">
        <f>IFERROR(__xludf.DUMMYFUNCTION(""""""""" &amp; REGEXEXTRACT(B4759, ""/detail/([^/?]+)"") &amp; """""","""),"""oekcehcnbnfmeimggmkfliochkojkaej"",")</f>
        <v>"oekcehcnbnfmeimggmkfliochkojkaej",</v>
      </c>
    </row>
    <row r="4760">
      <c r="A4760" s="4" t="s">
        <v>23939</v>
      </c>
      <c r="B4760" s="4" t="s">
        <v>9478</v>
      </c>
      <c r="C4760" s="16" t="str">
        <f>IFERROR(__xludf.DUMMYFUNCTION(""""""""" &amp; REGEXEXTRACT(B4760, ""/detail/([^/?]+)"") &amp; """""","""),"""oepcbomikanldmhhldjcbknfdohmgeng"",")</f>
        <v>"oepcbomikanldmhhldjcbknfdohmgeng",</v>
      </c>
    </row>
    <row r="4761">
      <c r="A4761" s="4" t="s">
        <v>23940</v>
      </c>
      <c r="B4761" s="4" t="s">
        <v>9480</v>
      </c>
      <c r="C4761" s="16" t="str">
        <f>IFERROR(__xludf.DUMMYFUNCTION(""""""""" &amp; REGEXEXTRACT(B4761, ""/detail/([^/?]+)"") &amp; """""","""),"""ofaolcedokpcmeacofhfnlhgebgjolkc"",")</f>
        <v>"ofaolcedokpcmeacofhfnlhgebgjolkc",</v>
      </c>
    </row>
    <row r="4762">
      <c r="A4762" s="4" t="s">
        <v>23941</v>
      </c>
      <c r="B4762" s="4" t="s">
        <v>9482</v>
      </c>
      <c r="C4762" s="16" t="str">
        <f>IFERROR(__xludf.DUMMYFUNCTION(""""""""" &amp; REGEXEXTRACT(B4762, ""/detail/([^/?]+)"") &amp; """""","""),"""ofihldbgiamocahfajcndceojpeiomph"",")</f>
        <v>"ofihldbgiamocahfajcndceojpeiomph",</v>
      </c>
    </row>
    <row r="4763">
      <c r="A4763" s="4" t="s">
        <v>23942</v>
      </c>
      <c r="B4763" s="4" t="s">
        <v>9484</v>
      </c>
      <c r="C4763" s="16" t="str">
        <f>IFERROR(__xludf.DUMMYFUNCTION(""""""""" &amp; REGEXEXTRACT(B4763, ""/detail/([^/?]+)"") &amp; """""","""),"""ofommngjmpaaaaogmaejhliofhogaacj"",")</f>
        <v>"ofommngjmpaaaaogmaejhliofhogaacj",</v>
      </c>
    </row>
    <row r="4764">
      <c r="A4764" s="4" t="s">
        <v>23943</v>
      </c>
      <c r="B4764" s="4" t="s">
        <v>9486</v>
      </c>
      <c r="C4764" s="16" t="str">
        <f>IFERROR(__xludf.DUMMYFUNCTION(""""""""" &amp; REGEXEXTRACT(B4764, ""/detail/([^/?]+)"") &amp; """""","""),"""ogbphfdkfdflhippnafcikpcdmfcbhhb"",")</f>
        <v>"ogbphfdkfdflhippnafcikpcdmfcbhhb",</v>
      </c>
    </row>
    <row r="4765">
      <c r="A4765" s="4" t="s">
        <v>23944</v>
      </c>
      <c r="B4765" s="4" t="s">
        <v>9488</v>
      </c>
      <c r="C4765" s="16" t="str">
        <f>IFERROR(__xludf.DUMMYFUNCTION(""""""""" &amp; REGEXEXTRACT(B4765, ""/detail/([^/?]+)"") &amp; """""","""),"""ogcmjchbmdichlfelhmceldndgmgpcem"",")</f>
        <v>"ogcmjchbmdichlfelhmceldndgmgpcem",</v>
      </c>
    </row>
    <row r="4766">
      <c r="A4766" s="4" t="s">
        <v>23945</v>
      </c>
      <c r="B4766" s="4" t="s">
        <v>9490</v>
      </c>
      <c r="C4766" s="16" t="str">
        <f>IFERROR(__xludf.DUMMYFUNCTION(""""""""" &amp; REGEXEXTRACT(B4766, ""/detail/([^/?]+)"") &amp; """""","""),"""ogeflpmllfpecnnlkoifcolpcdpdojbd"",")</f>
        <v>"ogeflpmllfpecnnlkoifcolpcdpdojbd",</v>
      </c>
    </row>
    <row r="4767">
      <c r="A4767" s="4" t="s">
        <v>23946</v>
      </c>
      <c r="B4767" s="4" t="s">
        <v>9492</v>
      </c>
      <c r="C4767" s="16" t="str">
        <f>IFERROR(__xludf.DUMMYFUNCTION(""""""""" &amp; REGEXEXTRACT(B4767, ""/detail/([^/?]+)"") &amp; """""","""),"""oghimonmponpchmplmnohfnlkfkhegmk"",")</f>
        <v>"oghimonmponpchmplmnohfnlkfkhegmk",</v>
      </c>
    </row>
    <row r="4768">
      <c r="A4768" s="4" t="s">
        <v>23947</v>
      </c>
      <c r="B4768" s="4" t="s">
        <v>9494</v>
      </c>
      <c r="C4768" s="16" t="str">
        <f>IFERROR(__xludf.DUMMYFUNCTION(""""""""" &amp; REGEXEXTRACT(B4768, ""/detail/([^/?]+)"") &amp; """""","""),"""ogkidppcbldhebgplkdmepodkbfanndi"",")</f>
        <v>"ogkidppcbldhebgplkdmepodkbfanndi",</v>
      </c>
    </row>
    <row r="4769">
      <c r="A4769" s="4" t="s">
        <v>23948</v>
      </c>
      <c r="B4769" s="4" t="s">
        <v>9496</v>
      </c>
      <c r="C4769" s="16" t="str">
        <f>IFERROR(__xludf.DUMMYFUNCTION(""""""""" &amp; REGEXEXTRACT(B4769, ""/detail/([^/?]+)"") &amp; """""","""),"""ohbhdoglpgeaibbfgifbcknnhcmdnidg"",")</f>
        <v>"ohbhdoglpgeaibbfgifbcknnhcmdnidg",</v>
      </c>
    </row>
    <row r="4770">
      <c r="A4770" s="4" t="s">
        <v>23949</v>
      </c>
      <c r="B4770" s="4" t="s">
        <v>9497</v>
      </c>
      <c r="C4770" s="16" t="str">
        <f>IFERROR(__xludf.DUMMYFUNCTION(""""""""" &amp; REGEXEXTRACT(B4770, ""/detail/([^/?]+)"") &amp; """""","""),"""ohbillkckjklenebjdgdpnihdhlpjmgn"",")</f>
        <v>"ohbillkckjklenebjdgdpnihdhlpjmgn",</v>
      </c>
    </row>
    <row r="4771">
      <c r="A4771" s="4" t="s">
        <v>23950</v>
      </c>
      <c r="B4771" s="4" t="s">
        <v>9499</v>
      </c>
      <c r="C4771" s="16" t="str">
        <f>IFERROR(__xludf.DUMMYFUNCTION(""""""""" &amp; REGEXEXTRACT(B4771, ""/detail/([^/?]+)"") &amp; """""","""),"""ohhpliipfhicocldcakcgpbbcmkjkian"",")</f>
        <v>"ohhpliipfhicocldcakcgpbbcmkjkian",</v>
      </c>
    </row>
    <row r="4772">
      <c r="A4772" s="4" t="s">
        <v>23951</v>
      </c>
      <c r="B4772" s="4" t="s">
        <v>9501</v>
      </c>
      <c r="C4772" s="16" t="str">
        <f>IFERROR(__xludf.DUMMYFUNCTION(""""""""" &amp; REGEXEXTRACT(B4772, ""/detail/([^/?]+)"") &amp; """""","""),"""ohkgbfcpbbljmmmidihgdfknhnpfkobd"",")</f>
        <v>"ohkgbfcpbbljmmmidihgdfknhnpfkobd",</v>
      </c>
    </row>
    <row r="4773">
      <c r="A4773" s="4" t="s">
        <v>23952</v>
      </c>
      <c r="B4773" s="4" t="s">
        <v>9503</v>
      </c>
      <c r="C4773" s="16" t="str">
        <f>IFERROR(__xludf.DUMMYFUNCTION(""""""""" &amp; REGEXEXTRACT(B4773, ""/detail/([^/?]+)"") &amp; """""","""),"""ohkkponpfoijonbbedcehkhfejlobmkb"",")</f>
        <v>"ohkkponpfoijonbbedcehkhfejlobmkb",</v>
      </c>
    </row>
    <row r="4774">
      <c r="A4774" s="4" t="s">
        <v>23953</v>
      </c>
      <c r="B4774" s="4" t="s">
        <v>9505</v>
      </c>
      <c r="C4774" s="16" t="str">
        <f>IFERROR(__xludf.DUMMYFUNCTION(""""""""" &amp; REGEXEXTRACT(B4774, ""/detail/([^/?]+)"") &amp; """""","""),"""ohoccbfpfjdaaajmonbhinmmnjggbmeb"",")</f>
        <v>"ohoccbfpfjdaaajmonbhinmmnjggbmeb",</v>
      </c>
    </row>
    <row r="4775">
      <c r="A4775" s="4" t="s">
        <v>23954</v>
      </c>
      <c r="B4775" s="4" t="s">
        <v>9507</v>
      </c>
      <c r="C4775" s="16" t="str">
        <f>IFERROR(__xludf.DUMMYFUNCTION(""""""""" &amp; REGEXEXTRACT(B4775, ""/detail/([^/?]+)"") &amp; """""","""),"""oigghlanfjgnkcndchmnlnmaojahnjoc"",")</f>
        <v>"oigghlanfjgnkcndchmnlnmaojahnjoc",</v>
      </c>
    </row>
    <row r="4776">
      <c r="A4776" s="4" t="s">
        <v>23955</v>
      </c>
      <c r="B4776" s="4" t="s">
        <v>9509</v>
      </c>
      <c r="C4776" s="16" t="str">
        <f>IFERROR(__xludf.DUMMYFUNCTION(""""""""" &amp; REGEXEXTRACT(B4776, ""/detail/([^/?]+)"") &amp; """""","""),"""oikmmggdnfnnnbpnpbljdgocppkiehni"",")</f>
        <v>"oikmmggdnfnnnbpnpbljdgocppkiehni",</v>
      </c>
    </row>
    <row r="4777">
      <c r="A4777" s="4" t="s">
        <v>23956</v>
      </c>
      <c r="B4777" s="4" t="s">
        <v>9511</v>
      </c>
      <c r="C4777" s="16" t="str">
        <f>IFERROR(__xludf.DUMMYFUNCTION(""""""""" &amp; REGEXEXTRACT(B4777, ""/detail/([^/?]+)"") &amp; """""","""),"""oiniobkjgabbodljkgncajmnedneihpk"",")</f>
        <v>"oiniobkjgabbodljkgncajmnedneihpk",</v>
      </c>
    </row>
    <row r="4778">
      <c r="A4778" s="4" t="s">
        <v>23957</v>
      </c>
      <c r="B4778" s="4" t="s">
        <v>9513</v>
      </c>
      <c r="C4778" s="16" t="str">
        <f>IFERROR(__xludf.DUMMYFUNCTION(""""""""" &amp; REGEXEXTRACT(B4778, ""/detail/([^/?]+)"") &amp; """""","""),"""ojbkmmcompidaghfnodmbeiankbbfckl"",")</f>
        <v>"ojbkmmcompidaghfnodmbeiankbbfckl",</v>
      </c>
    </row>
    <row r="4779">
      <c r="A4779" s="4" t="s">
        <v>23958</v>
      </c>
      <c r="B4779" s="4" t="s">
        <v>9515</v>
      </c>
      <c r="C4779" s="16" t="str">
        <f>IFERROR(__xludf.DUMMYFUNCTION(""""""""" &amp; REGEXEXTRACT(B4779, ""/detail/([^/?]+)"") &amp; """""","""),"""ojfkmicbmffjjngfjffgiioghbkbcjdi"",")</f>
        <v>"ojfkmicbmffjjngfjffgiioghbkbcjdi",</v>
      </c>
    </row>
    <row r="4780">
      <c r="A4780" s="4" t="s">
        <v>23959</v>
      </c>
      <c r="B4780" s="4" t="s">
        <v>9517</v>
      </c>
      <c r="C4780" s="16" t="str">
        <f>IFERROR(__xludf.DUMMYFUNCTION(""""""""" &amp; REGEXEXTRACT(B4780, ""/detail/([^/?]+)"") &amp; """""","""),"""ojiacghdlkbcfphkggebiiblbhheiopc"",")</f>
        <v>"ojiacghdlkbcfphkggebiiblbhheiopc",</v>
      </c>
    </row>
    <row r="4781">
      <c r="A4781" s="4" t="s">
        <v>23960</v>
      </c>
      <c r="B4781" s="4" t="s">
        <v>9519</v>
      </c>
      <c r="C4781" s="16" t="str">
        <f>IFERROR(__xludf.DUMMYFUNCTION(""""""""" &amp; REGEXEXTRACT(B4781, ""/detail/([^/?]+)"") &amp; """""","""),"""ojifahpjikbmmglmfhhicfebnpbpjoml"",")</f>
        <v>"ojifahpjikbmmglmfhhicfebnpbpjoml",</v>
      </c>
    </row>
    <row r="4782">
      <c r="A4782" s="4" t="s">
        <v>23961</v>
      </c>
      <c r="B4782" s="4" t="s">
        <v>9521</v>
      </c>
      <c r="C4782" s="16" t="str">
        <f>IFERROR(__xludf.DUMMYFUNCTION(""""""""" &amp; REGEXEXTRACT(B4782, ""/detail/([^/?]+)"") &amp; """""","""),"""ojnaikgchcnginnmkmkonmdglhjikokd"",")</f>
        <v>"ojnaikgchcnginnmkmkonmdglhjikokd",</v>
      </c>
    </row>
    <row r="4783">
      <c r="A4783" s="4" t="s">
        <v>23962</v>
      </c>
      <c r="B4783" s="4" t="s">
        <v>9523</v>
      </c>
      <c r="C4783" s="16" t="str">
        <f>IFERROR(__xludf.DUMMYFUNCTION(""""""""" &amp; REGEXEXTRACT(B4783, ""/detail/([^/?]+)"") &amp; """""","""),"""ojodgdaaholkmelbddlhnfdgamohijhk"",")</f>
        <v>"ojodgdaaholkmelbddlhnfdgamohijhk",</v>
      </c>
    </row>
    <row r="4784">
      <c r="A4784" s="4" t="s">
        <v>23963</v>
      </c>
      <c r="B4784" s="4" t="s">
        <v>9525</v>
      </c>
      <c r="C4784" s="16" t="str">
        <f>IFERROR(__xludf.DUMMYFUNCTION(""""""""" &amp; REGEXEXTRACT(B4784, ""/detail/([^/?]+)"") &amp; """""","""),"""ojolaifaiohcbjmpmiaflinfimnfeakl"",")</f>
        <v>"ojolaifaiohcbjmpmiaflinfimnfeakl",</v>
      </c>
    </row>
    <row r="4785">
      <c r="A4785" s="4" t="s">
        <v>23964</v>
      </c>
      <c r="B4785" s="4" t="s">
        <v>9527</v>
      </c>
      <c r="C4785" s="16" t="str">
        <f>IFERROR(__xludf.DUMMYFUNCTION(""""""""" &amp; REGEXEXTRACT(B4785, ""/detail/([^/?]+)"") &amp; """""","""),"""okfefjfpfpglahoabicpkddllnielhkj"",")</f>
        <v>"okfefjfpfpglahoabicpkddllnielhkj",</v>
      </c>
    </row>
    <row r="4786">
      <c r="A4786" s="4" t="s">
        <v>23965</v>
      </c>
      <c r="B4786" s="4" t="s">
        <v>9529</v>
      </c>
      <c r="C4786" s="16" t="str">
        <f>IFERROR(__xludf.DUMMYFUNCTION(""""""""" &amp; REGEXEXTRACT(B4786, ""/detail/([^/?]+)"") &amp; """""","""),"""okkdbmdhpgmajopdpmflkldkemcldnjd"",")</f>
        <v>"okkdbmdhpgmajopdpmflkldkemcldnjd",</v>
      </c>
    </row>
    <row r="4787">
      <c r="A4787" s="4" t="s">
        <v>23966</v>
      </c>
      <c r="B4787" s="4" t="s">
        <v>9531</v>
      </c>
      <c r="C4787" s="16" t="str">
        <f>IFERROR(__xludf.DUMMYFUNCTION(""""""""" &amp; REGEXEXTRACT(B4787, ""/detail/([^/?]+)"") &amp; """""","""),"""oknjgkbkglfeeobjojelkbhfpjkgcndb"",")</f>
        <v>"oknjgkbkglfeeobjojelkbhfpjkgcndb",</v>
      </c>
    </row>
    <row r="4788">
      <c r="A4788" s="4" t="s">
        <v>23967</v>
      </c>
      <c r="B4788" s="4" t="s">
        <v>9533</v>
      </c>
      <c r="C4788" s="16" t="str">
        <f>IFERROR(__xludf.DUMMYFUNCTION(""""""""" &amp; REGEXEXTRACT(B4788, ""/detail/([^/?]+)"") &amp; """""","""),"""olfbaiingdbeoihdemklgmakblhcgpmn"",")</f>
        <v>"olfbaiingdbeoihdemklgmakblhcgpmn",</v>
      </c>
    </row>
    <row r="4789">
      <c r="A4789" s="4" t="s">
        <v>23968</v>
      </c>
      <c r="B4789" s="4" t="s">
        <v>9535</v>
      </c>
      <c r="C4789" s="16" t="str">
        <f>IFERROR(__xludf.DUMMYFUNCTION(""""""""" &amp; REGEXEXTRACT(B4789, ""/detail/([^/?]+)"") &amp; """""","""),"""olmfkdaefegfpkolccopfmohncemakcj"",")</f>
        <v>"olmfkdaefegfpkolccopfmohncemakcj",</v>
      </c>
    </row>
    <row r="4790">
      <c r="A4790" s="4" t="s">
        <v>23969</v>
      </c>
      <c r="B4790" s="4" t="s">
        <v>9537</v>
      </c>
      <c r="C4790" s="16" t="str">
        <f>IFERROR(__xludf.DUMMYFUNCTION(""""""""" &amp; REGEXEXTRACT(B4790, ""/detail/([^/?]+)"") &amp; """""","""),"""olmmagdolfehlpjmbkmondggbebeimoh"",")</f>
        <v>"olmmagdolfehlpjmbkmondggbebeimoh",</v>
      </c>
    </row>
    <row r="4791">
      <c r="A4791" s="4" t="s">
        <v>23970</v>
      </c>
      <c r="B4791" s="4" t="s">
        <v>9539</v>
      </c>
      <c r="C4791" s="16" t="str">
        <f>IFERROR(__xludf.DUMMYFUNCTION(""""""""" &amp; REGEXEXTRACT(B4791, ""/detail/([^/?]+)"") &amp; """""","""),"""olomblpgcmhcgpijaioadbecpidmmdmb"",")</f>
        <v>"olomblpgcmhcgpijaioadbecpidmmdmb",</v>
      </c>
    </row>
    <row r="4792">
      <c r="A4792" s="4" t="s">
        <v>23971</v>
      </c>
      <c r="B4792" s="4" t="s">
        <v>9541</v>
      </c>
      <c r="C4792" s="16" t="str">
        <f>IFERROR(__xludf.DUMMYFUNCTION(""""""""" &amp; REGEXEXTRACT(B4792, ""/detail/([^/?]+)"") &amp; """""","""),"""omcldpfdihfogiklcdlopeokkedbhjop"",")</f>
        <v>"omcldpfdihfogiklcdlopeokkedbhjop",</v>
      </c>
    </row>
    <row r="4793">
      <c r="A4793" s="4" t="s">
        <v>23972</v>
      </c>
      <c r="B4793" s="4" t="s">
        <v>9543</v>
      </c>
      <c r="C4793" s="16" t="str">
        <f>IFERROR(__xludf.DUMMYFUNCTION(""""""""" &amp; REGEXEXTRACT(B4793, ""/detail/([^/?]+)"") &amp; """""","""),"""omhdclmalgidiodbfjcjagnbcfadpina"",")</f>
        <v>"omhdclmalgidiodbfjcjagnbcfadpina",</v>
      </c>
    </row>
    <row r="4794">
      <c r="A4794" s="4" t="s">
        <v>23973</v>
      </c>
      <c r="B4794" s="4" t="s">
        <v>9545</v>
      </c>
      <c r="C4794" s="16" t="str">
        <f>IFERROR(__xludf.DUMMYFUNCTION(""""""""" &amp; REGEXEXTRACT(B4794, ""/detail/([^/?]+)"") &amp; """""","""),"""omibfnkackoiiefnomeikllaoeidlmjo"",")</f>
        <v>"omibfnkackoiiefnomeikllaoeidlmjo",</v>
      </c>
    </row>
    <row r="4795">
      <c r="A4795" s="4" t="s">
        <v>23974</v>
      </c>
      <c r="B4795" s="4" t="s">
        <v>9547</v>
      </c>
      <c r="C4795" s="16" t="str">
        <f>IFERROR(__xludf.DUMMYFUNCTION(""""""""" &amp; REGEXEXTRACT(B4795, ""/detail/([^/?]+)"") &amp; """""","""),"""ompobmbbbjcmoeepdplbindbbpmbncka"",")</f>
        <v>"ompobmbbbjcmoeepdplbindbbpmbncka",</v>
      </c>
    </row>
    <row r="4796">
      <c r="A4796" s="4" t="s">
        <v>23975</v>
      </c>
      <c r="B4796" s="4" t="s">
        <v>9549</v>
      </c>
      <c r="C4796" s="16" t="str">
        <f>IFERROR(__xludf.DUMMYFUNCTION(""""""""" &amp; REGEXEXTRACT(B4796, ""/detail/([^/?]+)"") &amp; """""","""),"""onccocebmmmcfgipaappfpolojndnkce"",")</f>
        <v>"onccocebmmmcfgipaappfpolojndnkce",</v>
      </c>
    </row>
    <row r="4797">
      <c r="A4797" s="4" t="s">
        <v>23976</v>
      </c>
      <c r="B4797" s="4" t="s">
        <v>9551</v>
      </c>
      <c r="C4797" s="16" t="str">
        <f>IFERROR(__xludf.DUMMYFUNCTION(""""""""" &amp; REGEXEXTRACT(B4797, ""/detail/([^/?]+)"") &amp; """""","""),"""ondjkacanajgdlnhcnpiapajjpgilplo"",")</f>
        <v>"ondjkacanajgdlnhcnpiapajjpgilplo",</v>
      </c>
    </row>
    <row r="4798">
      <c r="A4798" s="4" t="s">
        <v>23977</v>
      </c>
      <c r="B4798" s="4" t="s">
        <v>9553</v>
      </c>
      <c r="C4798" s="16" t="str">
        <f>IFERROR(__xludf.DUMMYFUNCTION(""""""""" &amp; REGEXEXTRACT(B4798, ""/detail/([^/?]+)"") &amp; """""","""),"""onebnnoonaadbbdoanmpehnfmhdolmgh"",")</f>
        <v>"onebnnoonaadbbdoanmpehnfmhdolmgh",</v>
      </c>
    </row>
    <row r="4799">
      <c r="A4799" s="4" t="s">
        <v>23978</v>
      </c>
      <c r="B4799" s="4" t="s">
        <v>9555</v>
      </c>
      <c r="C4799" s="16" t="str">
        <f>IFERROR(__xludf.DUMMYFUNCTION(""""""""" &amp; REGEXEXTRACT(B4799, ""/detail/([^/?]+)"") &amp; """""","""),"""onhfdppooafpnnigbmnpnnjmbajggekc"",")</f>
        <v>"onhfdppooafpnnigbmnpnnjmbajggekc",</v>
      </c>
    </row>
    <row r="4800">
      <c r="A4800" s="4" t="s">
        <v>23979</v>
      </c>
      <c r="B4800" s="4" t="s">
        <v>9557</v>
      </c>
      <c r="C4800" s="16" t="str">
        <f>IFERROR(__xludf.DUMMYFUNCTION(""""""""" &amp; REGEXEXTRACT(B4800, ""/detail/([^/?]+)"") &amp; """""","""),"""onmbdmeleocjononnnehpnfplkkjopkd"",")</f>
        <v>"onmbdmeleocjononnnehpnfplkkjopkd",</v>
      </c>
    </row>
    <row r="4801">
      <c r="A4801" s="4" t="s">
        <v>23980</v>
      </c>
      <c r="B4801" s="4" t="s">
        <v>9559</v>
      </c>
      <c r="C4801" s="16" t="str">
        <f>IFERROR(__xludf.DUMMYFUNCTION(""""""""" &amp; REGEXEXTRACT(B4801, ""/detail/([^/?]+)"") &amp; """""","""),"""oogddkbohgikljeadnkcepdmekigegck"",")</f>
        <v>"oogddkbohgikljeadnkcepdmekigegck",</v>
      </c>
    </row>
    <row r="4802">
      <c r="A4802" s="4" t="s">
        <v>23981</v>
      </c>
      <c r="B4802" s="4" t="s">
        <v>9561</v>
      </c>
      <c r="C4802" s="16" t="str">
        <f>IFERROR(__xludf.DUMMYFUNCTION(""""""""" &amp; REGEXEXTRACT(B4802, ""/detail/([^/?]+)"") &amp; """""","""),"""oomijgnfikpndibbbbaninbfomjddohj"",")</f>
        <v>"oomijgnfikpndibbbbaninbfomjddohj",</v>
      </c>
    </row>
    <row r="4803">
      <c r="A4803" s="4" t="s">
        <v>23982</v>
      </c>
      <c r="B4803" s="4" t="s">
        <v>9563</v>
      </c>
      <c r="C4803" s="16" t="str">
        <f>IFERROR(__xludf.DUMMYFUNCTION(""""""""" &amp; REGEXEXTRACT(B4803, ""/detail/([^/?]+)"") &amp; """""","""),"""opjbphlikplllhehiaafnglngompagni"",")</f>
        <v>"opjbphlikplllhehiaafnglngompagni",</v>
      </c>
    </row>
    <row r="4804">
      <c r="A4804" s="4" t="s">
        <v>23983</v>
      </c>
      <c r="B4804" s="4" t="s">
        <v>9565</v>
      </c>
      <c r="C4804" s="16" t="str">
        <f>IFERROR(__xludf.DUMMYFUNCTION(""""""""" &amp; REGEXEXTRACT(B4804, ""/detail/([^/?]+)"") &amp; """""","""),"""oppbddphanamfepjpnojckklcfmnkfnh"",")</f>
        <v>"oppbddphanamfepjpnojckklcfmnkfnh",</v>
      </c>
    </row>
    <row r="4805">
      <c r="A4805" s="4" t="s">
        <v>23984</v>
      </c>
      <c r="B4805" s="4" t="s">
        <v>9567</v>
      </c>
      <c r="C4805" s="16" t="str">
        <f>IFERROR(__xludf.DUMMYFUNCTION(""""""""" &amp; REGEXEXTRACT(B4805, ""/detail/([^/?]+)"") &amp; """""","""),"""padeedaooopaklfgibnddkgbpbmbmkji"",")</f>
        <v>"padeedaooopaklfgibnddkgbpbmbmkji",</v>
      </c>
    </row>
    <row r="4806">
      <c r="A4806" s="4" t="s">
        <v>23985</v>
      </c>
      <c r="B4806" s="4" t="s">
        <v>9569</v>
      </c>
      <c r="C4806" s="16" t="str">
        <f>IFERROR(__xludf.DUMMYFUNCTION(""""""""" &amp; REGEXEXTRACT(B4806, ""/detail/([^/?]+)"") &amp; """""","""),"""paeoelngbckenlidinleldbemhkdiphi"",")</f>
        <v>"paeoelngbckenlidinleldbemhkdiphi",</v>
      </c>
    </row>
    <row r="4807">
      <c r="A4807" s="4" t="s">
        <v>23986</v>
      </c>
      <c r="B4807" s="4" t="s">
        <v>9571</v>
      </c>
      <c r="C4807" s="16" t="str">
        <f>IFERROR(__xludf.DUMMYFUNCTION(""""""""" &amp; REGEXEXTRACT(B4807, ""/detail/([^/?]+)"") &amp; """""","""),"""pbbbcphofkjkmbadhjioamnnbphgeghd"",")</f>
        <v>"pbbbcphofkjkmbadhjioamnnbphgeghd",</v>
      </c>
    </row>
    <row r="4808">
      <c r="A4808" s="4" t="s">
        <v>23987</v>
      </c>
      <c r="B4808" s="4" t="s">
        <v>9573</v>
      </c>
      <c r="C4808" s="16" t="str">
        <f>IFERROR(__xludf.DUMMYFUNCTION(""""""""" &amp; REGEXEXTRACT(B4808, ""/detail/([^/?]+)"") &amp; """""","""),"""pbhajdlkdeofhoicgdkanbbkdnglajkd"",")</f>
        <v>"pbhajdlkdeofhoicgdkanbbkdnglajkd",</v>
      </c>
    </row>
    <row r="4809">
      <c r="A4809" s="4" t="s">
        <v>23988</v>
      </c>
      <c r="B4809" s="4" t="s">
        <v>9575</v>
      </c>
      <c r="C4809" s="16" t="str">
        <f>IFERROR(__xludf.DUMMYFUNCTION(""""""""" &amp; REGEXEXTRACT(B4809, ""/detail/([^/?]+)"") &amp; """""","""),"""pbhlblgkokahebkmklnefmnagdehcfao"",")</f>
        <v>"pbhlblgkokahebkmklnefmnagdehcfao",</v>
      </c>
    </row>
    <row r="4810">
      <c r="A4810" s="4" t="s">
        <v>23989</v>
      </c>
      <c r="B4810" s="4" t="s">
        <v>9577</v>
      </c>
      <c r="C4810" s="16" t="str">
        <f>IFERROR(__xludf.DUMMYFUNCTION(""""""""" &amp; REGEXEXTRACT(B4810, ""/detail/([^/?]+)"") &amp; """""","""),"""pbkcmmgdieaaamaenbaakbgjfniblmbc"",")</f>
        <v>"pbkcmmgdieaaamaenbaakbgjfniblmbc",</v>
      </c>
    </row>
    <row r="4811">
      <c r="A4811" s="4" t="s">
        <v>23990</v>
      </c>
      <c r="B4811" s="4" t="s">
        <v>9579</v>
      </c>
      <c r="C4811" s="16" t="str">
        <f>IFERROR(__xludf.DUMMYFUNCTION(""""""""" &amp; REGEXEXTRACT(B4811, ""/detail/([^/?]+)"") &amp; """""","""),"""pblfidbagabbcdblldheghcopjicfinl"",")</f>
        <v>"pblfidbagabbcdblldheghcopjicfinl",</v>
      </c>
    </row>
    <row r="4812">
      <c r="A4812" s="4" t="s">
        <v>23991</v>
      </c>
      <c r="B4812" s="4" t="s">
        <v>9581</v>
      </c>
      <c r="C4812" s="16" t="str">
        <f>IFERROR(__xludf.DUMMYFUNCTION(""""""""" &amp; REGEXEXTRACT(B4812, ""/detail/([^/?]+)"") &amp; """""","""),"""pcbjeffbdbcicmgffkdbpllfenfbodfo"",")</f>
        <v>"pcbjeffbdbcicmgffkdbpllfenfbodfo",</v>
      </c>
    </row>
    <row r="4813">
      <c r="A4813" s="4" t="s">
        <v>23992</v>
      </c>
      <c r="B4813" s="4" t="s">
        <v>9583</v>
      </c>
      <c r="C4813" s="16" t="str">
        <f>IFERROR(__xludf.DUMMYFUNCTION(""""""""" &amp; REGEXEXTRACT(B4813, ""/detail/([^/?]+)"") &amp; """""","""),"""pcmkeieafomgjkeifdfehppgadjlohmn"",")</f>
        <v>"pcmkeieafomgjkeifdfehppgadjlohmn",</v>
      </c>
    </row>
    <row r="4814">
      <c r="A4814" s="4" t="s">
        <v>23993</v>
      </c>
      <c r="B4814" s="4" t="s">
        <v>9585</v>
      </c>
      <c r="C4814" s="16" t="str">
        <f>IFERROR(__xludf.DUMMYFUNCTION(""""""""" &amp; REGEXEXTRACT(B4814, ""/detail/([^/?]+)"") &amp; """""","""),"""pcpdkhaeeohmogfgcheopfcigcfdaioj"",")</f>
        <v>"pcpdkhaeeohmogfgcheopfcigcfdaioj",</v>
      </c>
    </row>
    <row r="4815">
      <c r="A4815" s="4" t="s">
        <v>23994</v>
      </c>
      <c r="B4815" s="4" t="s">
        <v>9587</v>
      </c>
      <c r="C4815" s="16" t="str">
        <f>IFERROR(__xludf.DUMMYFUNCTION(""""""""" &amp; REGEXEXTRACT(B4815, ""/detail/([^/?]+)"") &amp; """""","""),"""pdeidgdadeplmmcpkochpaimdbmbiefg"",")</f>
        <v>"pdeidgdadeplmmcpkochpaimdbmbiefg",</v>
      </c>
    </row>
    <row r="4816">
      <c r="A4816" s="4" t="s">
        <v>23995</v>
      </c>
      <c r="B4816" s="4" t="s">
        <v>9589</v>
      </c>
      <c r="C4816" s="16" t="str">
        <f>IFERROR(__xludf.DUMMYFUNCTION(""""""""" &amp; REGEXEXTRACT(B4816, ""/detail/([^/?]+)"") &amp; """""","""),"""pdgboabcdlnoobjcfbdliaedoeehepnl"",")</f>
        <v>"pdgboabcdlnoobjcfbdliaedoeehepnl",</v>
      </c>
    </row>
    <row r="4817">
      <c r="A4817" s="4" t="s">
        <v>23996</v>
      </c>
      <c r="B4817" s="4" t="s">
        <v>9591</v>
      </c>
      <c r="C4817" s="16" t="str">
        <f>IFERROR(__xludf.DUMMYFUNCTION(""""""""" &amp; REGEXEXTRACT(B4817, ""/detail/([^/?]+)"") &amp; """""","""),"""pdnkikfbjfhikkpopfoaihhfbhaplpfc"",")</f>
        <v>"pdnkikfbjfhikkpopfoaihhfbhaplpfc",</v>
      </c>
    </row>
    <row r="4818">
      <c r="A4818" s="4" t="s">
        <v>23997</v>
      </c>
      <c r="B4818" s="4" t="s">
        <v>9593</v>
      </c>
      <c r="C4818" s="16" t="str">
        <f>IFERROR(__xludf.DUMMYFUNCTION(""""""""" &amp; REGEXEXTRACT(B4818, ""/detail/([^/?]+)"") &amp; """""","""),"""pdplijceapgnjafgenmlijejmjgplbhm"",")</f>
        <v>"pdplijceapgnjafgenmlijejmjgplbhm",</v>
      </c>
    </row>
    <row r="4819">
      <c r="A4819" s="4" t="s">
        <v>23998</v>
      </c>
      <c r="B4819" s="4" t="s">
        <v>9595</v>
      </c>
      <c r="C4819" s="16" t="str">
        <f>IFERROR(__xludf.DUMMYFUNCTION(""""""""" &amp; REGEXEXTRACT(B4819, ""/detail/([^/?]+)"") &amp; """""","""),"""peehjcejinjjiphdhbhibpphdhkifddk"",")</f>
        <v>"peehjcejinjjiphdhbhibpphdhkifddk",</v>
      </c>
    </row>
    <row r="4820">
      <c r="A4820" s="4" t="s">
        <v>23999</v>
      </c>
      <c r="B4820" s="4" t="s">
        <v>9597</v>
      </c>
      <c r="C4820" s="16" t="str">
        <f>IFERROR(__xludf.DUMMYFUNCTION(""""""""" &amp; REGEXEXTRACT(B4820, ""/detail/([^/?]+)"") &amp; """""","""),"""peojoklnhinheognhigeliholccihoec"",")</f>
        <v>"peojoklnhinheognhigeliholccihoec",</v>
      </c>
    </row>
    <row r="4821">
      <c r="A4821" s="4" t="s">
        <v>24000</v>
      </c>
      <c r="B4821" s="4" t="s">
        <v>9599</v>
      </c>
      <c r="C4821" s="16" t="str">
        <f>IFERROR(__xludf.DUMMYFUNCTION(""""""""" &amp; REGEXEXTRACT(B4821, ""/detail/([^/?]+)"") &amp; """""","""),"""pfcfelfnpbnboelkjedecjipaibpnfja"",")</f>
        <v>"pfcfelfnpbnboelkjedecjipaibpnfja",</v>
      </c>
    </row>
    <row r="4822">
      <c r="A4822" s="4" t="s">
        <v>24001</v>
      </c>
      <c r="B4822" s="4" t="s">
        <v>9601</v>
      </c>
      <c r="C4822" s="16" t="str">
        <f>IFERROR(__xludf.DUMMYFUNCTION(""""""""" &amp; REGEXEXTRACT(B4822, ""/detail/([^/?]+)"") &amp; """""","""),"""pfmjfdhmoannljgibcekddbbldfjlgpa"",")</f>
        <v>"pfmjfdhmoannljgibcekddbbldfjlgpa",</v>
      </c>
    </row>
    <row r="4823">
      <c r="A4823" s="4" t="s">
        <v>24002</v>
      </c>
      <c r="B4823" s="4" t="s">
        <v>9603</v>
      </c>
      <c r="C4823" s="16" t="str">
        <f>IFERROR(__xludf.DUMMYFUNCTION(""""""""" &amp; REGEXEXTRACT(B4823, ""/detail/([^/?]+)"") &amp; """""","""),"""phfcghedmopjadpojhmmaffjmfiakfil"",")</f>
        <v>"phfcghedmopjadpojhmmaffjmfiakfil",</v>
      </c>
    </row>
    <row r="4824">
      <c r="A4824" s="4" t="s">
        <v>24003</v>
      </c>
      <c r="B4824" s="4" t="s">
        <v>9605</v>
      </c>
      <c r="C4824" s="16" t="str">
        <f>IFERROR(__xludf.DUMMYFUNCTION(""""""""" &amp; REGEXEXTRACT(B4824, ""/detail/([^/?]+)"") &amp; """""","""),"""phgdjnidddpccdkbedmfifceiljljgdo"",")</f>
        <v>"phgdjnidddpccdkbedmfifceiljljgdo",</v>
      </c>
    </row>
    <row r="4825">
      <c r="A4825" s="4" t="s">
        <v>24004</v>
      </c>
      <c r="B4825" s="4" t="s">
        <v>9607</v>
      </c>
      <c r="C4825" s="16" t="str">
        <f>IFERROR(__xludf.DUMMYFUNCTION(""""""""" &amp; REGEXEXTRACT(B4825, ""/detail/([^/?]+)"") &amp; """""","""),"""phpkahchjodmhmckibejeafoflafljma"",")</f>
        <v>"phpkahchjodmhmckibejeafoflafljma",</v>
      </c>
    </row>
    <row r="4826">
      <c r="A4826" s="4" t="s">
        <v>24005</v>
      </c>
      <c r="B4826" s="4" t="s">
        <v>9609</v>
      </c>
      <c r="C4826" s="16" t="str">
        <f>IFERROR(__xludf.DUMMYFUNCTION(""""""""" &amp; REGEXEXTRACT(B4826, ""/detail/([^/?]+)"") &amp; """""","""),"""pianibmfifkeamgfggpkkanjdcoppgch"",")</f>
        <v>"pianibmfifkeamgfggpkkanjdcoppgch",</v>
      </c>
    </row>
    <row r="4827">
      <c r="A4827" s="4" t="s">
        <v>24006</v>
      </c>
      <c r="B4827" s="4" t="s">
        <v>9611</v>
      </c>
      <c r="C4827" s="16" t="str">
        <f>IFERROR(__xludf.DUMMYFUNCTION(""""""""" &amp; REGEXEXTRACT(B4827, ""/detail/([^/?]+)"") &amp; """""","""),"""pidmkcoaafbhbmgeimdaclggjeojihcg"",")</f>
        <v>"pidmkcoaafbhbmgeimdaclggjeojihcg",</v>
      </c>
    </row>
    <row r="4828">
      <c r="A4828" s="4" t="s">
        <v>24007</v>
      </c>
      <c r="B4828" s="4" t="s">
        <v>9613</v>
      </c>
      <c r="C4828" s="16" t="str">
        <f>IFERROR(__xludf.DUMMYFUNCTION(""""""""" &amp; REGEXEXTRACT(B4828, ""/detail/([^/?]+)"") &amp; """""","""),"""piicimoiaiblachamdicgngccadhlecl"",")</f>
        <v>"piicimoiaiblachamdicgngccadhlecl",</v>
      </c>
    </row>
    <row r="4829">
      <c r="A4829" s="4" t="s">
        <v>24008</v>
      </c>
      <c r="B4829" s="4" t="s">
        <v>9615</v>
      </c>
      <c r="C4829" s="16" t="str">
        <f>IFERROR(__xludf.DUMMYFUNCTION(""""""""" &amp; REGEXEXTRACT(B4829, ""/detail/([^/?]+)"") &amp; """""","""),"""pijdbohikkconhjpmljjmhnalkoiinhm"",")</f>
        <v>"pijdbohikkconhjpmljjmhnalkoiinhm",</v>
      </c>
    </row>
    <row r="4830">
      <c r="A4830" s="4" t="s">
        <v>24009</v>
      </c>
      <c r="B4830" s="4" t="s">
        <v>9617</v>
      </c>
      <c r="C4830" s="16" t="str">
        <f>IFERROR(__xludf.DUMMYFUNCTION(""""""""" &amp; REGEXEXTRACT(B4830, ""/detail/([^/?]+)"") &amp; """""","""),"""pikaoeecieigblebdddckmlegonlogha"",")</f>
        <v>"pikaoeecieigblebdddckmlegonlogha",</v>
      </c>
    </row>
    <row r="4831">
      <c r="A4831" s="4" t="s">
        <v>24010</v>
      </c>
      <c r="B4831" s="4" t="s">
        <v>9619</v>
      </c>
      <c r="C4831" s="16" t="str">
        <f>IFERROR(__xludf.DUMMYFUNCTION(""""""""" &amp; REGEXEXTRACT(B4831, ""/detail/([^/?]+)"") &amp; """""","""),"""pimolnhbniceppehbgmibnbgcnhpkhfh"",")</f>
        <v>"pimolnhbniceppehbgmibnbgcnhpkhfh",</v>
      </c>
    </row>
    <row r="4832">
      <c r="A4832" s="4" t="s">
        <v>24011</v>
      </c>
      <c r="B4832" s="4" t="s">
        <v>9621</v>
      </c>
      <c r="C4832" s="16" t="str">
        <f>IFERROR(__xludf.DUMMYFUNCTION(""""""""" &amp; REGEXEXTRACT(B4832, ""/detail/([^/?]+)"") &amp; """""","""),"""pjjmnjpdamiodphjhekmbdgnbegndmkc"",")</f>
        <v>"pjjmnjpdamiodphjhekmbdgnbegndmkc",</v>
      </c>
    </row>
    <row r="4833">
      <c r="A4833" s="4" t="s">
        <v>24012</v>
      </c>
      <c r="B4833" s="4" t="s">
        <v>9623</v>
      </c>
      <c r="C4833" s="16" t="str">
        <f>IFERROR(__xludf.DUMMYFUNCTION(""""""""" &amp; REGEXEXTRACT(B4833, ""/detail/([^/?]+)"") &amp; """""","""),"""pjnbhojkojmibobcpfgihhnohboldhip"",")</f>
        <v>"pjnbhojkojmibobcpfgihhnohboldhip",</v>
      </c>
    </row>
    <row r="4834">
      <c r="A4834" s="4" t="s">
        <v>24013</v>
      </c>
      <c r="B4834" s="4" t="s">
        <v>9625</v>
      </c>
      <c r="C4834" s="16" t="str">
        <f>IFERROR(__xludf.DUMMYFUNCTION(""""""""" &amp; REGEXEXTRACT(B4834, ""/detail/([^/?]+)"") &amp; """""","""),"""pkjcdhfckpbgnoclefkjfmafpakdgcaj"",")</f>
        <v>"pkjcdhfckpbgnoclefkjfmafpakdgcaj",</v>
      </c>
    </row>
    <row r="4835">
      <c r="A4835" s="4" t="s">
        <v>24014</v>
      </c>
      <c r="B4835" s="4" t="s">
        <v>9627</v>
      </c>
      <c r="C4835" s="16" t="str">
        <f>IFERROR(__xludf.DUMMYFUNCTION(""""""""" &amp; REGEXEXTRACT(B4835, ""/detail/([^/?]+)"") &amp; """""","""),"""pkpkkdedpomedldeocifngicfebjpmjl"",")</f>
        <v>"pkpkkdedpomedldeocifngicfebjpmjl",</v>
      </c>
    </row>
    <row r="4836">
      <c r="A4836" s="4" t="s">
        <v>24015</v>
      </c>
      <c r="B4836" s="4" t="s">
        <v>9629</v>
      </c>
      <c r="C4836" s="16" t="str">
        <f>IFERROR(__xludf.DUMMYFUNCTION(""""""""" &amp; REGEXEXTRACT(B4836, ""/detail/([^/?]+)"") &amp; """""","""),"""pldonadjilibgdhocameckefhpdiddbg"",")</f>
        <v>"pldonadjilibgdhocameckefhpdiddbg",</v>
      </c>
    </row>
    <row r="4837">
      <c r="A4837" s="4" t="s">
        <v>24016</v>
      </c>
      <c r="B4837" s="4" t="s">
        <v>9631</v>
      </c>
      <c r="C4837" s="16" t="str">
        <f>IFERROR(__xludf.DUMMYFUNCTION(""""""""" &amp; REGEXEXTRACT(B4837, ""/detail/([^/?]+)"") &amp; """""","""),"""plhonglcpnmkaafmedmbcelnbjlkmfid"",")</f>
        <v>"plhonglcpnmkaafmedmbcelnbjlkmfid",</v>
      </c>
    </row>
    <row r="4838">
      <c r="A4838" s="4" t="s">
        <v>24017</v>
      </c>
      <c r="B4838" s="4" t="s">
        <v>9633</v>
      </c>
      <c r="C4838" s="16" t="str">
        <f>IFERROR(__xludf.DUMMYFUNCTION(""""""""" &amp; REGEXEXTRACT(B4838, ""/detail/([^/?]+)"") &amp; """""","""),"""plngblkheekhhnglfpinaigbnhcjgnjm"",")</f>
        <v>"plngblkheekhhnglfpinaigbnhcjgnjm",</v>
      </c>
    </row>
    <row r="4839">
      <c r="A4839" s="4" t="s">
        <v>24018</v>
      </c>
      <c r="B4839" s="4" t="s">
        <v>9635</v>
      </c>
      <c r="C4839" s="16" t="str">
        <f>IFERROR(__xludf.DUMMYFUNCTION(""""""""" &amp; REGEXEXTRACT(B4839, ""/detail/([^/?]+)"") &amp; """""","""),"""plpdljndcikodkdhcbcbfnbmeplcjdeh"",")</f>
        <v>"plpdljndcikodkdhcbcbfnbmeplcjdeh",</v>
      </c>
    </row>
    <row r="4840">
      <c r="A4840" s="4" t="s">
        <v>24019</v>
      </c>
      <c r="B4840" s="4" t="s">
        <v>9637</v>
      </c>
      <c r="C4840" s="16" t="str">
        <f>IFERROR(__xludf.DUMMYFUNCTION(""""""""" &amp; REGEXEXTRACT(B4840, ""/detail/([^/?]+)"") &amp; """""","""),"""plpkbdfpfehnkbjgjgnpfnmohgcdiagd"",")</f>
        <v>"plpkbdfpfehnkbjgjgnpfnmohgcdiagd",</v>
      </c>
    </row>
    <row r="4841">
      <c r="A4841" s="4" t="s">
        <v>24020</v>
      </c>
      <c r="B4841" s="4" t="s">
        <v>9639</v>
      </c>
      <c r="C4841" s="16" t="str">
        <f>IFERROR(__xludf.DUMMYFUNCTION(""""""""" &amp; REGEXEXTRACT(B4841, ""/detail/([^/?]+)"") &amp; """""","""),"""plpkbdnmkoemdpgjepafpcgidkikhmpm"",")</f>
        <v>"plpkbdnmkoemdpgjepafpcgidkikhmpm",</v>
      </c>
    </row>
    <row r="4842">
      <c r="A4842" s="4" t="s">
        <v>24021</v>
      </c>
      <c r="B4842" s="4" t="s">
        <v>9641</v>
      </c>
      <c r="C4842" s="16" t="str">
        <f>IFERROR(__xludf.DUMMYFUNCTION(""""""""" &amp; REGEXEXTRACT(B4842, ""/detail/([^/?]+)"") &amp; """""","""),"""pmcjdgnohppjkhnadihaonfmdponlcbi"",")</f>
        <v>"pmcjdgnohppjkhnadihaonfmdponlcbi",</v>
      </c>
    </row>
    <row r="4843">
      <c r="A4843" s="4" t="s">
        <v>24022</v>
      </c>
      <c r="B4843" s="4" t="s">
        <v>9643</v>
      </c>
      <c r="C4843" s="16" t="str">
        <f>IFERROR(__xludf.DUMMYFUNCTION(""""""""" &amp; REGEXEXTRACT(B4843, ""/detail/([^/?]+)"") &amp; """""","""),"""pmeknoingfjncbdhempgnkdgojickcko"",")</f>
        <v>"pmeknoingfjncbdhempgnkdgojickcko",</v>
      </c>
    </row>
    <row r="4844">
      <c r="A4844" s="4" t="s">
        <v>24023</v>
      </c>
      <c r="B4844" s="4" t="s">
        <v>9645</v>
      </c>
      <c r="C4844" s="16" t="str">
        <f>IFERROR(__xludf.DUMMYFUNCTION(""""""""" &amp; REGEXEXTRACT(B4844, ""/detail/([^/?]+)"") &amp; """""","""),"""pmijjpoambopbcjoknnmkbkgoilpcgoi"",")</f>
        <v>"pmijjpoambopbcjoknnmkbkgoilpcgoi",</v>
      </c>
    </row>
    <row r="4845">
      <c r="A4845" s="4" t="s">
        <v>24024</v>
      </c>
      <c r="B4845" s="4" t="s">
        <v>9647</v>
      </c>
      <c r="C4845" s="16" t="str">
        <f>IFERROR(__xludf.DUMMYFUNCTION(""""""""" &amp; REGEXEXTRACT(B4845, ""/detail/([^/?]+)"") &amp; """""","""),"""pmlofkkoaahmkmmebdkkcljmflocijlo"",")</f>
        <v>"pmlofkkoaahmkmmebdkkcljmflocijlo",</v>
      </c>
    </row>
    <row r="4846">
      <c r="A4846" s="4" t="s">
        <v>24025</v>
      </c>
      <c r="B4846" s="4" t="s">
        <v>9649</v>
      </c>
      <c r="C4846" s="16" t="str">
        <f>IFERROR(__xludf.DUMMYFUNCTION(""""""""" &amp; REGEXEXTRACT(B4846, ""/detail/([^/?]+)"") &amp; """""","""),"""pmpdmpjichjpigklkhholiejpnhcjhkf"",")</f>
        <v>"pmpdmpjichjpigklkhholiejpnhcjhkf",</v>
      </c>
    </row>
    <row r="4847">
      <c r="A4847" s="4" t="s">
        <v>24026</v>
      </c>
      <c r="B4847" s="4" t="s">
        <v>9651</v>
      </c>
      <c r="C4847" s="16" t="str">
        <f>IFERROR(__xludf.DUMMYFUNCTION(""""""""" &amp; REGEXEXTRACT(B4847, ""/detail/([^/?]+)"") &amp; """""","""),"""pmpmejbonomjlbhphkkbeeeecpnknkpn"",")</f>
        <v>"pmpmejbonomjlbhphkkbeeeecpnknkpn",</v>
      </c>
    </row>
    <row r="4848">
      <c r="A4848" s="4" t="s">
        <v>24027</v>
      </c>
      <c r="B4848" s="4" t="s">
        <v>9653</v>
      </c>
      <c r="C4848" s="16" t="str">
        <f>IFERROR(__xludf.DUMMYFUNCTION(""""""""" &amp; REGEXEXTRACT(B4848, ""/detail/([^/?]+)"") &amp; """""","""),"""pninmpjhjchbpkopdphbkngalhfipaln"",")</f>
        <v>"pninmpjhjchbpkopdphbkngalhfipaln",</v>
      </c>
    </row>
    <row r="4849">
      <c r="A4849" s="4" t="s">
        <v>24028</v>
      </c>
      <c r="B4849" s="4" t="s">
        <v>9655</v>
      </c>
      <c r="C4849" s="16" t="str">
        <f>IFERROR(__xludf.DUMMYFUNCTION(""""""""" &amp; REGEXEXTRACT(B4849, ""/detail/([^/?]+)"") &amp; """""","""),"""pnmifmjgoddkicidifnaenlagjcofomn"",")</f>
        <v>"pnmifmjgoddkicidifnaenlagjcofomn",</v>
      </c>
    </row>
    <row r="4850">
      <c r="A4850" s="4" t="s">
        <v>24029</v>
      </c>
      <c r="B4850" s="4" t="s">
        <v>9657</v>
      </c>
      <c r="C4850" s="16" t="str">
        <f>IFERROR(__xludf.DUMMYFUNCTION(""""""""" &amp; REGEXEXTRACT(B4850, ""/detail/([^/?]+)"") &amp; """""","""),"""poalplpedjpddipkghmlhkmgbcnmecop"",")</f>
        <v>"poalplpedjpddipkghmlhkmgbcnmecop",</v>
      </c>
    </row>
    <row r="4851">
      <c r="A4851" s="4" t="s">
        <v>24030</v>
      </c>
      <c r="B4851" s="4" t="s">
        <v>9659</v>
      </c>
      <c r="C4851" s="16" t="str">
        <f>IFERROR(__xludf.DUMMYFUNCTION(""""""""" &amp; REGEXEXTRACT(B4851, ""/detail/([^/?]+)"") &amp; """""","""),"""pofanjellkmepliaagnpopjndkkdlolg"",")</f>
        <v>"pofanjellkmepliaagnpopjndkkdlolg",</v>
      </c>
    </row>
    <row r="4852">
      <c r="A4852" s="4" t="s">
        <v>24031</v>
      </c>
      <c r="B4852" s="4" t="s">
        <v>9661</v>
      </c>
      <c r="C4852" s="16" t="str">
        <f>IFERROR(__xludf.DUMMYFUNCTION(""""""""" &amp; REGEXEXTRACT(B4852, ""/detail/([^/?]+)"") &amp; """""","""),"""pokkcnacdpgalbmpneemmbafmcghankm"",")</f>
        <v>"pokkcnacdpgalbmpneemmbafmcghankm",</v>
      </c>
    </row>
    <row r="4853">
      <c r="A4853" s="4" t="s">
        <v>24032</v>
      </c>
      <c r="B4853" s="4" t="s">
        <v>9663</v>
      </c>
      <c r="C4853" s="16" t="str">
        <f>IFERROR(__xludf.DUMMYFUNCTION(""""""""" &amp; REGEXEXTRACT(B4853, ""/detail/([^/?]+)"") &amp; """""","""),"""polidkhcaghmmijeemenkiloblpdfphp"",")</f>
        <v>"polidkhcaghmmijeemenkiloblpdfphp",</v>
      </c>
    </row>
    <row r="4854">
      <c r="A4854" s="4" t="s">
        <v>24033</v>
      </c>
      <c r="B4854" s="4" t="s">
        <v>9665</v>
      </c>
      <c r="C4854" s="16" t="str">
        <f>IFERROR(__xludf.DUMMYFUNCTION(""""""""" &amp; REGEXEXTRACT(B4854, ""/detail/([^/?]+)"") &amp; """""","""),"""poomhaoiklcooaelckmhijbmkclcgbad"",")</f>
        <v>"poomhaoiklcooaelckmhijbmkclcgbad",</v>
      </c>
    </row>
    <row r="4855">
      <c r="A4855" s="4" t="s">
        <v>24034</v>
      </c>
      <c r="B4855" s="4" t="s">
        <v>9667</v>
      </c>
      <c r="C4855" s="16" t="str">
        <f>IFERROR(__xludf.DUMMYFUNCTION(""""""""" &amp; REGEXEXTRACT(B4855, ""/detail/([^/?]+)"") &amp; """""","""),"""poomlolhjphfnijbbhplbggnddahgdpp"",")</f>
        <v>"poomlolhjphfnijbbhplbggnddahgdpp",</v>
      </c>
    </row>
    <row r="4856">
      <c r="A4856" s="4" t="s">
        <v>24035</v>
      </c>
      <c r="B4856" s="4" t="s">
        <v>9669</v>
      </c>
      <c r="C4856" s="16" t="str">
        <f>IFERROR(__xludf.DUMMYFUNCTION(""""""""" &amp; REGEXEXTRACT(B4856, ""/detail/([^/?]+)"") &amp; """""","""),"""ppcbbjpbbmmjfiiadgklhocpdiildmca"",")</f>
        <v>"ppcbbjpbbmmjfiiadgklhocpdiildmca",</v>
      </c>
    </row>
    <row r="4857">
      <c r="A4857" s="4" t="s">
        <v>24036</v>
      </c>
      <c r="B4857" s="4" t="s">
        <v>9671</v>
      </c>
      <c r="C4857" s="16" t="str">
        <f>IFERROR(__xludf.DUMMYFUNCTION(""""""""" &amp; REGEXEXTRACT(B4857, ""/detail/([^/?]+)"") &amp; """""","""),"""ppcegaekdbgcgbapfdcjbhednhmgcjnk"",")</f>
        <v>"ppcegaekdbgcgbapfdcjbhednhmgcjnk",</v>
      </c>
    </row>
    <row r="4858">
      <c r="A4858" s="4" t="s">
        <v>24037</v>
      </c>
      <c r="B4858" s="4" t="s">
        <v>9673</v>
      </c>
      <c r="C4858" s="16" t="str">
        <f>IFERROR(__xludf.DUMMYFUNCTION(""""""""" &amp; REGEXEXTRACT(B4858, ""/detail/([^/?]+)"") &amp; """""","""),"""ppoliijncpdcgddmfibmgnjhegceaadj"",")</f>
        <v>"ppoliijncpdcgddmfibmgnjhegceaadj",</v>
      </c>
    </row>
    <row r="4859">
      <c r="A4859" s="4" t="s">
        <v>24038</v>
      </c>
      <c r="B4859" s="4" t="s">
        <v>9683</v>
      </c>
      <c r="C4859" s="16" t="str">
        <f>IFERROR(__xludf.DUMMYFUNCTION(""""""""" &amp; REGEXEXTRACT(B4859, ""/detail/([^/?]+)"") &amp; """""","""),"""gliplldjplmfocfpkbpmaikmeiildjel"",")</f>
        <v>"gliplldjplmfocfpkbpmaikmeiildjel",</v>
      </c>
    </row>
    <row r="4860">
      <c r="A4860" s="4" t="s">
        <v>24039</v>
      </c>
      <c r="B4860" s="4" t="s">
        <v>9685</v>
      </c>
      <c r="C4860" s="16" t="str">
        <f>IFERROR(__xludf.DUMMYFUNCTION(""""""""" &amp; REGEXEXTRACT(B4860, ""/detail/([^/?]+)"") &amp; """""","""),"""ealihiicnhlmeapidiennmjgpoicjiad"",")</f>
        <v>"ealihiicnhlmeapidiennmjgpoicjiad",</v>
      </c>
    </row>
    <row r="4861">
      <c r="A4861" s="4" t="s">
        <v>24040</v>
      </c>
      <c r="B4861" s="4" t="s">
        <v>9687</v>
      </c>
      <c r="C4861" s="16" t="str">
        <f>IFERROR(__xludf.DUMMYFUNCTION(""""""""" &amp; REGEXEXTRACT(B4861, ""/detail/([^/?]+)"") &amp; """""","""),"""iegjdjcmfimekjidjffaddhgolgclmcf"",")</f>
        <v>"iegjdjcmfimekjidjffaddhgolgclmcf",</v>
      </c>
    </row>
    <row r="4862">
      <c r="A4862" s="4" t="s">
        <v>24041</v>
      </c>
      <c r="B4862" s="4" t="s">
        <v>9689</v>
      </c>
      <c r="C4862" s="16" t="str">
        <f>IFERROR(__xludf.DUMMYFUNCTION(""""""""" &amp; REGEXEXTRACT(B4862, ""/detail/([^/?]+)"") &amp; """""","""),"""jbngidpijekbhekmimlbcopjfkogiomb"",")</f>
        <v>"jbngidpijekbhekmimlbcopjfkogiomb",</v>
      </c>
    </row>
    <row r="4863">
      <c r="A4863" s="4" t="s">
        <v>24042</v>
      </c>
      <c r="B4863" s="4" t="s">
        <v>9691</v>
      </c>
      <c r="C4863" s="16" t="str">
        <f>IFERROR(__xludf.DUMMYFUNCTION(""""""""" &amp; REGEXEXTRACT(B4863, ""/detail/([^/?]+)"") &amp; """""","""),"""idalccinfigpohjpehkcdcpgnannhhfl"",")</f>
        <v>"idalccinfigpohjpehkcdcpgnannhhfl",</v>
      </c>
    </row>
    <row r="4864">
      <c r="A4864" s="4" t="s">
        <v>24043</v>
      </c>
      <c r="B4864" s="4" t="s">
        <v>9693</v>
      </c>
      <c r="C4864" s="16" t="str">
        <f>IFERROR(__xludf.DUMMYFUNCTION(""""""""" &amp; REGEXEXTRACT(B4864, ""/detail/([^/?]+)"") &amp; """""","""),"""gghihgpbkhfnjcnodemegkldekipnoec"",")</f>
        <v>"gghihgpbkhfnjcnodemegkldekipnoec",</v>
      </c>
    </row>
    <row r="4865">
      <c r="A4865" s="4" t="s">
        <v>24044</v>
      </c>
      <c r="B4865" s="4" t="s">
        <v>9695</v>
      </c>
      <c r="C4865" s="16" t="str">
        <f>IFERROR(__xludf.DUMMYFUNCTION(""""""""" &amp; REGEXEXTRACT(B4865, ""/detail/([^/?]+)"") &amp; """""","""),"""aaclhojogkcakmjnadccbhpkkolcpaeh"",")</f>
        <v>"aaclhojogkcakmjnadccbhpkkolcpaeh",</v>
      </c>
    </row>
    <row r="4866">
      <c r="A4866" s="4" t="s">
        <v>24045</v>
      </c>
      <c r="B4866" s="4" t="s">
        <v>9697</v>
      </c>
      <c r="C4866" s="16" t="str">
        <f>IFERROR(__xludf.DUMMYFUNCTION(""""""""" &amp; REGEXEXTRACT(B4866, ""/detail/([^/?]+)"") &amp; """""","""),"""aaclmldkenecanphogeaacolljiphmnk"",")</f>
        <v>"aaclmldkenecanphogeaacolljiphmnk",</v>
      </c>
    </row>
    <row r="4867">
      <c r="A4867" s="4" t="s">
        <v>24046</v>
      </c>
      <c r="B4867" s="4" t="s">
        <v>9699</v>
      </c>
      <c r="C4867" s="16" t="str">
        <f>IFERROR(__xludf.DUMMYFUNCTION(""""""""" &amp; REGEXEXTRACT(B4867, ""/detail/([^/?]+)"") &amp; """""","""),"""aacpeocdoemahgdlilehionapfhbcgig"",")</f>
        <v>"aacpeocdoemahgdlilehionapfhbcgig",</v>
      </c>
    </row>
    <row r="4868">
      <c r="A4868" s="4" t="s">
        <v>24047</v>
      </c>
      <c r="B4868" s="4" t="s">
        <v>9701</v>
      </c>
      <c r="C4868" s="16" t="str">
        <f>IFERROR(__xludf.DUMMYFUNCTION(""""""""" &amp; REGEXEXTRACT(B4868, ""/detail/([^/?]+)"") &amp; """""","""),"""aadhbdhoolgcjfdplbjpfmmobcjmhklf"",")</f>
        <v>"aadhbdhoolgcjfdplbjpfmmobcjmhklf",</v>
      </c>
    </row>
    <row r="4869">
      <c r="A4869" s="4" t="s">
        <v>24048</v>
      </c>
      <c r="B4869" s="4" t="s">
        <v>9703</v>
      </c>
      <c r="C4869" s="16" t="str">
        <f>IFERROR(__xludf.DUMMYFUNCTION(""""""""" &amp; REGEXEXTRACT(B4869, ""/detail/([^/?]+)"") &amp; """""","""),"""aadkcfdlmiddiiibdnhfbpbmfcaoknkm"",")</f>
        <v>"aadkcfdlmiddiiibdnhfbpbmfcaoknkm",</v>
      </c>
    </row>
    <row r="4870">
      <c r="A4870" s="4" t="s">
        <v>24049</v>
      </c>
      <c r="B4870" s="4" t="s">
        <v>9705</v>
      </c>
      <c r="C4870" s="16" t="str">
        <f>IFERROR(__xludf.DUMMYFUNCTION(""""""""" &amp; REGEXEXTRACT(B4870, ""/detail/([^/?]+)"") &amp; """""","""),"""aahbjjldiddbnpabbhkaklkmnokndedo"",")</f>
        <v>"aahbjjldiddbnpabbhkaklkmnokndedo",</v>
      </c>
    </row>
    <row r="4871">
      <c r="A4871" s="4" t="s">
        <v>24050</v>
      </c>
      <c r="B4871" s="4" t="s">
        <v>9707</v>
      </c>
      <c r="C4871" s="16" t="str">
        <f>IFERROR(__xludf.DUMMYFUNCTION(""""""""" &amp; REGEXEXTRACT(B4871, ""/detail/([^/?]+)"") &amp; """""","""),"""aahkfjicefeopjkokkfncpfflcjkmpbi"",")</f>
        <v>"aahkfjicefeopjkokkfncpfflcjkmpbi",</v>
      </c>
    </row>
    <row r="4872">
      <c r="A4872" s="4" t="s">
        <v>24051</v>
      </c>
      <c r="B4872" s="4" t="s">
        <v>9709</v>
      </c>
      <c r="C4872" s="16" t="str">
        <f>IFERROR(__xludf.DUMMYFUNCTION(""""""""" &amp; REGEXEXTRACT(B4872, ""/detail/([^/?]+)"") &amp; """""","""),"""aaokajckoheafemlmjacklidohljgkgo"",")</f>
        <v>"aaokajckoheafemlmjacklidohljgkgo",</v>
      </c>
    </row>
    <row r="4873">
      <c r="A4873" s="4" t="s">
        <v>24052</v>
      </c>
      <c r="B4873" s="4" t="s">
        <v>9711</v>
      </c>
      <c r="C4873" s="16" t="str">
        <f>IFERROR(__xludf.DUMMYFUNCTION(""""""""" &amp; REGEXEXTRACT(B4873, ""/detail/([^/?]+)"") &amp; """""","""),"""abbbnefchbpffkbnadnopdahjcmbheho"",")</f>
        <v>"abbbnefchbpffkbnadnopdahjcmbheho",</v>
      </c>
    </row>
    <row r="4874">
      <c r="A4874" s="4" t="s">
        <v>24053</v>
      </c>
      <c r="B4874" s="4" t="s">
        <v>9713</v>
      </c>
      <c r="C4874" s="16" t="str">
        <f>IFERROR(__xludf.DUMMYFUNCTION(""""""""" &amp; REGEXEXTRACT(B4874, ""/detail/([^/?]+)"") &amp; """""","""),"""abdegfaiochjkmedplbehndchojnkjca"",")</f>
        <v>"abdegfaiochjkmedplbehndchojnkjca",</v>
      </c>
    </row>
    <row r="4875">
      <c r="A4875" s="4" t="s">
        <v>24054</v>
      </c>
      <c r="B4875" s="4" t="s">
        <v>9715</v>
      </c>
      <c r="C4875" s="16" t="str">
        <f>IFERROR(__xludf.DUMMYFUNCTION(""""""""" &amp; REGEXEXTRACT(B4875, ""/detail/([^/?]+)"") &amp; """""","""),"""abdfbnapkafgcheofcijaieahcbjnpkd"",")</f>
        <v>"abdfbnapkafgcheofcijaieahcbjnpkd",</v>
      </c>
    </row>
    <row r="4876">
      <c r="A4876" s="4" t="s">
        <v>24055</v>
      </c>
      <c r="B4876" s="4" t="s">
        <v>9717</v>
      </c>
      <c r="C4876" s="16" t="str">
        <f>IFERROR(__xludf.DUMMYFUNCTION(""""""""" &amp; REGEXEXTRACT(B4876, ""/detail/([^/?]+)"") &amp; """""","""),"""abegacaoahilklpbgapkfcdhnljklcep"",")</f>
        <v>"abegacaoahilklpbgapkfcdhnljklcep",</v>
      </c>
    </row>
    <row r="4877">
      <c r="A4877" s="4" t="s">
        <v>24056</v>
      </c>
      <c r="B4877" s="4" t="s">
        <v>9719</v>
      </c>
      <c r="C4877" s="16" t="str">
        <f>IFERROR(__xludf.DUMMYFUNCTION(""""""""" &amp; REGEXEXTRACT(B4877, ""/detail/([^/?]+)"") &amp; """""","""),"""abhcicpgkieoddkaocomjdkdlhdnbfpb"",")</f>
        <v>"abhcicpgkieoddkaocomjdkdlhdnbfpb",</v>
      </c>
    </row>
    <row r="4878">
      <c r="A4878" s="4" t="s">
        <v>24057</v>
      </c>
      <c r="B4878" s="4" t="s">
        <v>9721</v>
      </c>
      <c r="C4878" s="16" t="str">
        <f>IFERROR(__xludf.DUMMYFUNCTION(""""""""" &amp; REGEXEXTRACT(B4878, ""/detail/([^/?]+)"") &amp; """""","""),"""abhgkgfbihhkopkinomfideiddeleldo"",")</f>
        <v>"abhgkgfbihhkopkinomfideiddeleldo",</v>
      </c>
    </row>
    <row r="4879">
      <c r="A4879" s="4" t="s">
        <v>24058</v>
      </c>
      <c r="B4879" s="4" t="s">
        <v>9723</v>
      </c>
      <c r="C4879" s="16" t="str">
        <f>IFERROR(__xludf.DUMMYFUNCTION(""""""""" &amp; REGEXEXTRACT(B4879, ""/detail/([^/?]+)"") &amp; """""","""),"""abjjaaahigingfdneedpgabgikejlcfl"",")</f>
        <v>"abjjaaahigingfdneedpgabgikejlcfl",</v>
      </c>
    </row>
    <row r="4880">
      <c r="A4880" s="4" t="s">
        <v>24059</v>
      </c>
      <c r="B4880" s="4" t="s">
        <v>9725</v>
      </c>
      <c r="C4880" s="16" t="str">
        <f>IFERROR(__xludf.DUMMYFUNCTION(""""""""" &amp; REGEXEXTRACT(B4880, ""/detail/([^/?]+)"") &amp; """""","""),"""abmocanmemghgbcegmmdgpefgfjbkglf"",")</f>
        <v>"abmocanmemghgbcegmmdgpefgfjbkglf",</v>
      </c>
    </row>
    <row r="4881">
      <c r="A4881" s="4" t="s">
        <v>24060</v>
      </c>
      <c r="B4881" s="4" t="s">
        <v>9727</v>
      </c>
      <c r="C4881" s="16" t="str">
        <f>IFERROR(__xludf.DUMMYFUNCTION(""""""""" &amp; REGEXEXTRACT(B4881, ""/detail/([^/?]+)"") &amp; """""","""),"""abplipfppejgpbaipnpddgjdgmbdgiij"",")</f>
        <v>"abplipfppejgpbaipnpddgjdgmbdgiij",</v>
      </c>
    </row>
    <row r="4882">
      <c r="A4882" s="4" t="s">
        <v>24061</v>
      </c>
      <c r="B4882" s="4" t="s">
        <v>9729</v>
      </c>
      <c r="C4882" s="16" t="str">
        <f>IFERROR(__xludf.DUMMYFUNCTION(""""""""" &amp; REGEXEXTRACT(B4882, ""/detail/([^/?]+)"") &amp; """""","""),"""acefekdhohafkelpdfdjjopdghejaahi"",")</f>
        <v>"acefekdhohafkelpdfdjjopdghejaahi",</v>
      </c>
    </row>
    <row r="4883">
      <c r="A4883" s="4" t="s">
        <v>24062</v>
      </c>
      <c r="B4883" s="4" t="s">
        <v>9731</v>
      </c>
      <c r="C4883" s="16" t="str">
        <f>IFERROR(__xludf.DUMMYFUNCTION(""""""""" &amp; REGEXEXTRACT(B4883, ""/detail/([^/?]+)"") &amp; """""","""),"""acfmhnkhdnojjohflchbldekihhapdje"",")</f>
        <v>"acfmhnkhdnojjohflchbldekihhapdje",</v>
      </c>
    </row>
    <row r="4884">
      <c r="A4884" s="4" t="s">
        <v>24063</v>
      </c>
      <c r="B4884" s="4" t="s">
        <v>9733</v>
      </c>
      <c r="C4884" s="16" t="str">
        <f>IFERROR(__xludf.DUMMYFUNCTION(""""""""" &amp; REGEXEXTRACT(B4884, ""/detail/([^/?]+)"") &amp; """""","""),"""achogfadpkcepkepcpegehpiiioihmik"",")</f>
        <v>"achogfadpkcepkepcpegehpiiioihmik",</v>
      </c>
    </row>
    <row r="4885">
      <c r="A4885" s="4" t="s">
        <v>24064</v>
      </c>
      <c r="B4885" s="4" t="s">
        <v>9735</v>
      </c>
      <c r="C4885" s="16" t="str">
        <f>IFERROR(__xludf.DUMMYFUNCTION(""""""""" &amp; REGEXEXTRACT(B4885, ""/detail/([^/?]+)"") &amp; """""","""),"""aciclpjlpekbhcmgihchmcgknanmaoph"",")</f>
        <v>"aciclpjlpekbhcmgihchmcgknanmaoph",</v>
      </c>
    </row>
    <row r="4886">
      <c r="A4886" s="4" t="s">
        <v>24065</v>
      </c>
      <c r="B4886" s="4" t="s">
        <v>9737</v>
      </c>
      <c r="C4886" s="16" t="str">
        <f>IFERROR(__xludf.DUMMYFUNCTION(""""""""" &amp; REGEXEXTRACT(B4886, ""/detail/([^/?]+)"") &amp; """""","""),"""acmnindkplffnpamldokjjkekipobndc"",")</f>
        <v>"acmnindkplffnpamldokjjkekipobndc",</v>
      </c>
    </row>
    <row r="4887">
      <c r="A4887" s="4" t="s">
        <v>24066</v>
      </c>
      <c r="B4887" s="4" t="s">
        <v>9739</v>
      </c>
      <c r="C4887" s="16" t="str">
        <f>IFERROR(__xludf.DUMMYFUNCTION(""""""""" &amp; REGEXEXTRACT(B4887, ""/detail/([^/?]+)"") &amp; """""","""),"""acngcofgnnbbkpmeedmoaihopjmepomd"",")</f>
        <v>"acngcofgnnbbkpmeedmoaihopjmepomd",</v>
      </c>
    </row>
    <row r="4888">
      <c r="A4888" s="4" t="s">
        <v>24067</v>
      </c>
      <c r="B4888" s="4" t="s">
        <v>9741</v>
      </c>
      <c r="C4888" s="16" t="str">
        <f>IFERROR(__xludf.DUMMYFUNCTION(""""""""" &amp; REGEXEXTRACT(B4888, ""/detail/([^/?]+)"") &amp; """""","""),"""acngkdhajijgnolblpcgpepjgoedlpjg"",")</f>
        <v>"acngkdhajijgnolblpcgpepjgoedlpjg",</v>
      </c>
    </row>
    <row r="4889">
      <c r="A4889" s="4" t="s">
        <v>24068</v>
      </c>
      <c r="B4889" s="4" t="s">
        <v>9743</v>
      </c>
      <c r="C4889" s="16" t="str">
        <f>IFERROR(__xludf.DUMMYFUNCTION(""""""""" &amp; REGEXEXTRACT(B4889, ""/detail/([^/?]+)"") &amp; """""","""),"""adaojllgfpmcfooaobpfoiiifddhjiap"",")</f>
        <v>"adaojllgfpmcfooaobpfoiiifddhjiap",</v>
      </c>
    </row>
    <row r="4890">
      <c r="A4890" s="4" t="s">
        <v>24069</v>
      </c>
      <c r="B4890" s="4" t="s">
        <v>9745</v>
      </c>
      <c r="C4890" s="16" t="str">
        <f>IFERROR(__xludf.DUMMYFUNCTION(""""""""" &amp; REGEXEXTRACT(B4890, ""/detail/([^/?]+)"") &amp; """""","""),"""addgaohhlahfdofpaplmeknphfoafeoc"",")</f>
        <v>"addgaohhlahfdofpaplmeknphfoafeoc",</v>
      </c>
    </row>
    <row r="4891">
      <c r="A4891" s="4" t="s">
        <v>24070</v>
      </c>
      <c r="B4891" s="4" t="s">
        <v>9747</v>
      </c>
      <c r="C4891" s="16" t="str">
        <f>IFERROR(__xludf.DUMMYFUNCTION(""""""""" &amp; REGEXEXTRACT(B4891, ""/detail/([^/?]+)"") &amp; """""","""),"""adegickccmlojbmbmemgjakpoammfmkg"",")</f>
        <v>"adegickccmlojbmbmemgjakpoammfmkg",</v>
      </c>
    </row>
    <row r="4892">
      <c r="A4892" s="4" t="s">
        <v>24071</v>
      </c>
      <c r="B4892" s="4" t="s">
        <v>9749</v>
      </c>
      <c r="C4892" s="16" t="str">
        <f>IFERROR(__xludf.DUMMYFUNCTION(""""""""" &amp; REGEXEXTRACT(B4892, ""/detail/([^/?]+)"") &amp; """""","""),"""adfggbiefhfidjcedejkdmcfhmbhhblm"",")</f>
        <v>"adfggbiefhfidjcedejkdmcfhmbhhblm",</v>
      </c>
    </row>
    <row r="4893">
      <c r="A4893" s="4" t="s">
        <v>24072</v>
      </c>
      <c r="B4893" s="4" t="s">
        <v>9751</v>
      </c>
      <c r="C4893" s="16" t="str">
        <f>IFERROR(__xludf.DUMMYFUNCTION(""""""""" &amp; REGEXEXTRACT(B4893, ""/detail/([^/?]+)"") &amp; """""","""),"""adibamafcjbolhaaccnhdebpncglaohb"",")</f>
        <v>"adibamafcjbolhaaccnhdebpncglaohb",</v>
      </c>
    </row>
    <row r="4894">
      <c r="A4894" s="4" t="s">
        <v>24073</v>
      </c>
      <c r="B4894" s="4" t="s">
        <v>9753</v>
      </c>
      <c r="C4894" s="16" t="str">
        <f>IFERROR(__xludf.DUMMYFUNCTION(""""""""" &amp; REGEXEXTRACT(B4894, ""/detail/([^/?]+)"") &amp; """""","""),"""adjgpccopebgfbdnkdhjncpcpcgcoehp"",")</f>
        <v>"adjgpccopebgfbdnkdhjncpcpcgcoehp",</v>
      </c>
    </row>
    <row r="4895">
      <c r="A4895" s="4" t="s">
        <v>24074</v>
      </c>
      <c r="B4895" s="4" t="s">
        <v>9755</v>
      </c>
      <c r="C4895" s="16" t="str">
        <f>IFERROR(__xludf.DUMMYFUNCTION(""""""""" &amp; REGEXEXTRACT(B4895, ""/detail/([^/?]+)"") &amp; """""","""),"""adlnghnicfngjnofbljedmclmdoepcbe"",")</f>
        <v>"adlnghnicfngjnofbljedmclmdoepcbe",</v>
      </c>
    </row>
    <row r="4896">
      <c r="A4896" s="4" t="s">
        <v>24075</v>
      </c>
      <c r="B4896" s="4" t="s">
        <v>9757</v>
      </c>
      <c r="C4896" s="16" t="str">
        <f>IFERROR(__xludf.DUMMYFUNCTION(""""""""" &amp; REGEXEXTRACT(B4896, ""/detail/([^/?]+)"") &amp; """""","""),"""admjkihehbkklbidlcpmjcaplbkngeed"",")</f>
        <v>"admjkihehbkklbidlcpmjcaplbkngeed",</v>
      </c>
    </row>
    <row r="4897">
      <c r="A4897" s="4" t="s">
        <v>24076</v>
      </c>
      <c r="B4897" s="4" t="s">
        <v>9759</v>
      </c>
      <c r="C4897" s="16" t="str">
        <f>IFERROR(__xludf.DUMMYFUNCTION(""""""""" &amp; REGEXEXTRACT(B4897, ""/detail/([^/?]+)"") &amp; """""","""),"""adojojhmddiheilndfjlhddemdlfjfle"",")</f>
        <v>"adojojhmddiheilndfjlhddemdlfjfle",</v>
      </c>
    </row>
    <row r="4898">
      <c r="A4898" s="4" t="s">
        <v>24077</v>
      </c>
      <c r="B4898" s="4" t="s">
        <v>9761</v>
      </c>
      <c r="C4898" s="16" t="str">
        <f>IFERROR(__xludf.DUMMYFUNCTION(""""""""" &amp; REGEXEXTRACT(B4898, ""/detail/([^/?]+)"") &amp; """""","""),"""aeanpfpdmamkinnbemccekbecfcbooai"",")</f>
        <v>"aeanpfpdmamkinnbemccekbecfcbooai",</v>
      </c>
    </row>
    <row r="4899">
      <c r="A4899" s="4" t="s">
        <v>24078</v>
      </c>
      <c r="B4899" s="4" t="s">
        <v>9763</v>
      </c>
      <c r="C4899" s="16" t="str">
        <f>IFERROR(__xludf.DUMMYFUNCTION(""""""""" &amp; REGEXEXTRACT(B4899, ""/detail/([^/?]+)"") &amp; """""","""),"""aebaikmeedenaijgjcfmndfknoobahep"",")</f>
        <v>"aebaikmeedenaijgjcfmndfknoobahep",</v>
      </c>
    </row>
    <row r="4900">
      <c r="A4900" s="4" t="s">
        <v>24079</v>
      </c>
      <c r="B4900" s="4" t="s">
        <v>9765</v>
      </c>
      <c r="C4900" s="16" t="str">
        <f>IFERROR(__xludf.DUMMYFUNCTION(""""""""" &amp; REGEXEXTRACT(B4900, ""/detail/([^/?]+)"") &amp; """""","""),"""aefmgkhgcmdljpfijlohmbhkhflmbmfi"",")</f>
        <v>"aefmgkhgcmdljpfijlohmbhkhflmbmfi",</v>
      </c>
    </row>
    <row r="4901">
      <c r="A4901" s="4" t="s">
        <v>24080</v>
      </c>
      <c r="B4901" s="4" t="s">
        <v>9767</v>
      </c>
      <c r="C4901" s="16" t="str">
        <f>IFERROR(__xludf.DUMMYFUNCTION(""""""""" &amp; REGEXEXTRACT(B4901, ""/detail/([^/?]+)"") &amp; """""","""),"""aehmpfeibpcclkbjjkclhncmjncpebef"",")</f>
        <v>"aehmpfeibpcclkbjjkclhncmjncpebef",</v>
      </c>
    </row>
    <row r="4902">
      <c r="A4902" s="4" t="s">
        <v>24081</v>
      </c>
      <c r="B4902" s="4" t="s">
        <v>9769</v>
      </c>
      <c r="C4902" s="16" t="str">
        <f>IFERROR(__xludf.DUMMYFUNCTION(""""""""" &amp; REGEXEXTRACT(B4902, ""/detail/([^/?]+)"") &amp; """""","""),"""aeinmfddnniiloadoappmdnffcbffnjg"",")</f>
        <v>"aeinmfddnniiloadoappmdnffcbffnjg",</v>
      </c>
    </row>
    <row r="4903">
      <c r="A4903" s="4" t="s">
        <v>24082</v>
      </c>
      <c r="B4903" s="4" t="s">
        <v>9771</v>
      </c>
      <c r="C4903" s="16" t="str">
        <f>IFERROR(__xludf.DUMMYFUNCTION(""""""""" &amp; REGEXEXTRACT(B4903, ""/detail/([^/?]+)"") &amp; """""","""),"""aelfgfndnhaiicaahkbpmgbbnflnbejb"",")</f>
        <v>"aelfgfndnhaiicaahkbpmgbbnflnbejb",</v>
      </c>
    </row>
    <row r="4904">
      <c r="A4904" s="4" t="s">
        <v>24083</v>
      </c>
      <c r="B4904" s="4" t="s">
        <v>9773</v>
      </c>
      <c r="C4904" s="16" t="str">
        <f>IFERROR(__xludf.DUMMYFUNCTION(""""""""" &amp; REGEXEXTRACT(B4904, ""/detail/([^/?]+)"") &amp; """""","""),"""aelkgkjgpaancocbobfjkmnkfhoinamf"",")</f>
        <v>"aelkgkjgpaancocbobfjkmnkfhoinamf",</v>
      </c>
    </row>
    <row r="4905">
      <c r="A4905" s="4" t="s">
        <v>24084</v>
      </c>
      <c r="B4905" s="4" t="s">
        <v>9775</v>
      </c>
      <c r="C4905" s="16" t="str">
        <f>IFERROR(__xludf.DUMMYFUNCTION(""""""""" &amp; REGEXEXTRACT(B4905, ""/detail/([^/?]+)"") &amp; """""","""),"""aemgcoipfmfbdgfgicfbmpjnhlbpajch"",")</f>
        <v>"aemgcoipfmfbdgfgicfbmpjnhlbpajch",</v>
      </c>
    </row>
    <row r="4906">
      <c r="A4906" s="4" t="s">
        <v>24085</v>
      </c>
      <c r="B4906" s="4" t="s">
        <v>9777</v>
      </c>
      <c r="C4906" s="16" t="str">
        <f>IFERROR(__xludf.DUMMYFUNCTION(""""""""" &amp; REGEXEXTRACT(B4906, ""/detail/([^/?]+)"") &amp; """""","""),"""aeookmmgmjgnmfoaiemejdoailigdgag"",")</f>
        <v>"aeookmmgmjgnmfoaiemejdoailigdgag",</v>
      </c>
    </row>
    <row r="4907">
      <c r="A4907" s="4" t="s">
        <v>24086</v>
      </c>
      <c r="B4907" s="4" t="s">
        <v>9779</v>
      </c>
      <c r="C4907" s="16" t="str">
        <f>IFERROR(__xludf.DUMMYFUNCTION(""""""""" &amp; REGEXEXTRACT(B4907, ""/detail/([^/?]+)"") &amp; """""","""),"""afdjhbmagopjlalgcjfclkgobaafamck"",")</f>
        <v>"afdjhbmagopjlalgcjfclkgobaafamck",</v>
      </c>
    </row>
    <row r="4908">
      <c r="A4908" s="4" t="s">
        <v>24087</v>
      </c>
      <c r="B4908" s="4" t="s">
        <v>9781</v>
      </c>
      <c r="C4908" s="16" t="str">
        <f>IFERROR(__xludf.DUMMYFUNCTION(""""""""" &amp; REGEXEXTRACT(B4908, ""/detail/([^/?]+)"") &amp; """""","""),"""afheehakbckodogpkoeakfndigoimokn"",")</f>
        <v>"afheehakbckodogpkoeakfndigoimokn",</v>
      </c>
    </row>
    <row r="4909">
      <c r="A4909" s="4" t="s">
        <v>24088</v>
      </c>
      <c r="B4909" s="4" t="s">
        <v>9783</v>
      </c>
      <c r="C4909" s="16" t="str">
        <f>IFERROR(__xludf.DUMMYFUNCTION(""""""""" &amp; REGEXEXTRACT(B4909, ""/detail/([^/?]+)"") &amp; """""","""),"""afijgiinefhejdlmngnbfjgiefdfkfko"",")</f>
        <v>"afijgiinefhejdlmngnbfjgiefdfkfko",</v>
      </c>
    </row>
    <row r="4910">
      <c r="A4910" s="4" t="s">
        <v>24089</v>
      </c>
      <c r="B4910" s="4" t="s">
        <v>9785</v>
      </c>
      <c r="C4910" s="16" t="str">
        <f>IFERROR(__xludf.DUMMYFUNCTION(""""""""" &amp; REGEXEXTRACT(B4910, ""/detail/([^/?]+)"") &amp; """""","""),"""afkcafjohadnopckhbcopklmeknjcgkg"",")</f>
        <v>"afkcafjohadnopckhbcopklmeknjcgkg",</v>
      </c>
    </row>
    <row r="4911">
      <c r="A4911" s="4" t="s">
        <v>24090</v>
      </c>
      <c r="B4911" s="4" t="s">
        <v>9787</v>
      </c>
      <c r="C4911" s="16" t="str">
        <f>IFERROR(__xludf.DUMMYFUNCTION(""""""""" &amp; REGEXEXTRACT(B4911, ""/detail/([^/?]+)"") &amp; """""","""),"""afknfpdgpnhpbdcdnknlmbcddhfemdeb"",")</f>
        <v>"afknfpdgpnhpbdcdnknlmbcddhfemdeb",</v>
      </c>
    </row>
    <row r="4912">
      <c r="A4912" s="4" t="s">
        <v>24091</v>
      </c>
      <c r="B4912" s="4" t="s">
        <v>9789</v>
      </c>
      <c r="C4912" s="16" t="str">
        <f>IFERROR(__xludf.DUMMYFUNCTION(""""""""" &amp; REGEXEXTRACT(B4912, ""/detail/([^/?]+)"") &amp; """""","""),"""afmdjfefjcfmedhgbegphdjhfckifaij"",")</f>
        <v>"afmdjfefjcfmedhgbegphdjhfckifaij",</v>
      </c>
    </row>
    <row r="4913">
      <c r="A4913" s="4" t="s">
        <v>24092</v>
      </c>
      <c r="B4913" s="4" t="s">
        <v>9791</v>
      </c>
      <c r="C4913" s="16" t="str">
        <f>IFERROR(__xludf.DUMMYFUNCTION(""""""""" &amp; REGEXEXTRACT(B4913, ""/detail/([^/?]+)"") &amp; """""","""),"""afmljfkhgiljmbopodcjdnkgmdmnhbpk"",")</f>
        <v>"afmljfkhgiljmbopodcjdnkgmdmnhbpk",</v>
      </c>
    </row>
    <row r="4914">
      <c r="A4914" s="4" t="s">
        <v>24093</v>
      </c>
      <c r="B4914" s="4" t="s">
        <v>9793</v>
      </c>
      <c r="C4914" s="16" t="str">
        <f>IFERROR(__xludf.DUMMYFUNCTION(""""""""" &amp; REGEXEXTRACT(B4914, ""/detail/([^/?]+)"") &amp; """""","""),"""afpbamklipekeannlpafjnakghkkmnjk"",")</f>
        <v>"afpbamklipekeannlpafjnakghkkmnjk",</v>
      </c>
    </row>
    <row r="4915">
      <c r="A4915" s="4" t="s">
        <v>24094</v>
      </c>
      <c r="B4915" s="4" t="s">
        <v>9795</v>
      </c>
      <c r="C4915" s="16" t="str">
        <f>IFERROR(__xludf.DUMMYFUNCTION(""""""""" &amp; REGEXEXTRACT(B4915, ""/detail/([^/?]+)"") &amp; """""","""),"""agabedjjbijfpccchcmpfpcdfnlpjkoj"",")</f>
        <v>"agabedjjbijfpccchcmpfpcdfnlpjkoj",</v>
      </c>
    </row>
    <row r="4916">
      <c r="A4916" s="4" t="s">
        <v>24095</v>
      </c>
      <c r="B4916" s="4" t="s">
        <v>9797</v>
      </c>
      <c r="C4916" s="16" t="str">
        <f>IFERROR(__xludf.DUMMYFUNCTION(""""""""" &amp; REGEXEXTRACT(B4916, ""/detail/([^/?]+)"") &amp; """""","""),"""agbkjcoclkflcpkognkhjkllhimlpice"",")</f>
        <v>"agbkjcoclkflcpkognkhjkllhimlpice",</v>
      </c>
    </row>
    <row r="4917">
      <c r="A4917" s="4" t="s">
        <v>24096</v>
      </c>
      <c r="B4917" s="4" t="s">
        <v>9798</v>
      </c>
      <c r="C4917" s="16" t="str">
        <f>IFERROR(__xludf.DUMMYFUNCTION(""""""""" &amp; REGEXEXTRACT(B4917, ""/detail/([^/?]+)"") &amp; """""","""),"""agdmglieodoodfjgljideekcenoakdgb"",")</f>
        <v>"agdmglieodoodfjgljideekcenoakdgb",</v>
      </c>
    </row>
    <row r="4918">
      <c r="A4918" s="4" t="s">
        <v>24097</v>
      </c>
      <c r="B4918" s="4" t="s">
        <v>9800</v>
      </c>
      <c r="C4918" s="16" t="str">
        <f>IFERROR(__xludf.DUMMYFUNCTION(""""""""" &amp; REGEXEXTRACT(B4918, ""/detail/([^/?]+)"") &amp; """""","""),"""aggkaaocjganbkpebcifmphkiphajdel"",")</f>
        <v>"aggkaaocjganbkpebcifmphkiphajdel",</v>
      </c>
    </row>
    <row r="4919">
      <c r="A4919" s="4" t="s">
        <v>24098</v>
      </c>
      <c r="B4919" s="4" t="s">
        <v>9802</v>
      </c>
      <c r="C4919" s="16" t="str">
        <f>IFERROR(__xludf.DUMMYFUNCTION(""""""""" &amp; REGEXEXTRACT(B4919, ""/detail/([^/?]+)"") &amp; """""","""),"""aghbmllinmgnlpeciabalfllehijahnp"",")</f>
        <v>"aghbmllinmgnlpeciabalfllehijahnp",</v>
      </c>
    </row>
    <row r="4920">
      <c r="A4920" s="4" t="s">
        <v>24099</v>
      </c>
      <c r="B4920" s="4" t="s">
        <v>9804</v>
      </c>
      <c r="C4920" s="16" t="str">
        <f>IFERROR(__xludf.DUMMYFUNCTION(""""""""" &amp; REGEXEXTRACT(B4920, ""/detail/([^/?]+)"") &amp; """""","""),"""agkbkgialbnmaeamocceenjbhcjagigf"",")</f>
        <v>"agkbkgialbnmaeamocceenjbhcjagigf",</v>
      </c>
    </row>
    <row r="4921">
      <c r="A4921" s="4" t="s">
        <v>24100</v>
      </c>
      <c r="B4921" s="4" t="s">
        <v>9806</v>
      </c>
      <c r="C4921" s="16" t="str">
        <f>IFERROR(__xludf.DUMMYFUNCTION(""""""""" &amp; REGEXEXTRACT(B4921, ""/detail/([^/?]+)"") &amp; """""","""),"""aglkdaiofcmfomnggcojbcpbihbaceai"",")</f>
        <v>"aglkdaiofcmfomnggcojbcpbihbaceai",</v>
      </c>
    </row>
    <row r="4922">
      <c r="A4922" s="4" t="s">
        <v>24101</v>
      </c>
      <c r="B4922" s="4" t="s">
        <v>9808</v>
      </c>
      <c r="C4922" s="16" t="str">
        <f>IFERROR(__xludf.DUMMYFUNCTION(""""""""" &amp; REGEXEXTRACT(B4922, ""/detail/([^/?]+)"") &amp; """""","""),"""agnkphdgffianchpipdbkeaclfbobaak"",")</f>
        <v>"agnkphdgffianchpipdbkeaclfbobaak",</v>
      </c>
    </row>
    <row r="4923">
      <c r="A4923" s="4" t="s">
        <v>24102</v>
      </c>
      <c r="B4923" s="4" t="s">
        <v>9810</v>
      </c>
      <c r="C4923" s="16" t="str">
        <f>IFERROR(__xludf.DUMMYFUNCTION(""""""""" &amp; REGEXEXTRACT(B4923, ""/detail/([^/?]+)"") &amp; """""","""),"""agojedcnbaadafkaaekoimbepjfhgkne"",")</f>
        <v>"agojedcnbaadafkaaekoimbepjfhgkne",</v>
      </c>
    </row>
    <row r="4924">
      <c r="A4924" s="4" t="s">
        <v>24103</v>
      </c>
      <c r="B4924" s="4" t="s">
        <v>9812</v>
      </c>
      <c r="C4924" s="16" t="str">
        <f>IFERROR(__xludf.DUMMYFUNCTION(""""""""" &amp; REGEXEXTRACT(B4924, ""/detail/([^/?]+)"") &amp; """""","""),"""agompmhjohlaaijeadjcepbmhjgdmejd"",")</f>
        <v>"agompmhjohlaaijeadjcepbmhjgdmejd",</v>
      </c>
    </row>
    <row r="4925">
      <c r="A4925" s="4" t="s">
        <v>24104</v>
      </c>
      <c r="B4925" s="4" t="s">
        <v>9814</v>
      </c>
      <c r="C4925" s="16" t="str">
        <f>IFERROR(__xludf.DUMMYFUNCTION(""""""""" &amp; REGEXEXTRACT(B4925, ""/detail/([^/?]+)"") &amp; """""","""),"""agpdemlkalmmeenclchlajdcmbcacoea"",")</f>
        <v>"agpdemlkalmmeenclchlajdcmbcacoea",</v>
      </c>
    </row>
    <row r="4926">
      <c r="A4926" s="4" t="s">
        <v>24105</v>
      </c>
      <c r="B4926" s="4" t="s">
        <v>9816</v>
      </c>
      <c r="C4926" s="16" t="str">
        <f>IFERROR(__xludf.DUMMYFUNCTION(""""""""" &amp; REGEXEXTRACT(B4926, ""/detail/([^/?]+)"") &amp; """""","""),"""agpkeppkpbofjlgephfipdaplpbiojen"",")</f>
        <v>"agpkeppkpbofjlgephfipdaplpbiojen",</v>
      </c>
    </row>
    <row r="4927">
      <c r="A4927" s="4" t="s">
        <v>24106</v>
      </c>
      <c r="B4927" s="4" t="s">
        <v>9818</v>
      </c>
      <c r="C4927" s="16" t="str">
        <f>IFERROR(__xludf.DUMMYFUNCTION(""""""""" &amp; REGEXEXTRACT(B4927, ""/detail/([^/?]+)"") &amp; """""","""),"""ahaijnonphgkgnkbklchdhclailflinn"",")</f>
        <v>"ahaijnonphgkgnkbklchdhclailflinn",</v>
      </c>
    </row>
    <row r="4928">
      <c r="A4928" s="4" t="s">
        <v>24107</v>
      </c>
      <c r="B4928" s="4" t="s">
        <v>9820</v>
      </c>
      <c r="C4928" s="16" t="str">
        <f>IFERROR(__xludf.DUMMYFUNCTION(""""""""" &amp; REGEXEXTRACT(B4928, ""/detail/([^/?]+)"") &amp; """""","""),"""ahcblhpcealjpkmndgmkdnebbjakicno"",")</f>
        <v>"ahcblhpcealjpkmndgmkdnebbjakicno",</v>
      </c>
    </row>
    <row r="4929">
      <c r="A4929" s="4" t="s">
        <v>24108</v>
      </c>
      <c r="B4929" s="4" t="s">
        <v>9822</v>
      </c>
      <c r="C4929" s="16" t="str">
        <f>IFERROR(__xludf.DUMMYFUNCTION(""""""""" &amp; REGEXEXTRACT(B4929, ""/detail/([^/?]+)"") &amp; """""","""),"""ahieappfkblneagblagpodhjmnhcbfdn"",")</f>
        <v>"ahieappfkblneagblagpodhjmnhcbfdn",</v>
      </c>
    </row>
    <row r="4930">
      <c r="A4930" s="4" t="s">
        <v>24109</v>
      </c>
      <c r="B4930" s="4" t="s">
        <v>9824</v>
      </c>
      <c r="C4930" s="16" t="str">
        <f>IFERROR(__xludf.DUMMYFUNCTION(""""""""" &amp; REGEXEXTRACT(B4930, ""/detail/([^/?]+)"") &amp; """""","""),"""ahnoadnanolangjffklbfdkfbmplmmln"",")</f>
        <v>"ahnoadnanolangjffklbfdkfbmplmmln",</v>
      </c>
    </row>
    <row r="4931">
      <c r="A4931" s="4" t="s">
        <v>24110</v>
      </c>
      <c r="B4931" s="4" t="s">
        <v>9826</v>
      </c>
      <c r="C4931" s="16" t="str">
        <f>IFERROR(__xludf.DUMMYFUNCTION(""""""""" &amp; REGEXEXTRACT(B4931, ""/detail/([^/?]+)"") &amp; """""","""),"""aicdnelcnjhlfgpjhkkflbaagjdgkedp"",")</f>
        <v>"aicdnelcnjhlfgpjhkkflbaagjdgkedp",</v>
      </c>
    </row>
    <row r="4932">
      <c r="A4932" s="4" t="s">
        <v>24111</v>
      </c>
      <c r="B4932" s="4" t="s">
        <v>9828</v>
      </c>
      <c r="C4932" s="16" t="str">
        <f>IFERROR(__xludf.DUMMYFUNCTION(""""""""" &amp; REGEXEXTRACT(B4932, ""/detail/([^/?]+)"") &amp; """""","""),"""aicfbaaflkellfmamfiaanaeanfobiah"",")</f>
        <v>"aicfbaaflkellfmamfiaanaeanfobiah",</v>
      </c>
    </row>
    <row r="4933">
      <c r="A4933" s="4" t="s">
        <v>24112</v>
      </c>
      <c r="B4933" s="4" t="s">
        <v>9830</v>
      </c>
      <c r="C4933" s="16" t="str">
        <f>IFERROR(__xludf.DUMMYFUNCTION(""""""""" &amp; REGEXEXTRACT(B4933, ""/detail/([^/?]+)"") &amp; """""","""),"""aigfnicpphodhakcfolnekkapjcehhho"",")</f>
        <v>"aigfnicpphodhakcfolnekkapjcehhho",</v>
      </c>
    </row>
    <row r="4934">
      <c r="A4934" s="4" t="s">
        <v>24113</v>
      </c>
      <c r="B4934" s="4" t="s">
        <v>9832</v>
      </c>
      <c r="C4934" s="16" t="str">
        <f>IFERROR(__xludf.DUMMYFUNCTION(""""""""" &amp; REGEXEXTRACT(B4934, ""/detail/([^/?]+)"") &amp; """""","""),"""aikmhmnmlebhcjjdbjilohbpfljioeak"",")</f>
        <v>"aikmhmnmlebhcjjdbjilohbpfljioeak",</v>
      </c>
    </row>
    <row r="4935">
      <c r="A4935" s="4" t="s">
        <v>24114</v>
      </c>
      <c r="B4935" s="4" t="s">
        <v>9834</v>
      </c>
      <c r="C4935" s="16" t="str">
        <f>IFERROR(__xludf.DUMMYFUNCTION(""""""""" &amp; REGEXEXTRACT(B4935, ""/detail/([^/?]+)"") &amp; """""","""),"""ailcjmkbchjpglniippdjaaamimdniko"",")</f>
        <v>"ailcjmkbchjpglniippdjaaamimdniko",</v>
      </c>
    </row>
    <row r="4936">
      <c r="A4936" s="4" t="s">
        <v>24115</v>
      </c>
      <c r="B4936" s="4" t="s">
        <v>9836</v>
      </c>
      <c r="C4936" s="16" t="str">
        <f>IFERROR(__xludf.DUMMYFUNCTION(""""""""" &amp; REGEXEXTRACT(B4936, ""/detail/([^/?]+)"") &amp; """""","""),"""aimmakfgnnekphmbajghonpfkjljmfkn"",")</f>
        <v>"aimmakfgnnekphmbajghonpfkjljmfkn",</v>
      </c>
    </row>
    <row r="4937">
      <c r="A4937" s="4" t="s">
        <v>24116</v>
      </c>
      <c r="B4937" s="4" t="s">
        <v>9838</v>
      </c>
      <c r="C4937" s="16" t="str">
        <f>IFERROR(__xludf.DUMMYFUNCTION(""""""""" &amp; REGEXEXTRACT(B4937, ""/detail/([^/?]+)"") &amp; """""","""),"""ajabfhplebocnmdcejfleginmigkhjdj"",")</f>
        <v>"ajabfhplebocnmdcejfleginmigkhjdj",</v>
      </c>
    </row>
    <row r="4938">
      <c r="A4938" s="4" t="s">
        <v>24117</v>
      </c>
      <c r="B4938" s="4" t="s">
        <v>9840</v>
      </c>
      <c r="C4938" s="16" t="str">
        <f>IFERROR(__xludf.DUMMYFUNCTION(""""""""" &amp; REGEXEXTRACT(B4938, ""/detail/([^/?]+)"") &amp; """""","""),"""ajbdencgojbanpbmjaafdleiadnabndg"",")</f>
        <v>"ajbdencgojbanpbmjaafdleiadnabndg",</v>
      </c>
    </row>
    <row r="4939">
      <c r="A4939" s="4" t="s">
        <v>24118</v>
      </c>
      <c r="B4939" s="4" t="s">
        <v>9842</v>
      </c>
      <c r="C4939" s="16" t="str">
        <f>IFERROR(__xludf.DUMMYFUNCTION(""""""""" &amp; REGEXEXTRACT(B4939, ""/detail/([^/?]+)"") &amp; """""","""),"""ajcbbckcdngehkhpffnmlhnnccecmaci"",")</f>
        <v>"ajcbbckcdngehkhpffnmlhnnccecmaci",</v>
      </c>
    </row>
    <row r="4940">
      <c r="A4940" s="4" t="s">
        <v>24119</v>
      </c>
      <c r="B4940" s="4" t="s">
        <v>9844</v>
      </c>
      <c r="C4940" s="16" t="str">
        <f>IFERROR(__xludf.DUMMYFUNCTION(""""""""" &amp; REGEXEXTRACT(B4940, ""/detail/([^/?]+)"") &amp; """""","""),"""ajdaphmmjhhageboagckhfiiiofaappa"",")</f>
        <v>"ajdaphmmjhhageboagckhfiiiofaappa",</v>
      </c>
    </row>
    <row r="4941">
      <c r="A4941" s="4" t="s">
        <v>24120</v>
      </c>
      <c r="B4941" s="4" t="s">
        <v>9846</v>
      </c>
      <c r="C4941" s="16" t="str">
        <f>IFERROR(__xludf.DUMMYFUNCTION(""""""""" &amp; REGEXEXTRACT(B4941, ""/detail/([^/?]+)"") &amp; """""","""),"""ajdilinnnkbmpoegibgacadjlblmpjad"",")</f>
        <v>"ajdilinnnkbmpoegibgacadjlblmpjad",</v>
      </c>
    </row>
    <row r="4942">
      <c r="A4942" s="4" t="s">
        <v>24121</v>
      </c>
      <c r="B4942" s="4" t="s">
        <v>9848</v>
      </c>
      <c r="C4942" s="16" t="str">
        <f>IFERROR(__xludf.DUMMYFUNCTION(""""""""" &amp; REGEXEXTRACT(B4942, ""/detail/([^/?]+)"") &amp; """""","""),"""ajdoamemmbdoaopmkldocdhhedfppplm"",")</f>
        <v>"ajdoamemmbdoaopmkldocdhhedfppplm",</v>
      </c>
    </row>
    <row r="4943">
      <c r="A4943" s="4" t="s">
        <v>24122</v>
      </c>
      <c r="B4943" s="4" t="s">
        <v>9850</v>
      </c>
      <c r="C4943" s="16" t="str">
        <f>IFERROR(__xludf.DUMMYFUNCTION(""""""""" &amp; REGEXEXTRACT(B4943, ""/detail/([^/?]+)"") &amp; """""","""),"""ajfcilnkfhhdofoplbnbicjbcoflpppa"",")</f>
        <v>"ajfcilnkfhhdofoplbnbicjbcoflpppa",</v>
      </c>
    </row>
    <row r="4944">
      <c r="A4944" s="4" t="s">
        <v>24123</v>
      </c>
      <c r="B4944" s="4" t="s">
        <v>9852</v>
      </c>
      <c r="C4944" s="16" t="str">
        <f>IFERROR(__xludf.DUMMYFUNCTION(""""""""" &amp; REGEXEXTRACT(B4944, ""/detail/([^/?]+)"") &amp; """""","""),"""ajgfnlfggljmdkepjeaicepbokhemmhd"",")</f>
        <v>"ajgfnlfggljmdkepjeaicepbokhemmhd",</v>
      </c>
    </row>
    <row r="4945">
      <c r="A4945" s="4" t="s">
        <v>24124</v>
      </c>
      <c r="B4945" s="4" t="s">
        <v>9854</v>
      </c>
      <c r="C4945" s="16" t="str">
        <f>IFERROR(__xludf.DUMMYFUNCTION(""""""""" &amp; REGEXEXTRACT(B4945, ""/detail/([^/?]+)"") &amp; """""","""),"""ajgidahckhliegaonfgbialbcpcljach"",")</f>
        <v>"ajgidahckhliegaonfgbialbcpcljach",</v>
      </c>
    </row>
    <row r="4946">
      <c r="A4946" s="4" t="s">
        <v>24125</v>
      </c>
      <c r="B4946" s="4" t="s">
        <v>9856</v>
      </c>
      <c r="C4946" s="16" t="str">
        <f>IFERROR(__xludf.DUMMYFUNCTION(""""""""" &amp; REGEXEXTRACT(B4946, ""/detail/([^/?]+)"") &amp; """""","""),"""ajgjljngohdamnajdbnadcpcnnoaedga"",")</f>
        <v>"ajgjljngohdamnajdbnadcpcnnoaedga",</v>
      </c>
    </row>
    <row r="4947">
      <c r="A4947" s="4" t="s">
        <v>24126</v>
      </c>
      <c r="B4947" s="4" t="s">
        <v>9858</v>
      </c>
      <c r="C4947" s="16" t="str">
        <f>IFERROR(__xludf.DUMMYFUNCTION(""""""""" &amp; REGEXEXTRACT(B4947, ""/detail/([^/?]+)"") &amp; """""","""),"""ajgpdimiokijpbbalknkgnfnpjcbfabk"",")</f>
        <v>"ajgpdimiokijpbbalknkgnfnpjcbfabk",</v>
      </c>
    </row>
    <row r="4948">
      <c r="A4948" s="4" t="s">
        <v>24127</v>
      </c>
      <c r="B4948" s="4" t="s">
        <v>9860</v>
      </c>
      <c r="C4948" s="16" t="str">
        <f>IFERROR(__xludf.DUMMYFUNCTION(""""""""" &amp; REGEXEXTRACT(B4948, ""/detail/([^/?]+)"") &amp; """""","""),"""ajjdehfgjbdjiinaipdglfppekcnigjd"",")</f>
        <v>"ajjdehfgjbdjiinaipdglfppekcnigjd",</v>
      </c>
    </row>
    <row r="4949">
      <c r="A4949" s="4" t="s">
        <v>24128</v>
      </c>
      <c r="B4949" s="4" t="s">
        <v>9862</v>
      </c>
      <c r="C4949" s="16" t="str">
        <f>IFERROR(__xludf.DUMMYFUNCTION(""""""""" &amp; REGEXEXTRACT(B4949, ""/detail/([^/?]+)"") &amp; """""","""),"""ajnianifcggmdojhnmjichjmnjpplcha"",")</f>
        <v>"ajnianifcggmdojhnmjichjmnjpplcha",</v>
      </c>
    </row>
    <row r="4950">
      <c r="A4950" s="4" t="s">
        <v>24129</v>
      </c>
      <c r="B4950" s="4" t="s">
        <v>9864</v>
      </c>
      <c r="C4950" s="16" t="str">
        <f>IFERROR(__xludf.DUMMYFUNCTION(""""""""" &amp; REGEXEXTRACT(B4950, ""/detail/([^/?]+)"") &amp; """""","""),"""ajpfgljldffcnbjenpnkcbkkkcflkpbo"",")</f>
        <v>"ajpfgljldffcnbjenpnkcbkkkcflkpbo",</v>
      </c>
    </row>
    <row r="4951">
      <c r="A4951" s="4" t="s">
        <v>24130</v>
      </c>
      <c r="B4951" s="4" t="s">
        <v>9866</v>
      </c>
      <c r="C4951" s="16" t="str">
        <f>IFERROR(__xludf.DUMMYFUNCTION(""""""""" &amp; REGEXEXTRACT(B4951, ""/detail/([^/?]+)"") &amp; """""","""),"""akcafbaobcipanhmmfmkpneejopclhfg"",")</f>
        <v>"akcafbaobcipanhmmfmkpneejopclhfg",</v>
      </c>
    </row>
    <row r="4952">
      <c r="A4952" s="4" t="s">
        <v>24131</v>
      </c>
      <c r="B4952" s="4" t="s">
        <v>9868</v>
      </c>
      <c r="C4952" s="16" t="str">
        <f>IFERROR(__xludf.DUMMYFUNCTION(""""""""" &amp; REGEXEXTRACT(B4952, ""/detail/([^/?]+)"") &amp; """""","""),"""akcpbmbdplmbhlpeglpbghnkcbhiapil"",")</f>
        <v>"akcpbmbdplmbhlpeglpbghnkcbhiapil",</v>
      </c>
    </row>
    <row r="4953">
      <c r="A4953" s="4" t="s">
        <v>24132</v>
      </c>
      <c r="B4953" s="4" t="s">
        <v>9870</v>
      </c>
      <c r="C4953" s="16" t="str">
        <f>IFERROR(__xludf.DUMMYFUNCTION(""""""""" &amp; REGEXEXTRACT(B4953, ""/detail/([^/?]+)"") &amp; """""","""),"""akcpioapcnkipdikjifafioeabjjahpb"",")</f>
        <v>"akcpioapcnkipdikjifafioeabjjahpb",</v>
      </c>
    </row>
    <row r="4954">
      <c r="A4954" s="4" t="s">
        <v>24133</v>
      </c>
      <c r="B4954" s="4" t="s">
        <v>9872</v>
      </c>
      <c r="C4954" s="16" t="str">
        <f>IFERROR(__xludf.DUMMYFUNCTION(""""""""" &amp; REGEXEXTRACT(B4954, ""/detail/([^/?]+)"") &amp; """""","""),"""akfikgmhbajiaekdbgchbmhkceclncda"",")</f>
        <v>"akfikgmhbajiaekdbgchbmhkceclncda",</v>
      </c>
    </row>
    <row r="4955">
      <c r="A4955" s="4" t="s">
        <v>24134</v>
      </c>
      <c r="B4955" s="4" t="s">
        <v>9874</v>
      </c>
      <c r="C4955" s="16" t="str">
        <f>IFERROR(__xludf.DUMMYFUNCTION(""""""""" &amp; REGEXEXTRACT(B4955, ""/detail/([^/?]+)"") &amp; """""","""),"""akhfampbeegijbknnencolmclbnaceab"",")</f>
        <v>"akhfampbeegijbknnencolmclbnaceab",</v>
      </c>
    </row>
    <row r="4956">
      <c r="A4956" s="4" t="s">
        <v>24135</v>
      </c>
      <c r="B4956" s="4" t="s">
        <v>9876</v>
      </c>
      <c r="C4956" s="16" t="str">
        <f>IFERROR(__xludf.DUMMYFUNCTION(""""""""" &amp; REGEXEXTRACT(B4956, ""/detail/([^/?]+)"") &amp; """""","""),"""akikhgecfhfbdmiccfbgdmcjjbaiohbi"",")</f>
        <v>"akikhgecfhfbdmiccfbgdmcjjbaiohbi",</v>
      </c>
    </row>
    <row r="4957">
      <c r="A4957" s="4" t="s">
        <v>24136</v>
      </c>
      <c r="B4957" s="4" t="s">
        <v>9878</v>
      </c>
      <c r="C4957" s="16" t="str">
        <f>IFERROR(__xludf.DUMMYFUNCTION(""""""""" &amp; REGEXEXTRACT(B4957, ""/detail/([^/?]+)"") &amp; """""","""),"""akkbfbediahdidlgbanghdmbfbkdbioj"",")</f>
        <v>"akkbfbediahdidlgbanghdmbfbkdbioj",</v>
      </c>
    </row>
    <row r="4958">
      <c r="A4958" s="4" t="s">
        <v>24137</v>
      </c>
      <c r="B4958" s="4" t="s">
        <v>9880</v>
      </c>
      <c r="C4958" s="16" t="str">
        <f>IFERROR(__xludf.DUMMYFUNCTION(""""""""" &amp; REGEXEXTRACT(B4958, ""/detail/([^/?]+)"") &amp; """""","""),"""aklkmkchojnnjbmggchdeagdgcflfhnc"",")</f>
        <v>"aklkmkchojnnjbmggchdeagdgcflfhnc",</v>
      </c>
    </row>
    <row r="4959">
      <c r="A4959" s="4" t="s">
        <v>24138</v>
      </c>
      <c r="B4959" s="4" t="s">
        <v>9882</v>
      </c>
      <c r="C4959" s="16" t="str">
        <f>IFERROR(__xludf.DUMMYFUNCTION(""""""""" &amp; REGEXEXTRACT(B4959, ""/detail/([^/?]+)"") &amp; """""","""),"""akloeedfoicedcgaigjnglkfhpcbjlmn"",")</f>
        <v>"akloeedfoicedcgaigjnglkfhpcbjlmn",</v>
      </c>
    </row>
    <row r="4960">
      <c r="A4960" s="4" t="s">
        <v>24139</v>
      </c>
      <c r="B4960" s="4" t="s">
        <v>9884</v>
      </c>
      <c r="C4960" s="16" t="str">
        <f>IFERROR(__xludf.DUMMYFUNCTION(""""""""" &amp; REGEXEXTRACT(B4960, ""/detail/([^/?]+)"") &amp; """""","""),"""akndolpagcjaolannkpophkacklomagp"",")</f>
        <v>"akndolpagcjaolannkpophkacklomagp",</v>
      </c>
    </row>
    <row r="4961">
      <c r="A4961" s="4" t="s">
        <v>24140</v>
      </c>
      <c r="B4961" s="4" t="s">
        <v>9886</v>
      </c>
      <c r="C4961" s="16" t="str">
        <f>IFERROR(__xludf.DUMMYFUNCTION(""""""""" &amp; REGEXEXTRACT(B4961, ""/detail/([^/?]+)"") &amp; """""","""),"""akngncmebaenfdgfbmommpnonpidhaod"",")</f>
        <v>"akngncmebaenfdgfbmommpnonpidhaod",</v>
      </c>
    </row>
    <row r="4962">
      <c r="A4962" s="4" t="s">
        <v>24141</v>
      </c>
      <c r="B4962" s="4" t="s">
        <v>9888</v>
      </c>
      <c r="C4962" s="16" t="str">
        <f>IFERROR(__xludf.DUMMYFUNCTION(""""""""" &amp; REGEXEXTRACT(B4962, ""/detail/([^/?]+)"") &amp; """""","""),"""akoihfghmfploepdiblpfpifgjekbkmg"",")</f>
        <v>"akoihfghmfploepdiblpfpifgjekbkmg",</v>
      </c>
    </row>
    <row r="4963">
      <c r="A4963" s="4" t="s">
        <v>24142</v>
      </c>
      <c r="B4963" s="4" t="s">
        <v>9890</v>
      </c>
      <c r="C4963" s="16" t="str">
        <f>IFERROR(__xludf.DUMMYFUNCTION(""""""""" &amp; REGEXEXTRACT(B4963, ""/detail/([^/?]+)"") &amp; """""","""),"""albnoggfgnooeefdjpncieecohhblonh"",")</f>
        <v>"albnoggfgnooeefdjpncieecohhblonh",</v>
      </c>
    </row>
    <row r="4964">
      <c r="A4964" s="4" t="s">
        <v>24143</v>
      </c>
      <c r="B4964" s="4" t="s">
        <v>9892</v>
      </c>
      <c r="C4964" s="16" t="str">
        <f>IFERROR(__xludf.DUMMYFUNCTION(""""""""" &amp; REGEXEXTRACT(B4964, ""/detail/([^/?]+)"") &amp; """""","""),"""alfkifbcobefljgjngkgffhnobplceom"",")</f>
        <v>"alfkifbcobefljgjngkgffhnobplceom",</v>
      </c>
    </row>
    <row r="4965">
      <c r="A4965" s="4" t="s">
        <v>24144</v>
      </c>
      <c r="B4965" s="4" t="s">
        <v>9894</v>
      </c>
      <c r="C4965" s="16" t="str">
        <f>IFERROR(__xludf.DUMMYFUNCTION(""""""""" &amp; REGEXEXTRACT(B4965, ""/detail/([^/?]+)"") &amp; """""","""),"""algblmhagnobbnmakepomicmfljlbehg"",")</f>
        <v>"algblmhagnobbnmakepomicmfljlbehg",</v>
      </c>
    </row>
    <row r="4966">
      <c r="A4966" s="4" t="s">
        <v>24145</v>
      </c>
      <c r="B4966" s="4" t="s">
        <v>9896</v>
      </c>
      <c r="C4966" s="16" t="str">
        <f>IFERROR(__xludf.DUMMYFUNCTION(""""""""" &amp; REGEXEXTRACT(B4966, ""/detail/([^/?]+)"") &amp; """""","""),"""alhjnofcnnpeaphgeakdhkebafjcpeae"",")</f>
        <v>"alhjnofcnnpeaphgeakdhkebafjcpeae",</v>
      </c>
    </row>
    <row r="4967">
      <c r="A4967" s="4" t="s">
        <v>24146</v>
      </c>
      <c r="B4967" s="4" t="s">
        <v>9898</v>
      </c>
      <c r="C4967" s="16" t="str">
        <f>IFERROR(__xludf.DUMMYFUNCTION(""""""""" &amp; REGEXEXTRACT(B4967, ""/detail/([^/?]+)"") &amp; """""","""),"""alhkphnfffojbofcljfkhemkdkalimnd"",")</f>
        <v>"alhkphnfffojbofcljfkhemkdkalimnd",</v>
      </c>
    </row>
    <row r="4968">
      <c r="A4968" s="4" t="s">
        <v>24147</v>
      </c>
      <c r="B4968" s="4" t="s">
        <v>9900</v>
      </c>
      <c r="C4968" s="16" t="str">
        <f>IFERROR(__xludf.DUMMYFUNCTION(""""""""" &amp; REGEXEXTRACT(B4968, ""/detail/([^/?]+)"") &amp; """""","""),"""aljhjfocmlfpkleglnnbnjdapfbikddp"",")</f>
        <v>"aljhjfocmlfpkleglnnbnjdapfbikddp",</v>
      </c>
    </row>
    <row r="4969">
      <c r="A4969" s="4" t="s">
        <v>24148</v>
      </c>
      <c r="B4969" s="4" t="s">
        <v>9902</v>
      </c>
      <c r="C4969" s="16" t="str">
        <f>IFERROR(__xludf.DUMMYFUNCTION(""""""""" &amp; REGEXEXTRACT(B4969, ""/detail/([^/?]+)"") &amp; """""","""),"""alkdnpfnidjlhmcoikbolnbjjpalkhpb"",")</f>
        <v>"alkdnpfnidjlhmcoikbolnbjjpalkhpb",</v>
      </c>
    </row>
    <row r="4970">
      <c r="A4970" s="4" t="s">
        <v>24149</v>
      </c>
      <c r="B4970" s="4" t="s">
        <v>9904</v>
      </c>
      <c r="C4970" s="16" t="str">
        <f>IFERROR(__xludf.DUMMYFUNCTION(""""""""" &amp; REGEXEXTRACT(B4970, ""/detail/([^/?]+)"") &amp; """""","""),"""alkepecgcogdcjleihdddioilhadjlna"",")</f>
        <v>"alkepecgcogdcjleihdddioilhadjlna",</v>
      </c>
    </row>
    <row r="4971">
      <c r="A4971" s="4" t="s">
        <v>24150</v>
      </c>
      <c r="B4971" s="4" t="s">
        <v>9906</v>
      </c>
      <c r="C4971" s="16" t="str">
        <f>IFERROR(__xludf.DUMMYFUNCTION(""""""""" &amp; REGEXEXTRACT(B4971, ""/detail/([^/?]+)"") &amp; """""","""),"""alkfhfgkepamooonkjdolamnbilhkmjg"",")</f>
        <v>"alkfhfgkepamooonkjdolamnbilhkmjg",</v>
      </c>
    </row>
    <row r="4972">
      <c r="A4972" s="4" t="s">
        <v>24151</v>
      </c>
      <c r="B4972" s="4" t="s">
        <v>9908</v>
      </c>
      <c r="C4972" s="16" t="str">
        <f>IFERROR(__xludf.DUMMYFUNCTION(""""""""" &amp; REGEXEXTRACT(B4972, ""/detail/([^/?]+)"") &amp; """""","""),"""alkncbflgoakllhkhkjpdabnbebejidl"",")</f>
        <v>"alkncbflgoakllhkhkjpdabnbebejidl",</v>
      </c>
    </row>
    <row r="4973">
      <c r="A4973" s="4" t="s">
        <v>24152</v>
      </c>
      <c r="B4973" s="4" t="s">
        <v>9910</v>
      </c>
      <c r="C4973" s="16" t="str">
        <f>IFERROR(__xludf.DUMMYFUNCTION(""""""""" &amp; REGEXEXTRACT(B4973, ""/detail/([^/?]+)"") &amp; """""","""),"""alkonpgilhahbbhihdjnamkmckfajmjo"",")</f>
        <v>"alkonpgilhahbbhihdjnamkmckfajmjo",</v>
      </c>
    </row>
    <row r="4974">
      <c r="A4974" s="4" t="s">
        <v>24153</v>
      </c>
      <c r="B4974" s="4" t="s">
        <v>9912</v>
      </c>
      <c r="C4974" s="16" t="str">
        <f>IFERROR(__xludf.DUMMYFUNCTION(""""""""" &amp; REGEXEXTRACT(B4974, ""/detail/([^/?]+)"") &amp; """""","""),"""allahbfbjenjbgjihmjnjcafiebdjgck"",")</f>
        <v>"allahbfbjenjbgjihmjnjcafiebdjgck",</v>
      </c>
    </row>
    <row r="4975">
      <c r="A4975" s="4" t="s">
        <v>24154</v>
      </c>
      <c r="B4975" s="4" t="s">
        <v>9914</v>
      </c>
      <c r="C4975" s="16" t="str">
        <f>IFERROR(__xludf.DUMMYFUNCTION(""""""""" &amp; REGEXEXTRACT(B4975, ""/detail/([^/?]+)"") &amp; """""","""),"""alnoiokdjddbeifhpfifmlgmdpgapmaj"",")</f>
        <v>"alnoiokdjddbeifhpfifmlgmdpgapmaj",</v>
      </c>
    </row>
    <row r="4976">
      <c r="A4976" s="4" t="s">
        <v>24155</v>
      </c>
      <c r="B4976" s="4" t="s">
        <v>9916</v>
      </c>
      <c r="C4976" s="16" t="str">
        <f>IFERROR(__xludf.DUMMYFUNCTION(""""""""" &amp; REGEXEXTRACT(B4976, ""/detail/([^/?]+)"") &amp; """""","""),"""alpkcgejnhlhbolgiedbcfaklbmnicgk"",")</f>
        <v>"alpkcgejnhlhbolgiedbcfaklbmnicgk",</v>
      </c>
    </row>
    <row r="4977">
      <c r="A4977" s="4" t="s">
        <v>24156</v>
      </c>
      <c r="B4977" s="4" t="s">
        <v>9918</v>
      </c>
      <c r="C4977" s="16" t="str">
        <f>IFERROR(__xludf.DUMMYFUNCTION(""""""""" &amp; REGEXEXTRACT(B4977, ""/detail/([^/?]+)"") &amp; """""","""),"""amaegjccccajmhnbcbeagblpdccimoeh"",")</f>
        <v>"amaegjccccajmhnbcbeagblpdccimoeh",</v>
      </c>
    </row>
    <row r="4978">
      <c r="A4978" s="4" t="s">
        <v>24157</v>
      </c>
      <c r="B4978" s="4" t="s">
        <v>9920</v>
      </c>
      <c r="C4978" s="16" t="str">
        <f>IFERROR(__xludf.DUMMYFUNCTION(""""""""" &amp; REGEXEXTRACT(B4978, ""/detail/([^/?]+)"") &amp; """""","""),"""amaobfendgcolppeioeageanmillkmkc"",")</f>
        <v>"amaobfendgcolppeioeageanmillkmkc",</v>
      </c>
    </row>
    <row r="4979">
      <c r="A4979" s="4" t="s">
        <v>24158</v>
      </c>
      <c r="B4979" s="4" t="s">
        <v>9921</v>
      </c>
      <c r="C4979" s="16" t="str">
        <f>IFERROR(__xludf.DUMMYFUNCTION(""""""""" &amp; REGEXEXTRACT(B4979, ""/detail/([^/?]+)"") &amp; """""","""),"""amcdmclnhlmfbbljeaahhbckaieobhmf"",")</f>
        <v>"amcdmclnhlmfbbljeaahhbckaieobhmf",</v>
      </c>
    </row>
    <row r="4980">
      <c r="A4980" s="4" t="s">
        <v>24159</v>
      </c>
      <c r="B4980" s="4" t="s">
        <v>9923</v>
      </c>
      <c r="C4980" s="16" t="str">
        <f>IFERROR(__xludf.DUMMYFUNCTION(""""""""" &amp; REGEXEXTRACT(B4980, ""/detail/([^/?]+)"") &amp; """""","""),"""amcoamjdplaalnjkcbildpnjpfjeiddb"",")</f>
        <v>"amcoamjdplaalnjkcbildpnjpfjeiddb",</v>
      </c>
    </row>
    <row r="4981">
      <c r="A4981" s="4" t="s">
        <v>24160</v>
      </c>
      <c r="B4981" s="4" t="s">
        <v>9925</v>
      </c>
      <c r="C4981" s="16" t="str">
        <f>IFERROR(__xludf.DUMMYFUNCTION(""""""""" &amp; REGEXEXTRACT(B4981, ""/detail/([^/?]+)"") &amp; """""","""),"""amdamgkgchnbaopmphhjapmjcdghdphi"",")</f>
        <v>"amdamgkgchnbaopmphhjapmjcdghdphi",</v>
      </c>
    </row>
    <row r="4982">
      <c r="A4982" s="4" t="s">
        <v>24161</v>
      </c>
      <c r="B4982" s="4" t="s">
        <v>9927</v>
      </c>
      <c r="C4982" s="16" t="str">
        <f>IFERROR(__xludf.DUMMYFUNCTION(""""""""" &amp; REGEXEXTRACT(B4982, ""/detail/([^/?]+)"") &amp; """""","""),"""amdjnhbhdjpkbnjkmnpooebpfcgejahe"",")</f>
        <v>"amdjnhbhdjpkbnjkmnpooebpfcgejahe",</v>
      </c>
    </row>
    <row r="4983">
      <c r="A4983" s="4" t="s">
        <v>24162</v>
      </c>
      <c r="B4983" s="4" t="s">
        <v>9929</v>
      </c>
      <c r="C4983" s="16" t="str">
        <f>IFERROR(__xludf.DUMMYFUNCTION(""""""""" &amp; REGEXEXTRACT(B4983, ""/detail/([^/?]+)"") &amp; """""","""),"""amemccpljobdbgofeleoapbbdomodhpp"",")</f>
        <v>"amemccpljobdbgofeleoapbbdomodhpp",</v>
      </c>
    </row>
    <row r="4984">
      <c r="A4984" s="4" t="s">
        <v>24163</v>
      </c>
      <c r="B4984" s="4" t="s">
        <v>9930</v>
      </c>
      <c r="C4984" s="16" t="str">
        <f>IFERROR(__xludf.DUMMYFUNCTION(""""""""" &amp; REGEXEXTRACT(B4984, ""/detail/([^/?]+)"") &amp; """""","""),"""amhmjfflodkgpefconmdnmconkfhfjmd"",")</f>
        <v>"amhmjfflodkgpefconmdnmconkfhfjmd",</v>
      </c>
    </row>
    <row r="4985">
      <c r="A4985" s="4" t="s">
        <v>24164</v>
      </c>
      <c r="B4985" s="4" t="s">
        <v>9932</v>
      </c>
      <c r="C4985" s="16" t="str">
        <f>IFERROR(__xludf.DUMMYFUNCTION(""""""""" &amp; REGEXEXTRACT(B4985, ""/detail/([^/?]+)"") &amp; """""","""),"""amimeafgcnfidkeknebnfdblmmekifem"",")</f>
        <v>"amimeafgcnfidkeknebnfdblmmekifem",</v>
      </c>
    </row>
    <row r="4986">
      <c r="A4986" s="4" t="s">
        <v>24165</v>
      </c>
      <c r="B4986" s="4" t="s">
        <v>9934</v>
      </c>
      <c r="C4986" s="16" t="str">
        <f>IFERROR(__xludf.DUMMYFUNCTION(""""""""" &amp; REGEXEXTRACT(B4986, ""/detail/([^/?]+)"") &amp; """""","""),"""amkiimcdjebnagigfjakcbhfkflphpbc"",")</f>
        <v>"amkiimcdjebnagigfjakcbhfkflphpbc",</v>
      </c>
    </row>
    <row r="4987">
      <c r="A4987" s="4" t="s">
        <v>24166</v>
      </c>
      <c r="B4987" s="4" t="s">
        <v>9936</v>
      </c>
      <c r="C4987" s="16" t="str">
        <f>IFERROR(__xludf.DUMMYFUNCTION(""""""""" &amp; REGEXEXTRACT(B4987, ""/detail/([^/?]+)"") &amp; """""","""),"""amnikpekgoejcpelejppemiglnhknhoe"",")</f>
        <v>"amnikpekgoejcpelejppemiglnhknhoe",</v>
      </c>
    </row>
    <row r="4988">
      <c r="A4988" s="4" t="s">
        <v>24167</v>
      </c>
      <c r="B4988" s="4" t="s">
        <v>9938</v>
      </c>
      <c r="C4988" s="16" t="str">
        <f>IFERROR(__xludf.DUMMYFUNCTION(""""""""" &amp; REGEXEXTRACT(B4988, ""/detail/([^/?]+)"") &amp; """""","""),"""amojmegbfaaookabgifgaiblfdlgapoj"",")</f>
        <v>"amojmegbfaaookabgifgaiblfdlgapoj",</v>
      </c>
    </row>
    <row r="4989">
      <c r="A4989" s="4" t="s">
        <v>24168</v>
      </c>
      <c r="B4989" s="4" t="s">
        <v>9940</v>
      </c>
      <c r="C4989" s="16" t="str">
        <f>IFERROR(__xludf.DUMMYFUNCTION(""""""""" &amp; REGEXEXTRACT(B4989, ""/detail/([^/?]+)"") &amp; """""","""),"""ampcbcmhaphljheimlmgdodfhlmenmda"",")</f>
        <v>"ampcbcmhaphljheimlmgdodfhlmenmda",</v>
      </c>
    </row>
    <row r="4990">
      <c r="A4990" s="4" t="s">
        <v>24169</v>
      </c>
      <c r="B4990" s="4" t="s">
        <v>9942</v>
      </c>
      <c r="C4990" s="16" t="str">
        <f>IFERROR(__xludf.DUMMYFUNCTION(""""""""" &amp; REGEXEXTRACT(B4990, ""/detail/([^/?]+)"") &amp; """""","""),"""anbgfmfcapconfkbmdplihbaedmfapak"",")</f>
        <v>"anbgfmfcapconfkbmdplihbaedmfapak",</v>
      </c>
    </row>
    <row r="4991">
      <c r="A4991" s="4" t="s">
        <v>24170</v>
      </c>
      <c r="B4991" s="4" t="s">
        <v>9944</v>
      </c>
      <c r="C4991" s="16" t="str">
        <f>IFERROR(__xludf.DUMMYFUNCTION(""""""""" &amp; REGEXEXTRACT(B4991, ""/detail/([^/?]+)"") &amp; """""","""),"""anccajidinkdncpkhbbmgljhfjdgmhcb"",")</f>
        <v>"anccajidinkdncpkhbbmgljhfjdgmhcb",</v>
      </c>
    </row>
    <row r="4992">
      <c r="A4992" s="4" t="s">
        <v>24171</v>
      </c>
      <c r="B4992" s="4" t="s">
        <v>9946</v>
      </c>
      <c r="C4992" s="16" t="str">
        <f>IFERROR(__xludf.DUMMYFUNCTION(""""""""" &amp; REGEXEXTRACT(B4992, ""/detail/([^/?]+)"") &amp; """""","""),"""andfnelfgfdifognepabogfledhdijhn"",")</f>
        <v>"andfnelfgfdifognepabogfledhdijhn",</v>
      </c>
    </row>
    <row r="4993">
      <c r="A4993" s="4" t="s">
        <v>24172</v>
      </c>
      <c r="B4993" s="4" t="s">
        <v>9948</v>
      </c>
      <c r="C4993" s="16" t="str">
        <f>IFERROR(__xludf.DUMMYFUNCTION(""""""""" &amp; REGEXEXTRACT(B4993, ""/detail/([^/?]+)"") &amp; """""","""),"""andkmlcecgmdmbjjjdhifnmjphndgmik"",")</f>
        <v>"andkmlcecgmdmbjjjdhifnmjphndgmik",</v>
      </c>
    </row>
    <row r="4994">
      <c r="A4994" s="4" t="s">
        <v>24173</v>
      </c>
      <c r="B4994" s="4" t="s">
        <v>9950</v>
      </c>
      <c r="C4994" s="16" t="str">
        <f>IFERROR(__xludf.DUMMYFUNCTION(""""""""" &amp; REGEXEXTRACT(B4994, ""/detail/([^/?]+)"") &amp; """""","""),"""andlmjmbnlaamloflnelcafcnkiplhkc"",")</f>
        <v>"andlmjmbnlaamloflnelcafcnkiplhkc",</v>
      </c>
    </row>
    <row r="4995">
      <c r="A4995" s="4" t="s">
        <v>24174</v>
      </c>
      <c r="B4995" s="4" t="s">
        <v>9952</v>
      </c>
      <c r="C4995" s="16" t="str">
        <f>IFERROR(__xludf.DUMMYFUNCTION(""""""""" &amp; REGEXEXTRACT(B4995, ""/detail/([^/?]+)"") &amp; """""","""),"""anicnllbmigahjhkajnbjanfjdlofcof"",")</f>
        <v>"anicnllbmigahjhkajnbjanfjdlofcof",</v>
      </c>
    </row>
    <row r="4996">
      <c r="A4996" s="4" t="s">
        <v>24175</v>
      </c>
      <c r="B4996" s="4" t="s">
        <v>9954</v>
      </c>
      <c r="C4996" s="16" t="str">
        <f>IFERROR(__xludf.DUMMYFUNCTION(""""""""" &amp; REGEXEXTRACT(B4996, ""/detail/([^/?]+)"") &amp; """""","""),"""anjdemaoejlpgmnmkijdemoiebcddhkc"",")</f>
        <v>"anjdemaoejlpgmnmkijdemoiebcddhkc",</v>
      </c>
    </row>
    <row r="4997">
      <c r="A4997" s="4" t="s">
        <v>24176</v>
      </c>
      <c r="B4997" s="4" t="s">
        <v>9956</v>
      </c>
      <c r="C4997" s="16" t="str">
        <f>IFERROR(__xludf.DUMMYFUNCTION(""""""""" &amp; REGEXEXTRACT(B4997, ""/detail/([^/?]+)"") &amp; """""","""),"""anoeoicpaambkpaglbpghmjkhellkgld"",")</f>
        <v>"anoeoicpaambkpaglbpghmjkhellkgld",</v>
      </c>
    </row>
    <row r="4998">
      <c r="A4998" s="4" t="s">
        <v>24177</v>
      </c>
      <c r="B4998" s="4" t="s">
        <v>9958</v>
      </c>
      <c r="C4998" s="16" t="str">
        <f>IFERROR(__xludf.DUMMYFUNCTION(""""""""" &amp; REGEXEXTRACT(B4998, ""/detail/([^/?]+)"") &amp; """""","""),"""aoaahllfacofmpgcecdinikdmpkbnhhf"",")</f>
        <v>"aoaahllfacofmpgcecdinikdmpkbnhhf",</v>
      </c>
    </row>
    <row r="4999">
      <c r="A4999" s="4" t="s">
        <v>24178</v>
      </c>
      <c r="B4999" s="4" t="s">
        <v>9960</v>
      </c>
      <c r="C4999" s="16" t="str">
        <f>IFERROR(__xludf.DUMMYFUNCTION(""""""""" &amp; REGEXEXTRACT(B4999, ""/detail/([^/?]+)"") &amp; """""","""),"""aoakbimfnggbhoplpfcpeifgbigmpepl"",")</f>
        <v>"aoakbimfnggbhoplpfcpeifgbigmpepl",</v>
      </c>
    </row>
    <row r="5000">
      <c r="A5000" s="4" t="s">
        <v>24179</v>
      </c>
      <c r="B5000" s="4" t="s">
        <v>9962</v>
      </c>
      <c r="C5000" s="16" t="str">
        <f>IFERROR(__xludf.DUMMYFUNCTION(""""""""" &amp; REGEXEXTRACT(B5000, ""/detail/([^/?]+)"") &amp; """""","""),"""aobclpbhnodnafnndcfgfecfeloganfm"",")</f>
        <v>"aobclpbhnodnafnndcfgfecfeloganfm",</v>
      </c>
    </row>
    <row r="5001">
      <c r="A5001" s="4" t="s">
        <v>24180</v>
      </c>
      <c r="B5001" s="4" t="s">
        <v>9964</v>
      </c>
      <c r="C5001" s="16" t="str">
        <f>IFERROR(__xludf.DUMMYFUNCTION(""""""""" &amp; REGEXEXTRACT(B5001, ""/detail/([^/?]+)"") &amp; """""","""),"""aoccnobecmopgekhnaaoepdggjonjpka"",")</f>
        <v>"aoccnobecmopgekhnaaoepdggjonjpka",</v>
      </c>
    </row>
    <row r="5002">
      <c r="A5002" s="4" t="s">
        <v>24181</v>
      </c>
      <c r="B5002" s="4" t="s">
        <v>9966</v>
      </c>
      <c r="C5002" s="16" t="str">
        <f>IFERROR(__xludf.DUMMYFUNCTION(""""""""" &amp; REGEXEXTRACT(B5002, ""/detail/([^/?]+)"") &amp; """""","""),"""aocpbgdpicmnhplofeepiklfcpjdenbe"",")</f>
        <v>"aocpbgdpicmnhplofeepiklfcpjdenbe",</v>
      </c>
    </row>
    <row r="5003">
      <c r="A5003" s="4" t="s">
        <v>24182</v>
      </c>
      <c r="B5003" s="4" t="s">
        <v>9968</v>
      </c>
      <c r="C5003" s="16" t="str">
        <f>IFERROR(__xludf.DUMMYFUNCTION(""""""""" &amp; REGEXEXTRACT(B5003, ""/detail/([^/?]+)"") &amp; """""","""),"""aoecgfchadicbnhkhcjlijknmjkbkcng"",")</f>
        <v>"aoecgfchadicbnhkhcjlijknmjkbkcng",</v>
      </c>
    </row>
    <row r="5004">
      <c r="A5004" s="4" t="s">
        <v>24183</v>
      </c>
      <c r="B5004" s="4" t="s">
        <v>9970</v>
      </c>
      <c r="C5004" s="16" t="str">
        <f>IFERROR(__xludf.DUMMYFUNCTION(""""""""" &amp; REGEXEXTRACT(B5004, ""/detail/([^/?]+)"") &amp; """""","""),"""aoffgjejcepnijgahpckhajchahfpojo"",")</f>
        <v>"aoffgjejcepnijgahpckhajchahfpojo",</v>
      </c>
    </row>
    <row r="5005">
      <c r="A5005" s="4" t="s">
        <v>24184</v>
      </c>
      <c r="B5005" s="4" t="s">
        <v>9972</v>
      </c>
      <c r="C5005" s="16" t="str">
        <f>IFERROR(__xludf.DUMMYFUNCTION(""""""""" &amp; REGEXEXTRACT(B5005, ""/detail/([^/?]+)"") &amp; """""","""),"""aofnmlfiomopkmgdngoehlndjcinbhfb"",")</f>
        <v>"aofnmlfiomopkmgdngoehlndjcinbhfb",</v>
      </c>
    </row>
    <row r="5006">
      <c r="A5006" s="4" t="s">
        <v>24185</v>
      </c>
      <c r="B5006" s="4" t="s">
        <v>9974</v>
      </c>
      <c r="C5006" s="16" t="str">
        <f>IFERROR(__xludf.DUMMYFUNCTION(""""""""" &amp; REGEXEXTRACT(B5006, ""/detail/([^/?]+)"") &amp; """""","""),"""aohkhnpidgppmajhhkldcdelanphdmhp"",")</f>
        <v>"aohkhnpidgppmajhhkldcdelanphdmhp",</v>
      </c>
    </row>
    <row r="5007">
      <c r="A5007" s="4" t="s">
        <v>24186</v>
      </c>
      <c r="B5007" s="4" t="s">
        <v>9976</v>
      </c>
      <c r="C5007" s="16" t="str">
        <f>IFERROR(__xludf.DUMMYFUNCTION(""""""""" &amp; REGEXEXTRACT(B5007, ""/detail/([^/?]+)"") &amp; """""","""),"""aohofenjhojnoploandaecgkfejilimm"",")</f>
        <v>"aohofenjhojnoploandaecgkfejilimm",</v>
      </c>
    </row>
    <row r="5008">
      <c r="A5008" s="4" t="s">
        <v>24187</v>
      </c>
      <c r="B5008" s="4" t="s">
        <v>9978</v>
      </c>
      <c r="C5008" s="16" t="str">
        <f>IFERROR(__xludf.DUMMYFUNCTION(""""""""" &amp; REGEXEXTRACT(B5008, ""/detail/([^/?]+)"") &amp; """""","""),"""aoiefhmcmanhakljccjnpcplcbejmflo"",")</f>
        <v>"aoiefhmcmanhakljccjnpcplcbejmflo",</v>
      </c>
    </row>
    <row r="5009">
      <c r="A5009" s="4" t="s">
        <v>24188</v>
      </c>
      <c r="B5009" s="4" t="s">
        <v>9980</v>
      </c>
      <c r="C5009" s="16" t="str">
        <f>IFERROR(__xludf.DUMMYFUNCTION(""""""""" &amp; REGEXEXTRACT(B5009, ""/detail/([^/?]+)"") &amp; """""","""),"""aomgehfnddilfkjooooihdnjeabknepl"",")</f>
        <v>"aomgehfnddilfkjooooihdnjeabknepl",</v>
      </c>
    </row>
    <row r="5010">
      <c r="A5010" s="4" t="s">
        <v>24189</v>
      </c>
      <c r="B5010" s="4" t="s">
        <v>9982</v>
      </c>
      <c r="C5010" s="16" t="str">
        <f>IFERROR(__xludf.DUMMYFUNCTION(""""""""" &amp; REGEXEXTRACT(B5010, ""/detail/([^/?]+)"") &amp; """""","""),"""aomlalciknfklfplgkpfehlfnnokafaa"",")</f>
        <v>"aomlalciknfklfplgkpfehlfnnokafaa",</v>
      </c>
    </row>
    <row r="5011">
      <c r="A5011" s="4" t="s">
        <v>24190</v>
      </c>
      <c r="B5011" s="4" t="s">
        <v>9984</v>
      </c>
      <c r="C5011" s="16" t="str">
        <f>IFERROR(__xludf.DUMMYFUNCTION(""""""""" &amp; REGEXEXTRACT(B5011, ""/detail/([^/?]+)"") &amp; """""","""),"""aomnlmcemihejgfkeplljkcelfpneakg"",")</f>
        <v>"aomnlmcemihejgfkeplljkcelfpneakg",</v>
      </c>
    </row>
    <row r="5012">
      <c r="A5012" s="4" t="s">
        <v>24191</v>
      </c>
      <c r="B5012" s="4" t="s">
        <v>9986</v>
      </c>
      <c r="C5012" s="16" t="str">
        <f>IFERROR(__xludf.DUMMYFUNCTION(""""""""" &amp; REGEXEXTRACT(B5012, ""/detail/([^/?]+)"") &amp; """""","""),"""aonddenfffjaplkipofnfeaikmkajhmj"",")</f>
        <v>"aonddenfffjaplkipofnfeaikmkajhmj",</v>
      </c>
    </row>
    <row r="5013">
      <c r="A5013" s="4" t="s">
        <v>24192</v>
      </c>
      <c r="B5013" s="4" t="s">
        <v>9988</v>
      </c>
      <c r="C5013" s="16" t="str">
        <f>IFERROR(__xludf.DUMMYFUNCTION(""""""""" &amp; REGEXEXTRACT(B5013, ""/detail/([^/?]+)"") &amp; """""","""),"""aonhflmdemlehgbnfmhpdmoeeolokelm"",")</f>
        <v>"aonhflmdemlehgbnfmhpdmoeeolokelm",</v>
      </c>
    </row>
    <row r="5014">
      <c r="A5014" s="4" t="s">
        <v>24193</v>
      </c>
      <c r="B5014" s="4" t="s">
        <v>9990</v>
      </c>
      <c r="C5014" s="16" t="str">
        <f>IFERROR(__xludf.DUMMYFUNCTION(""""""""" &amp; REGEXEXTRACT(B5014, ""/detail/([^/?]+)"") &amp; """""","""),"""aoodnpmllpdgcfcgdnminmifngcppaln"",")</f>
        <v>"aoodnpmllpdgcfcgdnminmifngcppaln",</v>
      </c>
    </row>
    <row r="5015">
      <c r="A5015" s="4" t="s">
        <v>24194</v>
      </c>
      <c r="B5015" s="4" t="s">
        <v>9992</v>
      </c>
      <c r="C5015" s="16" t="str">
        <f>IFERROR(__xludf.DUMMYFUNCTION(""""""""" &amp; REGEXEXTRACT(B5015, ""/detail/([^/?]+)"") &amp; """""","""),"""aoofnmlljjgifabglpelnbmipdfnfflk"",")</f>
        <v>"aoofnmlljjgifabglpelnbmipdfnfflk",</v>
      </c>
    </row>
    <row r="5016">
      <c r="A5016" s="4" t="s">
        <v>24195</v>
      </c>
      <c r="B5016" s="4" t="s">
        <v>9994</v>
      </c>
      <c r="C5016" s="16" t="str">
        <f>IFERROR(__xludf.DUMMYFUNCTION(""""""""" &amp; REGEXEXTRACT(B5016, ""/detail/([^/?]+)"") &amp; """""","""),"""apbbkgiadnodlonfadecfkpjkfakklnf"",")</f>
        <v>"apbbkgiadnodlonfadecfkpjkfakklnf",</v>
      </c>
    </row>
    <row r="5017">
      <c r="A5017" s="4" t="s">
        <v>24196</v>
      </c>
      <c r="B5017" s="4" t="s">
        <v>9996</v>
      </c>
      <c r="C5017" s="16" t="str">
        <f>IFERROR(__xludf.DUMMYFUNCTION(""""""""" &amp; REGEXEXTRACT(B5017, ""/detail/([^/?]+)"") &amp; """""","""),"""apbdfongpgacifbamjfogfncjjhkaeih"",")</f>
        <v>"apbdfongpgacifbamjfogfncjjhkaeih",</v>
      </c>
    </row>
    <row r="5018">
      <c r="A5018" s="4" t="s">
        <v>24197</v>
      </c>
      <c r="B5018" s="4" t="s">
        <v>9998</v>
      </c>
      <c r="C5018" s="16" t="str">
        <f>IFERROR(__xludf.DUMMYFUNCTION(""""""""" &amp; REGEXEXTRACT(B5018, ""/detail/([^/?]+)"") &amp; """""","""),"""apchbjkblfhmkohghpnhidldebmpmjnn"",")</f>
        <v>"apchbjkblfhmkohghpnhidldebmpmjnn",</v>
      </c>
    </row>
    <row r="5019">
      <c r="A5019" s="4" t="s">
        <v>24198</v>
      </c>
      <c r="B5019" s="4" t="s">
        <v>10000</v>
      </c>
      <c r="C5019" s="16" t="str">
        <f>IFERROR(__xludf.DUMMYFUNCTION(""""""""" &amp; REGEXEXTRACT(B5019, ""/detail/([^/?]+)"") &amp; """""","""),"""apdmmebfdjlefbomdafjgbfjipjocdof"",")</f>
        <v>"apdmmebfdjlefbomdafjgbfjipjocdof",</v>
      </c>
    </row>
    <row r="5020">
      <c r="A5020" s="4" t="s">
        <v>24199</v>
      </c>
      <c r="B5020" s="4" t="s">
        <v>10002</v>
      </c>
      <c r="C5020" s="16" t="str">
        <f>IFERROR(__xludf.DUMMYFUNCTION(""""""""" &amp; REGEXEXTRACT(B5020, ""/detail/([^/?]+)"") &amp; """""","""),"""apfgghagliglfkgbfebfaedpdcnkhofd"",")</f>
        <v>"apfgghagliglfkgbfebfaedpdcnkhofd",</v>
      </c>
    </row>
    <row r="5021">
      <c r="A5021" s="4" t="s">
        <v>24200</v>
      </c>
      <c r="B5021" s="4" t="s">
        <v>10004</v>
      </c>
      <c r="C5021" s="16" t="str">
        <f>IFERROR(__xludf.DUMMYFUNCTION(""""""""" &amp; REGEXEXTRACT(B5021, ""/detail/([^/?]+)"") &amp; """""","""),"""apgeooocopnncglmnlngfpgggkmlcldf"",")</f>
        <v>"apgeooocopnncglmnlngfpgggkmlcldf",</v>
      </c>
    </row>
    <row r="5022">
      <c r="A5022" s="4" t="s">
        <v>24201</v>
      </c>
      <c r="B5022" s="4" t="s">
        <v>10006</v>
      </c>
      <c r="C5022" s="16" t="str">
        <f>IFERROR(__xludf.DUMMYFUNCTION(""""""""" &amp; REGEXEXTRACT(B5022, ""/detail/([^/?]+)"") &amp; """""","""),"""apijflpiliibpaeafcafebcedpolhnnf"",")</f>
        <v>"apijflpiliibpaeafcafebcedpolhnnf",</v>
      </c>
    </row>
    <row r="5023">
      <c r="A5023" s="4" t="s">
        <v>24202</v>
      </c>
      <c r="B5023" s="4" t="s">
        <v>10008</v>
      </c>
      <c r="C5023" s="16" t="str">
        <f>IFERROR(__xludf.DUMMYFUNCTION(""""""""" &amp; REGEXEXTRACT(B5023, ""/detail/([^/?]+)"") &amp; """""","""),"""apmihaoaadgaodjcbipfjbbiaokopfli"",")</f>
        <v>"apmihaoaadgaodjcbipfjbbiaokopfli",</v>
      </c>
    </row>
    <row r="5024">
      <c r="A5024" s="4" t="s">
        <v>24203</v>
      </c>
      <c r="B5024" s="4" t="s">
        <v>10010</v>
      </c>
      <c r="C5024" s="16" t="str">
        <f>IFERROR(__xludf.DUMMYFUNCTION(""""""""" &amp; REGEXEXTRACT(B5024, ""/detail/([^/?]+)"") &amp; """""","""),"""apnehcjmnengpnmccpaibjmhhoadaico"",")</f>
        <v>"apnehcjmnengpnmccpaibjmhhoadaico",</v>
      </c>
    </row>
    <row r="5025">
      <c r="A5025" s="4" t="s">
        <v>24204</v>
      </c>
      <c r="B5025" s="4" t="s">
        <v>10012</v>
      </c>
      <c r="C5025" s="16" t="str">
        <f>IFERROR(__xludf.DUMMYFUNCTION(""""""""" &amp; REGEXEXTRACT(B5025, ""/detail/([^/?]+)"") &amp; """""","""),"""appdlcdpfallkkdchdeipbhpenmkegmo"",")</f>
        <v>"appdlcdpfallkkdchdeipbhpenmkegmo",</v>
      </c>
    </row>
    <row r="5026">
      <c r="A5026" s="4" t="s">
        <v>24205</v>
      </c>
      <c r="B5026" s="4" t="s">
        <v>10014</v>
      </c>
      <c r="C5026" s="16" t="str">
        <f>IFERROR(__xludf.DUMMYFUNCTION(""""""""" &amp; REGEXEXTRACT(B5026, ""/detail/([^/?]+)"") &amp; """""","""),"""apphiaafegobpghejnfcgehkffmllmkf"",")</f>
        <v>"apphiaafegobpghejnfcgehkffmllmkf",</v>
      </c>
    </row>
    <row r="5027">
      <c r="A5027" s="4" t="s">
        <v>24206</v>
      </c>
      <c r="B5027" s="4" t="s">
        <v>10016</v>
      </c>
      <c r="C5027" s="16" t="str">
        <f>IFERROR(__xludf.DUMMYFUNCTION(""""""""" &amp; REGEXEXTRACT(B5027, ""/detail/([^/?]+)"") &amp; """""","""),"""appmfmkomidhmcnkdkjcnhdonjppnajo"",")</f>
        <v>"appmfmkomidhmcnkdkjcnhdonjppnajo",</v>
      </c>
    </row>
    <row r="5028">
      <c r="A5028" s="4" t="s">
        <v>24207</v>
      </c>
      <c r="B5028" s="4" t="s">
        <v>10018</v>
      </c>
      <c r="C5028" s="16" t="str">
        <f>IFERROR(__xludf.DUMMYFUNCTION(""""""""" &amp; REGEXEXTRACT(B5028, ""/detail/([^/?]+)"") &amp; """""","""),"""baabbccjecolffbbbikjcmdnpfdnpimi"",")</f>
        <v>"baabbccjecolffbbbikjcmdnpfdnpimi",</v>
      </c>
    </row>
    <row r="5029">
      <c r="A5029" s="4" t="s">
        <v>24208</v>
      </c>
      <c r="B5029" s="4" t="s">
        <v>10020</v>
      </c>
      <c r="C5029" s="16" t="str">
        <f>IFERROR(__xludf.DUMMYFUNCTION(""""""""" &amp; REGEXEXTRACT(B5029, ""/detail/([^/?]+)"") &amp; """""","""),"""baabmfbgjcnooapabhjehpakihoihmin"",")</f>
        <v>"baabmfbgjcnooapabhjehpakihoihmin",</v>
      </c>
    </row>
    <row r="5030">
      <c r="A5030" s="4" t="s">
        <v>24209</v>
      </c>
      <c r="B5030" s="4" t="s">
        <v>10022</v>
      </c>
      <c r="C5030" s="16" t="str">
        <f>IFERROR(__xludf.DUMMYFUNCTION(""""""""" &amp; REGEXEXTRACT(B5030, ""/detail/([^/?]+)"") &amp; """""","""),"""baacpbikplogpeecclpnajnlghmcldkb"",")</f>
        <v>"baacpbikplogpeecclpnajnlghmcldkb",</v>
      </c>
    </row>
    <row r="5031">
      <c r="A5031" s="4" t="s">
        <v>24210</v>
      </c>
      <c r="B5031" s="4" t="s">
        <v>10024</v>
      </c>
      <c r="C5031" s="16" t="str">
        <f>IFERROR(__xludf.DUMMYFUNCTION(""""""""" &amp; REGEXEXTRACT(B5031, ""/detail/([^/?]+)"") &amp; """""","""),"""baahcllkjamainfhhdimbnipdlaeappd"",")</f>
        <v>"baahcllkjamainfhhdimbnipdlaeappd",</v>
      </c>
    </row>
    <row r="5032">
      <c r="A5032" s="4" t="s">
        <v>24211</v>
      </c>
      <c r="B5032" s="4" t="s">
        <v>10026</v>
      </c>
      <c r="C5032" s="16" t="str">
        <f>IFERROR(__xludf.DUMMYFUNCTION(""""""""" &amp; REGEXEXTRACT(B5032, ""/detail/([^/?]+)"") &amp; """""","""),"""babkffilagdlhoeopgfnhfnomhicjodj"",")</f>
        <v>"babkffilagdlhoeopgfnhfnomhicjodj",</v>
      </c>
    </row>
    <row r="5033">
      <c r="A5033" s="4" t="s">
        <v>24212</v>
      </c>
      <c r="B5033" s="4" t="s">
        <v>10028</v>
      </c>
      <c r="C5033" s="16" t="str">
        <f>IFERROR(__xludf.DUMMYFUNCTION(""""""""" &amp; REGEXEXTRACT(B5033, ""/detail/([^/?]+)"") &amp; """""","""),"""badmdnllifhdfanpmjmcmijnbecncncl"",")</f>
        <v>"badmdnllifhdfanpmjmcmijnbecncncl",</v>
      </c>
    </row>
    <row r="5034">
      <c r="A5034" s="4" t="s">
        <v>24213</v>
      </c>
      <c r="B5034" s="4" t="s">
        <v>10030</v>
      </c>
      <c r="C5034" s="16" t="str">
        <f>IFERROR(__xludf.DUMMYFUNCTION(""""""""" &amp; REGEXEXTRACT(B5034, ""/detail/([^/?]+)"") &amp; """""","""),"""bafffofgkhnjkbhlbbofconbfecknejm"",")</f>
        <v>"bafffofgkhnjkbhlbbofconbfecknejm",</v>
      </c>
    </row>
    <row r="5035">
      <c r="A5035" s="4" t="s">
        <v>24214</v>
      </c>
      <c r="B5035" s="4" t="s">
        <v>10032</v>
      </c>
      <c r="C5035" s="16" t="str">
        <f>IFERROR(__xludf.DUMMYFUNCTION(""""""""" &amp; REGEXEXTRACT(B5035, ""/detail/([^/?]+)"") &amp; """""","""),"""bahejodllcomogcpgnidcdaiidfmhomh"",")</f>
        <v>"bahejodllcomogcpgnidcdaiidfmhomh",</v>
      </c>
    </row>
    <row r="5036">
      <c r="A5036" s="4" t="s">
        <v>24215</v>
      </c>
      <c r="B5036" s="4" t="s">
        <v>10034</v>
      </c>
      <c r="C5036" s="16" t="str">
        <f>IFERROR(__xludf.DUMMYFUNCTION(""""""""" &amp; REGEXEXTRACT(B5036, ""/detail/([^/?]+)"") &amp; """""","""),"""baijfcmfhpidbpgdhjoicghmodpklhel"",")</f>
        <v>"baijfcmfhpidbpgdhjoicghmodpklhel",</v>
      </c>
    </row>
    <row r="5037">
      <c r="A5037" s="4" t="s">
        <v>24216</v>
      </c>
      <c r="B5037" s="4" t="s">
        <v>10036</v>
      </c>
      <c r="C5037" s="16" t="str">
        <f>IFERROR(__xludf.DUMMYFUNCTION(""""""""" &amp; REGEXEXTRACT(B5037, ""/detail/([^/?]+)"") &amp; """""","""),"""bajifjohhghngljcfhkbpcggafpiajdo"",")</f>
        <v>"bajifjohhghngljcfhkbpcggafpiajdo",</v>
      </c>
    </row>
    <row r="5038">
      <c r="A5038" s="4" t="s">
        <v>24217</v>
      </c>
      <c r="B5038" s="4" t="s">
        <v>10038</v>
      </c>
      <c r="C5038" s="16" t="str">
        <f>IFERROR(__xludf.DUMMYFUNCTION(""""""""" &amp; REGEXEXTRACT(B5038, ""/detail/([^/?]+)"") &amp; """""","""),"""bajpeikcdohkooafedafajhfkacihiod"",")</f>
        <v>"bajpeikcdohkooafedafajhfkacihiod",</v>
      </c>
    </row>
    <row r="5039">
      <c r="A5039" s="4" t="s">
        <v>24218</v>
      </c>
      <c r="B5039" s="4" t="s">
        <v>10039</v>
      </c>
      <c r="C5039" s="16" t="str">
        <f>IFERROR(__xludf.DUMMYFUNCTION(""""""""" &amp; REGEXEXTRACT(B5039, ""/detail/([^/?]+)"") &amp; """""","""),"""bbahpklmeonhcijijenbnjecpdokmaeg"",")</f>
        <v>"bbahpklmeonhcijijenbnjecpdokmaeg",</v>
      </c>
    </row>
    <row r="5040">
      <c r="A5040" s="4" t="s">
        <v>24219</v>
      </c>
      <c r="B5040" s="4" t="s">
        <v>10041</v>
      </c>
      <c r="C5040" s="16" t="str">
        <f>IFERROR(__xludf.DUMMYFUNCTION(""""""""" &amp; REGEXEXTRACT(B5040, ""/detail/([^/?]+)"") &amp; """""","""),"""bbakonnkdadhgdlcnkfefpepeiabaacp"",")</f>
        <v>"bbakonnkdadhgdlcnkfefpepeiabaacp",</v>
      </c>
    </row>
    <row r="5041">
      <c r="A5041" s="4" t="s">
        <v>24220</v>
      </c>
      <c r="B5041" s="4" t="s">
        <v>10043</v>
      </c>
      <c r="C5041" s="16" t="str">
        <f>IFERROR(__xludf.DUMMYFUNCTION(""""""""" &amp; REGEXEXTRACT(B5041, ""/detail/([^/?]+)"") &amp; """""","""),"""bbgoecbaifekpocglagjffnlbdmnlkmn"",")</f>
        <v>"bbgoecbaifekpocglagjffnlbdmnlkmn",</v>
      </c>
    </row>
    <row r="5042">
      <c r="A5042" s="4" t="s">
        <v>24221</v>
      </c>
      <c r="B5042" s="4" t="s">
        <v>10045</v>
      </c>
      <c r="C5042" s="16" t="str">
        <f>IFERROR(__xludf.DUMMYFUNCTION(""""""""" &amp; REGEXEXTRACT(B5042, ""/detail/([^/?]+)"") &amp; """""","""),"""bbleianliopbinjkpnmnhikiplblaifl"",")</f>
        <v>"bbleianliopbinjkpnmnhikiplblaifl",</v>
      </c>
    </row>
    <row r="5043">
      <c r="A5043" s="4" t="s">
        <v>24222</v>
      </c>
      <c r="B5043" s="4" t="s">
        <v>10047</v>
      </c>
      <c r="C5043" s="16" t="str">
        <f>IFERROR(__xludf.DUMMYFUNCTION(""""""""" &amp; REGEXEXTRACT(B5043, ""/detail/([^/?]+)"") &amp; """""","""),"""bbmdccojdbpcpmoadenplnoncfcijgkn"",")</f>
        <v>"bbmdccojdbpcpmoadenplnoncfcijgkn",</v>
      </c>
    </row>
    <row r="5044">
      <c r="A5044" s="4" t="s">
        <v>24223</v>
      </c>
      <c r="B5044" s="4" t="s">
        <v>10049</v>
      </c>
      <c r="C5044" s="16" t="str">
        <f>IFERROR(__xludf.DUMMYFUNCTION(""""""""" &amp; REGEXEXTRACT(B5044, ""/detail/([^/?]+)"") &amp; """""","""),"""bbompmbliibpeaaloikpoahdokhjdmeg"",")</f>
        <v>"bbompmbliibpeaaloikpoahdokhjdmeg",</v>
      </c>
    </row>
    <row r="5045">
      <c r="A5045" s="4" t="s">
        <v>24224</v>
      </c>
      <c r="B5045" s="4" t="s">
        <v>10050</v>
      </c>
      <c r="C5045" s="16" t="str">
        <f>IFERROR(__xludf.DUMMYFUNCTION(""""""""" &amp; REGEXEXTRACT(B5045, ""/detail/([^/?]+)"") &amp; """""","""),"""bbonbhlfjgpahljegfaibcgpchflglnl"",")</f>
        <v>"bbonbhlfjgpahljegfaibcgpchflglnl",</v>
      </c>
    </row>
    <row r="5046">
      <c r="A5046" s="4" t="s">
        <v>24225</v>
      </c>
      <c r="B5046" s="4" t="s">
        <v>10052</v>
      </c>
      <c r="C5046" s="16" t="str">
        <f>IFERROR(__xludf.DUMMYFUNCTION(""""""""" &amp; REGEXEXTRACT(B5046, ""/detail/([^/?]+)"") &amp; """""","""),"""bcabhalplnnjfbmnhbcdbphgcehcapme"",")</f>
        <v>"bcabhalplnnjfbmnhbcdbphgcehcapme",</v>
      </c>
    </row>
    <row r="5047">
      <c r="A5047" s="4" t="s">
        <v>24226</v>
      </c>
      <c r="B5047" s="4" t="s">
        <v>10054</v>
      </c>
      <c r="C5047" s="16" t="str">
        <f>IFERROR(__xludf.DUMMYFUNCTION(""""""""" &amp; REGEXEXTRACT(B5047, ""/detail/([^/?]+)"") &amp; """""","""),"""bcbgcioblphgimgphgmjnkjcioagnppe"",")</f>
        <v>"bcbgcioblphgimgphgmjnkjcioagnppe",</v>
      </c>
    </row>
    <row r="5048">
      <c r="A5048" s="4" t="s">
        <v>24227</v>
      </c>
      <c r="B5048" s="4" t="s">
        <v>10056</v>
      </c>
      <c r="C5048" s="16" t="str">
        <f>IFERROR(__xludf.DUMMYFUNCTION(""""""""" &amp; REGEXEXTRACT(B5048, ""/detail/([^/?]+)"") &amp; """""","""),"""bcfgcokeemmbilmcfepjpfelbjfbnkpa"",")</f>
        <v>"bcfgcokeemmbilmcfepjpfelbjfbnkpa",</v>
      </c>
    </row>
    <row r="5049">
      <c r="A5049" s="4" t="s">
        <v>24228</v>
      </c>
      <c r="B5049" s="4" t="s">
        <v>10058</v>
      </c>
      <c r="C5049" s="16" t="str">
        <f>IFERROR(__xludf.DUMMYFUNCTION(""""""""" &amp; REGEXEXTRACT(B5049, ""/detail/([^/?]+)"") &amp; """""","""),"""bcgjilfclghcobokbhdfphmpjkbbjlli"",")</f>
        <v>"bcgjilfclghcobokbhdfphmpjkbbjlli",</v>
      </c>
    </row>
    <row r="5050">
      <c r="A5050" s="4" t="s">
        <v>24229</v>
      </c>
      <c r="B5050" s="4" t="s">
        <v>10060</v>
      </c>
      <c r="C5050" s="16" t="str">
        <f>IFERROR(__xludf.DUMMYFUNCTION(""""""""" &amp; REGEXEXTRACT(B5050, ""/detail/([^/?]+)"") &amp; """""","""),"""bcmfandagknmpnambbppcpgclkccgigb"",")</f>
        <v>"bcmfandagknmpnambbppcpgclkccgigb",</v>
      </c>
    </row>
    <row r="5051">
      <c r="A5051" s="4" t="s">
        <v>24230</v>
      </c>
      <c r="B5051" s="4" t="s">
        <v>10062</v>
      </c>
      <c r="C5051" s="16" t="str">
        <f>IFERROR(__xludf.DUMMYFUNCTION(""""""""" &amp; REGEXEXTRACT(B5051, ""/detail/([^/?]+)"") &amp; """""","""),"""bcnniocfbnmaiakhpgpeicghfogdjfhe"",")</f>
        <v>"bcnniocfbnmaiakhpgpeicghfogdjfhe",</v>
      </c>
    </row>
    <row r="5052">
      <c r="A5052" s="4" t="s">
        <v>24231</v>
      </c>
      <c r="B5052" s="4" t="s">
        <v>10064</v>
      </c>
      <c r="C5052" s="16" t="str">
        <f>IFERROR(__xludf.DUMMYFUNCTION(""""""""" &amp; REGEXEXTRACT(B5052, ""/detail/([^/?]+)"") &amp; """""","""),"""bcomnokcdhnbgdfkmfeccgllodflglpm"",")</f>
        <v>"bcomnokcdhnbgdfkmfeccgllodflglpm",</v>
      </c>
    </row>
    <row r="5053">
      <c r="A5053" s="4" t="s">
        <v>24232</v>
      </c>
      <c r="B5053" s="4" t="s">
        <v>10066</v>
      </c>
      <c r="C5053" s="16" t="str">
        <f>IFERROR(__xludf.DUMMYFUNCTION(""""""""" &amp; REGEXEXTRACT(B5053, ""/detail/([^/?]+)"") &amp; """""","""),"""bcopgchhojmggmffilplmbdicgaihlkp"",")</f>
        <v>"bcopgchhojmggmffilplmbdicgaihlkp",</v>
      </c>
    </row>
    <row r="5054">
      <c r="A5054" s="4" t="s">
        <v>24233</v>
      </c>
      <c r="B5054" s="4" t="s">
        <v>10068</v>
      </c>
      <c r="C5054" s="16" t="str">
        <f>IFERROR(__xludf.DUMMYFUNCTION(""""""""" &amp; REGEXEXTRACT(B5054, ""/detail/([^/?]+)"") &amp; """""","""),"""bcpojjdknociedamabgdfhnlhnggkpao"",")</f>
        <v>"bcpojjdknociedamabgdfhnlhnggkpao",</v>
      </c>
    </row>
    <row r="5055">
      <c r="A5055" s="4" t="s">
        <v>24234</v>
      </c>
      <c r="B5055" s="4" t="s">
        <v>10070</v>
      </c>
      <c r="C5055" s="16" t="str">
        <f>IFERROR(__xludf.DUMMYFUNCTION(""""""""" &amp; REGEXEXTRACT(B5055, ""/detail/([^/?]+)"") &amp; """""","""),"""bdbcimadaoejfgjpfjbddaficolnbndi"",")</f>
        <v>"bdbcimadaoejfgjpfjbddaficolnbndi",</v>
      </c>
    </row>
    <row r="5056">
      <c r="A5056" s="4" t="s">
        <v>24235</v>
      </c>
      <c r="B5056" s="4" t="s">
        <v>10072</v>
      </c>
      <c r="C5056" s="16" t="str">
        <f>IFERROR(__xludf.DUMMYFUNCTION(""""""""" &amp; REGEXEXTRACT(B5056, ""/detail/([^/?]+)"") &amp; """""","""),"""bdfpcaniedneocakpdjdpilpeinifnni"",")</f>
        <v>"bdfpcaniedneocakpdjdpilpeinifnni",</v>
      </c>
    </row>
    <row r="5057">
      <c r="A5057" s="4" t="s">
        <v>24236</v>
      </c>
      <c r="B5057" s="4" t="s">
        <v>10074</v>
      </c>
      <c r="C5057" s="16" t="str">
        <f>IFERROR(__xludf.DUMMYFUNCTION(""""""""" &amp; REGEXEXTRACT(B5057, ""/detail/([^/?]+)"") &amp; """""","""),"""bdhobnomngglhoajcbpihfkcgkehooco"",")</f>
        <v>"bdhobnomngglhoajcbpihfkcgkehooco",</v>
      </c>
    </row>
    <row r="5058">
      <c r="A5058" s="4" t="s">
        <v>24237</v>
      </c>
      <c r="B5058" s="4" t="s">
        <v>10076</v>
      </c>
      <c r="C5058" s="16" t="str">
        <f>IFERROR(__xludf.DUMMYFUNCTION(""""""""" &amp; REGEXEXTRACT(B5058, ""/detail/([^/?]+)"") &amp; """""","""),"""bdihekkpnckbmgafgoedabbebpafgfci"",")</f>
        <v>"bdihekkpnckbmgafgoedabbebpafgfci",</v>
      </c>
    </row>
    <row r="5059">
      <c r="A5059" s="4" t="s">
        <v>24238</v>
      </c>
      <c r="B5059" s="4" t="s">
        <v>10078</v>
      </c>
      <c r="C5059" s="16" t="str">
        <f>IFERROR(__xludf.DUMMYFUNCTION(""""""""" &amp; REGEXEXTRACT(B5059, ""/detail/([^/?]+)"") &amp; """""","""),"""bdjfffmkdkcodfjlghbhcdfolilafbfh"",")</f>
        <v>"bdjfffmkdkcodfjlghbhcdfolilafbfh",</v>
      </c>
    </row>
    <row r="5060">
      <c r="A5060" s="4" t="s">
        <v>24239</v>
      </c>
      <c r="B5060" s="4" t="s">
        <v>10080</v>
      </c>
      <c r="C5060" s="16" t="str">
        <f>IFERROR(__xludf.DUMMYFUNCTION(""""""""" &amp; REGEXEXTRACT(B5060, ""/detail/([^/?]+)"") &amp; """""","""),"""bdjlkpmifpfahoefpjkmaiggmpbelfdi"",")</f>
        <v>"bdjlkpmifpfahoefpjkmaiggmpbelfdi",</v>
      </c>
    </row>
    <row r="5061">
      <c r="A5061" s="4" t="s">
        <v>24240</v>
      </c>
      <c r="B5061" s="4" t="s">
        <v>10082</v>
      </c>
      <c r="C5061" s="16" t="str">
        <f>IFERROR(__xludf.DUMMYFUNCTION(""""""""" &amp; REGEXEXTRACT(B5061, ""/detail/([^/?]+)"") &amp; """""","""),"""bdkphnndaejdmmbohpejmlfejfdbepap"",")</f>
        <v>"bdkphnndaejdmmbohpejmlfejfdbepap",</v>
      </c>
    </row>
    <row r="5062">
      <c r="A5062" s="4" t="s">
        <v>24241</v>
      </c>
      <c r="B5062" s="4" t="s">
        <v>10084</v>
      </c>
      <c r="C5062" s="16" t="str">
        <f>IFERROR(__xludf.DUMMYFUNCTION(""""""""" &amp; REGEXEXTRACT(B5062, ""/detail/([^/?]+)"") &amp; """""","""),"""bdnlfnchnkjeempadnmcgbbkbacffobl"",")</f>
        <v>"bdnlfnchnkjeempadnmcgbbkbacffobl",</v>
      </c>
    </row>
    <row r="5063">
      <c r="A5063" s="4" t="s">
        <v>24242</v>
      </c>
      <c r="B5063" s="4" t="s">
        <v>10086</v>
      </c>
      <c r="C5063" s="16" t="str">
        <f>IFERROR(__xludf.DUMMYFUNCTION(""""""""" &amp; REGEXEXTRACT(B5063, ""/detail/([^/?]+)"") &amp; """""","""),"""bdnobddpgjhaenonjkngfhcknndajiia"",")</f>
        <v>"bdnobddpgjhaenonjkngfhcknndajiia",</v>
      </c>
    </row>
    <row r="5064">
      <c r="A5064" s="4" t="s">
        <v>24243</v>
      </c>
      <c r="B5064" s="4" t="s">
        <v>10088</v>
      </c>
      <c r="C5064" s="16" t="str">
        <f>IFERROR(__xludf.DUMMYFUNCTION(""""""""" &amp; REGEXEXTRACT(B5064, ""/detail/([^/?]+)"") &amp; """""","""),"""bedffgjloddeglbafbmjannpnhfhpgll"",")</f>
        <v>"bedffgjloddeglbafbmjannpnhfhpgll",</v>
      </c>
    </row>
    <row r="5065">
      <c r="A5065" s="4" t="s">
        <v>24244</v>
      </c>
      <c r="B5065" s="4" t="s">
        <v>10090</v>
      </c>
      <c r="C5065" s="16" t="str">
        <f>IFERROR(__xludf.DUMMYFUNCTION(""""""""" &amp; REGEXEXTRACT(B5065, ""/detail/([^/?]+)"") &amp; """""","""),"""begomjapoppkfcdcaindehabfglbfkcn"",")</f>
        <v>"begomjapoppkfcdcaindehabfglbfkcn",</v>
      </c>
    </row>
    <row r="5066">
      <c r="A5066" s="4" t="s">
        <v>24245</v>
      </c>
      <c r="B5066" s="4" t="s">
        <v>10092</v>
      </c>
      <c r="C5066" s="16" t="str">
        <f>IFERROR(__xludf.DUMMYFUNCTION(""""""""" &amp; REGEXEXTRACT(B5066, ""/detail/([^/?]+)"") &amp; """""","""),"""behokagbldghpoanekmlepofbokepphm"",")</f>
        <v>"behokagbldghpoanekmlepofbokepphm",</v>
      </c>
    </row>
    <row r="5067">
      <c r="A5067" s="4" t="s">
        <v>24246</v>
      </c>
      <c r="B5067" s="4" t="s">
        <v>10094</v>
      </c>
      <c r="C5067" s="16" t="str">
        <f>IFERROR(__xludf.DUMMYFUNCTION(""""""""" &amp; REGEXEXTRACT(B5067, ""/detail/([^/?]+)"") &amp; """""","""),"""beiebnelcljchfoehaogncobmpelndgh"",")</f>
        <v>"beiebnelcljchfoehaogncobmpelndgh",</v>
      </c>
    </row>
    <row r="5068">
      <c r="A5068" s="4" t="s">
        <v>24247</v>
      </c>
      <c r="B5068" s="4" t="s">
        <v>10096</v>
      </c>
      <c r="C5068" s="16" t="str">
        <f>IFERROR(__xludf.DUMMYFUNCTION(""""""""" &amp; REGEXEXTRACT(B5068, ""/detail/([^/?]+)"") &amp; """""","""),"""bejfcabcmhackmcaaclgiocgfpmpnaml"",")</f>
        <v>"bejfcabcmhackmcaaclgiocgfpmpnaml",</v>
      </c>
    </row>
    <row r="5069">
      <c r="A5069" s="4" t="s">
        <v>24248</v>
      </c>
      <c r="B5069" s="4" t="s">
        <v>10098</v>
      </c>
      <c r="C5069" s="16" t="str">
        <f>IFERROR(__xludf.DUMMYFUNCTION(""""""""" &amp; REGEXEXTRACT(B5069, ""/detail/([^/?]+)"") &amp; """""","""),"""beoijgamapnimhdbmhllmkdpggneedim"",")</f>
        <v>"beoijgamapnimhdbmhllmkdpggneedim",</v>
      </c>
    </row>
    <row r="5070">
      <c r="A5070" s="4" t="s">
        <v>24249</v>
      </c>
      <c r="B5070" s="4" t="s">
        <v>10100</v>
      </c>
      <c r="C5070" s="16" t="str">
        <f>IFERROR(__xludf.DUMMYFUNCTION(""""""""" &amp; REGEXEXTRACT(B5070, ""/detail/([^/?]+)"") &amp; """""","""),"""bfaggngoidfpnenahcenhandihppjcae"",")</f>
        <v>"bfaggngoidfpnenahcenhandihppjcae",</v>
      </c>
    </row>
    <row r="5071">
      <c r="A5071" s="4" t="s">
        <v>24250</v>
      </c>
      <c r="B5071" s="4" t="s">
        <v>10102</v>
      </c>
      <c r="C5071" s="16" t="str">
        <f>IFERROR(__xludf.DUMMYFUNCTION(""""""""" &amp; REGEXEXTRACT(B5071, ""/detail/([^/?]+)"") &amp; """""","""),"""bfanioaedpipgmkmmikpgpcgloipdfmh"",")</f>
        <v>"bfanioaedpipgmkmmikpgpcgloipdfmh",</v>
      </c>
    </row>
    <row r="5072">
      <c r="A5072" s="4" t="s">
        <v>24251</v>
      </c>
      <c r="B5072" s="4" t="s">
        <v>10104</v>
      </c>
      <c r="C5072" s="16" t="str">
        <f>IFERROR(__xludf.DUMMYFUNCTION(""""""""" &amp; REGEXEXTRACT(B5072, ""/detail/([^/?]+)"") &amp; """""","""),"""bffjoheaobiobcocbgpehhegifipbbdp"",")</f>
        <v>"bffjoheaobiobcocbgpehhegifipbbdp",</v>
      </c>
    </row>
    <row r="5073">
      <c r="A5073" s="4" t="s">
        <v>24252</v>
      </c>
      <c r="B5073" s="4" t="s">
        <v>10106</v>
      </c>
      <c r="C5073" s="16" t="str">
        <f>IFERROR(__xludf.DUMMYFUNCTION(""""""""" &amp; REGEXEXTRACT(B5073, ""/detail/([^/?]+)"") &amp; """""","""),"""bffojpajjfmkcjpdenhfdlpjdbpflpbl"",")</f>
        <v>"bffojpajjfmkcjpdenhfdlpjdbpflpbl",</v>
      </c>
    </row>
    <row r="5074">
      <c r="A5074" s="4" t="s">
        <v>24253</v>
      </c>
      <c r="B5074" s="4" t="s">
        <v>10108</v>
      </c>
      <c r="C5074" s="16" t="str">
        <f>IFERROR(__xludf.DUMMYFUNCTION(""""""""" &amp; REGEXEXTRACT(B5074, ""/detail/([^/?]+)"") &amp; """""","""),"""bfjhgnhnodlinoleolebajgmiebmhohb"",")</f>
        <v>"bfjhgnhnodlinoleolebajgmiebmhohb",</v>
      </c>
    </row>
    <row r="5075">
      <c r="A5075" s="4" t="s">
        <v>24254</v>
      </c>
      <c r="B5075" s="4" t="s">
        <v>10110</v>
      </c>
      <c r="C5075" s="16" t="str">
        <f>IFERROR(__xludf.DUMMYFUNCTION(""""""""" &amp; REGEXEXTRACT(B5075, ""/detail/([^/?]+)"") &amp; """""","""),"""bfkpkealncpcbfklpgnggcgjjdkbljop"",")</f>
        <v>"bfkpkealncpcbfklpgnggcgjjdkbljop",</v>
      </c>
    </row>
    <row r="5076">
      <c r="A5076" s="4" t="s">
        <v>24255</v>
      </c>
      <c r="B5076" s="4" t="s">
        <v>10111</v>
      </c>
      <c r="C5076" s="16" t="str">
        <f>IFERROR(__xludf.DUMMYFUNCTION(""""""""" &amp; REGEXEXTRACT(B5076, ""/detail/([^/?]+)"") &amp; """""","""),"""bfpdlicnalglgniemfjmbjbadekoilpl"",")</f>
        <v>"bfpdlicnalglgniemfjmbjbadekoilpl",</v>
      </c>
    </row>
    <row r="5077">
      <c r="A5077" s="4" t="s">
        <v>24256</v>
      </c>
      <c r="B5077" s="4" t="s">
        <v>10113</v>
      </c>
      <c r="C5077" s="16" t="str">
        <f>IFERROR(__xludf.DUMMYFUNCTION(""""""""" &amp; REGEXEXTRACT(B5077, ""/detail/([^/?]+)"") &amp; """""","""),"""bgcefofhfeebbefhdnmdlfkibdfdbbfa"",")</f>
        <v>"bgcefofhfeebbefhdnmdlfkibdfdbbfa",</v>
      </c>
    </row>
    <row r="5078">
      <c r="A5078" s="4" t="s">
        <v>24257</v>
      </c>
      <c r="B5078" s="4" t="s">
        <v>10115</v>
      </c>
      <c r="C5078" s="16" t="str">
        <f>IFERROR(__xludf.DUMMYFUNCTION(""""""""" &amp; REGEXEXTRACT(B5078, ""/detail/([^/?]+)"") &amp; """""","""),"""bgdkkdnidmmakdgebkgaeijbfkhieejn"",")</f>
        <v>"bgdkkdnidmmakdgebkgaeijbfkhieejn",</v>
      </c>
    </row>
    <row r="5079">
      <c r="A5079" s="4" t="s">
        <v>24258</v>
      </c>
      <c r="B5079" s="4" t="s">
        <v>10117</v>
      </c>
      <c r="C5079" s="16" t="str">
        <f>IFERROR(__xludf.DUMMYFUNCTION(""""""""" &amp; REGEXEXTRACT(B5079, ""/detail/([^/?]+)"") &amp; """""","""),"""bghnliappkdncmnadpbbnpoekbpdjabo"",")</f>
        <v>"bghnliappkdncmnadpbbnpoekbpdjabo",</v>
      </c>
    </row>
    <row r="5080">
      <c r="A5080" s="4" t="s">
        <v>24259</v>
      </c>
      <c r="B5080" s="4" t="s">
        <v>10119</v>
      </c>
      <c r="C5080" s="16" t="str">
        <f>IFERROR(__xludf.DUMMYFUNCTION(""""""""" &amp; REGEXEXTRACT(B5080, ""/detail/([^/?]+)"") &amp; """""","""),"""bgifibpknpdddjoopggofdldijpjfoia"",")</f>
        <v>"bgifibpknpdddjoopggofdldijpjfoia",</v>
      </c>
    </row>
    <row r="5081">
      <c r="A5081" s="4" t="s">
        <v>24260</v>
      </c>
      <c r="B5081" s="4" t="s">
        <v>10120</v>
      </c>
      <c r="C5081" s="16" t="str">
        <f>IFERROR(__xludf.DUMMYFUNCTION(""""""""" &amp; REGEXEXTRACT(B5081, ""/detail/([^/?]+)"") &amp; """""","""),"""bgjkdefgpgngdhagacbeajapgnoobjig"",")</f>
        <v>"bgjkdefgpgngdhagacbeajapgnoobjig",</v>
      </c>
    </row>
    <row r="5082">
      <c r="A5082" s="4" t="s">
        <v>24261</v>
      </c>
      <c r="B5082" s="4" t="s">
        <v>10122</v>
      </c>
      <c r="C5082" s="16" t="str">
        <f>IFERROR(__xludf.DUMMYFUNCTION(""""""""" &amp; REGEXEXTRACT(B5082, ""/detail/([^/?]+)"") &amp; """""","""),"""bgllbpdmpeenjbeiigkhccehncomjfbk"",")</f>
        <v>"bgllbpdmpeenjbeiigkhccehncomjfbk",</v>
      </c>
    </row>
    <row r="5083">
      <c r="A5083" s="4" t="s">
        <v>24262</v>
      </c>
      <c r="B5083" s="4" t="s">
        <v>10124</v>
      </c>
      <c r="C5083" s="16" t="str">
        <f>IFERROR(__xludf.DUMMYFUNCTION(""""""""" &amp; REGEXEXTRACT(B5083, ""/detail/([^/?]+)"") &amp; """""","""),"""bgmpfihhcbfmldalkcbeoiahkgicdcel"",")</f>
        <v>"bgmpfihhcbfmldalkcbeoiahkgicdcel",</v>
      </c>
    </row>
    <row r="5084">
      <c r="A5084" s="4" t="s">
        <v>24263</v>
      </c>
      <c r="B5084" s="4" t="s">
        <v>10126</v>
      </c>
      <c r="C5084" s="16" t="str">
        <f>IFERROR(__xludf.DUMMYFUNCTION(""""""""" &amp; REGEXEXTRACT(B5084, ""/detail/([^/?]+)"") &amp; """""","""),"""bhcnanendmgjjeghamaccjnochlnhcgj"",")</f>
        <v>"bhcnanendmgjjeghamaccjnochlnhcgj",</v>
      </c>
    </row>
    <row r="5085">
      <c r="A5085" s="4" t="s">
        <v>24264</v>
      </c>
      <c r="B5085" s="4" t="s">
        <v>10128</v>
      </c>
      <c r="C5085" s="16" t="str">
        <f>IFERROR(__xludf.DUMMYFUNCTION(""""""""" &amp; REGEXEXTRACT(B5085, ""/detail/([^/?]+)"") &amp; """""","""),"""bhdnhgkhmoeacgcfkokmoidaedlblgho"",")</f>
        <v>"bhdnhgkhmoeacgcfkokmoidaedlblgho",</v>
      </c>
    </row>
    <row r="5086">
      <c r="A5086" s="4" t="s">
        <v>24265</v>
      </c>
      <c r="B5086" s="4" t="s">
        <v>10130</v>
      </c>
      <c r="C5086" s="16" t="str">
        <f>IFERROR(__xludf.DUMMYFUNCTION(""""""""" &amp; REGEXEXTRACT(B5086, ""/detail/([^/?]+)"") &amp; """""","""),"""bhemijfniajoielladlkopmjcelomkid"",")</f>
        <v>"bhemijfniajoielladlkopmjcelomkid",</v>
      </c>
    </row>
    <row r="5087">
      <c r="A5087" s="4" t="s">
        <v>24266</v>
      </c>
      <c r="B5087" s="4" t="s">
        <v>10132</v>
      </c>
      <c r="C5087" s="16" t="str">
        <f>IFERROR(__xludf.DUMMYFUNCTION(""""""""" &amp; REGEXEXTRACT(B5087, ""/detail/([^/?]+)"") &amp; """""","""),"""bhhaihcbledolbbigofbpegdbomoimfa"",")</f>
        <v>"bhhaihcbledolbbigofbpegdbomoimfa",</v>
      </c>
    </row>
    <row r="5088">
      <c r="A5088" s="4" t="s">
        <v>24267</v>
      </c>
      <c r="B5088" s="4" t="s">
        <v>10134</v>
      </c>
      <c r="C5088" s="16" t="str">
        <f>IFERROR(__xludf.DUMMYFUNCTION(""""""""" &amp; REGEXEXTRACT(B5088, ""/detail/([^/?]+)"") &amp; """""","""),"""bhijaejjbpempadhnnjhemfbmipaifba"",")</f>
        <v>"bhijaejjbpempadhnnjhemfbmipaifba",</v>
      </c>
    </row>
    <row r="5089">
      <c r="A5089" s="4" t="s">
        <v>24268</v>
      </c>
      <c r="B5089" s="4" t="s">
        <v>10136</v>
      </c>
      <c r="C5089" s="16" t="str">
        <f>IFERROR(__xludf.DUMMYFUNCTION(""""""""" &amp; REGEXEXTRACT(B5089, ""/detail/([^/?]+)"") &amp; """""","""),"""bhmafcbmjdeopomnencnfogfdpdpnnnj"",")</f>
        <v>"bhmafcbmjdeopomnencnfogfdpdpnnnj",</v>
      </c>
    </row>
    <row r="5090">
      <c r="A5090" s="4" t="s">
        <v>24269</v>
      </c>
      <c r="B5090" s="4" t="s">
        <v>10138</v>
      </c>
      <c r="C5090" s="16" t="str">
        <f>IFERROR(__xludf.DUMMYFUNCTION(""""""""" &amp; REGEXEXTRACT(B5090, ""/detail/([^/?]+)"") &amp; """""","""),"""bhodmelpiljpkojmfmlgjnahjlgfjaib"",")</f>
        <v>"bhodmelpiljpkojmfmlgjnahjlgfjaib",</v>
      </c>
    </row>
    <row r="5091">
      <c r="A5091" s="4" t="s">
        <v>24270</v>
      </c>
      <c r="B5091" s="4" t="s">
        <v>10140</v>
      </c>
      <c r="C5091" s="16" t="str">
        <f>IFERROR(__xludf.DUMMYFUNCTION(""""""""" &amp; REGEXEXTRACT(B5091, ""/detail/([^/?]+)"") &amp; """""","""),"""bibecgleddbhkpinbldiicgldejgjbkd"",")</f>
        <v>"bibecgleddbhkpinbldiicgldejgjbkd",</v>
      </c>
    </row>
    <row r="5092">
      <c r="A5092" s="4" t="s">
        <v>24271</v>
      </c>
      <c r="B5092" s="4" t="s">
        <v>10142</v>
      </c>
      <c r="C5092" s="16" t="str">
        <f>IFERROR(__xludf.DUMMYFUNCTION(""""""""" &amp; REGEXEXTRACT(B5092, ""/detail/([^/?]+)"") &amp; """""","""),"""bidcnhmidglfaojcifcjnlgeifobcdif"",")</f>
        <v>"bidcnhmidglfaojcifcjnlgeifobcdif",</v>
      </c>
    </row>
    <row r="5093">
      <c r="A5093" s="4" t="s">
        <v>24272</v>
      </c>
      <c r="B5093" s="4" t="s">
        <v>10144</v>
      </c>
      <c r="C5093" s="16" t="str">
        <f>IFERROR(__xludf.DUMMYFUNCTION(""""""""" &amp; REGEXEXTRACT(B5093, ""/detail/([^/?]+)"") &amp; """""","""),"""bikcfchmnacmfhneafnpfekgfhckplfj"",")</f>
        <v>"bikcfchmnacmfhneafnpfekgfhckplfj",</v>
      </c>
    </row>
    <row r="5094">
      <c r="A5094" s="4" t="s">
        <v>24273</v>
      </c>
      <c r="B5094" s="4" t="s">
        <v>10146</v>
      </c>
      <c r="C5094" s="16" t="str">
        <f>IFERROR(__xludf.DUMMYFUNCTION(""""""""" &amp; REGEXEXTRACT(B5094, ""/detail/([^/?]+)"") &amp; """""","""),"""bjacddpgnmbhmgomneminogiggfiaejb"",")</f>
        <v>"bjacddpgnmbhmgomneminogiggfiaejb",</v>
      </c>
    </row>
    <row r="5095">
      <c r="A5095" s="4" t="s">
        <v>24274</v>
      </c>
      <c r="B5095" s="4" t="s">
        <v>10148</v>
      </c>
      <c r="C5095" s="16" t="str">
        <f>IFERROR(__xludf.DUMMYFUNCTION(""""""""" &amp; REGEXEXTRACT(B5095, ""/detail/([^/?]+)"") &amp; """""","""),"""bjdiocojjlclafjbeafkjoifogenbbbp"",")</f>
        <v>"bjdiocojjlclafjbeafkjoifogenbbbp",</v>
      </c>
    </row>
    <row r="5096">
      <c r="A5096" s="4" t="s">
        <v>24275</v>
      </c>
      <c r="B5096" s="4" t="s">
        <v>10150</v>
      </c>
      <c r="C5096" s="16" t="str">
        <f>IFERROR(__xludf.DUMMYFUNCTION(""""""""" &amp; REGEXEXTRACT(B5096, ""/detail/([^/?]+)"") &amp; """""","""),"""bjjfdalimfoajficabmpnohabiobkean"",")</f>
        <v>"bjjfdalimfoajficabmpnohabiobkean",</v>
      </c>
    </row>
    <row r="5097">
      <c r="A5097" s="4" t="s">
        <v>24276</v>
      </c>
      <c r="B5097" s="4" t="s">
        <v>10152</v>
      </c>
      <c r="C5097" s="16" t="str">
        <f>IFERROR(__xludf.DUMMYFUNCTION(""""""""" &amp; REGEXEXTRACT(B5097, ""/detail/([^/?]+)"") &amp; """""","""),"""bjpblhcipjjiobljnniifeoaapgdflnc"",")</f>
        <v>"bjpblhcipjjiobljnniifeoaapgdflnc",</v>
      </c>
    </row>
    <row r="5098">
      <c r="A5098" s="4" t="s">
        <v>24277</v>
      </c>
      <c r="B5098" s="4" t="s">
        <v>10154</v>
      </c>
      <c r="C5098" s="16" t="str">
        <f>IFERROR(__xludf.DUMMYFUNCTION(""""""""" &amp; REGEXEXTRACT(B5098, ""/detail/([^/?]+)"") &amp; """""","""),"""bkdhpjocjklicnnmlpbipdmpmgmedbji"",")</f>
        <v>"bkdhpjocjklicnnmlpbipdmpmgmedbji",</v>
      </c>
    </row>
    <row r="5099">
      <c r="A5099" s="4" t="s">
        <v>24278</v>
      </c>
      <c r="B5099" s="4" t="s">
        <v>10156</v>
      </c>
      <c r="C5099" s="16" t="str">
        <f>IFERROR(__xludf.DUMMYFUNCTION(""""""""" &amp; REGEXEXTRACT(B5099, ""/detail/([^/?]+)"") &amp; """""","""),"""bkehljddojdpbclnbmcglljfccedfjca"",")</f>
        <v>"bkehljddojdpbclnbmcglljfccedfjca",</v>
      </c>
    </row>
    <row r="5100">
      <c r="A5100" s="4" t="s">
        <v>24279</v>
      </c>
      <c r="B5100" s="4" t="s">
        <v>10158</v>
      </c>
      <c r="C5100" s="16" t="str">
        <f>IFERROR(__xludf.DUMMYFUNCTION(""""""""" &amp; REGEXEXTRACT(B5100, ""/detail/([^/?]+)"") &amp; """""","""),"""bkljmpppcfepdfokbjlocdhipammabkm"",")</f>
        <v>"bkljmpppcfepdfokbjlocdhipammabkm",</v>
      </c>
    </row>
    <row r="5101">
      <c r="A5101" s="4" t="s">
        <v>24280</v>
      </c>
      <c r="B5101" s="4" t="s">
        <v>10160</v>
      </c>
      <c r="C5101" s="16" t="str">
        <f>IFERROR(__xludf.DUMMYFUNCTION(""""""""" &amp; REGEXEXTRACT(B5101, ""/detail/([^/?]+)"") &amp; """""","""),"""bkodbojjdhggkkkncjogkdojhkfbjimi"",")</f>
        <v>"bkodbojjdhggkkkncjogkdojhkfbjimi",</v>
      </c>
    </row>
    <row r="5102">
      <c r="A5102" s="4" t="s">
        <v>24281</v>
      </c>
      <c r="B5102" s="4" t="s">
        <v>10162</v>
      </c>
      <c r="C5102" s="16" t="str">
        <f>IFERROR(__xludf.DUMMYFUNCTION(""""""""" &amp; REGEXEXTRACT(B5102, ""/detail/([^/?]+)"") &amp; """""","""),"""bkoknijjdnlaenldjopbkngkoegfmejf"",")</f>
        <v>"bkoknijjdnlaenldjopbkngkoegfmejf",</v>
      </c>
    </row>
    <row r="5103">
      <c r="A5103" s="4" t="s">
        <v>24282</v>
      </c>
      <c r="B5103" s="4" t="s">
        <v>10164</v>
      </c>
      <c r="C5103" s="16" t="str">
        <f>IFERROR(__xludf.DUMMYFUNCTION(""""""""" &amp; REGEXEXTRACT(B5103, ""/detail/([^/?]+)"") &amp; """""","""),"""bkolccbclokgkhcciikgbkcmnagimjib"",")</f>
        <v>"bkolccbclokgkhcciikgbkcmnagimjib",</v>
      </c>
    </row>
    <row r="5104">
      <c r="A5104" s="4" t="s">
        <v>24283</v>
      </c>
      <c r="B5104" s="4" t="s">
        <v>10166</v>
      </c>
      <c r="C5104" s="16" t="str">
        <f>IFERROR(__xludf.DUMMYFUNCTION(""""""""" &amp; REGEXEXTRACT(B5104, ""/detail/([^/?]+)"") &amp; """""","""),"""blbkkgcankcmdleleianggnfooalbjof"",")</f>
        <v>"blbkkgcankcmdleleianggnfooalbjof",</v>
      </c>
    </row>
    <row r="5105">
      <c r="A5105" s="4" t="s">
        <v>24284</v>
      </c>
      <c r="B5105" s="4" t="s">
        <v>10168</v>
      </c>
      <c r="C5105" s="16" t="str">
        <f>IFERROR(__xludf.DUMMYFUNCTION(""""""""" &amp; REGEXEXTRACT(B5105, ""/detail/([^/?]+)"") &amp; """""","""),"""blciobghnlpcfoidlcigdpjmbnhpfehl"",")</f>
        <v>"blciobghnlpcfoidlcigdpjmbnhpfehl",</v>
      </c>
    </row>
    <row r="5106">
      <c r="A5106" s="4" t="s">
        <v>24285</v>
      </c>
      <c r="B5106" s="4" t="s">
        <v>10170</v>
      </c>
      <c r="C5106" s="16" t="str">
        <f>IFERROR(__xludf.DUMMYFUNCTION(""""""""" &amp; REGEXEXTRACT(B5106, ""/detail/([^/?]+)"") &amp; """""","""),"""bldhncjmecnkemlfebgpehigfdbihhnd"",")</f>
        <v>"bldhncjmecnkemlfebgpehigfdbihhnd",</v>
      </c>
    </row>
    <row r="5107">
      <c r="A5107" s="4" t="s">
        <v>24286</v>
      </c>
      <c r="B5107" s="4" t="s">
        <v>10172</v>
      </c>
      <c r="C5107" s="16" t="str">
        <f>IFERROR(__xludf.DUMMYFUNCTION(""""""""" &amp; REGEXEXTRACT(B5107, ""/detail/([^/?]+)"") &amp; """""","""),"""blednbbpnnambjaefhlocghajeohlhmh"",")</f>
        <v>"blednbbpnnambjaefhlocghajeohlhmh",</v>
      </c>
    </row>
    <row r="5108">
      <c r="A5108" s="4" t="s">
        <v>24287</v>
      </c>
      <c r="B5108" s="4" t="s">
        <v>10174</v>
      </c>
      <c r="C5108" s="16" t="str">
        <f>IFERROR(__xludf.DUMMYFUNCTION(""""""""" &amp; REGEXEXTRACT(B5108, ""/detail/([^/?]+)"") &amp; """""","""),"""blimgkgjfghpffcafichipghelgmkfdj"",")</f>
        <v>"blimgkgjfghpffcafichipghelgmkfdj",</v>
      </c>
    </row>
    <row r="5109">
      <c r="A5109" s="4" t="s">
        <v>24288</v>
      </c>
      <c r="B5109" s="4" t="s">
        <v>10176</v>
      </c>
      <c r="C5109" s="16" t="str">
        <f>IFERROR(__xludf.DUMMYFUNCTION(""""""""" &amp; REGEXEXTRACT(B5109, ""/detail/([^/?]+)"") &amp; """""","""),"""blklpjonlhpakchaahdnkcjkfmccmdik"",")</f>
        <v>"blklpjonlhpakchaahdnkcjkfmccmdik",</v>
      </c>
    </row>
    <row r="5110">
      <c r="A5110" s="4" t="s">
        <v>24289</v>
      </c>
      <c r="B5110" s="4" t="s">
        <v>10177</v>
      </c>
      <c r="C5110" s="16" t="str">
        <f>IFERROR(__xludf.DUMMYFUNCTION(""""""""" &amp; REGEXEXTRACT(B5110, ""/detail/([^/?]+)"") &amp; """""","""),"""blkniannnkeafpapkaojddhemhhcpfmf"",")</f>
        <v>"blkniannnkeafpapkaojddhemhhcpfmf",</v>
      </c>
    </row>
    <row r="5111">
      <c r="A5111" s="4" t="s">
        <v>24290</v>
      </c>
      <c r="B5111" s="4" t="s">
        <v>10179</v>
      </c>
      <c r="C5111" s="16" t="str">
        <f>IFERROR(__xludf.DUMMYFUNCTION(""""""""" &amp; REGEXEXTRACT(B5111, ""/detail/([^/?]+)"") &amp; """""","""),"""blmfdgjdmdpblbiecbagjebggdemmaof"",")</f>
        <v>"blmfdgjdmdpblbiecbagjebggdemmaof",</v>
      </c>
    </row>
    <row r="5112">
      <c r="A5112" s="4" t="s">
        <v>24291</v>
      </c>
      <c r="B5112" s="4" t="s">
        <v>10181</v>
      </c>
      <c r="C5112" s="16" t="str">
        <f>IFERROR(__xludf.DUMMYFUNCTION(""""""""" &amp; REGEXEXTRACT(B5112, ""/detail/([^/?]+)"") &amp; """""","""),"""blmjmiddomienmbjkijkgdohhfhclpjc"",")</f>
        <v>"blmjmiddomienmbjkijkgdohhfhclpjc",</v>
      </c>
    </row>
    <row r="5113">
      <c r="A5113" s="4" t="s">
        <v>24292</v>
      </c>
      <c r="B5113" s="4" t="s">
        <v>10183</v>
      </c>
      <c r="C5113" s="16" t="str">
        <f>IFERROR(__xludf.DUMMYFUNCTION(""""""""" &amp; REGEXEXTRACT(B5113, ""/detail/([^/?]+)"") &amp; """""","""),"""blnjglbocieoecdjeoaokjinpjonijnb"",")</f>
        <v>"blnjglbocieoecdjeoaokjinpjonijnb",</v>
      </c>
    </row>
    <row r="5114">
      <c r="A5114" s="4" t="s">
        <v>24293</v>
      </c>
      <c r="B5114" s="4" t="s">
        <v>10185</v>
      </c>
      <c r="C5114" s="16" t="str">
        <f>IFERROR(__xludf.DUMMYFUNCTION(""""""""" &amp; REGEXEXTRACT(B5114, ""/detail/([^/?]+)"") &amp; """""","""),"""blnkcilmabgdimopbdmbiakkphbihdjh"",")</f>
        <v>"blnkcilmabgdimopbdmbiakkphbihdjh",</v>
      </c>
    </row>
    <row r="5115">
      <c r="A5115" s="4" t="s">
        <v>24294</v>
      </c>
      <c r="B5115" s="4" t="s">
        <v>10187</v>
      </c>
      <c r="C5115" s="16" t="str">
        <f>IFERROR(__xludf.DUMMYFUNCTION(""""""""" &amp; REGEXEXTRACT(B5115, ""/detail/([^/?]+)"") &amp; """""","""),"""bmbhmpfeabllbfcalamkbdknkaijpkja"",")</f>
        <v>"bmbhmpfeabllbfcalamkbdknkaijpkja",</v>
      </c>
    </row>
    <row r="5116">
      <c r="A5116" s="4" t="s">
        <v>24295</v>
      </c>
      <c r="B5116" s="4" t="s">
        <v>10189</v>
      </c>
      <c r="C5116" s="16" t="str">
        <f>IFERROR(__xludf.DUMMYFUNCTION(""""""""" &amp; REGEXEXTRACT(B5116, ""/detail/([^/?]+)"") &amp; """""","""),"""bmbpikjcekglfidkmhafdelaiimbgnpa"",")</f>
        <v>"bmbpikjcekglfidkmhafdelaiimbgnpa",</v>
      </c>
    </row>
    <row r="5117">
      <c r="A5117" s="4" t="s">
        <v>24296</v>
      </c>
      <c r="B5117" s="4" t="s">
        <v>10191</v>
      </c>
      <c r="C5117" s="16" t="str">
        <f>IFERROR(__xludf.DUMMYFUNCTION(""""""""" &amp; REGEXEXTRACT(B5117, ""/detail/([^/?]+)"") &amp; """""","""),"""bmdfiifdjojbpkeapcaipadjdhhbecod"",")</f>
        <v>"bmdfiifdjojbpkeapcaipadjdhhbecod",</v>
      </c>
    </row>
    <row r="5118">
      <c r="A5118" s="4" t="s">
        <v>24297</v>
      </c>
      <c r="B5118" s="4" t="s">
        <v>10193</v>
      </c>
      <c r="C5118" s="16" t="str">
        <f>IFERROR(__xludf.DUMMYFUNCTION(""""""""" &amp; REGEXEXTRACT(B5118, ""/detail/([^/?]+)"") &amp; """""","""),"""bmgeoickdkceegcemaohalboegigahbg"",")</f>
        <v>"bmgeoickdkceegcemaohalboegigahbg",</v>
      </c>
    </row>
    <row r="5119">
      <c r="A5119" s="4" t="s">
        <v>24298</v>
      </c>
      <c r="B5119" s="4" t="s">
        <v>10195</v>
      </c>
      <c r="C5119" s="16" t="str">
        <f>IFERROR(__xludf.DUMMYFUNCTION(""""""""" &amp; REGEXEXTRACT(B5119, ""/detail/([^/?]+)"") &amp; """""","""),"""bmjejnfomomknbjkohfhekplmndpannk"",")</f>
        <v>"bmjejnfomomknbjkohfhekplmndpannk",</v>
      </c>
    </row>
    <row r="5120">
      <c r="A5120" s="4" t="s">
        <v>24299</v>
      </c>
      <c r="B5120" s="4" t="s">
        <v>10197</v>
      </c>
      <c r="C5120" s="16" t="str">
        <f>IFERROR(__xludf.DUMMYFUNCTION(""""""""" &amp; REGEXEXTRACT(B5120, ""/detail/([^/?]+)"") &amp; """""","""),"""bmjgnipcbkoifojbponacejbamiooono"",")</f>
        <v>"bmjgnipcbkoifojbponacejbamiooono",</v>
      </c>
    </row>
    <row r="5121">
      <c r="A5121" s="4" t="s">
        <v>24300</v>
      </c>
      <c r="B5121" s="4" t="s">
        <v>10199</v>
      </c>
      <c r="C5121" s="16" t="str">
        <f>IFERROR(__xludf.DUMMYFUNCTION(""""""""" &amp; REGEXEXTRACT(B5121, ""/detail/([^/?]+)"") &amp; """""","""),"""bmjpjimlmmbjpmglplkahkhpebomdoed"",")</f>
        <v>"bmjpjimlmmbjpmglplkahkhpebomdoed",</v>
      </c>
    </row>
    <row r="5122">
      <c r="A5122" s="4" t="s">
        <v>24301</v>
      </c>
      <c r="B5122" s="4" t="s">
        <v>10201</v>
      </c>
      <c r="C5122" s="16" t="str">
        <f>IFERROR(__xludf.DUMMYFUNCTION(""""""""" &amp; REGEXEXTRACT(B5122, ""/detail/([^/?]+)"") &amp; """""","""),"""bmkmojbohkkecnnhkpidldhabjbcmnkk"",")</f>
        <v>"bmkmojbohkkecnnhkpidldhabjbcmnkk",</v>
      </c>
    </row>
    <row r="5123">
      <c r="A5123" s="4" t="s">
        <v>24302</v>
      </c>
      <c r="B5123" s="4" t="s">
        <v>10203</v>
      </c>
      <c r="C5123" s="16" t="str">
        <f>IFERROR(__xludf.DUMMYFUNCTION(""""""""" &amp; REGEXEXTRACT(B5123, ""/detail/([^/?]+)"") &amp; """""","""),"""bmlipnlhfpjgmafjlnnmdkldjmebahnm"",")</f>
        <v>"bmlipnlhfpjgmafjlnnmdkldjmebahnm",</v>
      </c>
    </row>
    <row r="5124">
      <c r="A5124" s="4" t="s">
        <v>24303</v>
      </c>
      <c r="B5124" s="4" t="s">
        <v>10205</v>
      </c>
      <c r="C5124" s="16" t="str">
        <f>IFERROR(__xludf.DUMMYFUNCTION(""""""""" &amp; REGEXEXTRACT(B5124, ""/detail/([^/?]+)"") &amp; """""","""),"""bmlmlhlmimncfjambmppgjhdnaibfmml"",")</f>
        <v>"bmlmlhlmimncfjambmppgjhdnaibfmml",</v>
      </c>
    </row>
    <row r="5125">
      <c r="A5125" s="4" t="s">
        <v>24304</v>
      </c>
      <c r="B5125" s="4" t="s">
        <v>10207</v>
      </c>
      <c r="C5125" s="16" t="str">
        <f>IFERROR(__xludf.DUMMYFUNCTION(""""""""" &amp; REGEXEXTRACT(B5125, ""/detail/([^/?]+)"") &amp; """""","""),"""bmmmgppoenmpmodaacdolmcjfniikple"",")</f>
        <v>"bmmmgppoenmpmodaacdolmcjfniikple",</v>
      </c>
    </row>
    <row r="5126">
      <c r="A5126" s="4" t="s">
        <v>24305</v>
      </c>
      <c r="B5126" s="4" t="s">
        <v>10209</v>
      </c>
      <c r="C5126" s="16" t="str">
        <f>IFERROR(__xludf.DUMMYFUNCTION(""""""""" &amp; REGEXEXTRACT(B5126, ""/detail/([^/?]+)"") &amp; """""","""),"""bnbmlmjhaohpobnjfifeghjmamjfolnb"",")</f>
        <v>"bnbmlmjhaohpobnjfifeghjmamjfolnb",</v>
      </c>
    </row>
    <row r="5127">
      <c r="A5127" s="4" t="s">
        <v>24306</v>
      </c>
      <c r="B5127" s="4" t="s">
        <v>10210</v>
      </c>
      <c r="C5127" s="16" t="str">
        <f>IFERROR(__xludf.DUMMYFUNCTION(""""""""" &amp; REGEXEXTRACT(B5127, ""/detail/([^/?]+)"") &amp; """""","""),"""bngmobiiapgiphgfeiegibbmaoflfdoa"",")</f>
        <v>"bngmobiiapgiphgfeiegibbmaoflfdoa",</v>
      </c>
    </row>
    <row r="5128">
      <c r="A5128" s="4" t="s">
        <v>24307</v>
      </c>
      <c r="B5128" s="4" t="s">
        <v>10211</v>
      </c>
      <c r="C5128" s="16" t="str">
        <f>IFERROR(__xludf.DUMMYFUNCTION(""""""""" &amp; REGEXEXTRACT(B5128, ""/detail/([^/?]+)"") &amp; """""","""),"""bnkfdgkccidbedkfoneaajldjgagjhib"",")</f>
        <v>"bnkfdgkccidbedkfoneaajldjgagjhib",</v>
      </c>
    </row>
    <row r="5129">
      <c r="A5129" s="4" t="s">
        <v>24308</v>
      </c>
      <c r="B5129" s="4" t="s">
        <v>10213</v>
      </c>
      <c r="C5129" s="16" t="str">
        <f>IFERROR(__xludf.DUMMYFUNCTION(""""""""" &amp; REGEXEXTRACT(B5129, ""/detail/([^/?]+)"") &amp; """""","""),"""bnkifneleaknlodbdncgnpbdffngdgjo"",")</f>
        <v>"bnkifneleaknlodbdncgnpbdffngdgjo",</v>
      </c>
    </row>
    <row r="5130">
      <c r="A5130" s="4" t="s">
        <v>24309</v>
      </c>
      <c r="B5130" s="4" t="s">
        <v>10215</v>
      </c>
      <c r="C5130" s="16" t="str">
        <f>IFERROR(__xludf.DUMMYFUNCTION(""""""""" &amp; REGEXEXTRACT(B5130, ""/detail/([^/?]+)"") &amp; """""","""),"""boaaioffjhehlmgopfimcfefcpeldena"",")</f>
        <v>"boaaioffjhehlmgopfimcfefcpeldena",</v>
      </c>
    </row>
    <row r="5131">
      <c r="A5131" s="4" t="s">
        <v>24310</v>
      </c>
      <c r="B5131" s="4" t="s">
        <v>10217</v>
      </c>
      <c r="C5131" s="16" t="str">
        <f>IFERROR(__xludf.DUMMYFUNCTION(""""""""" &amp; REGEXEXTRACT(B5131, ""/detail/([^/?]+)"") &amp; """""","""),"""bocbdecmflhkogddhhceceobniggkcif"",")</f>
        <v>"bocbdecmflhkogddhhceceobniggkcif",</v>
      </c>
    </row>
    <row r="5132">
      <c r="A5132" s="4" t="s">
        <v>24311</v>
      </c>
      <c r="B5132" s="4" t="s">
        <v>10219</v>
      </c>
      <c r="C5132" s="16" t="str">
        <f>IFERROR(__xludf.DUMMYFUNCTION(""""""""" &amp; REGEXEXTRACT(B5132, ""/detail/([^/?]+)"") &amp; """""","""),"""boccnfmdebiimijohfknedojjgdofadj"",")</f>
        <v>"boccnfmdebiimijohfknedojjgdofadj",</v>
      </c>
    </row>
    <row r="5133">
      <c r="A5133" s="4" t="s">
        <v>24312</v>
      </c>
      <c r="B5133" s="4" t="s">
        <v>10221</v>
      </c>
      <c r="C5133" s="16" t="str">
        <f>IFERROR(__xludf.DUMMYFUNCTION(""""""""" &amp; REGEXEXTRACT(B5133, ""/detail/([^/?]+)"") &amp; """""","""),"""boehebkkkfgdhfnbcgbamfeacljgcfmc"",")</f>
        <v>"boehebkkkfgdhfnbcgbamfeacljgcfmc",</v>
      </c>
    </row>
    <row r="5134">
      <c r="A5134" s="4" t="s">
        <v>24313</v>
      </c>
      <c r="B5134" s="4" t="s">
        <v>10223</v>
      </c>
      <c r="C5134" s="16" t="str">
        <f>IFERROR(__xludf.DUMMYFUNCTION(""""""""" &amp; REGEXEXTRACT(B5134, ""/detail/([^/?]+)"") &amp; """""","""),"""boeoabmkdhmjbbdhhocnopfkikcpdffd"",")</f>
        <v>"boeoabmkdhmjbbdhhocnopfkikcpdffd",</v>
      </c>
    </row>
    <row r="5135">
      <c r="A5135" s="4" t="s">
        <v>24314</v>
      </c>
      <c r="B5135" s="4" t="s">
        <v>10225</v>
      </c>
      <c r="C5135" s="16" t="str">
        <f>IFERROR(__xludf.DUMMYFUNCTION(""""""""" &amp; REGEXEXTRACT(B5135, ""/detail/([^/?]+)"") &amp; """""","""),"""boeplfofdabogkgimajcpadbnfcmkmek"",")</f>
        <v>"boeplfofdabogkgimajcpadbnfcmkmek",</v>
      </c>
    </row>
    <row r="5136">
      <c r="A5136" s="4" t="s">
        <v>24315</v>
      </c>
      <c r="B5136" s="4" t="s">
        <v>10227</v>
      </c>
      <c r="C5136" s="16" t="str">
        <f>IFERROR(__xludf.DUMMYFUNCTION(""""""""" &amp; REGEXEXTRACT(B5136, ""/detail/([^/?]+)"") &amp; """""","""),"""bohkgjccccgdimejjnihcpgmaeiekhak"",")</f>
        <v>"bohkgjccccgdimejjnihcpgmaeiekhak",</v>
      </c>
    </row>
    <row r="5137">
      <c r="A5137" s="4" t="s">
        <v>24316</v>
      </c>
      <c r="B5137" s="4" t="s">
        <v>10229</v>
      </c>
      <c r="C5137" s="16" t="str">
        <f>IFERROR(__xludf.DUMMYFUNCTION(""""""""" &amp; REGEXEXTRACT(B5137, ""/detail/([^/?]+)"") &amp; """""","""),"""boiknfoahghlfkhbaecjkfkonbepiglg"",")</f>
        <v>"boiknfoahghlfkhbaecjkfkonbepiglg",</v>
      </c>
    </row>
    <row r="5138">
      <c r="A5138" s="4" t="s">
        <v>24317</v>
      </c>
      <c r="B5138" s="4" t="s">
        <v>10231</v>
      </c>
      <c r="C5138" s="16" t="str">
        <f>IFERROR(__xludf.DUMMYFUNCTION(""""""""" &amp; REGEXEXTRACT(B5138, ""/detail/([^/?]+)"") &amp; """""","""),"""bokkecognodebgcjcgkihiimgegipmjg"",")</f>
        <v>"bokkecognodebgcjcgkihiimgegipmjg",</v>
      </c>
    </row>
    <row r="5139">
      <c r="A5139" s="4" t="s">
        <v>24318</v>
      </c>
      <c r="B5139" s="4" t="s">
        <v>10233</v>
      </c>
      <c r="C5139" s="16" t="str">
        <f>IFERROR(__xludf.DUMMYFUNCTION(""""""""" &amp; REGEXEXTRACT(B5139, ""/detail/([^/?]+)"") &amp; """""","""),"""bombfdlgambijdlldkmfoeeefjchbckc"",")</f>
        <v>"bombfdlgambijdlldkmfoeeefjchbckc",</v>
      </c>
    </row>
    <row r="5140">
      <c r="A5140" s="4" t="s">
        <v>24319</v>
      </c>
      <c r="B5140" s="4" t="s">
        <v>10235</v>
      </c>
      <c r="C5140" s="16" t="str">
        <f>IFERROR(__xludf.DUMMYFUNCTION(""""""""" &amp; REGEXEXTRACT(B5140, ""/detail/([^/?]+)"") &amp; """""","""),"""bonlpfoeaoeadalicohkefgpkjplmfbg"",")</f>
        <v>"bonlpfoeaoeadalicohkefgpkjplmfbg",</v>
      </c>
    </row>
    <row r="5141">
      <c r="A5141" s="4" t="s">
        <v>24320</v>
      </c>
      <c r="B5141" s="4" t="s">
        <v>10237</v>
      </c>
      <c r="C5141" s="16" t="str">
        <f>IFERROR(__xludf.DUMMYFUNCTION(""""""""" &amp; REGEXEXTRACT(B5141, ""/detail/([^/?]+)"") &amp; """""","""),"""bononpbmihomjbnfaaapbbhfkifjcekn"",")</f>
        <v>"bononpbmihomjbnfaaapbbhfkifjcekn",</v>
      </c>
    </row>
    <row r="5142">
      <c r="A5142" s="4" t="s">
        <v>24321</v>
      </c>
      <c r="B5142" s="4" t="s">
        <v>10239</v>
      </c>
      <c r="C5142" s="16" t="str">
        <f>IFERROR(__xludf.DUMMYFUNCTION(""""""""" &amp; REGEXEXTRACT(B5142, ""/detail/([^/?]+)"") &amp; """""","""),"""bpbalpgdnkieljogofnfjmgcnjcaiheg"",")</f>
        <v>"bpbalpgdnkieljogofnfjmgcnjcaiheg",</v>
      </c>
    </row>
    <row r="5143">
      <c r="A5143" s="4" t="s">
        <v>24322</v>
      </c>
      <c r="B5143" s="4" t="s">
        <v>10241</v>
      </c>
      <c r="C5143" s="16" t="str">
        <f>IFERROR(__xludf.DUMMYFUNCTION(""""""""" &amp; REGEXEXTRACT(B5143, ""/detail/([^/?]+)"") &amp; """""","""),"""bpeblffgmddnafmnmdjohcmkbeifdlnb"",")</f>
        <v>"bpeblffgmddnafmnmdjohcmkbeifdlnb",</v>
      </c>
    </row>
    <row r="5144">
      <c r="A5144" s="4" t="s">
        <v>24323</v>
      </c>
      <c r="B5144" s="4" t="s">
        <v>10243</v>
      </c>
      <c r="C5144" s="16" t="str">
        <f>IFERROR(__xludf.DUMMYFUNCTION(""""""""" &amp; REGEXEXTRACT(B5144, ""/detail/([^/?]+)"") &amp; """""","""),"""bpfgocdamegnchkjefgknhjflempicie"",")</f>
        <v>"bpfgocdamegnchkjefgknhjflempicie",</v>
      </c>
    </row>
    <row r="5145">
      <c r="A5145" s="4" t="s">
        <v>24324</v>
      </c>
      <c r="B5145" s="4" t="s">
        <v>10245</v>
      </c>
      <c r="C5145" s="16" t="str">
        <f>IFERROR(__xludf.DUMMYFUNCTION(""""""""" &amp; REGEXEXTRACT(B5145, ""/detail/([^/?]+)"") &amp; """""","""),"""bpglollfkjfopjpnhffddkpcemoicela"",")</f>
        <v>"bpglollfkjfopjpnhffddkpcemoicela",</v>
      </c>
    </row>
    <row r="5146">
      <c r="A5146" s="4" t="s">
        <v>24325</v>
      </c>
      <c r="B5146" s="4" t="s">
        <v>10247</v>
      </c>
      <c r="C5146" s="16" t="str">
        <f>IFERROR(__xludf.DUMMYFUNCTION(""""""""" &amp; REGEXEXTRACT(B5146, ""/detail/([^/?]+)"") &amp; """""","""),"""bpgpmbeomblaiefcpfffeknlmdniphfj"",")</f>
        <v>"bpgpmbeomblaiefcpfffeknlmdniphfj",</v>
      </c>
    </row>
    <row r="5147">
      <c r="A5147" s="4" t="s">
        <v>24326</v>
      </c>
      <c r="B5147" s="4" t="s">
        <v>10248</v>
      </c>
      <c r="C5147" s="16" t="str">
        <f>IFERROR(__xludf.DUMMYFUNCTION(""""""""" &amp; REGEXEXTRACT(B5147, ""/detail/([^/?]+)"") &amp; """""","""),"""bpnbncnlmblkmeleaiaccmdikkdkicim"",")</f>
        <v>"bpnbncnlmblkmeleaiaccmdikkdkicim",</v>
      </c>
    </row>
    <row r="5148">
      <c r="A5148" s="4" t="s">
        <v>24327</v>
      </c>
      <c r="B5148" s="4" t="s">
        <v>10250</v>
      </c>
      <c r="C5148" s="16" t="str">
        <f>IFERROR(__xludf.DUMMYFUNCTION(""""""""" &amp; REGEXEXTRACT(B5148, ""/detail/([^/?]+)"") &amp; """""","""),"""bpnfacghgpkdiglphjbiebnmocfalkdi"",")</f>
        <v>"bpnfacghgpkdiglphjbiebnmocfalkdi",</v>
      </c>
    </row>
    <row r="5149">
      <c r="A5149" s="4" t="s">
        <v>24328</v>
      </c>
      <c r="B5149" s="4" t="s">
        <v>10252</v>
      </c>
      <c r="C5149" s="16" t="str">
        <f>IFERROR(__xludf.DUMMYFUNCTION(""""""""" &amp; REGEXEXTRACT(B5149, ""/detail/([^/?]+)"") &amp; """""","""),"""bpoinaajmddigpifcllncafoienemiid"",")</f>
        <v>"bpoinaajmddigpifcllncafoienemiid",</v>
      </c>
    </row>
    <row r="5150">
      <c r="A5150" s="4" t="s">
        <v>24329</v>
      </c>
      <c r="B5150" s="4" t="s">
        <v>10254</v>
      </c>
      <c r="C5150" s="16" t="str">
        <f>IFERROR(__xludf.DUMMYFUNCTION(""""""""" &amp; REGEXEXTRACT(B5150, ""/detail/([^/?]+)"") &amp; """""","""),"""bpokokggppjbfooncickjejmekbpblfa"",")</f>
        <v>"bpokokggppjbfooncickjejmekbpblfa",</v>
      </c>
    </row>
    <row r="5151">
      <c r="A5151" s="4" t="s">
        <v>24330</v>
      </c>
      <c r="B5151" s="4" t="s">
        <v>10256</v>
      </c>
      <c r="C5151" s="16" t="str">
        <f>IFERROR(__xludf.DUMMYFUNCTION(""""""""" &amp; REGEXEXTRACT(B5151, ""/detail/([^/?]+)"") &amp; """""","""),"""caabcffmdomgiiakbkdggeojaknnnlij"",")</f>
        <v>"caabcffmdomgiiakbkdggeojaknnnlij",</v>
      </c>
    </row>
    <row r="5152">
      <c r="A5152" s="4" t="s">
        <v>24331</v>
      </c>
      <c r="B5152" s="4" t="s">
        <v>10258</v>
      </c>
      <c r="C5152" s="16" t="str">
        <f>IFERROR(__xludf.DUMMYFUNCTION(""""""""" &amp; REGEXEXTRACT(B5152, ""/detail/([^/?]+)"") &amp; """""","""),"""cabcphhhdomgkaglnbcbpglbgnilmnbj"",")</f>
        <v>"cabcphhhdomgkaglnbcbpglbgnilmnbj",</v>
      </c>
    </row>
    <row r="5153">
      <c r="A5153" s="4" t="s">
        <v>24332</v>
      </c>
      <c r="B5153" s="4" t="s">
        <v>10260</v>
      </c>
      <c r="C5153" s="16" t="str">
        <f>IFERROR(__xludf.DUMMYFUNCTION(""""""""" &amp; REGEXEXTRACT(B5153, ""/detail/([^/?]+)"") &amp; """""","""),"""caeebcagcpmjhlmndepapcokebchemij"",")</f>
        <v>"caeebcagcpmjhlmndepapcokebchemij",</v>
      </c>
    </row>
    <row r="5154">
      <c r="A5154" s="4" t="s">
        <v>24333</v>
      </c>
      <c r="B5154" s="4" t="s">
        <v>10262</v>
      </c>
      <c r="C5154" s="16" t="str">
        <f>IFERROR(__xludf.DUMMYFUNCTION(""""""""" &amp; REGEXEXTRACT(B5154, ""/detail/([^/?]+)"") &amp; """""","""),"""caeoldohbmnkpkndeephoanbkhjccgbm"",")</f>
        <v>"caeoldohbmnkpkndeephoanbkhjccgbm",</v>
      </c>
    </row>
    <row r="5155">
      <c r="A5155" s="4" t="s">
        <v>24334</v>
      </c>
      <c r="B5155" s="4" t="s">
        <v>10264</v>
      </c>
      <c r="C5155" s="16" t="str">
        <f>IFERROR(__xludf.DUMMYFUNCTION(""""""""" &amp; REGEXEXTRACT(B5155, ""/detail/([^/?]+)"") &amp; """""","""),"""cakepohgdbjbenkcpkkacmohgfjhnjoh"",")</f>
        <v>"cakepohgdbjbenkcpkkacmohgfjhnjoh",</v>
      </c>
    </row>
    <row r="5156">
      <c r="A5156" s="4" t="s">
        <v>24335</v>
      </c>
      <c r="B5156" s="4" t="s">
        <v>10266</v>
      </c>
      <c r="C5156" s="16" t="str">
        <f>IFERROR(__xludf.DUMMYFUNCTION(""""""""" &amp; REGEXEXTRACT(B5156, ""/detail/([^/?]+)"") &amp; """""","""),"""calcepdepicecadfaibokdeheekbihkc"",")</f>
        <v>"calcepdepicecadfaibokdeheekbihkc",</v>
      </c>
    </row>
    <row r="5157">
      <c r="A5157" s="4" t="s">
        <v>24336</v>
      </c>
      <c r="B5157" s="4" t="s">
        <v>10268</v>
      </c>
      <c r="C5157" s="16" t="str">
        <f>IFERROR(__xludf.DUMMYFUNCTION(""""""""" &amp; REGEXEXTRACT(B5157, ""/detail/([^/?]+)"") &amp; """""","""),"""calljomlmakockpdlhfjenbphgnngkad"",")</f>
        <v>"calljomlmakockpdlhfjenbphgnngkad",</v>
      </c>
    </row>
    <row r="5158">
      <c r="A5158" s="4" t="s">
        <v>24337</v>
      </c>
      <c r="B5158" s="4" t="s">
        <v>10270</v>
      </c>
      <c r="C5158" s="16" t="str">
        <f>IFERROR(__xludf.DUMMYFUNCTION(""""""""" &amp; REGEXEXTRACT(B5158, ""/detail/([^/?]+)"") &amp; """""","""),"""caomdaijfcdopklkecajpkoaiamaegkb"",")</f>
        <v>"caomdaijfcdopklkecajpkoaiamaegkb",</v>
      </c>
    </row>
    <row r="5159">
      <c r="A5159" s="4" t="s">
        <v>24338</v>
      </c>
      <c r="B5159" s="4" t="s">
        <v>10272</v>
      </c>
      <c r="C5159" s="16" t="str">
        <f>IFERROR(__xludf.DUMMYFUNCTION(""""""""" &amp; REGEXEXTRACT(B5159, ""/detail/([^/?]+)"") &amp; """""","""),"""cbacdiognkmjbknpgomnfcopaekfhnbb"",")</f>
        <v>"cbacdiognkmjbknpgomnfcopaekfhnbb",</v>
      </c>
    </row>
    <row r="5160">
      <c r="A5160" s="4" t="s">
        <v>24339</v>
      </c>
      <c r="B5160" s="4" t="s">
        <v>10274</v>
      </c>
      <c r="C5160" s="16" t="str">
        <f>IFERROR(__xludf.DUMMYFUNCTION(""""""""" &amp; REGEXEXTRACT(B5160, ""/detail/([^/?]+)"") &amp; """""","""),"""cbehdjjcilgnejbpnjhobkiiggkedfib"",")</f>
        <v>"cbehdjjcilgnejbpnjhobkiiggkedfib",</v>
      </c>
    </row>
    <row r="5161">
      <c r="A5161" s="4" t="s">
        <v>24340</v>
      </c>
      <c r="B5161" s="4" t="s">
        <v>10276</v>
      </c>
      <c r="C5161" s="16" t="str">
        <f>IFERROR(__xludf.DUMMYFUNCTION(""""""""" &amp; REGEXEXTRACT(B5161, ""/detail/([^/?]+)"") &amp; """""","""),"""cbeidghihnefkfenmcahlofknpfblmmh"",")</f>
        <v>"cbeidghihnefkfenmcahlofknpfblmmh",</v>
      </c>
    </row>
    <row r="5162">
      <c r="A5162" s="4" t="s">
        <v>24341</v>
      </c>
      <c r="B5162" s="4" t="s">
        <v>10278</v>
      </c>
      <c r="C5162" s="16" t="str">
        <f>IFERROR(__xludf.DUMMYFUNCTION(""""""""" &amp; REGEXEXTRACT(B5162, ""/detail/([^/?]+)"") &amp; """""","""),"""cbjgjgbnklbncggeioecjhbichhmocgl"",")</f>
        <v>"cbjgjgbnklbncggeioecjhbichhmocgl",</v>
      </c>
    </row>
    <row r="5163">
      <c r="A5163" s="4" t="s">
        <v>24342</v>
      </c>
      <c r="B5163" s="4" t="s">
        <v>10280</v>
      </c>
      <c r="C5163" s="16" t="str">
        <f>IFERROR(__xludf.DUMMYFUNCTION(""""""""" &amp; REGEXEXTRACT(B5163, ""/detail/([^/?]+)"") &amp; """""","""),"""cblhgnnnpnonkonnfcfkfhhkoldjpdno"",")</f>
        <v>"cblhgnnnpnonkonnfcfkfhhkoldjpdno",</v>
      </c>
    </row>
    <row r="5164">
      <c r="A5164" s="4" t="s">
        <v>24343</v>
      </c>
      <c r="B5164" s="4" t="s">
        <v>10282</v>
      </c>
      <c r="C5164" s="16" t="str">
        <f>IFERROR(__xludf.DUMMYFUNCTION(""""""""" &amp; REGEXEXTRACT(B5164, ""/detail/([^/?]+)"") &amp; """""","""),"""cblonpcmkamcmodcdknmpicgdohmifla"",")</f>
        <v>"cblonpcmkamcmodcdknmpicgdohmifla",</v>
      </c>
    </row>
    <row r="5165">
      <c r="A5165" s="4" t="s">
        <v>24344</v>
      </c>
      <c r="B5165" s="4" t="s">
        <v>10284</v>
      </c>
      <c r="C5165" s="16" t="str">
        <f>IFERROR(__xludf.DUMMYFUNCTION(""""""""" &amp; REGEXEXTRACT(B5165, ""/detail/([^/?]+)"") &amp; """""","""),"""cbnipbdpgcncaghphljjicfgmkonflee"",")</f>
        <v>"cbnipbdpgcncaghphljjicfgmkonflee",</v>
      </c>
    </row>
    <row r="5166">
      <c r="A5166" s="4" t="s">
        <v>24345</v>
      </c>
      <c r="B5166" s="4" t="s">
        <v>10286</v>
      </c>
      <c r="C5166" s="16" t="str">
        <f>IFERROR(__xludf.DUMMYFUNCTION(""""""""" &amp; REGEXEXTRACT(B5166, ""/detail/([^/?]+)"") &amp; """""","""),"""ccaddeihobjfjhpidfolokbffjnacfae"",")</f>
        <v>"ccaddeihobjfjhpidfolokbffjnacfae",</v>
      </c>
    </row>
    <row r="5167">
      <c r="A5167" s="4" t="s">
        <v>24346</v>
      </c>
      <c r="B5167" s="4" t="s">
        <v>10288</v>
      </c>
      <c r="C5167" s="16" t="str">
        <f>IFERROR(__xludf.DUMMYFUNCTION(""""""""" &amp; REGEXEXTRACT(B5167, ""/detail/([^/?]+)"") &amp; """""","""),"""ccghcnenefcpjjikaalmfkafenlhagpn"",")</f>
        <v>"ccghcnenefcpjjikaalmfkafenlhagpn",</v>
      </c>
    </row>
    <row r="5168">
      <c r="A5168" s="4" t="s">
        <v>24347</v>
      </c>
      <c r="B5168" s="4" t="s">
        <v>10290</v>
      </c>
      <c r="C5168" s="16" t="str">
        <f>IFERROR(__xludf.DUMMYFUNCTION(""""""""" &amp; REGEXEXTRACT(B5168, ""/detail/([^/?]+)"") &amp; """""","""),"""ccgjmadhdidfloacagcnnodbkedkjedg"",")</f>
        <v>"ccgjmadhdidfloacagcnnodbkedkjedg",</v>
      </c>
    </row>
    <row r="5169">
      <c r="A5169" s="4" t="s">
        <v>24348</v>
      </c>
      <c r="B5169" s="4" t="s">
        <v>10292</v>
      </c>
      <c r="C5169" s="16" t="str">
        <f>IFERROR(__xludf.DUMMYFUNCTION(""""""""" &amp; REGEXEXTRACT(B5169, ""/detail/([^/?]+)"") &amp; """""","""),"""cchaceegbflphbdpfocjalgjhjoahiia"",")</f>
        <v>"cchaceegbflphbdpfocjalgjhjoahiia",</v>
      </c>
    </row>
    <row r="5170">
      <c r="A5170" s="4" t="s">
        <v>24349</v>
      </c>
      <c r="B5170" s="4" t="s">
        <v>10294</v>
      </c>
      <c r="C5170" s="16" t="str">
        <f>IFERROR(__xludf.DUMMYFUNCTION(""""""""" &amp; REGEXEXTRACT(B5170, ""/detail/([^/?]+)"") &amp; """""","""),"""ccjomchggbfngggjahebgahghoomiegm"",")</f>
        <v>"ccjomchggbfngggjahebgahghoomiegm",</v>
      </c>
    </row>
    <row r="5171">
      <c r="A5171" s="4" t="s">
        <v>24350</v>
      </c>
      <c r="B5171" s="4" t="s">
        <v>10296</v>
      </c>
      <c r="C5171" s="16" t="str">
        <f>IFERROR(__xludf.DUMMYFUNCTION(""""""""" &amp; REGEXEXTRACT(B5171, ""/detail/([^/?]+)"") &amp; """""","""),"""ccmccoifgmogllppkahijhkingoeapph"",")</f>
        <v>"ccmccoifgmogllppkahijhkingoeapph",</v>
      </c>
    </row>
    <row r="5172">
      <c r="A5172" s="4" t="s">
        <v>24351</v>
      </c>
      <c r="B5172" s="4" t="s">
        <v>10298</v>
      </c>
      <c r="C5172" s="16" t="str">
        <f>IFERROR(__xludf.DUMMYFUNCTION(""""""""" &amp; REGEXEXTRACT(B5172, ""/detail/([^/?]+)"") &amp; """""","""),"""cdbaojfiddljjlncegompgmbioggpolc"",")</f>
        <v>"cdbaojfiddljjlncegompgmbioggpolc",</v>
      </c>
    </row>
    <row r="5173">
      <c r="A5173" s="4" t="s">
        <v>24352</v>
      </c>
      <c r="B5173" s="4" t="s">
        <v>10300</v>
      </c>
      <c r="C5173" s="16" t="str">
        <f>IFERROR(__xludf.DUMMYFUNCTION(""""""""" &amp; REGEXEXTRACT(B5173, ""/detail/([^/?]+)"") &amp; """""","""),"""cdggbakccncnbjlfobchjmkjgbonmoie"",")</f>
        <v>"cdggbakccncnbjlfobchjmkjgbonmoie",</v>
      </c>
    </row>
    <row r="5174">
      <c r="A5174" s="4" t="s">
        <v>24353</v>
      </c>
      <c r="B5174" s="4" t="s">
        <v>10302</v>
      </c>
      <c r="C5174" s="16" t="str">
        <f>IFERROR(__xludf.DUMMYFUNCTION(""""""""" &amp; REGEXEXTRACT(B5174, ""/detail/([^/?]+)"") &amp; """""","""),"""cdgmkacahjfleahcaioegeblcoedjbka"",")</f>
        <v>"cdgmkacahjfleahcaioegeblcoedjbka",</v>
      </c>
    </row>
    <row r="5175">
      <c r="A5175" s="4" t="s">
        <v>24354</v>
      </c>
      <c r="B5175" s="4" t="s">
        <v>10304</v>
      </c>
      <c r="C5175" s="16" t="str">
        <f>IFERROR(__xludf.DUMMYFUNCTION(""""""""" &amp; REGEXEXTRACT(B5175, ""/detail/([^/?]+)"") &amp; """""","""),"""cdlhhcmmdobckneongkkmgigcimeibpf"",")</f>
        <v>"cdlhhcmmdobckneongkkmgigcimeibpf",</v>
      </c>
    </row>
    <row r="5176">
      <c r="A5176" s="4" t="s">
        <v>24355</v>
      </c>
      <c r="B5176" s="4" t="s">
        <v>10306</v>
      </c>
      <c r="C5176" s="16" t="str">
        <f>IFERROR(__xludf.DUMMYFUNCTION(""""""""" &amp; REGEXEXTRACT(B5176, ""/detail/([^/?]+)"") &amp; """""","""),"""cdmhoehokaoghadonjfdbhieajggfbmd"",")</f>
        <v>"cdmhoehokaoghadonjfdbhieajggfbmd",</v>
      </c>
    </row>
    <row r="5177">
      <c r="A5177" s="4" t="s">
        <v>24356</v>
      </c>
      <c r="B5177" s="4" t="s">
        <v>10308</v>
      </c>
      <c r="C5177" s="16" t="str">
        <f>IFERROR(__xludf.DUMMYFUNCTION(""""""""" &amp; REGEXEXTRACT(B5177, ""/detail/([^/?]+)"") &amp; """""","""),"""cdnefgebicfnnnjmbnlldhfjmcblfhob"",")</f>
        <v>"cdnefgebicfnnnjmbnlldhfjmcblfhob",</v>
      </c>
    </row>
    <row r="5178">
      <c r="A5178" s="4" t="s">
        <v>24357</v>
      </c>
      <c r="B5178" s="4" t="s">
        <v>10310</v>
      </c>
      <c r="C5178" s="16" t="str">
        <f>IFERROR(__xludf.DUMMYFUNCTION(""""""""" &amp; REGEXEXTRACT(B5178, ""/detail/([^/?]+)"") &amp; """""","""),"""cdnndnflhhocodafnnngdioocbknhjif"",")</f>
        <v>"cdnndnflhhocodafnnngdioocbknhjif",</v>
      </c>
    </row>
    <row r="5179">
      <c r="A5179" s="4" t="s">
        <v>24358</v>
      </c>
      <c r="B5179" s="4" t="s">
        <v>10312</v>
      </c>
      <c r="C5179" s="16" t="str">
        <f>IFERROR(__xludf.DUMMYFUNCTION(""""""""" &amp; REGEXEXTRACT(B5179, ""/detail/([^/?]+)"") &amp; """""","""),"""cdogmjcmhomjlbmbdjhebeolefbocicb"",")</f>
        <v>"cdogmjcmhomjlbmbdjhebeolefbocicb",</v>
      </c>
    </row>
    <row r="5180">
      <c r="A5180" s="4" t="s">
        <v>24359</v>
      </c>
      <c r="B5180" s="4" t="s">
        <v>10314</v>
      </c>
      <c r="C5180" s="16" t="str">
        <f>IFERROR(__xludf.DUMMYFUNCTION(""""""""" &amp; REGEXEXTRACT(B5180, ""/detail/([^/?]+)"") &amp; """""","""),"""cdooaodgjnfoieflegemcnbgdibopbmi"",")</f>
        <v>"cdooaodgjnfoieflegemcnbgdibopbmi",</v>
      </c>
    </row>
    <row r="5181">
      <c r="A5181" s="4" t="s">
        <v>24360</v>
      </c>
      <c r="B5181" s="4" t="s">
        <v>10316</v>
      </c>
      <c r="C5181" s="16" t="str">
        <f>IFERROR(__xludf.DUMMYFUNCTION(""""""""" &amp; REGEXEXTRACT(B5181, ""/detail/([^/?]+)"") &amp; """""","""),"""cdpcjlkngbjmobjppajnbknpegdbnpbc"",")</f>
        <v>"cdpcjlkngbjmobjppajnbknpegdbnpbc",</v>
      </c>
    </row>
    <row r="5182">
      <c r="A5182" s="4" t="s">
        <v>24361</v>
      </c>
      <c r="B5182" s="4" t="s">
        <v>10318</v>
      </c>
      <c r="C5182" s="16" t="str">
        <f>IFERROR(__xludf.DUMMYFUNCTION(""""""""" &amp; REGEXEXTRACT(B5182, ""/detail/([^/?]+)"") &amp; """""","""),"""cejmehdlheodojdpdidolibjkfeinabk"",")</f>
        <v>"cejmehdlheodojdpdidolibjkfeinabk",</v>
      </c>
    </row>
    <row r="5183">
      <c r="A5183" s="4" t="s">
        <v>24362</v>
      </c>
      <c r="B5183" s="4" t="s">
        <v>10320</v>
      </c>
      <c r="C5183" s="16" t="str">
        <f>IFERROR(__xludf.DUMMYFUNCTION(""""""""" &amp; REGEXEXTRACT(B5183, ""/detail/([^/?]+)"") &amp; """""","""),"""cekhhgcjpkahghpgeafhmkkjhidodplk"",")</f>
        <v>"cekhhgcjpkahghpgeafhmkkjhidodplk",</v>
      </c>
    </row>
    <row r="5184">
      <c r="A5184" s="4" t="s">
        <v>24363</v>
      </c>
      <c r="B5184" s="4" t="s">
        <v>10322</v>
      </c>
      <c r="C5184" s="16" t="str">
        <f>IFERROR(__xludf.DUMMYFUNCTION(""""""""" &amp; REGEXEXTRACT(B5184, ""/detail/([^/?]+)"") &amp; """""","""),"""ceoiohgolheciaefomofjboicekphfmp"",")</f>
        <v>"ceoiohgolheciaefomofjboicekphfmp",</v>
      </c>
    </row>
    <row r="5185">
      <c r="A5185" s="4" t="s">
        <v>24364</v>
      </c>
      <c r="B5185" s="4" t="s">
        <v>10324</v>
      </c>
      <c r="C5185" s="16" t="str">
        <f>IFERROR(__xludf.DUMMYFUNCTION(""""""""" &amp; REGEXEXTRACT(B5185, ""/detail/([^/?]+)"") &amp; """""","""),"""ceokjgeibfjfcboemhdpkdalankbmnej"",")</f>
        <v>"ceokjgeibfjfcboemhdpkdalankbmnej",</v>
      </c>
    </row>
    <row r="5186">
      <c r="A5186" s="4" t="s">
        <v>24365</v>
      </c>
      <c r="B5186" s="4" t="s">
        <v>10326</v>
      </c>
      <c r="C5186" s="16" t="str">
        <f>IFERROR(__xludf.DUMMYFUNCTION(""""""""" &amp; REGEXEXTRACT(B5186, ""/detail/([^/?]+)"") &amp; """""","""),"""cepfpldhbcfaklnnldhoaahgliijehap"",")</f>
        <v>"cepfpldhbcfaklnnldhoaahgliijehap",</v>
      </c>
    </row>
    <row r="5187">
      <c r="A5187" s="4" t="s">
        <v>24366</v>
      </c>
      <c r="B5187" s="4" t="s">
        <v>10328</v>
      </c>
      <c r="C5187" s="16" t="str">
        <f>IFERROR(__xludf.DUMMYFUNCTION(""""""""" &amp; REGEXEXTRACT(B5187, ""/detail/([^/?]+)"") &amp; """""","""),"""cfbjnjeaoamknmdojhgcblkebcphmcei"",")</f>
        <v>"cfbjnjeaoamknmdojhgcblkebcphmcei",</v>
      </c>
    </row>
    <row r="5188">
      <c r="A5188" s="4" t="s">
        <v>24367</v>
      </c>
      <c r="B5188" s="4" t="s">
        <v>10330</v>
      </c>
      <c r="C5188" s="16" t="str">
        <f>IFERROR(__xludf.DUMMYFUNCTION(""""""""" &amp; REGEXEXTRACT(B5188, ""/detail/([^/?]+)"") &amp; """""","""),"""cfcpfikgmfoghjfpfepmklballeagadf"",")</f>
        <v>"cfcpfikgmfoghjfpfepmklballeagadf",</v>
      </c>
    </row>
    <row r="5189">
      <c r="A5189" s="4" t="s">
        <v>24368</v>
      </c>
      <c r="B5189" s="4" t="s">
        <v>10332</v>
      </c>
      <c r="C5189" s="16" t="str">
        <f>IFERROR(__xludf.DUMMYFUNCTION(""""""""" &amp; REGEXEXTRACT(B5189, ""/detail/([^/?]+)"") &amp; """""","""),"""cfdgehfjclodekbbcehjichmgbfehjeb"",")</f>
        <v>"cfdgehfjclodekbbcehjichmgbfehjeb",</v>
      </c>
    </row>
    <row r="5190">
      <c r="A5190" s="4" t="s">
        <v>24369</v>
      </c>
      <c r="B5190" s="4" t="s">
        <v>10334</v>
      </c>
      <c r="C5190" s="16" t="str">
        <f>IFERROR(__xludf.DUMMYFUNCTION(""""""""" &amp; REGEXEXTRACT(B5190, ""/detail/([^/?]+)"") &amp; """""","""),"""cffhcidaacfnglcaaegjfbbcccgappfb"",")</f>
        <v>"cffhcidaacfnglcaaegjfbbcccgappfb",</v>
      </c>
    </row>
    <row r="5191">
      <c r="A5191" s="4" t="s">
        <v>24370</v>
      </c>
      <c r="B5191" s="4" t="s">
        <v>10336</v>
      </c>
      <c r="C5191" s="16" t="str">
        <f>IFERROR(__xludf.DUMMYFUNCTION(""""""""" &amp; REGEXEXTRACT(B5191, ""/detail/([^/?]+)"") &amp; """""","""),"""cfgnolbmpghipdmhgoghhjblhmkefaga"",")</f>
        <v>"cfgnolbmpghipdmhgoghhjblhmkefaga",</v>
      </c>
    </row>
    <row r="5192">
      <c r="A5192" s="4" t="s">
        <v>24371</v>
      </c>
      <c r="B5192" s="4" t="s">
        <v>10338</v>
      </c>
      <c r="C5192" s="16" t="str">
        <f>IFERROR(__xludf.DUMMYFUNCTION(""""""""" &amp; REGEXEXTRACT(B5192, ""/detail/([^/?]+)"") &amp; """""","""),"""cfhcklieekfbknjiejkihfglegfnngbo"",")</f>
        <v>"cfhcklieekfbknjiejkihfglegfnngbo",</v>
      </c>
    </row>
    <row r="5193">
      <c r="A5193" s="4" t="s">
        <v>24372</v>
      </c>
      <c r="B5193" s="4" t="s">
        <v>10340</v>
      </c>
      <c r="C5193" s="16" t="str">
        <f>IFERROR(__xludf.DUMMYFUNCTION(""""""""" &amp; REGEXEXTRACT(B5193, ""/detail/([^/?]+)"") &amp; """""","""),"""cgadklekpacccapkencnkjkiofmeipab"",")</f>
        <v>"cgadklekpacccapkencnkjkiofmeipab",</v>
      </c>
    </row>
    <row r="5194">
      <c r="A5194" s="4" t="s">
        <v>24373</v>
      </c>
      <c r="B5194" s="4" t="s">
        <v>10342</v>
      </c>
      <c r="C5194" s="16" t="str">
        <f>IFERROR(__xludf.DUMMYFUNCTION(""""""""" &amp; REGEXEXTRACT(B5194, ""/detail/([^/?]+)"") &amp; """""","""),"""cgcojlemehdnomhjpjagopenjklgjagp"",")</f>
        <v>"cgcojlemehdnomhjpjagopenjklgjagp",</v>
      </c>
    </row>
    <row r="5195">
      <c r="A5195" s="4" t="s">
        <v>24374</v>
      </c>
      <c r="B5195" s="4" t="s">
        <v>10344</v>
      </c>
      <c r="C5195" s="16" t="str">
        <f>IFERROR(__xludf.DUMMYFUNCTION(""""""""" &amp; REGEXEXTRACT(B5195, ""/detail/([^/?]+)"") &amp; """""","""),"""cgdbpnmhhkgaaahpmgmmibiifdegidbl"",")</f>
        <v>"cgdbpnmhhkgaaahpmgmmibiifdegidbl",</v>
      </c>
    </row>
    <row r="5196">
      <c r="A5196" s="4" t="s">
        <v>24375</v>
      </c>
      <c r="B5196" s="4" t="s">
        <v>10346</v>
      </c>
      <c r="C5196" s="16" t="str">
        <f>IFERROR(__xludf.DUMMYFUNCTION(""""""""" &amp; REGEXEXTRACT(B5196, ""/detail/([^/?]+)"") &amp; """""","""),"""cgljpgplnkpahengbpekcffelefngjgm"",")</f>
        <v>"cgljpgplnkpahengbpekcffelefngjgm",</v>
      </c>
    </row>
    <row r="5197">
      <c r="A5197" s="4" t="s">
        <v>24376</v>
      </c>
      <c r="B5197" s="4" t="s">
        <v>10348</v>
      </c>
      <c r="C5197" s="16" t="str">
        <f>IFERROR(__xludf.DUMMYFUNCTION(""""""""" &amp; REGEXEXTRACT(B5197, ""/detail/([^/?]+)"") &amp; """""","""),"""cglpcedifkgalfdklahhcchnjepcckfn"",")</f>
        <v>"cglpcedifkgalfdklahhcchnjepcckfn",</v>
      </c>
    </row>
    <row r="5198">
      <c r="A5198" s="4" t="s">
        <v>24377</v>
      </c>
      <c r="B5198" s="4" t="s">
        <v>10349</v>
      </c>
      <c r="C5198" s="16" t="str">
        <f>IFERROR(__xludf.DUMMYFUNCTION(""""""""" &amp; REGEXEXTRACT(B5198, ""/detail/([^/?]+)"") &amp; """""","""),"""cgmcmehbapbaejkcjejdjddnbdfigegj"",")</f>
        <v>"cgmcmehbapbaejkcjejdjddnbdfigegj",</v>
      </c>
    </row>
    <row r="5199">
      <c r="A5199" s="4" t="s">
        <v>24378</v>
      </c>
      <c r="B5199" s="4" t="s">
        <v>10351</v>
      </c>
      <c r="C5199" s="16" t="str">
        <f>IFERROR(__xludf.DUMMYFUNCTION(""""""""" &amp; REGEXEXTRACT(B5199, ""/detail/([^/?]+)"") &amp; """""","""),"""cgpcmjlbbminbhmmhodnhihbabgnbaji"",")</f>
        <v>"cgpcmjlbbminbhmmhodnhihbabgnbaji",</v>
      </c>
    </row>
    <row r="5200">
      <c r="A5200" s="4" t="s">
        <v>24379</v>
      </c>
      <c r="B5200" s="4" t="s">
        <v>10353</v>
      </c>
      <c r="C5200" s="16" t="str">
        <f>IFERROR(__xludf.DUMMYFUNCTION(""""""""" &amp; REGEXEXTRACT(B5200, ""/detail/([^/?]+)"") &amp; """""","""),"""chanllebmhpihdidogiopcgfnhcmlhek"",")</f>
        <v>"chanllebmhpihdidogiopcgfnhcmlhek",</v>
      </c>
    </row>
    <row r="5201">
      <c r="A5201" s="4" t="s">
        <v>24380</v>
      </c>
      <c r="B5201" s="4" t="s">
        <v>10355</v>
      </c>
      <c r="C5201" s="16" t="str">
        <f>IFERROR(__xludf.DUMMYFUNCTION(""""""""" &amp; REGEXEXTRACT(B5201, ""/detail/([^/?]+)"") &amp; """""","""),"""chbajlemiidocmkiacnflbckhelnblen"",")</f>
        <v>"chbajlemiidocmkiacnflbckhelnblen",</v>
      </c>
    </row>
    <row r="5202">
      <c r="A5202" s="4" t="s">
        <v>24381</v>
      </c>
      <c r="B5202" s="4" t="s">
        <v>10357</v>
      </c>
      <c r="C5202" s="16" t="str">
        <f>IFERROR(__xludf.DUMMYFUNCTION(""""""""" &amp; REGEXEXTRACT(B5202, ""/detail/([^/?]+)"") &amp; """""","""),"""chhjopjdbnjjofggpippedakmgclpfad"",")</f>
        <v>"chhjopjdbnjjofggpippedakmgclpfad",</v>
      </c>
    </row>
    <row r="5203">
      <c r="A5203" s="4" t="s">
        <v>24382</v>
      </c>
      <c r="B5203" s="4" t="s">
        <v>10359</v>
      </c>
      <c r="C5203" s="16" t="str">
        <f>IFERROR(__xludf.DUMMYFUNCTION(""""""""" &amp; REGEXEXTRACT(B5203, ""/detail/([^/?]+)"") &amp; """""","""),"""chiakepmphnoipoamanblmjmnigmgbkh"",")</f>
        <v>"chiakepmphnoipoamanblmjmnigmgbkh",</v>
      </c>
    </row>
    <row r="5204">
      <c r="A5204" s="4" t="s">
        <v>24383</v>
      </c>
      <c r="B5204" s="4" t="s">
        <v>10361</v>
      </c>
      <c r="C5204" s="16" t="str">
        <f>IFERROR(__xludf.DUMMYFUNCTION(""""""""" &amp; REGEXEXTRACT(B5204, ""/detail/([^/?]+)"") &amp; """""","""),"""chidgbjejnkfcgjikakacojiigjliodi"",")</f>
        <v>"chidgbjejnkfcgjikakacojiigjliodi",</v>
      </c>
    </row>
    <row r="5205">
      <c r="A5205" s="4" t="s">
        <v>24384</v>
      </c>
      <c r="B5205" s="4" t="s">
        <v>10363</v>
      </c>
      <c r="C5205" s="16" t="str">
        <f>IFERROR(__xludf.DUMMYFUNCTION(""""""""" &amp; REGEXEXTRACT(B5205, ""/detail/([^/?]+)"") &amp; """""","""),"""chkcpeigckjajkfbjhdochlkffjdgeee"",")</f>
        <v>"chkcpeigckjajkfbjhdochlkffjdgeee",</v>
      </c>
    </row>
    <row r="5206">
      <c r="A5206" s="4" t="s">
        <v>24385</v>
      </c>
      <c r="B5206" s="4" t="s">
        <v>10365</v>
      </c>
      <c r="C5206" s="16" t="str">
        <f>IFERROR(__xludf.DUMMYFUNCTION(""""""""" &amp; REGEXEXTRACT(B5206, ""/detail/([^/?]+)"") &amp; """""","""),"""chmkgbchecaliljnmpkdencihbopeodo"",")</f>
        <v>"chmkgbchecaliljnmpkdencihbopeodo",</v>
      </c>
    </row>
    <row r="5207">
      <c r="A5207" s="4" t="s">
        <v>24386</v>
      </c>
      <c r="B5207" s="4" t="s">
        <v>10367</v>
      </c>
      <c r="C5207" s="16" t="str">
        <f>IFERROR(__xludf.DUMMYFUNCTION(""""""""" &amp; REGEXEXTRACT(B5207, ""/detail/([^/?]+)"") &amp; """""","""),"""chohglfmmlfhnkloampcdmnnhnhegbfg"",")</f>
        <v>"chohglfmmlfhnkloampcdmnnhnhegbfg",</v>
      </c>
    </row>
    <row r="5208">
      <c r="A5208" s="4" t="s">
        <v>24387</v>
      </c>
      <c r="B5208" s="4" t="s">
        <v>10369</v>
      </c>
      <c r="C5208" s="16" t="str">
        <f>IFERROR(__xludf.DUMMYFUNCTION(""""""""" &amp; REGEXEXTRACT(B5208, ""/detail/([^/?]+)"") &amp; """""","""),"""chojffponkoboggmjpnkflkbcelacijk"",")</f>
        <v>"chojffponkoboggmjpnkflkbcelacijk",</v>
      </c>
    </row>
    <row r="5209">
      <c r="A5209" s="4" t="s">
        <v>24388</v>
      </c>
      <c r="B5209" s="4" t="s">
        <v>10371</v>
      </c>
      <c r="C5209" s="16" t="str">
        <f>IFERROR(__xludf.DUMMYFUNCTION(""""""""" &amp; REGEXEXTRACT(B5209, ""/detail/([^/?]+)"") &amp; """""","""),"""cideffjalolgmnlclfnonbiakkefccji"",")</f>
        <v>"cideffjalolgmnlclfnonbiakkefccji",</v>
      </c>
    </row>
    <row r="5210">
      <c r="A5210" s="4" t="s">
        <v>24389</v>
      </c>
      <c r="B5210" s="4" t="s">
        <v>10373</v>
      </c>
      <c r="C5210" s="16" t="str">
        <f>IFERROR(__xludf.DUMMYFUNCTION(""""""""" &amp; REGEXEXTRACT(B5210, ""/detail/([^/?]+)"") &amp; """""","""),"""cidlfjpliekkfghlodnkfeikmalghfaj"",")</f>
        <v>"cidlfjpliekkfghlodnkfeikmalghfaj",</v>
      </c>
    </row>
    <row r="5211">
      <c r="A5211" s="4" t="s">
        <v>24390</v>
      </c>
      <c r="B5211" s="4" t="s">
        <v>10375</v>
      </c>
      <c r="C5211" s="16" t="str">
        <f>IFERROR(__xludf.DUMMYFUNCTION(""""""""" &amp; REGEXEXTRACT(B5211, ""/detail/([^/?]+)"") &amp; """""","""),"""cifhcgiaeoomiciokidmpnlmoomdbego"",")</f>
        <v>"cifhcgiaeoomiciokidmpnlmoomdbego",</v>
      </c>
    </row>
    <row r="5212">
      <c r="A5212" s="4" t="s">
        <v>24391</v>
      </c>
      <c r="B5212" s="4" t="s">
        <v>10377</v>
      </c>
      <c r="C5212" s="16" t="str">
        <f>IFERROR(__xludf.DUMMYFUNCTION(""""""""" &amp; REGEXEXTRACT(B5212, ""/detail/([^/?]+)"") &amp; """""","""),"""cifpncnhgpcfcoknhkcflpbinkfkhapp"",")</f>
        <v>"cifpncnhgpcfcoknhkcflpbinkfkhapp",</v>
      </c>
    </row>
    <row r="5213">
      <c r="A5213" s="4" t="s">
        <v>24392</v>
      </c>
      <c r="B5213" s="4" t="s">
        <v>10379</v>
      </c>
      <c r="C5213" s="16" t="str">
        <f>IFERROR(__xludf.DUMMYFUNCTION(""""""""" &amp; REGEXEXTRACT(B5213, ""/detail/([^/?]+)"") &amp; """""","""),"""cihmoadaighcejopammfbmddcmdekcje"",")</f>
        <v>"cihmoadaighcejopammfbmddcmdekcje",</v>
      </c>
    </row>
    <row r="5214">
      <c r="A5214" s="4" t="s">
        <v>24393</v>
      </c>
      <c r="B5214" s="4" t="s">
        <v>10381</v>
      </c>
      <c r="C5214" s="16" t="str">
        <f>IFERROR(__xludf.DUMMYFUNCTION(""""""""" &amp; REGEXEXTRACT(B5214, ""/detail/([^/?]+)"") &amp; """""","""),"""ciladpeminmmpbedkmchpkalflkpmfap"",")</f>
        <v>"ciladpeminmmpbedkmchpkalflkpmfap",</v>
      </c>
    </row>
    <row r="5215">
      <c r="A5215" s="4" t="s">
        <v>24394</v>
      </c>
      <c r="B5215" s="4" t="s">
        <v>10383</v>
      </c>
      <c r="C5215" s="16" t="str">
        <f>IFERROR(__xludf.DUMMYFUNCTION(""""""""" &amp; REGEXEXTRACT(B5215, ""/detail/([^/?]+)"") &amp; """""","""),"""cimdjdaglanfkpfpoemjkfkmjgkmahpg"",")</f>
        <v>"cimdjdaglanfkpfpoemjkfkmjgkmahpg",</v>
      </c>
    </row>
    <row r="5216">
      <c r="A5216" s="4" t="s">
        <v>24395</v>
      </c>
      <c r="B5216" s="4" t="s">
        <v>10385</v>
      </c>
      <c r="C5216" s="16" t="str">
        <f>IFERROR(__xludf.DUMMYFUNCTION(""""""""" &amp; REGEXEXTRACT(B5216, ""/detail/([^/?]+)"") &amp; """""","""),"""cioaocgapbjhdiodcabjlnihjfbopafb"",")</f>
        <v>"cioaocgapbjhdiodcabjlnihjfbopafb",</v>
      </c>
    </row>
    <row r="5217">
      <c r="A5217" s="4" t="s">
        <v>24396</v>
      </c>
      <c r="B5217" s="4" t="s">
        <v>10387</v>
      </c>
      <c r="C5217" s="16" t="str">
        <f>IFERROR(__xludf.DUMMYFUNCTION(""""""""" &amp; REGEXEXTRACT(B5217, ""/detail/([^/?]+)"") &amp; """""","""),"""ciocgdpejlhegbegfjlfhjgjgbfcjkgb"",")</f>
        <v>"ciocgdpejlhegbegfjlfhjgjgbfcjkgb",</v>
      </c>
    </row>
    <row r="5218">
      <c r="A5218" s="4" t="s">
        <v>24397</v>
      </c>
      <c r="B5218" s="4" t="s">
        <v>10389</v>
      </c>
      <c r="C5218" s="16" t="str">
        <f>IFERROR(__xludf.DUMMYFUNCTION(""""""""" &amp; REGEXEXTRACT(B5218, ""/detail/([^/?]+)"") &amp; """""","""),"""cjafgfpjmkofakmllcbggmphkpcdippo"",")</f>
        <v>"cjafgfpjmkofakmllcbggmphkpcdippo",</v>
      </c>
    </row>
    <row r="5219">
      <c r="A5219" s="4" t="s">
        <v>24398</v>
      </c>
      <c r="B5219" s="4" t="s">
        <v>10391</v>
      </c>
      <c r="C5219" s="16" t="str">
        <f>IFERROR(__xludf.DUMMYFUNCTION(""""""""" &amp; REGEXEXTRACT(B5219, ""/detail/([^/?]+)"") &amp; """""","""),"""cjcbfnbbhjipgbbncobdgdpphnlalife"",")</f>
        <v>"cjcbfnbbhjipgbbncobdgdpphnlalife",</v>
      </c>
    </row>
    <row r="5220">
      <c r="A5220" s="4" t="s">
        <v>24399</v>
      </c>
      <c r="B5220" s="4" t="s">
        <v>10393</v>
      </c>
      <c r="C5220" s="16" t="str">
        <f>IFERROR(__xludf.DUMMYFUNCTION(""""""""" &amp; REGEXEXTRACT(B5220, ""/detail/([^/?]+)"") &amp; """""","""),"""cjfmeecodnibclajaofkinnebeklbkjm"",")</f>
        <v>"cjfmeecodnibclajaofkinnebeklbkjm",</v>
      </c>
    </row>
    <row r="5221">
      <c r="A5221" s="4" t="s">
        <v>24400</v>
      </c>
      <c r="B5221" s="4" t="s">
        <v>10395</v>
      </c>
      <c r="C5221" s="16" t="str">
        <f>IFERROR(__xludf.DUMMYFUNCTION(""""""""" &amp; REGEXEXTRACT(B5221, ""/detail/([^/?]+)"") &amp; """""","""),"""cjhbheckcgogpgibfjfhkofioikhpgio"",")</f>
        <v>"cjhbheckcgogpgibfjfhkofioikhpgio",</v>
      </c>
    </row>
    <row r="5222">
      <c r="A5222" s="4" t="s">
        <v>24401</v>
      </c>
      <c r="B5222" s="4" t="s">
        <v>10397</v>
      </c>
      <c r="C5222" s="16" t="str">
        <f>IFERROR(__xludf.DUMMYFUNCTION(""""""""" &amp; REGEXEXTRACT(B5222, ""/detail/([^/?]+)"") &amp; """""","""),"""cjiamemkhpcpfoanakhladgbflecilkf"",")</f>
        <v>"cjiamemkhpcpfoanakhladgbflecilkf",</v>
      </c>
    </row>
    <row r="5223">
      <c r="A5223" s="4" t="s">
        <v>24402</v>
      </c>
      <c r="B5223" s="4" t="s">
        <v>10399</v>
      </c>
      <c r="C5223" s="16" t="str">
        <f>IFERROR(__xludf.DUMMYFUNCTION(""""""""" &amp; REGEXEXTRACT(B5223, ""/detail/([^/?]+)"") &amp; """""","""),"""cjkdpabnfjehhfaeoplfodlcidhelpgk"",")</f>
        <v>"cjkdpabnfjehhfaeoplfodlcidhelpgk",</v>
      </c>
    </row>
    <row r="5224">
      <c r="A5224" s="4" t="s">
        <v>24403</v>
      </c>
      <c r="B5224" s="4" t="s">
        <v>10401</v>
      </c>
      <c r="C5224" s="16" t="str">
        <f>IFERROR(__xludf.DUMMYFUNCTION(""""""""" &amp; REGEXEXTRACT(B5224, ""/detail/([^/?]+)"") &amp; """""","""),"""cjkeaibliifpgaeleggmflplddpmcepp"",")</f>
        <v>"cjkeaibliifpgaeleggmflplddpmcepp",</v>
      </c>
    </row>
    <row r="5225">
      <c r="A5225" s="4" t="s">
        <v>24404</v>
      </c>
      <c r="B5225" s="4" t="s">
        <v>10403</v>
      </c>
      <c r="C5225" s="16" t="str">
        <f>IFERROR(__xludf.DUMMYFUNCTION(""""""""" &amp; REGEXEXTRACT(B5225, ""/detail/([^/?]+)"") &amp; """""","""),"""cjmikoagjnmekdhcciamhppnkhhedpep"",")</f>
        <v>"cjmikoagjnmekdhcciamhppnkhhedpep",</v>
      </c>
    </row>
    <row r="5226">
      <c r="A5226" s="4" t="s">
        <v>24405</v>
      </c>
      <c r="B5226" s="4" t="s">
        <v>10405</v>
      </c>
      <c r="C5226" s="16" t="str">
        <f>IFERROR(__xludf.DUMMYFUNCTION(""""""""" &amp; REGEXEXTRACT(B5226, ""/detail/([^/?]+)"") &amp; """""","""),"""cjpfdcohegieleppnkadalkijenkhifl"",")</f>
        <v>"cjpfdcohegieleppnkadalkijenkhifl",</v>
      </c>
    </row>
    <row r="5227">
      <c r="A5227" s="4" t="s">
        <v>24406</v>
      </c>
      <c r="B5227" s="4" t="s">
        <v>10407</v>
      </c>
      <c r="C5227" s="16" t="str">
        <f>IFERROR(__xludf.DUMMYFUNCTION(""""""""" &amp; REGEXEXTRACT(B5227, ""/detail/([^/?]+)"") &amp; """""","""),"""ckbknocdbdiplncjmmbfkoemjppabpap"",")</f>
        <v>"ckbknocdbdiplncjmmbfkoemjppabpap",</v>
      </c>
    </row>
    <row r="5228">
      <c r="A5228" s="4" t="s">
        <v>24407</v>
      </c>
      <c r="B5228" s="4" t="s">
        <v>10409</v>
      </c>
      <c r="C5228" s="16" t="str">
        <f>IFERROR(__xludf.DUMMYFUNCTION(""""""""" &amp; REGEXEXTRACT(B5228, ""/detail/([^/?]+)"") &amp; """""","""),"""ckcalpgemnoejggbleepgmemacmgoofn"",")</f>
        <v>"ckcalpgemnoejggbleepgmemacmgoofn",</v>
      </c>
    </row>
    <row r="5229">
      <c r="A5229" s="4" t="s">
        <v>24408</v>
      </c>
      <c r="B5229" s="4" t="s">
        <v>10411</v>
      </c>
      <c r="C5229" s="16" t="str">
        <f>IFERROR(__xludf.DUMMYFUNCTION(""""""""" &amp; REGEXEXTRACT(B5229, ""/detail/([^/?]+)"") &amp; """""","""),"""ckcjggdilfimmjnjmldgbbekigobcijn"",")</f>
        <v>"ckcjggdilfimmjnjmldgbbekigobcijn",</v>
      </c>
    </row>
    <row r="5230">
      <c r="A5230" s="4" t="s">
        <v>24409</v>
      </c>
      <c r="B5230" s="4" t="s">
        <v>10413</v>
      </c>
      <c r="C5230" s="16" t="str">
        <f>IFERROR(__xludf.DUMMYFUNCTION(""""""""" &amp; REGEXEXTRACT(B5230, ""/detail/([^/?]+)"") &amp; """""","""),"""ckcjokafpkoiijnflcpogblchhoieafj"",")</f>
        <v>"ckcjokafpkoiijnflcpogblchhoieafj",</v>
      </c>
    </row>
    <row r="5231">
      <c r="A5231" s="4" t="s">
        <v>24410</v>
      </c>
      <c r="B5231" s="4" t="s">
        <v>10415</v>
      </c>
      <c r="C5231" s="16" t="str">
        <f>IFERROR(__xludf.DUMMYFUNCTION(""""""""" &amp; REGEXEXTRACT(B5231, ""/detail/([^/?]+)"") &amp; """""","""),"""ckfgionbnoegdmpphlnpaeklopolmgmi"",")</f>
        <v>"ckfgionbnoegdmpphlnpaeklopolmgmi",</v>
      </c>
    </row>
    <row r="5232">
      <c r="A5232" s="4" t="s">
        <v>24411</v>
      </c>
      <c r="B5232" s="4" t="s">
        <v>10417</v>
      </c>
      <c r="C5232" s="16" t="str">
        <f>IFERROR(__xludf.DUMMYFUNCTION(""""""""" &amp; REGEXEXTRACT(B5232, ""/detail/([^/?]+)"") &amp; """""","""),"""ckfimoadoifefijdfpapgkmkjcgnjoma"",")</f>
        <v>"ckfimoadoifefijdfpapgkmkjcgnjoma",</v>
      </c>
    </row>
    <row r="5233">
      <c r="A5233" s="4" t="s">
        <v>24412</v>
      </c>
      <c r="B5233" s="4" t="s">
        <v>10419</v>
      </c>
      <c r="C5233" s="16" t="str">
        <f>IFERROR(__xludf.DUMMYFUNCTION(""""""""" &amp; REGEXEXTRACT(B5233, ""/detail/([^/?]+)"") &amp; """""","""),"""ckgoimpkejadjkjfpemacjpeimdgmdpk"",")</f>
        <v>"ckgoimpkejadjkjfpemacjpeimdgmdpk",</v>
      </c>
    </row>
    <row r="5234">
      <c r="A5234" s="4" t="s">
        <v>24413</v>
      </c>
      <c r="B5234" s="4" t="s">
        <v>10421</v>
      </c>
      <c r="C5234" s="16" t="str">
        <f>IFERROR(__xludf.DUMMYFUNCTION(""""""""" &amp; REGEXEXTRACT(B5234, ""/detail/([^/?]+)"") &amp; """""","""),"""ckicbofgekmggdeifjkbekkjbbdjhnib"",")</f>
        <v>"ckicbofgekmggdeifjkbekkjbbdjhnib",</v>
      </c>
    </row>
    <row r="5235">
      <c r="A5235" s="4" t="s">
        <v>24414</v>
      </c>
      <c r="B5235" s="4" t="s">
        <v>10423</v>
      </c>
      <c r="C5235" s="16" t="str">
        <f>IFERROR(__xludf.DUMMYFUNCTION(""""""""" &amp; REGEXEXTRACT(B5235, ""/detail/([^/?]+)"") &amp; """""","""),"""ckinindecjfimcblkaoekkgegeejniac"",")</f>
        <v>"ckinindecjfimcblkaoekkgegeejniac",</v>
      </c>
    </row>
    <row r="5236">
      <c r="A5236" s="4" t="s">
        <v>24415</v>
      </c>
      <c r="B5236" s="4" t="s">
        <v>10425</v>
      </c>
      <c r="C5236" s="16" t="str">
        <f>IFERROR(__xludf.DUMMYFUNCTION(""""""""" &amp; REGEXEXTRACT(B5236, ""/detail/([^/?]+)"") &amp; """""","""),"""cklaahipljbhommdkomdkmdnceohigek"",")</f>
        <v>"cklaahipljbhommdkomdkmdnceohigek",</v>
      </c>
    </row>
    <row r="5237">
      <c r="A5237" s="4" t="s">
        <v>24416</v>
      </c>
      <c r="B5237" s="4" t="s">
        <v>10427</v>
      </c>
      <c r="C5237" s="16" t="str">
        <f>IFERROR(__xludf.DUMMYFUNCTION(""""""""" &amp; REGEXEXTRACT(B5237, ""/detail/([^/?]+)"") &amp; """""","""),"""cklopogiapaonibagnhmannenniecpfo"",")</f>
        <v>"cklopogiapaonibagnhmannenniecpfo",</v>
      </c>
    </row>
    <row r="5238">
      <c r="A5238" s="4" t="s">
        <v>24417</v>
      </c>
      <c r="B5238" s="4" t="s">
        <v>10429</v>
      </c>
      <c r="C5238" s="16" t="str">
        <f>IFERROR(__xludf.DUMMYFUNCTION(""""""""" &amp; REGEXEXTRACT(B5238, ""/detail/([^/?]+)"") &amp; """""","""),"""cknenmongfhplkobpjjchanpiaioklpl"",")</f>
        <v>"cknenmongfhplkobpjjchanpiaioklpl",</v>
      </c>
    </row>
    <row r="5239">
      <c r="A5239" s="4" t="s">
        <v>24418</v>
      </c>
      <c r="B5239" s="4" t="s">
        <v>10431</v>
      </c>
      <c r="C5239" s="16" t="str">
        <f>IFERROR(__xludf.DUMMYFUNCTION(""""""""" &amp; REGEXEXTRACT(B5239, ""/detail/([^/?]+)"") &amp; """""","""),"""ckogelgphhciinnbhkebdclmcoidbekg"",")</f>
        <v>"ckogelgphhciinnbhkebdclmcoidbekg",</v>
      </c>
    </row>
    <row r="5240">
      <c r="A5240" s="4" t="s">
        <v>24419</v>
      </c>
      <c r="B5240" s="4" t="s">
        <v>10433</v>
      </c>
      <c r="C5240" s="16" t="str">
        <f>IFERROR(__xludf.DUMMYFUNCTION(""""""""" &amp; REGEXEXTRACT(B5240, ""/detail/([^/?]+)"") &amp; """""","""),"""cladogmhjppclibenkdbnjcogiaifnbd"",")</f>
        <v>"cladogmhjppclibenkdbnjcogiaifnbd",</v>
      </c>
    </row>
    <row r="5241">
      <c r="A5241" s="4" t="s">
        <v>24420</v>
      </c>
      <c r="B5241" s="4" t="s">
        <v>10435</v>
      </c>
      <c r="C5241" s="16" t="str">
        <f>IFERROR(__xludf.DUMMYFUNCTION(""""""""" &amp; REGEXEXTRACT(B5241, ""/detail/([^/?]+)"") &amp; """""","""),"""clfpeebohelnalneibgcfhmpcbcgolin"",")</f>
        <v>"clfpeebohelnalneibgcfhmpcbcgolin",</v>
      </c>
    </row>
    <row r="5242">
      <c r="A5242" s="4" t="s">
        <v>24421</v>
      </c>
      <c r="B5242" s="4" t="s">
        <v>10437</v>
      </c>
      <c r="C5242" s="16" t="str">
        <f>IFERROR(__xludf.DUMMYFUNCTION(""""""""" &amp; REGEXEXTRACT(B5242, ""/detail/([^/?]+)"") &amp; """""","""),"""clhhhibcbbeenmjbkcibdifphmmalpko"",")</f>
        <v>"clhhhibcbbeenmjbkcibdifphmmalpko",</v>
      </c>
    </row>
    <row r="5243">
      <c r="A5243" s="4" t="s">
        <v>24422</v>
      </c>
      <c r="B5243" s="4" t="s">
        <v>10439</v>
      </c>
      <c r="C5243" s="16" t="str">
        <f>IFERROR(__xludf.DUMMYFUNCTION(""""""""" &amp; REGEXEXTRACT(B5243, ""/detail/([^/?]+)"") &amp; """""","""),"""cljcjhfckminhmagbnkjpcbdjdpkgbei"",")</f>
        <v>"cljcjhfckminhmagbnkjpcbdjdpkgbei",</v>
      </c>
    </row>
    <row r="5244">
      <c r="A5244" s="4" t="s">
        <v>24423</v>
      </c>
      <c r="B5244" s="4" t="s">
        <v>10441</v>
      </c>
      <c r="C5244" s="16" t="str">
        <f>IFERROR(__xludf.DUMMYFUNCTION(""""""""" &amp; REGEXEXTRACT(B5244, ""/detail/([^/?]+)"") &amp; """""","""),"""cljpbcimcfgheiodmefngjjmdjjkbjbk"",")</f>
        <v>"cljpbcimcfgheiodmefngjjmdjjkbjbk",</v>
      </c>
    </row>
    <row r="5245">
      <c r="A5245" s="4" t="s">
        <v>24424</v>
      </c>
      <c r="B5245" s="4" t="s">
        <v>10443</v>
      </c>
      <c r="C5245" s="16" t="str">
        <f>IFERROR(__xludf.DUMMYFUNCTION(""""""""" &amp; REGEXEXTRACT(B5245, ""/detail/([^/?]+)"") &amp; """""","""),"""clkkcpmigfopjeplmhkcknffcmfdpnep"",")</f>
        <v>"clkkcpmigfopjeplmhkcknffcmfdpnep",</v>
      </c>
    </row>
    <row r="5246">
      <c r="A5246" s="4" t="s">
        <v>24425</v>
      </c>
      <c r="B5246" s="4" t="s">
        <v>10445</v>
      </c>
      <c r="C5246" s="16" t="str">
        <f>IFERROR(__xludf.DUMMYFUNCTION(""""""""" &amp; REGEXEXTRACT(B5246, ""/detail/([^/?]+)"") &amp; """""","""),"""clkkhfkadebfabfjjdfofjjlkbndpggn"",")</f>
        <v>"clkkhfkadebfabfjjdfofjjlkbndpggn",</v>
      </c>
    </row>
    <row r="5247">
      <c r="A5247" s="4" t="s">
        <v>24426</v>
      </c>
      <c r="B5247" s="4" t="s">
        <v>10447</v>
      </c>
      <c r="C5247" s="16" t="str">
        <f>IFERROR(__xludf.DUMMYFUNCTION(""""""""" &amp; REGEXEXTRACT(B5247, ""/detail/([^/?]+)"") &amp; """""","""),"""cloklogdjmmcmimeccogjmnebmjeolhn"",")</f>
        <v>"cloklogdjmmcmimeccogjmnebmjeolhn",</v>
      </c>
    </row>
    <row r="5248">
      <c r="A5248" s="4" t="s">
        <v>24427</v>
      </c>
      <c r="B5248" s="4" t="s">
        <v>10449</v>
      </c>
      <c r="C5248" s="16" t="str">
        <f>IFERROR(__xludf.DUMMYFUNCTION(""""""""" &amp; REGEXEXTRACT(B5248, ""/detail/([^/?]+)"") &amp; """""","""),"""cmbakfeanhaniakabiiabhdjkhgbbdmp"",")</f>
        <v>"cmbakfeanhaniakabiiabhdjkhgbbdmp",</v>
      </c>
    </row>
    <row r="5249">
      <c r="A5249" s="4" t="s">
        <v>24428</v>
      </c>
      <c r="B5249" s="4" t="s">
        <v>10451</v>
      </c>
      <c r="C5249" s="16" t="str">
        <f>IFERROR(__xludf.DUMMYFUNCTION(""""""""" &amp; REGEXEXTRACT(B5249, ""/detail/([^/?]+)"") &amp; """""","""),"""cmbconaimdngicdnbpjnjocbpkdpmfkg"",")</f>
        <v>"cmbconaimdngicdnbpjnjocbpkdpmfkg",</v>
      </c>
    </row>
    <row r="5250">
      <c r="A5250" s="4" t="s">
        <v>24429</v>
      </c>
      <c r="B5250" s="4" t="s">
        <v>10453</v>
      </c>
      <c r="C5250" s="16" t="str">
        <f>IFERROR(__xludf.DUMMYFUNCTION(""""""""" &amp; REGEXEXTRACT(B5250, ""/detail/([^/?]+)"") &amp; """""","""),"""cmfimhenkhlmlihjomccicfbmcgdgiao"",")</f>
        <v>"cmfimhenkhlmlihjomccicfbmcgdgiao",</v>
      </c>
    </row>
    <row r="5251">
      <c r="A5251" s="4" t="s">
        <v>24430</v>
      </c>
      <c r="B5251" s="4" t="s">
        <v>10455</v>
      </c>
      <c r="C5251" s="16" t="str">
        <f>IFERROR(__xludf.DUMMYFUNCTION(""""""""" &amp; REGEXEXTRACT(B5251, ""/detail/([^/?]+)"") &amp; """""","""),"""cmjeonfdjdekpggjkoknhhkcifnaichh"",")</f>
        <v>"cmjeonfdjdekpggjkoknhhkcifnaichh",</v>
      </c>
    </row>
    <row r="5252">
      <c r="A5252" s="4" t="s">
        <v>24431</v>
      </c>
      <c r="B5252" s="4" t="s">
        <v>10457</v>
      </c>
      <c r="C5252" s="16" t="str">
        <f>IFERROR(__xludf.DUMMYFUNCTION(""""""""" &amp; REGEXEXTRACT(B5252, ""/detail/([^/?]+)"") &amp; """""","""),"""cmmohgmlmfpcffoegjimbdmhoimmgbbp"",")</f>
        <v>"cmmohgmlmfpcffoegjimbdmhoimmgbbp",</v>
      </c>
    </row>
    <row r="5253">
      <c r="A5253" s="4" t="s">
        <v>24432</v>
      </c>
      <c r="B5253" s="4" t="s">
        <v>10459</v>
      </c>
      <c r="C5253" s="16" t="str">
        <f>IFERROR(__xludf.DUMMYFUNCTION(""""""""" &amp; REGEXEXTRACT(B5253, ""/detail/([^/?]+)"") &amp; """""","""),"""cmoccnblfpgoffpdefdhiikpohfcnocf"",")</f>
        <v>"cmoccnblfpgoffpdefdhiikpohfcnocf",</v>
      </c>
    </row>
    <row r="5254">
      <c r="A5254" s="4" t="s">
        <v>24433</v>
      </c>
      <c r="B5254" s="4" t="s">
        <v>10461</v>
      </c>
      <c r="C5254" s="16" t="str">
        <f>IFERROR(__xludf.DUMMYFUNCTION(""""""""" &amp; REGEXEXTRACT(B5254, ""/detail/([^/?]+)"") &amp; """""","""),"""cmpooojaejnffgdhnmikkphomdlokdfn"",")</f>
        <v>"cmpooojaejnffgdhnmikkphomdlokdfn",</v>
      </c>
    </row>
    <row r="5255">
      <c r="A5255" s="4" t="s">
        <v>24434</v>
      </c>
      <c r="B5255" s="4" t="s">
        <v>10463</v>
      </c>
      <c r="C5255" s="16" t="str">
        <f>IFERROR(__xludf.DUMMYFUNCTION(""""""""" &amp; REGEXEXTRACT(B5255, ""/detail/([^/?]+)"") &amp; """""","""),"""cnajakljidldedbomhbacclcmjkldmeb"",")</f>
        <v>"cnajakljidldedbomhbacclcmjkldmeb",</v>
      </c>
    </row>
    <row r="5256">
      <c r="A5256" s="4" t="s">
        <v>24435</v>
      </c>
      <c r="B5256" s="4" t="s">
        <v>10465</v>
      </c>
      <c r="C5256" s="16" t="str">
        <f>IFERROR(__xludf.DUMMYFUNCTION(""""""""" &amp; REGEXEXTRACT(B5256, ""/detail/([^/?]+)"") &amp; """""","""),"""cnenegfehjcmoginiijjgmchcfllmmbp"",")</f>
        <v>"cnenegfehjcmoginiijjgmchcfllmmbp",</v>
      </c>
    </row>
    <row r="5257">
      <c r="A5257" s="4" t="s">
        <v>24436</v>
      </c>
      <c r="B5257" s="4" t="s">
        <v>10467</v>
      </c>
      <c r="C5257" s="16" t="str">
        <f>IFERROR(__xludf.DUMMYFUNCTION(""""""""" &amp; REGEXEXTRACT(B5257, ""/detail/([^/?]+)"") &amp; """""","""),"""cngbpbdpdeldglofjjppipdleagpefog"",")</f>
        <v>"cngbpbdpdeldglofjjppipdleagpefog",</v>
      </c>
    </row>
    <row r="5258">
      <c r="A5258" s="4" t="s">
        <v>24437</v>
      </c>
      <c r="B5258" s="4" t="s">
        <v>10469</v>
      </c>
      <c r="C5258" s="16" t="str">
        <f>IFERROR(__xludf.DUMMYFUNCTION(""""""""" &amp; REGEXEXTRACT(B5258, ""/detail/([^/?]+)"") &amp; """""","""),"""cnghdgaldccbpbfbmbcocmfohpchghmp"",")</f>
        <v>"cnghdgaldccbpbfbmbcocmfohpchghmp",</v>
      </c>
    </row>
    <row r="5259">
      <c r="A5259" s="4" t="s">
        <v>24438</v>
      </c>
      <c r="B5259" s="4" t="s">
        <v>10471</v>
      </c>
      <c r="C5259" s="16" t="str">
        <f>IFERROR(__xludf.DUMMYFUNCTION(""""""""" &amp; REGEXEXTRACT(B5259, ""/detail/([^/?]+)"") &amp; """""","""),"""cniopfhdifdmfkdjdjhkdkdcikomdjhb"",")</f>
        <v>"cniopfhdifdmfkdjdjhkdkdcikomdjhb",</v>
      </c>
    </row>
    <row r="5260">
      <c r="A5260" s="4" t="s">
        <v>24439</v>
      </c>
      <c r="B5260" s="4" t="s">
        <v>10473</v>
      </c>
      <c r="C5260" s="16" t="str">
        <f>IFERROR(__xludf.DUMMYFUNCTION(""""""""" &amp; REGEXEXTRACT(B5260, ""/detail/([^/?]+)"") &amp; """""","""),"""codfjigcljdnlklcaopdciclmmdandig"",")</f>
        <v>"codfjigcljdnlklcaopdciclmmdandig",</v>
      </c>
    </row>
    <row r="5261">
      <c r="A5261" s="4" t="s">
        <v>24440</v>
      </c>
      <c r="B5261" s="4" t="s">
        <v>10475</v>
      </c>
      <c r="C5261" s="16" t="str">
        <f>IFERROR(__xludf.DUMMYFUNCTION(""""""""" &amp; REGEXEXTRACT(B5261, ""/detail/([^/?]+)"") &amp; """""","""),"""codhkppmaiogifohnenadkhgfknebede"",")</f>
        <v>"codhkppmaiogifohnenadkhgfknebede",</v>
      </c>
    </row>
    <row r="5262">
      <c r="A5262" s="4" t="s">
        <v>24441</v>
      </c>
      <c r="B5262" s="4" t="s">
        <v>10477</v>
      </c>
      <c r="C5262" s="16" t="str">
        <f>IFERROR(__xludf.DUMMYFUNCTION(""""""""" &amp; REGEXEXTRACT(B5262, ""/detail/([^/?]+)"") &amp; """""","""),"""coeipiaghigmcomimioddandpdlkmodf"",")</f>
        <v>"coeipiaghigmcomimioddandpdlkmodf",</v>
      </c>
    </row>
    <row r="5263">
      <c r="A5263" s="4" t="s">
        <v>24442</v>
      </c>
      <c r="B5263" s="4" t="s">
        <v>10479</v>
      </c>
      <c r="C5263" s="16" t="str">
        <f>IFERROR(__xludf.DUMMYFUNCTION(""""""""" &amp; REGEXEXTRACT(B5263, ""/detail/([^/?]+)"") &amp; """""","""),"""cofjbfnpecflopfknbpnhhpnegbflfph"",")</f>
        <v>"cofjbfnpecflopfknbpnhhpnegbflfph",</v>
      </c>
    </row>
    <row r="5264">
      <c r="A5264" s="4" t="s">
        <v>24443</v>
      </c>
      <c r="B5264" s="4" t="s">
        <v>10481</v>
      </c>
      <c r="C5264" s="16" t="str">
        <f>IFERROR(__xludf.DUMMYFUNCTION(""""""""" &amp; REGEXEXTRACT(B5264, ""/detail/([^/?]+)"") &amp; """""","""),"""coinegbkpholhpicoglgamehmcogoagj"",")</f>
        <v>"coinegbkpholhpicoglgamehmcogoagj",</v>
      </c>
    </row>
    <row r="5265">
      <c r="A5265" s="4" t="s">
        <v>24444</v>
      </c>
      <c r="B5265" s="4" t="s">
        <v>10483</v>
      </c>
      <c r="C5265" s="16" t="str">
        <f>IFERROR(__xludf.DUMMYFUNCTION(""""""""" &amp; REGEXEXTRACT(B5265, ""/detail/([^/?]+)"") &amp; """""","""),"""cokfegjeoaflhjkloplfpjgnmlhbfkhp"",")</f>
        <v>"cokfegjeoaflhjkloplfpjgnmlhbfkhp",</v>
      </c>
    </row>
    <row r="5266">
      <c r="A5266" s="4" t="s">
        <v>24445</v>
      </c>
      <c r="B5266" s="4" t="s">
        <v>10485</v>
      </c>
      <c r="C5266" s="16" t="str">
        <f>IFERROR(__xludf.DUMMYFUNCTION(""""""""" &amp; REGEXEXTRACT(B5266, ""/detail/([^/?]+)"") &amp; """""","""),"""cokhnhncmlppfllhhkkofddbjbekhfdg"",")</f>
        <v>"cokhnhncmlppfllhhkkofddbjbekhfdg",</v>
      </c>
    </row>
    <row r="5267">
      <c r="A5267" s="4" t="s">
        <v>24446</v>
      </c>
      <c r="B5267" s="4" t="s">
        <v>10487</v>
      </c>
      <c r="C5267" s="16" t="str">
        <f>IFERROR(__xludf.DUMMYFUNCTION(""""""""" &amp; REGEXEXTRACT(B5267, ""/detail/([^/?]+)"") &amp; """""","""),"""copfkimibpnfpdggfjencnehgfgmpphf"",")</f>
        <v>"copfkimibpnfpdggfjencnehgfgmpphf",</v>
      </c>
    </row>
    <row r="5268">
      <c r="A5268" s="4" t="s">
        <v>24447</v>
      </c>
      <c r="B5268" s="4" t="s">
        <v>10489</v>
      </c>
      <c r="C5268" s="16" t="str">
        <f>IFERROR(__xludf.DUMMYFUNCTION(""""""""" &amp; REGEXEXTRACT(B5268, ""/detail/([^/?]+)"") &amp; """""","""),"""copocnlfmefhjhcpnciembhppkkaoagi"",")</f>
        <v>"copocnlfmefhjhcpnciembhppkkaoagi",</v>
      </c>
    </row>
    <row r="5269">
      <c r="A5269" s="4" t="s">
        <v>24448</v>
      </c>
      <c r="B5269" s="4" t="s">
        <v>10491</v>
      </c>
      <c r="C5269" s="16" t="str">
        <f>IFERROR(__xludf.DUMMYFUNCTION(""""""""" &amp; REGEXEXTRACT(B5269, ""/detail/([^/?]+)"") &amp; """""","""),"""cpcjkmdojedpmkphagkgiclgnhinlgib"",")</f>
        <v>"cpcjkmdojedpmkphagkgiclgnhinlgib",</v>
      </c>
    </row>
    <row r="5270">
      <c r="A5270" s="4" t="s">
        <v>24449</v>
      </c>
      <c r="B5270" s="4" t="s">
        <v>10493</v>
      </c>
      <c r="C5270" s="16" t="str">
        <f>IFERROR(__xludf.DUMMYFUNCTION(""""""""" &amp; REGEXEXTRACT(B5270, ""/detail/([^/?]+)"") &amp; """""","""),"""cpclgpmoofkhnkknhcpoajpeoliceijp"",")</f>
        <v>"cpclgpmoofkhnkknhcpoajpeoliceijp",</v>
      </c>
    </row>
    <row r="5271">
      <c r="A5271" s="4" t="s">
        <v>24450</v>
      </c>
      <c r="B5271" s="4" t="s">
        <v>10495</v>
      </c>
      <c r="C5271" s="16" t="str">
        <f>IFERROR(__xludf.DUMMYFUNCTION(""""""""" &amp; REGEXEXTRACT(B5271, ""/detail/([^/?]+)"") &amp; """""","""),"""cpelgckpifnonijeenjbaglajimalpcl"",")</f>
        <v>"cpelgckpifnonijeenjbaglajimalpcl",</v>
      </c>
    </row>
    <row r="5272">
      <c r="A5272" s="4" t="s">
        <v>24451</v>
      </c>
      <c r="B5272" s="4" t="s">
        <v>10497</v>
      </c>
      <c r="C5272" s="16" t="str">
        <f>IFERROR(__xludf.DUMMYFUNCTION(""""""""" &amp; REGEXEXTRACT(B5272, ""/detail/([^/?]+)"") &amp; """""","""),"""cphhoddmaaeajckodfdgnemocnhakjgm"",")</f>
        <v>"cphhoddmaaeajckodfdgnemocnhakjgm",</v>
      </c>
    </row>
    <row r="5273">
      <c r="A5273" s="4" t="s">
        <v>24452</v>
      </c>
      <c r="B5273" s="4" t="s">
        <v>10499</v>
      </c>
      <c r="C5273" s="16" t="str">
        <f>IFERROR(__xludf.DUMMYFUNCTION(""""""""" &amp; REGEXEXTRACT(B5273, ""/detail/([^/?]+)"") &amp; """""","""),"""cpigdkangjnkklibdlchieadcpjoejkj"",")</f>
        <v>"cpigdkangjnkklibdlchieadcpjoejkj",</v>
      </c>
    </row>
    <row r="5274">
      <c r="A5274" s="4" t="s">
        <v>24453</v>
      </c>
      <c r="B5274" s="4" t="s">
        <v>10501</v>
      </c>
      <c r="C5274" s="16" t="str">
        <f>IFERROR(__xludf.DUMMYFUNCTION(""""""""" &amp; REGEXEXTRACT(B5274, ""/detail/([^/?]+)"") &amp; """""","""),"""cpiokkjcjgiabafjancfgfdogefnihpk"",")</f>
        <v>"cpiokkjcjgiabafjancfgfdogefnihpk",</v>
      </c>
    </row>
    <row r="5275">
      <c r="A5275" s="4" t="s">
        <v>24454</v>
      </c>
      <c r="B5275" s="4" t="s">
        <v>10503</v>
      </c>
      <c r="C5275" s="16" t="str">
        <f>IFERROR(__xludf.DUMMYFUNCTION(""""""""" &amp; REGEXEXTRACT(B5275, ""/detail/([^/?]+)"") &amp; """""","""),"""cpjhngnhhedcghjdkaedfolldmpgnmeo"",")</f>
        <v>"cpjhngnhhedcghjdkaedfolldmpgnmeo",</v>
      </c>
    </row>
    <row r="5276">
      <c r="A5276" s="4" t="s">
        <v>24455</v>
      </c>
      <c r="B5276" s="4" t="s">
        <v>10505</v>
      </c>
      <c r="C5276" s="16" t="str">
        <f>IFERROR(__xludf.DUMMYFUNCTION(""""""""" &amp; REGEXEXTRACT(B5276, ""/detail/([^/?]+)"") &amp; """""","""),"""cpmaennmoijiboghaekpledlgbojhdml"",")</f>
        <v>"cpmaennmoijiboghaekpledlgbojhdml",</v>
      </c>
    </row>
    <row r="5277">
      <c r="A5277" s="4" t="s">
        <v>24456</v>
      </c>
      <c r="B5277" s="4" t="s">
        <v>10507</v>
      </c>
      <c r="C5277" s="16" t="str">
        <f>IFERROR(__xludf.DUMMYFUNCTION(""""""""" &amp; REGEXEXTRACT(B5277, ""/detail/([^/?]+)"") &amp; """""","""),"""cpmeolfjcjhjgkimkdcgcddndmjndomh"",")</f>
        <v>"cpmeolfjcjhjgkimkdcgcddndmjndomh",</v>
      </c>
    </row>
    <row r="5278">
      <c r="A5278" s="4" t="s">
        <v>24457</v>
      </c>
      <c r="B5278" s="4" t="s">
        <v>10509</v>
      </c>
      <c r="C5278" s="16" t="str">
        <f>IFERROR(__xludf.DUMMYFUNCTION(""""""""" &amp; REGEXEXTRACT(B5278, ""/detail/([^/?]+)"") &amp; """""","""),"""dadeefbkfcpaeacnafgceahcpjlfmmjj"",")</f>
        <v>"dadeefbkfcpaeacnafgceahcpjlfmmjj",</v>
      </c>
    </row>
    <row r="5279">
      <c r="A5279" s="4" t="s">
        <v>24458</v>
      </c>
      <c r="B5279" s="4" t="s">
        <v>10511</v>
      </c>
      <c r="C5279" s="16" t="str">
        <f>IFERROR(__xludf.DUMMYFUNCTION(""""""""" &amp; REGEXEXTRACT(B5279, ""/detail/([^/?]+)"") &amp; """""","""),"""daeplkffffccbejlgacmhpebchpjbfjg"",")</f>
        <v>"daeplkffffccbejlgacmhpebchpjbfjg",</v>
      </c>
    </row>
    <row r="5280">
      <c r="A5280" s="4" t="s">
        <v>24459</v>
      </c>
      <c r="B5280" s="4" t="s">
        <v>10513</v>
      </c>
      <c r="C5280" s="16" t="str">
        <f>IFERROR(__xludf.DUMMYFUNCTION(""""""""" &amp; REGEXEXTRACT(B5280, ""/detail/([^/?]+)"") &amp; """""","""),"""dagidpehkckgpfofognpoofhkggmgdfk"",")</f>
        <v>"dagidpehkckgpfofognpoofhkggmgdfk",</v>
      </c>
    </row>
    <row r="5281">
      <c r="A5281" s="4" t="s">
        <v>24460</v>
      </c>
      <c r="B5281" s="4" t="s">
        <v>10515</v>
      </c>
      <c r="C5281" s="16" t="str">
        <f>IFERROR(__xludf.DUMMYFUNCTION(""""""""" &amp; REGEXEXTRACT(B5281, ""/detail/([^/?]+)"") &amp; """""","""),"""dagmcoabdpmhjgeblonjckiiclckagml"",")</f>
        <v>"dagmcoabdpmhjgeblonjckiiclckagml",</v>
      </c>
    </row>
    <row r="5282">
      <c r="A5282" s="4" t="s">
        <v>24461</v>
      </c>
      <c r="B5282" s="4" t="s">
        <v>10517</v>
      </c>
      <c r="C5282" s="16" t="str">
        <f>IFERROR(__xludf.DUMMYFUNCTION(""""""""" &amp; REGEXEXTRACT(B5282, ""/detail/([^/?]+)"") &amp; """""","""),"""dajjbehmbnbppjkcnpdkaniapgdppdnc"",")</f>
        <v>"dajjbehmbnbppjkcnpdkaniapgdppdnc",</v>
      </c>
    </row>
    <row r="5283">
      <c r="A5283" s="4" t="s">
        <v>24462</v>
      </c>
      <c r="B5283" s="4" t="s">
        <v>10519</v>
      </c>
      <c r="C5283" s="16" t="str">
        <f>IFERROR(__xludf.DUMMYFUNCTION(""""""""" &amp; REGEXEXTRACT(B5283, ""/detail/([^/?]+)"") &amp; """""","""),"""dajmfhbgodeengcbfmcacmhmcimpmhpe"",")</f>
        <v>"dajmfhbgodeengcbfmcacmhmcimpmhpe",</v>
      </c>
    </row>
    <row r="5284">
      <c r="A5284" s="4" t="s">
        <v>24463</v>
      </c>
      <c r="B5284" s="4" t="s">
        <v>10521</v>
      </c>
      <c r="C5284" s="16" t="str">
        <f>IFERROR(__xludf.DUMMYFUNCTION(""""""""" &amp; REGEXEXTRACT(B5284, ""/detail/([^/?]+)"") &amp; """""","""),"""dalehmcdidakgnpdpkaghldkpfdanmkg"",")</f>
        <v>"dalehmcdidakgnpdpkaghldkpfdanmkg",</v>
      </c>
    </row>
    <row r="5285">
      <c r="A5285" s="4" t="s">
        <v>24464</v>
      </c>
      <c r="B5285" s="4" t="s">
        <v>10523</v>
      </c>
      <c r="C5285" s="16" t="str">
        <f>IFERROR(__xludf.DUMMYFUNCTION(""""""""" &amp; REGEXEXTRACT(B5285, ""/detail/([^/?]+)"") &amp; """""","""),"""damadkdlkdhpeeehnobhpeifjnmfkkjg"",")</f>
        <v>"damadkdlkdhpeeehnobhpeifjnmfkkjg",</v>
      </c>
    </row>
    <row r="5286">
      <c r="A5286" s="4" t="s">
        <v>24465</v>
      </c>
      <c r="B5286" s="4" t="s">
        <v>10525</v>
      </c>
      <c r="C5286" s="16" t="str">
        <f>IFERROR(__xludf.DUMMYFUNCTION(""""""""" &amp; REGEXEXTRACT(B5286, ""/detail/([^/?]+)"") &amp; """""","""),"""damdbfbghmpboiodfhgpbbllaogobebk"",")</f>
        <v>"damdbfbghmpboiodfhgpbbllaogobebk",</v>
      </c>
    </row>
    <row r="5287">
      <c r="A5287" s="4" t="s">
        <v>24466</v>
      </c>
      <c r="B5287" s="4" t="s">
        <v>10527</v>
      </c>
      <c r="C5287" s="16" t="str">
        <f>IFERROR(__xludf.DUMMYFUNCTION(""""""""" &amp; REGEXEXTRACT(B5287, ""/detail/([^/?]+)"") &amp; """""","""),"""danngdojdnkpienljijhcpjpdmaonmhj"",")</f>
        <v>"danngdojdnkpienljijhcpjpdmaonmhj",</v>
      </c>
    </row>
    <row r="5288">
      <c r="A5288" s="4" t="s">
        <v>24467</v>
      </c>
      <c r="B5288" s="4" t="s">
        <v>10529</v>
      </c>
      <c r="C5288" s="16" t="str">
        <f>IFERROR(__xludf.DUMMYFUNCTION(""""""""" &amp; REGEXEXTRACT(B5288, ""/detail/([^/?]+)"") &amp; """""","""),"""daogheeomfnjjbabmnmgpbhmamegpbaj"",")</f>
        <v>"daogheeomfnjjbabmnmgpbhmamegpbaj",</v>
      </c>
    </row>
    <row r="5289">
      <c r="A5289" s="4" t="s">
        <v>24468</v>
      </c>
      <c r="B5289" s="4" t="s">
        <v>10531</v>
      </c>
      <c r="C5289" s="16" t="str">
        <f>IFERROR(__xludf.DUMMYFUNCTION(""""""""" &amp; REGEXEXTRACT(B5289, ""/detail/([^/?]+)"") &amp; """""","""),"""dbdlfjheiknjgnnhknninniobeeeknko"",")</f>
        <v>"dbdlfjheiknjgnnhknninniobeeeknko",</v>
      </c>
    </row>
    <row r="5290">
      <c r="A5290" s="4" t="s">
        <v>24469</v>
      </c>
      <c r="B5290" s="4" t="s">
        <v>10533</v>
      </c>
      <c r="C5290" s="16" t="str">
        <f>IFERROR(__xludf.DUMMYFUNCTION(""""""""" &amp; REGEXEXTRACT(B5290, ""/detail/([^/?]+)"") &amp; """""","""),"""dbeimogjdfidnefggcfckkdfbdfkjdgi"",")</f>
        <v>"dbeimogjdfidnefggcfckkdfbdfkjdgi",</v>
      </c>
    </row>
    <row r="5291">
      <c r="A5291" s="4" t="s">
        <v>24470</v>
      </c>
      <c r="B5291" s="4" t="s">
        <v>10535</v>
      </c>
      <c r="C5291" s="16" t="str">
        <f>IFERROR(__xludf.DUMMYFUNCTION(""""""""" &amp; REGEXEXTRACT(B5291, ""/detail/([^/?]+)"") &amp; """""","""),"""dbgbpfefnifpdkieggikljahlmmbdial"",")</f>
        <v>"dbgbpfefnifpdkieggikljahlmmbdial",</v>
      </c>
    </row>
    <row r="5292">
      <c r="A5292" s="4" t="s">
        <v>24471</v>
      </c>
      <c r="B5292" s="4" t="s">
        <v>10537</v>
      </c>
      <c r="C5292" s="16" t="str">
        <f>IFERROR(__xludf.DUMMYFUNCTION(""""""""" &amp; REGEXEXTRACT(B5292, ""/detail/([^/?]+)"") &amp; """""","""),"""dbhlmjpfacmmmplcebbhgbofbckhmpbj"",")</f>
        <v>"dbhlmjpfacmmmplcebbhgbofbckhmpbj",</v>
      </c>
    </row>
    <row r="5293">
      <c r="A5293" s="4" t="s">
        <v>24472</v>
      </c>
      <c r="B5293" s="4" t="s">
        <v>10539</v>
      </c>
      <c r="C5293" s="16" t="str">
        <f>IFERROR(__xludf.DUMMYFUNCTION(""""""""" &amp; REGEXEXTRACT(B5293, ""/detail/([^/?]+)"") &amp; """""","""),"""dbkahggfkedkmjdijpffegkbikbigpfk"",")</f>
        <v>"dbkahggfkedkmjdijpffegkbikbigpfk",</v>
      </c>
    </row>
    <row r="5294">
      <c r="A5294" s="4" t="s">
        <v>24473</v>
      </c>
      <c r="B5294" s="4" t="s">
        <v>10541</v>
      </c>
      <c r="C5294" s="16" t="str">
        <f>IFERROR(__xludf.DUMMYFUNCTION(""""""""" &amp; REGEXEXTRACT(B5294, ""/detail/([^/?]+)"") &amp; """""","""),"""dbmcgjnggajepgimockjbbaognflkchd"",")</f>
        <v>"dbmcgjnggajepgimockjbbaognflkchd",</v>
      </c>
    </row>
    <row r="5295">
      <c r="A5295" s="4" t="s">
        <v>24474</v>
      </c>
      <c r="B5295" s="4" t="s">
        <v>10543</v>
      </c>
      <c r="C5295" s="16" t="str">
        <f>IFERROR(__xludf.DUMMYFUNCTION(""""""""" &amp; REGEXEXTRACT(B5295, ""/detail/([^/?]+)"") &amp; """""","""),"""dbnjjihpapafmihpnionckfipbmalhko"",")</f>
        <v>"dbnjjihpapafmihpnionckfipbmalhko",</v>
      </c>
    </row>
    <row r="5296">
      <c r="A5296" s="4" t="s">
        <v>24475</v>
      </c>
      <c r="B5296" s="4" t="s">
        <v>10545</v>
      </c>
      <c r="C5296" s="16" t="str">
        <f>IFERROR(__xludf.DUMMYFUNCTION(""""""""" &amp; REGEXEXTRACT(B5296, ""/detail/([^/?]+)"") &amp; """""","""),"""dbphjkhbhnbcbgmokephnhfegbbeamcg"",")</f>
        <v>"dbphjkhbhnbcbgmokephnhfegbbeamcg",</v>
      </c>
    </row>
    <row r="5297">
      <c r="A5297" s="4" t="s">
        <v>24476</v>
      </c>
      <c r="B5297" s="4" t="s">
        <v>10547</v>
      </c>
      <c r="C5297" s="16" t="str">
        <f>IFERROR(__xludf.DUMMYFUNCTION(""""""""" &amp; REGEXEXTRACT(B5297, ""/detail/([^/?]+)"") &amp; """""","""),"""dbpliifabeopadfiaejlchjmdonpgdne"",")</f>
        <v>"dbpliifabeopadfiaejlchjmdonpgdne",</v>
      </c>
    </row>
    <row r="5298">
      <c r="A5298" s="4" t="s">
        <v>24477</v>
      </c>
      <c r="B5298" s="4" t="s">
        <v>10549</v>
      </c>
      <c r="C5298" s="16" t="str">
        <f>IFERROR(__xludf.DUMMYFUNCTION(""""""""" &amp; REGEXEXTRACT(B5298, ""/detail/([^/?]+)"") &amp; """""","""),"""dcbfokdljpjjopdbceockgcdaljljbjn"",")</f>
        <v>"dcbfokdljpjjopdbceockgcdaljljbjn",</v>
      </c>
    </row>
    <row r="5299">
      <c r="A5299" s="4" t="s">
        <v>24478</v>
      </c>
      <c r="B5299" s="4" t="s">
        <v>10551</v>
      </c>
      <c r="C5299" s="16" t="str">
        <f>IFERROR(__xludf.DUMMYFUNCTION(""""""""" &amp; REGEXEXTRACT(B5299, ""/detail/([^/?]+)"") &amp; """""","""),"""dcdgjlpdmbmempjdkbkgdelpaabiefjk"",")</f>
        <v>"dcdgjlpdmbmempjdkbkgdelpaabiefjk",</v>
      </c>
    </row>
    <row r="5300">
      <c r="A5300" s="4" t="s">
        <v>24479</v>
      </c>
      <c r="B5300" s="4" t="s">
        <v>10553</v>
      </c>
      <c r="C5300" s="16" t="str">
        <f>IFERROR(__xludf.DUMMYFUNCTION(""""""""" &amp; REGEXEXTRACT(B5300, ""/detail/([^/?]+)"") &amp; """""","""),"""dcfemdjbmeighenpckbkmjbiamhbmafp"",")</f>
        <v>"dcfemdjbmeighenpckbkmjbiamhbmafp",</v>
      </c>
    </row>
    <row r="5301">
      <c r="A5301" s="4" t="s">
        <v>24480</v>
      </c>
      <c r="B5301" s="4" t="s">
        <v>10555</v>
      </c>
      <c r="C5301" s="16" t="str">
        <f>IFERROR(__xludf.DUMMYFUNCTION(""""""""" &amp; REGEXEXTRACT(B5301, ""/detail/([^/?]+)"") &amp; """""","""),"""dcgokppmeijgohpfplahjchiiaelhild"",")</f>
        <v>"dcgokppmeijgohpfplahjchiiaelhild",</v>
      </c>
    </row>
    <row r="5302">
      <c r="A5302" s="4" t="s">
        <v>24481</v>
      </c>
      <c r="B5302" s="4" t="s">
        <v>10557</v>
      </c>
      <c r="C5302" s="16" t="str">
        <f>IFERROR(__xludf.DUMMYFUNCTION(""""""""" &amp; REGEXEXTRACT(B5302, ""/detail/([^/?]+)"") &amp; """""","""),"""dcipbhpdbjjkioehjlbnkgffcfhlckig"",")</f>
        <v>"dcipbhpdbjjkioehjlbnkgffcfhlckig",</v>
      </c>
    </row>
    <row r="5303">
      <c r="A5303" s="4" t="s">
        <v>24482</v>
      </c>
      <c r="B5303" s="4" t="s">
        <v>10559</v>
      </c>
      <c r="C5303" s="16" t="str">
        <f>IFERROR(__xludf.DUMMYFUNCTION(""""""""" &amp; REGEXEXTRACT(B5303, ""/detail/([^/?]+)"") &amp; """""","""),"""dcjgejipfcngnonhafmookfalhigjlga"",")</f>
        <v>"dcjgejipfcngnonhafmookfalhigjlga",</v>
      </c>
    </row>
    <row r="5304">
      <c r="A5304" s="4" t="s">
        <v>24483</v>
      </c>
      <c r="B5304" s="4" t="s">
        <v>10561</v>
      </c>
      <c r="C5304" s="16" t="str">
        <f>IFERROR(__xludf.DUMMYFUNCTION(""""""""" &amp; REGEXEXTRACT(B5304, ""/detail/([^/?]+)"") &amp; """""","""),"""dclmmkinjdaochjinbhanlipdpmkdhfb"",")</f>
        <v>"dclmmkinjdaochjinbhanlipdpmkdhfb",</v>
      </c>
    </row>
    <row r="5305">
      <c r="A5305" s="4" t="s">
        <v>24484</v>
      </c>
      <c r="B5305" s="4" t="s">
        <v>10563</v>
      </c>
      <c r="C5305" s="16" t="str">
        <f>IFERROR(__xludf.DUMMYFUNCTION(""""""""" &amp; REGEXEXTRACT(B5305, ""/detail/([^/?]+)"") &amp; """""","""),"""dcoehgalcmebfjgkbhbpllfhjcclkjan"",")</f>
        <v>"dcoehgalcmebfjgkbhbpllfhjcclkjan",</v>
      </c>
    </row>
    <row r="5306">
      <c r="A5306" s="4" t="s">
        <v>24485</v>
      </c>
      <c r="B5306" s="4" t="s">
        <v>10565</v>
      </c>
      <c r="C5306" s="16" t="str">
        <f>IFERROR(__xludf.DUMMYFUNCTION(""""""""" &amp; REGEXEXTRACT(B5306, ""/detail/([^/?]+)"") &amp; """""","""),"""dcplnjefdiofhkgfbinbafljcehmacaa"",")</f>
        <v>"dcplnjefdiofhkgfbinbafljcehmacaa",</v>
      </c>
    </row>
    <row r="5307">
      <c r="A5307" s="4" t="s">
        <v>24486</v>
      </c>
      <c r="B5307" s="4" t="s">
        <v>10567</v>
      </c>
      <c r="C5307" s="16" t="str">
        <f>IFERROR(__xludf.DUMMYFUNCTION(""""""""" &amp; REGEXEXTRACT(B5307, ""/detail/([^/?]+)"") &amp; """""","""),"""ddcbpgaonefnjcnikdkbbdfgcgnpbndd"",")</f>
        <v>"ddcbpgaonefnjcnikdkbbdfgcgnpbndd",</v>
      </c>
    </row>
    <row r="5308">
      <c r="A5308" s="4" t="s">
        <v>24487</v>
      </c>
      <c r="B5308" s="4" t="s">
        <v>10569</v>
      </c>
      <c r="C5308" s="16" t="str">
        <f>IFERROR(__xludf.DUMMYFUNCTION(""""""""" &amp; REGEXEXTRACT(B5308, ""/detail/([^/?]+)"") &amp; """""","""),"""dddflkfjemblhfmjdlmmilapbkdaabcj"",")</f>
        <v>"dddflkfjemblhfmjdlmmilapbkdaabcj",</v>
      </c>
    </row>
    <row r="5309">
      <c r="A5309" s="4" t="s">
        <v>24488</v>
      </c>
      <c r="B5309" s="4" t="s">
        <v>10571</v>
      </c>
      <c r="C5309" s="16" t="str">
        <f>IFERROR(__xludf.DUMMYFUNCTION(""""""""" &amp; REGEXEXTRACT(B5309, ""/detail/([^/?]+)"") &amp; """""","""),"""ddfoagnhebpbidjkganhgninciiecgon"",")</f>
        <v>"ddfoagnhebpbidjkganhgninciiecgon",</v>
      </c>
    </row>
    <row r="5310">
      <c r="A5310" s="4" t="s">
        <v>24489</v>
      </c>
      <c r="B5310" s="4" t="s">
        <v>10573</v>
      </c>
      <c r="C5310" s="16" t="str">
        <f>IFERROR(__xludf.DUMMYFUNCTION(""""""""" &amp; REGEXEXTRACT(B5310, ""/detail/([^/?]+)"") &amp; """""","""),"""ddgaamifhjnehgppihfdbbddfemfnmhn"",")</f>
        <v>"ddgaamifhjnehgppihfdbbddfemfnmhn",</v>
      </c>
    </row>
    <row r="5311">
      <c r="A5311" s="4" t="s">
        <v>24490</v>
      </c>
      <c r="B5311" s="4" t="s">
        <v>10575</v>
      </c>
      <c r="C5311" s="16" t="str">
        <f>IFERROR(__xludf.DUMMYFUNCTION(""""""""" &amp; REGEXEXTRACT(B5311, ""/detail/([^/?]+)"") &amp; """""","""),"""ddklinnhageaolpojclheieamdiphabe"",")</f>
        <v>"ddklinnhageaolpojclheieamdiphabe",</v>
      </c>
    </row>
    <row r="5312">
      <c r="A5312" s="4" t="s">
        <v>24491</v>
      </c>
      <c r="B5312" s="4" t="s">
        <v>10577</v>
      </c>
      <c r="C5312" s="16" t="str">
        <f>IFERROR(__xludf.DUMMYFUNCTION(""""""""" &amp; REGEXEXTRACT(B5312, ""/detail/([^/?]+)"") &amp; """""","""),"""ddmdooeeiphjmbcoaonbbkcadneggphh"",")</f>
        <v>"ddmdooeeiphjmbcoaonbbkcadneggphh",</v>
      </c>
    </row>
    <row r="5313">
      <c r="A5313" s="4" t="s">
        <v>24492</v>
      </c>
      <c r="B5313" s="4" t="s">
        <v>10579</v>
      </c>
      <c r="C5313" s="16" t="str">
        <f>IFERROR(__xludf.DUMMYFUNCTION(""""""""" &amp; REGEXEXTRACT(B5313, ""/detail/([^/?]+)"") &amp; """""","""),"""ddmgdlhnpkmkppobaalgnjbgogaabhlh"",")</f>
        <v>"ddmgdlhnpkmkppobaalgnjbgogaabhlh",</v>
      </c>
    </row>
    <row r="5314">
      <c r="A5314" s="4" t="s">
        <v>24493</v>
      </c>
      <c r="B5314" s="4" t="s">
        <v>10581</v>
      </c>
      <c r="C5314" s="16" t="str">
        <f>IFERROR(__xludf.DUMMYFUNCTION(""""""""" &amp; REGEXEXTRACT(B5314, ""/detail/([^/?]+)"") &amp; """""","""),"""ddmpckcmhpnpgfcgfgeklphbbigknjgf"",")</f>
        <v>"ddmpckcmhpnpgfcgfgeklphbbigknjgf",</v>
      </c>
    </row>
    <row r="5315">
      <c r="A5315" s="4" t="s">
        <v>24494</v>
      </c>
      <c r="B5315" s="4" t="s">
        <v>10583</v>
      </c>
      <c r="C5315" s="16" t="str">
        <f>IFERROR(__xludf.DUMMYFUNCTION(""""""""" &amp; REGEXEXTRACT(B5315, ""/detail/([^/?]+)"") &amp; """""","""),"""ddnokpehgkphddjdmohgjdnnbbjdobia"",")</f>
        <v>"ddnokpehgkphddjdmohgjdnnbbjdobia",</v>
      </c>
    </row>
    <row r="5316">
      <c r="A5316" s="4" t="s">
        <v>24495</v>
      </c>
      <c r="B5316" s="4" t="s">
        <v>10585</v>
      </c>
      <c r="C5316" s="16" t="str">
        <f>IFERROR(__xludf.DUMMYFUNCTION(""""""""" &amp; REGEXEXTRACT(B5316, ""/detail/([^/?]+)"") &amp; """""","""),"""debfefmfahocmpjephpmplljfmjjadml"",")</f>
        <v>"debfefmfahocmpjephpmplljfmjjadml",</v>
      </c>
    </row>
    <row r="5317">
      <c r="A5317" s="4" t="s">
        <v>24496</v>
      </c>
      <c r="B5317" s="4" t="s">
        <v>10587</v>
      </c>
      <c r="C5317" s="16" t="str">
        <f>IFERROR(__xludf.DUMMYFUNCTION(""""""""" &amp; REGEXEXTRACT(B5317, ""/detail/([^/?]+)"") &amp; """""","""),"""decaoenopoahbdpmpmkmmgfmgcaadpee"",")</f>
        <v>"decaoenopoahbdpmpmkmmgfmgcaadpee",</v>
      </c>
    </row>
    <row r="5318">
      <c r="A5318" s="4" t="s">
        <v>24497</v>
      </c>
      <c r="B5318" s="4" t="s">
        <v>10589</v>
      </c>
      <c r="C5318" s="16" t="str">
        <f>IFERROR(__xludf.DUMMYFUNCTION(""""""""" &amp; REGEXEXTRACT(B5318, ""/detail/([^/?]+)"") &amp; """""","""),"""dedbgebcenangidjnfanjpohlepjpfak"",")</f>
        <v>"dedbgebcenangidjnfanjpohlepjpfak",</v>
      </c>
    </row>
    <row r="5319">
      <c r="A5319" s="4" t="s">
        <v>24498</v>
      </c>
      <c r="B5319" s="4" t="s">
        <v>10591</v>
      </c>
      <c r="C5319" s="16" t="str">
        <f>IFERROR(__xludf.DUMMYFUNCTION(""""""""" &amp; REGEXEXTRACT(B5319, ""/detail/([^/?]+)"") &amp; """""","""),"""dedldhojjkgbejnmmfpmbnbihmmpfbpd"",")</f>
        <v>"dedldhojjkgbejnmmfpmbnbihmmpfbpd",</v>
      </c>
    </row>
    <row r="5320">
      <c r="A5320" s="4" t="s">
        <v>24499</v>
      </c>
      <c r="B5320" s="4" t="s">
        <v>10593</v>
      </c>
      <c r="C5320" s="16" t="str">
        <f>IFERROR(__xludf.DUMMYFUNCTION(""""""""" &amp; REGEXEXTRACT(B5320, ""/detail/([^/?]+)"") &amp; """""","""),"""defgpmhdcccigmoohcmoeokjplaklfne"",")</f>
        <v>"defgpmhdcccigmoohcmoeokjplaklfne",</v>
      </c>
    </row>
    <row r="5321">
      <c r="A5321" s="4" t="s">
        <v>24500</v>
      </c>
      <c r="B5321" s="4" t="s">
        <v>10595</v>
      </c>
      <c r="C5321" s="16" t="str">
        <f>IFERROR(__xludf.DUMMYFUNCTION(""""""""" &amp; REGEXEXTRACT(B5321, ""/detail/([^/?]+)"") &amp; """""","""),"""degdjdhdlmnkeccfcpepfobgpjaphbee"",")</f>
        <v>"degdjdhdlmnkeccfcpepfobgpjaphbee",</v>
      </c>
    </row>
    <row r="5322">
      <c r="A5322" s="4" t="s">
        <v>24501</v>
      </c>
      <c r="B5322" s="4" t="s">
        <v>10597</v>
      </c>
      <c r="C5322" s="16" t="str">
        <f>IFERROR(__xludf.DUMMYFUNCTION(""""""""" &amp; REGEXEXTRACT(B5322, ""/detail/([^/?]+)"") &amp; """""","""),"""delbmlkicoecjgfkhlpojijdpfeagjcd"",")</f>
        <v>"delbmlkicoecjgfkhlpojijdpfeagjcd",</v>
      </c>
    </row>
    <row r="5323">
      <c r="A5323" s="4" t="s">
        <v>24502</v>
      </c>
      <c r="B5323" s="4" t="s">
        <v>10599</v>
      </c>
      <c r="C5323" s="16" t="str">
        <f>IFERROR(__xludf.DUMMYFUNCTION(""""""""" &amp; REGEXEXTRACT(B5323, ""/detail/([^/?]+)"") &amp; """""","""),"""denlhphadllhcolhlbbbjmhkgbknmmon"",")</f>
        <v>"denlhphadllhcolhlbbbjmhkgbknmmon",</v>
      </c>
    </row>
    <row r="5324">
      <c r="A5324" s="4" t="s">
        <v>24503</v>
      </c>
      <c r="B5324" s="4" t="s">
        <v>10601</v>
      </c>
      <c r="C5324" s="16" t="str">
        <f>IFERROR(__xludf.DUMMYFUNCTION(""""""""" &amp; REGEXEXTRACT(B5324, ""/detail/([^/?]+)"") &amp; """""","""),"""depjbcindpehnakoaonigpebgphbpang"",")</f>
        <v>"depjbcindpehnakoaonigpebgphbpang",</v>
      </c>
    </row>
    <row r="5325">
      <c r="A5325" s="4" t="s">
        <v>24504</v>
      </c>
      <c r="B5325" s="4" t="s">
        <v>10603</v>
      </c>
      <c r="C5325" s="16" t="str">
        <f>IFERROR(__xludf.DUMMYFUNCTION(""""""""" &amp; REGEXEXTRACT(B5325, ""/detail/([^/?]+)"") &amp; """""","""),"""dfafggejpfoflelimhkpdfnodlccgfja"",")</f>
        <v>"dfafggejpfoflelimhkpdfnodlccgfja",</v>
      </c>
    </row>
    <row r="5326">
      <c r="A5326" s="4" t="s">
        <v>24505</v>
      </c>
      <c r="B5326" s="4" t="s">
        <v>10605</v>
      </c>
      <c r="C5326" s="16" t="str">
        <f>IFERROR(__xludf.DUMMYFUNCTION(""""""""" &amp; REGEXEXTRACT(B5326, ""/detail/([^/?]+)"") &amp; """""","""),"""dfdpnfjofanhigifgpfjjheeohdofnjm"",")</f>
        <v>"dfdpnfjofanhigifgpfjjheeohdofnjm",</v>
      </c>
    </row>
    <row r="5327">
      <c r="A5327" s="4" t="s">
        <v>24506</v>
      </c>
      <c r="B5327" s="4" t="s">
        <v>10607</v>
      </c>
      <c r="C5327" s="16" t="str">
        <f>IFERROR(__xludf.DUMMYFUNCTION(""""""""" &amp; REGEXEXTRACT(B5327, ""/detail/([^/?]+)"") &amp; """""","""),"""dfheomfpopjjlmhdhlodbahiemdmhbma"",")</f>
        <v>"dfheomfpopjjlmhdhlodbahiemdmhbma",</v>
      </c>
    </row>
    <row r="5328">
      <c r="A5328" s="4" t="s">
        <v>24507</v>
      </c>
      <c r="B5328" s="4" t="s">
        <v>10609</v>
      </c>
      <c r="C5328" s="16" t="str">
        <f>IFERROR(__xludf.DUMMYFUNCTION(""""""""" &amp; REGEXEXTRACT(B5328, ""/detail/([^/?]+)"") &amp; """""","""),"""dfklamfdbffkjofhkeeclclpcpejoaaf"",")</f>
        <v>"dfklamfdbffkjofhkeeclclpcpejoaaf",</v>
      </c>
    </row>
    <row r="5329">
      <c r="A5329" s="4" t="s">
        <v>24508</v>
      </c>
      <c r="B5329" s="4" t="s">
        <v>10611</v>
      </c>
      <c r="C5329" s="16" t="str">
        <f>IFERROR(__xludf.DUMMYFUNCTION(""""""""" &amp; REGEXEXTRACT(B5329, ""/detail/([^/?]+)"") &amp; """""","""),"""dfncpmlchoghcaleajocnbgnffdkpeia"",")</f>
        <v>"dfncpmlchoghcaleajocnbgnffdkpeia",</v>
      </c>
    </row>
    <row r="5330">
      <c r="A5330" s="4" t="s">
        <v>24509</v>
      </c>
      <c r="B5330" s="4" t="s">
        <v>10613</v>
      </c>
      <c r="C5330" s="16" t="str">
        <f>IFERROR(__xludf.DUMMYFUNCTION(""""""""" &amp; REGEXEXTRACT(B5330, ""/detail/([^/?]+)"") &amp; """""","""),"""dgcojenhfdjhieoglmiaheihjadlpcml"",")</f>
        <v>"dgcojenhfdjhieoglmiaheihjadlpcml",</v>
      </c>
    </row>
    <row r="5331">
      <c r="A5331" s="4" t="s">
        <v>24510</v>
      </c>
      <c r="B5331" s="4" t="s">
        <v>10615</v>
      </c>
      <c r="C5331" s="16" t="str">
        <f>IFERROR(__xludf.DUMMYFUNCTION(""""""""" &amp; REGEXEXTRACT(B5331, ""/detail/([^/?]+)"") &amp; """""","""),"""dgdholpcdmhcmpceilhebneggabenide"",")</f>
        <v>"dgdholpcdmhcmpceilhebneggabenide",</v>
      </c>
    </row>
    <row r="5332">
      <c r="A5332" s="4" t="s">
        <v>24511</v>
      </c>
      <c r="B5332" s="4" t="s">
        <v>10617</v>
      </c>
      <c r="C5332" s="16" t="str">
        <f>IFERROR(__xludf.DUMMYFUNCTION(""""""""" &amp; REGEXEXTRACT(B5332, ""/detail/([^/?]+)"") &amp; """""","""),"""dgemigkanhiejpcmhimojfmanolcpcgp"",")</f>
        <v>"dgemigkanhiejpcmhimojfmanolcpcgp",</v>
      </c>
    </row>
    <row r="5333">
      <c r="A5333" s="4" t="s">
        <v>24512</v>
      </c>
      <c r="B5333" s="4" t="s">
        <v>10619</v>
      </c>
      <c r="C5333" s="16" t="str">
        <f>IFERROR(__xludf.DUMMYFUNCTION(""""""""" &amp; REGEXEXTRACT(B5333, ""/detail/([^/?]+)"") &amp; """""","""),"""dghpifbabagfbmekemjgccimackjiljp"",")</f>
        <v>"dghpifbabagfbmekemjgccimackjiljp",</v>
      </c>
    </row>
    <row r="5334">
      <c r="A5334" s="4" t="s">
        <v>24513</v>
      </c>
      <c r="B5334" s="4" t="s">
        <v>10621</v>
      </c>
      <c r="C5334" s="16" t="str">
        <f>IFERROR(__xludf.DUMMYFUNCTION(""""""""" &amp; REGEXEXTRACT(B5334, ""/detail/([^/?]+)"") &amp; """""","""),"""dgieialkiekjbocjiekgghpkggjppnfe"",")</f>
        <v>"dgieialkiekjbocjiekgghpkggjppnfe",</v>
      </c>
    </row>
    <row r="5335">
      <c r="A5335" s="4" t="s">
        <v>24514</v>
      </c>
      <c r="B5335" s="4" t="s">
        <v>10623</v>
      </c>
      <c r="C5335" s="16" t="str">
        <f>IFERROR(__xludf.DUMMYFUNCTION(""""""""" &amp; REGEXEXTRACT(B5335, ""/detail/([^/?]+)"") &amp; """""","""),"""dgjbiomnpnpdickhihabccnbhpipddch"",")</f>
        <v>"dgjbiomnpnpdickhihabccnbhpipddch",</v>
      </c>
    </row>
    <row r="5336">
      <c r="A5336" s="4" t="s">
        <v>24515</v>
      </c>
      <c r="B5336" s="4" t="s">
        <v>10625</v>
      </c>
      <c r="C5336" s="16" t="str">
        <f>IFERROR(__xludf.DUMMYFUNCTION(""""""""" &amp; REGEXEXTRACT(B5336, ""/detail/([^/?]+)"") &amp; """""","""),"""dgkaehmmlnblfmmpdebmhjieffcjjjph"",")</f>
        <v>"dgkaehmmlnblfmmpdebmhjieffcjjjph",</v>
      </c>
    </row>
    <row r="5337">
      <c r="A5337" s="4" t="s">
        <v>24516</v>
      </c>
      <c r="B5337" s="4" t="s">
        <v>10627</v>
      </c>
      <c r="C5337" s="16" t="str">
        <f>IFERROR(__xludf.DUMMYFUNCTION(""""""""" &amp; REGEXEXTRACT(B5337, ""/detail/([^/?]+)"") &amp; """""","""),"""dglhdhjfhaikplcgklplalmejcahjheo"",")</f>
        <v>"dglhdhjfhaikplcgklplalmejcahjheo",</v>
      </c>
    </row>
    <row r="5338">
      <c r="A5338" s="4" t="s">
        <v>24517</v>
      </c>
      <c r="B5338" s="4" t="s">
        <v>10629</v>
      </c>
      <c r="C5338" s="16" t="str">
        <f>IFERROR(__xludf.DUMMYFUNCTION(""""""""" &amp; REGEXEXTRACT(B5338, ""/detail/([^/?]+)"") &amp; """""","""),"""dhdiikochehiidnbdfmfnebddanneebf"",")</f>
        <v>"dhdiikochehiidnbdfmfnebddanneebf",</v>
      </c>
    </row>
    <row r="5339">
      <c r="A5339" s="4" t="s">
        <v>24518</v>
      </c>
      <c r="B5339" s="4" t="s">
        <v>10631</v>
      </c>
      <c r="C5339" s="16" t="str">
        <f>IFERROR(__xludf.DUMMYFUNCTION(""""""""" &amp; REGEXEXTRACT(B5339, ""/detail/([^/?]+)"") &amp; """""","""),"""dhejanhdgniddchmpmlbincglfhihipj"",")</f>
        <v>"dhejanhdgniddchmpmlbincglfhihipj",</v>
      </c>
    </row>
    <row r="5340">
      <c r="A5340" s="4" t="s">
        <v>24519</v>
      </c>
      <c r="B5340" s="4" t="s">
        <v>10633</v>
      </c>
      <c r="C5340" s="16" t="str">
        <f>IFERROR(__xludf.DUMMYFUNCTION(""""""""" &amp; REGEXEXTRACT(B5340, ""/detail/([^/?]+)"") &amp; """""","""),"""dhfmgppomdaagdcbpccdfjpopgikcdge"",")</f>
        <v>"dhfmgppomdaagdcbpccdfjpopgikcdge",</v>
      </c>
    </row>
    <row r="5341">
      <c r="A5341" s="4" t="s">
        <v>24520</v>
      </c>
      <c r="B5341" s="4" t="s">
        <v>10635</v>
      </c>
      <c r="C5341" s="16" t="str">
        <f>IFERROR(__xludf.DUMMYFUNCTION(""""""""" &amp; REGEXEXTRACT(B5341, ""/detail/([^/?]+)"") &amp; """""","""),"""dhgccdmhjimfkkolkndajocgdfgphaik"",")</f>
        <v>"dhgccdmhjimfkkolkndajocgdfgphaik",</v>
      </c>
    </row>
    <row r="5342">
      <c r="A5342" s="4" t="s">
        <v>24521</v>
      </c>
      <c r="B5342" s="4" t="s">
        <v>10637</v>
      </c>
      <c r="C5342" s="16" t="str">
        <f>IFERROR(__xludf.DUMMYFUNCTION(""""""""" &amp; REGEXEXTRACT(B5342, ""/detail/([^/?]+)"") &amp; """""","""),"""dhijppimaboapijfjocmmephlbbfpcil"",")</f>
        <v>"dhijppimaboapijfjocmmephlbbfpcil",</v>
      </c>
    </row>
    <row r="5343">
      <c r="A5343" s="4" t="s">
        <v>24522</v>
      </c>
      <c r="B5343" s="4" t="s">
        <v>10639</v>
      </c>
      <c r="C5343" s="16" t="str">
        <f>IFERROR(__xludf.DUMMYFUNCTION(""""""""" &amp; REGEXEXTRACT(B5343, ""/detail/([^/?]+)"") &amp; """""","""),"""dhpaponoajbgfahgmcbchndpjbooapog"",")</f>
        <v>"dhpaponoajbgfahgmcbchndpjbooapog",</v>
      </c>
    </row>
    <row r="5344">
      <c r="A5344" s="4" t="s">
        <v>24523</v>
      </c>
      <c r="B5344" s="4" t="s">
        <v>10641</v>
      </c>
      <c r="C5344" s="16" t="str">
        <f>IFERROR(__xludf.DUMMYFUNCTION(""""""""" &amp; REGEXEXTRACT(B5344, ""/detail/([^/?]+)"") &amp; """""","""),"""dhpmaakdfkbiagigolpmjdiancfhhick"",")</f>
        <v>"dhpmaakdfkbiagigolpmjdiancfhhick",</v>
      </c>
    </row>
    <row r="5345">
      <c r="A5345" s="4" t="s">
        <v>24524</v>
      </c>
      <c r="B5345" s="4" t="s">
        <v>10643</v>
      </c>
      <c r="C5345" s="16" t="str">
        <f>IFERROR(__xludf.DUMMYFUNCTION(""""""""" &amp; REGEXEXTRACT(B5345, ""/detail/([^/?]+)"") &amp; """""","""),"""diadblmpfmoecighhdmalpahghimodil"",")</f>
        <v>"diadblmpfmoecighhdmalpahghimodil",</v>
      </c>
    </row>
    <row r="5346">
      <c r="A5346" s="4" t="s">
        <v>24525</v>
      </c>
      <c r="B5346" s="4" t="s">
        <v>10645</v>
      </c>
      <c r="C5346" s="16" t="str">
        <f>IFERROR(__xludf.DUMMYFUNCTION(""""""""" &amp; REGEXEXTRACT(B5346, ""/detail/([^/?]+)"") &amp; """""","""),"""diddacjdgklfjgnlmknacnakjcgdiegn"",")</f>
        <v>"diddacjdgklfjgnlmknacnakjcgdiegn",</v>
      </c>
    </row>
    <row r="5347">
      <c r="A5347" s="4" t="s">
        <v>24526</v>
      </c>
      <c r="B5347" s="4" t="s">
        <v>10647</v>
      </c>
      <c r="C5347" s="16" t="str">
        <f>IFERROR(__xludf.DUMMYFUNCTION(""""""""" &amp; REGEXEXTRACT(B5347, ""/detail/([^/?]+)"") &amp; """""","""),"""dikbfpemggjmcidjecbjgbikghaaigei"",")</f>
        <v>"dikbfpemggjmcidjecbjgbikghaaigei",</v>
      </c>
    </row>
    <row r="5348">
      <c r="A5348" s="4" t="s">
        <v>24527</v>
      </c>
      <c r="B5348" s="4" t="s">
        <v>10649</v>
      </c>
      <c r="C5348" s="16" t="str">
        <f>IFERROR(__xludf.DUMMYFUNCTION(""""""""" &amp; REGEXEXTRACT(B5348, ""/detail/([^/?]+)"") &amp; """""","""),"""dilncfnkialpgbnpcjmghnepnankdibk"",")</f>
        <v>"dilncfnkialpgbnpcjmghnepnankdibk",</v>
      </c>
    </row>
    <row r="5349">
      <c r="A5349" s="4" t="s">
        <v>24528</v>
      </c>
      <c r="B5349" s="4" t="s">
        <v>10651</v>
      </c>
      <c r="C5349" s="16" t="str">
        <f>IFERROR(__xludf.DUMMYFUNCTION(""""""""" &amp; REGEXEXTRACT(B5349, ""/detail/([^/?]+)"") &amp; """""","""),"""djajcdbelhandnaichcbohaoefndhnde"",")</f>
        <v>"djajcdbelhandnaichcbohaoefndhnde",</v>
      </c>
    </row>
    <row r="5350">
      <c r="A5350" s="4" t="s">
        <v>24529</v>
      </c>
      <c r="B5350" s="4" t="s">
        <v>10653</v>
      </c>
      <c r="C5350" s="16" t="str">
        <f>IFERROR(__xludf.DUMMYFUNCTION(""""""""" &amp; REGEXEXTRACT(B5350, ""/detail/([^/?]+)"") &amp; """""","""),"""djcblfigljldnidihnfjmpcbfhflhfan"",")</f>
        <v>"djcblfigljldnidihnfjmpcbfhflhfan",</v>
      </c>
    </row>
    <row r="5351">
      <c r="A5351" s="4" t="s">
        <v>24530</v>
      </c>
      <c r="B5351" s="4" t="s">
        <v>10655</v>
      </c>
      <c r="C5351" s="16" t="str">
        <f>IFERROR(__xludf.DUMMYFUNCTION(""""""""" &amp; REGEXEXTRACT(B5351, ""/detail/([^/?]+)"") &amp; """""","""),"""djedajhgcgkaeplnmplaajnnioicbaph"",")</f>
        <v>"djedajhgcgkaeplnmplaajnnioicbaph",</v>
      </c>
    </row>
    <row r="5352">
      <c r="A5352" s="4" t="s">
        <v>24531</v>
      </c>
      <c r="B5352" s="4" t="s">
        <v>10657</v>
      </c>
      <c r="C5352" s="16" t="str">
        <f>IFERROR(__xludf.DUMMYFUNCTION(""""""""" &amp; REGEXEXTRACT(B5352, ""/detail/([^/?]+)"") &amp; """""","""),"""djeeealmnenojbdmkocimooihdfjblli"",")</f>
        <v>"djeeealmnenojbdmkocimooihdfjblli",</v>
      </c>
    </row>
    <row r="5353">
      <c r="A5353" s="4" t="s">
        <v>24532</v>
      </c>
      <c r="B5353" s="4" t="s">
        <v>10659</v>
      </c>
      <c r="C5353" s="16" t="str">
        <f>IFERROR(__xludf.DUMMYFUNCTION(""""""""" &amp; REGEXEXTRACT(B5353, ""/detail/([^/?]+)"") &amp; """""","""),"""djfkicajooephlfmebeckinidakdichn"",")</f>
        <v>"djfkicajooephlfmebeckinidakdichn",</v>
      </c>
    </row>
    <row r="5354">
      <c r="A5354" s="4" t="s">
        <v>24533</v>
      </c>
      <c r="B5354" s="4" t="s">
        <v>10661</v>
      </c>
      <c r="C5354" s="16" t="str">
        <f>IFERROR(__xludf.DUMMYFUNCTION(""""""""" &amp; REGEXEXTRACT(B5354, ""/detail/([^/?]+)"") &amp; """""","""),"""djgfnbkiakemcmleeihmdngpamaknnem"",")</f>
        <v>"djgfnbkiakemcmleeihmdngpamaknnem",</v>
      </c>
    </row>
    <row r="5355">
      <c r="A5355" s="4" t="s">
        <v>24534</v>
      </c>
      <c r="B5355" s="4" t="s">
        <v>10663</v>
      </c>
      <c r="C5355" s="16" t="str">
        <f>IFERROR(__xludf.DUMMYFUNCTION(""""""""" &amp; REGEXEXTRACT(B5355, ""/detail/([^/?]+)"") &amp; """""","""),"""djgggkkgpoeknlpdllmhdagbfnhaigmd"",")</f>
        <v>"djgggkkgpoeknlpdllmhdagbfnhaigmd",</v>
      </c>
    </row>
    <row r="5356">
      <c r="A5356" s="4" t="s">
        <v>24535</v>
      </c>
      <c r="B5356" s="4" t="s">
        <v>10665</v>
      </c>
      <c r="C5356" s="16" t="str">
        <f>IFERROR(__xludf.DUMMYFUNCTION(""""""""" &amp; REGEXEXTRACT(B5356, ""/detail/([^/?]+)"") &amp; """""","""),"""djiagjcjenpnblipghgnefmcflecpbgf"",")</f>
        <v>"djiagjcjenpnblipghgnefmcflecpbgf",</v>
      </c>
    </row>
    <row r="5357">
      <c r="A5357" s="4" t="s">
        <v>24536</v>
      </c>
      <c r="B5357" s="4" t="s">
        <v>10667</v>
      </c>
      <c r="C5357" s="16" t="str">
        <f>IFERROR(__xludf.DUMMYFUNCTION(""""""""" &amp; REGEXEXTRACT(B5357, ""/detail/([^/?]+)"") &amp; """""","""),"""djkgogfdadkjljaplcgigkcoofhikcke"",")</f>
        <v>"djkgogfdadkjljaplcgigkcoofhikcke",</v>
      </c>
    </row>
    <row r="5358">
      <c r="A5358" s="4" t="s">
        <v>24537</v>
      </c>
      <c r="B5358" s="4" t="s">
        <v>10669</v>
      </c>
      <c r="C5358" s="16" t="str">
        <f>IFERROR(__xludf.DUMMYFUNCTION(""""""""" &amp; REGEXEXTRACT(B5358, ""/detail/([^/?]+)"") &amp; """""","""),"""djncfliejhhejjgbhcopflpnlaeicnco"",")</f>
        <v>"djncfliejhhejjgbhcopflpnlaeicnco",</v>
      </c>
    </row>
    <row r="5359">
      <c r="A5359" s="4" t="s">
        <v>24538</v>
      </c>
      <c r="B5359" s="4" t="s">
        <v>10671</v>
      </c>
      <c r="C5359" s="16" t="str">
        <f>IFERROR(__xludf.DUMMYFUNCTION(""""""""" &amp; REGEXEXTRACT(B5359, ""/detail/([^/?]+)"") &amp; """""","""),"""djnkjimeimidbimfhoidjhfahoooinpb"",")</f>
        <v>"djnkjimeimidbimfhoidjhfahoooinpb",</v>
      </c>
    </row>
    <row r="5360">
      <c r="A5360" s="4" t="s">
        <v>24539</v>
      </c>
      <c r="B5360" s="4" t="s">
        <v>10673</v>
      </c>
      <c r="C5360" s="16" t="str">
        <f>IFERROR(__xludf.DUMMYFUNCTION(""""""""" &amp; REGEXEXTRACT(B5360, ""/detail/([^/?]+)"") &amp; """""","""),"""djphbeeppdbbljolikpmhcjbodaakanh"",")</f>
        <v>"djphbeeppdbbljolikpmhcjbodaakanh",</v>
      </c>
    </row>
    <row r="5361">
      <c r="A5361" s="4" t="s">
        <v>24540</v>
      </c>
      <c r="B5361" s="4" t="s">
        <v>10675</v>
      </c>
      <c r="C5361" s="16" t="str">
        <f>IFERROR(__xludf.DUMMYFUNCTION(""""""""" &amp; REGEXEXTRACT(B5361, ""/detail/([^/?]+)"") &amp; """""","""),"""dkabagejkcmeakglamklmcloggfpbfgi"",")</f>
        <v>"dkabagejkcmeakglamklmcloggfpbfgi",</v>
      </c>
    </row>
    <row r="5362">
      <c r="A5362" s="4" t="s">
        <v>24541</v>
      </c>
      <c r="B5362" s="4" t="s">
        <v>10677</v>
      </c>
      <c r="C5362" s="16" t="str">
        <f>IFERROR(__xludf.DUMMYFUNCTION(""""""""" &amp; REGEXEXTRACT(B5362, ""/detail/([^/?]+)"") &amp; """""","""),"""dkcjgidbeidhfhhmkfkeochcimlldonb"",")</f>
        <v>"dkcjgidbeidhfhhmkfkeochcimlldonb",</v>
      </c>
    </row>
    <row r="5363">
      <c r="A5363" s="4" t="s">
        <v>24542</v>
      </c>
      <c r="B5363" s="4" t="s">
        <v>10678</v>
      </c>
      <c r="C5363" s="16" t="str">
        <f>IFERROR(__xludf.DUMMYFUNCTION(""""""""" &amp; REGEXEXTRACT(B5363, ""/detail/([^/?]+)"") &amp; """""","""),"""dkfmhaejojhbiclnpdgaadhfaocpgdko"",")</f>
        <v>"dkfmhaejojhbiclnpdgaadhfaocpgdko",</v>
      </c>
    </row>
    <row r="5364">
      <c r="A5364" s="4" t="s">
        <v>24543</v>
      </c>
      <c r="B5364" s="4" t="s">
        <v>10680</v>
      </c>
      <c r="C5364" s="16" t="str">
        <f>IFERROR(__xludf.DUMMYFUNCTION(""""""""" &amp; REGEXEXTRACT(B5364, ""/detail/([^/?]+)"") &amp; """""","""),"""dkgihhapedpklhoilhcfbjcpmfggjbkc"",")</f>
        <v>"dkgihhapedpklhoilhcfbjcpmfggjbkc",</v>
      </c>
    </row>
    <row r="5365">
      <c r="A5365" s="4" t="s">
        <v>24544</v>
      </c>
      <c r="B5365" s="4" t="s">
        <v>10682</v>
      </c>
      <c r="C5365" s="16" t="str">
        <f>IFERROR(__xludf.DUMMYFUNCTION(""""""""" &amp; REGEXEXTRACT(B5365, ""/detail/([^/?]+)"") &amp; """""","""),"""dkifegcdocfkajdmngcklhppafbcddif"",")</f>
        <v>"dkifegcdocfkajdmngcklhppafbcddif",</v>
      </c>
    </row>
    <row r="5366">
      <c r="A5366" s="4" t="s">
        <v>24545</v>
      </c>
      <c r="B5366" s="4" t="s">
        <v>10684</v>
      </c>
      <c r="C5366" s="16" t="str">
        <f>IFERROR(__xludf.DUMMYFUNCTION(""""""""" &amp; REGEXEXTRACT(B5366, ""/detail/([^/?]+)"") &amp; """""","""),"""dkjmlcpmijiiejngafklkleghnaiabpa"",")</f>
        <v>"dkjmlcpmijiiejngafklkleghnaiabpa",</v>
      </c>
    </row>
    <row r="5367">
      <c r="A5367" s="4" t="s">
        <v>24546</v>
      </c>
      <c r="B5367" s="4" t="s">
        <v>10686</v>
      </c>
      <c r="C5367" s="16" t="str">
        <f>IFERROR(__xludf.DUMMYFUNCTION(""""""""" &amp; REGEXEXTRACT(B5367, ""/detail/([^/?]+)"") &amp; """""","""),"""dkmhhddfoojmodcjegnnnjamdbmpcnmb"",")</f>
        <v>"dkmhhddfoojmodcjegnnnjamdbmpcnmb",</v>
      </c>
    </row>
    <row r="5368">
      <c r="A5368" s="4" t="s">
        <v>24547</v>
      </c>
      <c r="B5368" s="4" t="s">
        <v>10688</v>
      </c>
      <c r="C5368" s="16" t="str">
        <f>IFERROR(__xludf.DUMMYFUNCTION(""""""""" &amp; REGEXEXTRACT(B5368, ""/detail/([^/?]+)"") &amp; """""","""),"""dkpcolmjlollbpbimgmepckpaccecopn"",")</f>
        <v>"dkpcolmjlollbpbimgmepckpaccecopn",</v>
      </c>
    </row>
    <row r="5369">
      <c r="A5369" s="4" t="s">
        <v>24548</v>
      </c>
      <c r="B5369" s="4" t="s">
        <v>10690</v>
      </c>
      <c r="C5369" s="16" t="str">
        <f>IFERROR(__xludf.DUMMYFUNCTION(""""""""" &amp; REGEXEXTRACT(B5369, ""/detail/([^/?]+)"") &amp; """""","""),"""dldofgjemhkpilajnlenfijjpkabilcg"",")</f>
        <v>"dldofgjemhkpilajnlenfijjpkabilcg",</v>
      </c>
    </row>
    <row r="5370">
      <c r="A5370" s="4" t="s">
        <v>24549</v>
      </c>
      <c r="B5370" s="4" t="s">
        <v>10692</v>
      </c>
      <c r="C5370" s="16" t="str">
        <f>IFERROR(__xludf.DUMMYFUNCTION(""""""""" &amp; REGEXEXTRACT(B5370, ""/detail/([^/?]+)"") &amp; """""","""),"""dlfcemjcmnnpogmjnnafohammmpibmbi"",")</f>
        <v>"dlfcemjcmnnpogmjnnafohammmpibmbi",</v>
      </c>
    </row>
    <row r="5371">
      <c r="A5371" s="4" t="s">
        <v>24550</v>
      </c>
      <c r="B5371" s="4" t="s">
        <v>10694</v>
      </c>
      <c r="C5371" s="16" t="str">
        <f>IFERROR(__xludf.DUMMYFUNCTION(""""""""" &amp; REGEXEXTRACT(B5371, ""/detail/([^/?]+)"") &amp; """""","""),"""dlgdimppibbgkjbhnfbkgbfgiclmjlch"",")</f>
        <v>"dlgdimppibbgkjbhnfbkgbfgiclmjlch",</v>
      </c>
    </row>
    <row r="5372">
      <c r="A5372" s="4" t="s">
        <v>24551</v>
      </c>
      <c r="B5372" s="4" t="s">
        <v>10696</v>
      </c>
      <c r="C5372" s="16" t="str">
        <f>IFERROR(__xludf.DUMMYFUNCTION(""""""""" &amp; REGEXEXTRACT(B5372, ""/detail/([^/?]+)"") &amp; """""","""),"""dlicmihnogpoemhcegbnhbmncbkoidjo"",")</f>
        <v>"dlicmihnogpoemhcegbnhbmncbkoidjo",</v>
      </c>
    </row>
    <row r="5373">
      <c r="A5373" s="4" t="s">
        <v>24552</v>
      </c>
      <c r="B5373" s="4" t="s">
        <v>10698</v>
      </c>
      <c r="C5373" s="16" t="str">
        <f>IFERROR(__xludf.DUMMYFUNCTION(""""""""" &amp; REGEXEXTRACT(B5373, ""/detail/([^/?]+)"") &amp; """""","""),"""dljbdgkjfpffemlhefcdiijoflfjaefg"",")</f>
        <v>"dljbdgkjfpffemlhefcdiijoflfjaefg",</v>
      </c>
    </row>
    <row r="5374">
      <c r="A5374" s="4" t="s">
        <v>24553</v>
      </c>
      <c r="B5374" s="4" t="s">
        <v>10700</v>
      </c>
      <c r="C5374" s="16" t="str">
        <f>IFERROR(__xludf.DUMMYFUNCTION(""""""""" &amp; REGEXEXTRACT(B5374, ""/detail/([^/?]+)"") &amp; """""","""),"""dlkemlgapokpjaccplkmkompccipfebk"",")</f>
        <v>"dlkemlgapokpjaccplkmkompccipfebk",</v>
      </c>
    </row>
    <row r="5375">
      <c r="A5375" s="4" t="s">
        <v>24554</v>
      </c>
      <c r="B5375" s="4" t="s">
        <v>10702</v>
      </c>
      <c r="C5375" s="16" t="str">
        <f>IFERROR(__xludf.DUMMYFUNCTION(""""""""" &amp; REGEXEXTRACT(B5375, ""/detail/([^/?]+)"") &amp; """""","""),"""dllhciipngnohldkbodngekegcdagbkc"",")</f>
        <v>"dllhciipngnohldkbodngekegcdagbkc",</v>
      </c>
    </row>
    <row r="5376">
      <c r="A5376" s="4" t="s">
        <v>24555</v>
      </c>
      <c r="B5376" s="4" t="s">
        <v>10704</v>
      </c>
      <c r="C5376" s="16" t="str">
        <f>IFERROR(__xludf.DUMMYFUNCTION(""""""""" &amp; REGEXEXTRACT(B5376, ""/detail/([^/?]+)"") &amp; """""","""),"""dlnfnioimbgnhpceafnlaibifahminfg"",")</f>
        <v>"dlnfnioimbgnhpceafnlaibifahminfg",</v>
      </c>
    </row>
    <row r="5377">
      <c r="A5377" s="4" t="s">
        <v>24556</v>
      </c>
      <c r="B5377" s="4" t="s">
        <v>10706</v>
      </c>
      <c r="C5377" s="16" t="str">
        <f>IFERROR(__xludf.DUMMYFUNCTION(""""""""" &amp; REGEXEXTRACT(B5377, ""/detail/([^/?]+)"") &amp; """""","""),"""dloekpblllffjpoobikajdlphggaohhe"",")</f>
        <v>"dloekpblllffjpoobikajdlphggaohhe",</v>
      </c>
    </row>
    <row r="5378">
      <c r="A5378" s="4" t="s">
        <v>24557</v>
      </c>
      <c r="B5378" s="4" t="s">
        <v>10708</v>
      </c>
      <c r="C5378" s="16" t="str">
        <f>IFERROR(__xludf.DUMMYFUNCTION(""""""""" &amp; REGEXEXTRACT(B5378, ""/detail/([^/?]+)"") &amp; """""","""),"""dmdohjmncfnhndjkhdffbidhaamaidgn"",")</f>
        <v>"dmdohjmncfnhndjkhdffbidhaamaidgn",</v>
      </c>
    </row>
    <row r="5379">
      <c r="A5379" s="4" t="s">
        <v>24558</v>
      </c>
      <c r="B5379" s="4" t="s">
        <v>10710</v>
      </c>
      <c r="C5379" s="16" t="str">
        <f>IFERROR(__xludf.DUMMYFUNCTION(""""""""" &amp; REGEXEXTRACT(B5379, ""/detail/([^/?]+)"") &amp; """""","""),"""dmidlfboljckpijkmbmolidjimmfelho"",")</f>
        <v>"dmidlfboljckpijkmbmolidjimmfelho",</v>
      </c>
    </row>
    <row r="5380">
      <c r="A5380" s="4" t="s">
        <v>24559</v>
      </c>
      <c r="B5380" s="4" t="s">
        <v>10712</v>
      </c>
      <c r="C5380" s="16" t="str">
        <f>IFERROR(__xludf.DUMMYFUNCTION(""""""""" &amp; REGEXEXTRACT(B5380, ""/detail/([^/?]+)"") &amp; """""","""),"""dmjigjnpimhlighaibpchommlmnlkmlg"",")</f>
        <v>"dmjigjnpimhlighaibpchommlmnlkmlg",</v>
      </c>
    </row>
    <row r="5381">
      <c r="A5381" s="4" t="s">
        <v>24560</v>
      </c>
      <c r="B5381" s="4" t="s">
        <v>10714</v>
      </c>
      <c r="C5381" s="16" t="str">
        <f>IFERROR(__xludf.DUMMYFUNCTION(""""""""" &amp; REGEXEXTRACT(B5381, ""/detail/([^/?]+)"") &amp; """""","""),"""dmkgnplakajhockogacednagkhjebdjn"",")</f>
        <v>"dmkgnplakajhockogacednagkhjebdjn",</v>
      </c>
    </row>
    <row r="5382">
      <c r="A5382" s="4" t="s">
        <v>24561</v>
      </c>
      <c r="B5382" s="4" t="s">
        <v>10716</v>
      </c>
      <c r="C5382" s="16" t="str">
        <f>IFERROR(__xludf.DUMMYFUNCTION(""""""""" &amp; REGEXEXTRACT(B5382, ""/detail/([^/?]+)"") &amp; """""","""),"""dmkppekepjiecneipdlmlmhjbgipelaf"",")</f>
        <v>"dmkppekepjiecneipdlmlmhjbgipelaf",</v>
      </c>
    </row>
    <row r="5383">
      <c r="A5383" s="4" t="s">
        <v>24562</v>
      </c>
      <c r="B5383" s="4" t="s">
        <v>10718</v>
      </c>
      <c r="C5383" s="16" t="str">
        <f>IFERROR(__xludf.DUMMYFUNCTION(""""""""" &amp; REGEXEXTRACT(B5383, ""/detail/([^/?]+)"") &amp; """""","""),"""dmlghogjfjkooapjegmljhnlmiemejib"",")</f>
        <v>"dmlghogjfjkooapjegmljhnlmiemejib",</v>
      </c>
    </row>
    <row r="5384">
      <c r="A5384" s="4" t="s">
        <v>24563</v>
      </c>
      <c r="B5384" s="4" t="s">
        <v>10720</v>
      </c>
      <c r="C5384" s="16" t="str">
        <f>IFERROR(__xludf.DUMMYFUNCTION(""""""""" &amp; REGEXEXTRACT(B5384, ""/detail/([^/?]+)"") &amp; """""","""),"""dmpjiaifmhmnbbphkchdpjejooggcdem"",")</f>
        <v>"dmpjiaifmhmnbbphkchdpjejooggcdem",</v>
      </c>
    </row>
    <row r="5385">
      <c r="A5385" s="4" t="s">
        <v>24564</v>
      </c>
      <c r="B5385" s="4" t="s">
        <v>10722</v>
      </c>
      <c r="C5385" s="16" t="str">
        <f>IFERROR(__xludf.DUMMYFUNCTION(""""""""" &amp; REGEXEXTRACT(B5385, ""/detail/([^/?]+)"") &amp; """""","""),"""dnccjkaeaicfdeaadjeddpkicfnpgeej"",")</f>
        <v>"dnccjkaeaicfdeaadjeddpkicfnpgeej",</v>
      </c>
    </row>
    <row r="5386">
      <c r="A5386" s="4" t="s">
        <v>24565</v>
      </c>
      <c r="B5386" s="4" t="s">
        <v>10724</v>
      </c>
      <c r="C5386" s="16" t="str">
        <f>IFERROR(__xludf.DUMMYFUNCTION(""""""""" &amp; REGEXEXTRACT(B5386, ""/detail/([^/?]+)"") &amp; """""","""),"""dnfmcfhnhnpoehjoommondmlmhdoonca"",")</f>
        <v>"dnfmcfhnhnpoehjoommondmlmhdoonca",</v>
      </c>
    </row>
    <row r="5387">
      <c r="A5387" s="4" t="s">
        <v>24566</v>
      </c>
      <c r="B5387" s="4" t="s">
        <v>10726</v>
      </c>
      <c r="C5387" s="16" t="str">
        <f>IFERROR(__xludf.DUMMYFUNCTION(""""""""" &amp; REGEXEXTRACT(B5387, ""/detail/([^/?]+)"") &amp; """""","""),"""dngkgadjlbflkjdimhifphmefijcelem"",")</f>
        <v>"dngkgadjlbflkjdimhifphmefijcelem",</v>
      </c>
    </row>
    <row r="5388">
      <c r="A5388" s="4" t="s">
        <v>24567</v>
      </c>
      <c r="B5388" s="4" t="s">
        <v>10728</v>
      </c>
      <c r="C5388" s="16" t="str">
        <f>IFERROR(__xludf.DUMMYFUNCTION(""""""""" &amp; REGEXEXTRACT(B5388, ""/detail/([^/?]+)"") &amp; """""","""),"""dnhmnoiaabdhoelhlalgcfpolakhaemp"",")</f>
        <v>"dnhmnoiaabdhoelhlalgcfpolakhaemp",</v>
      </c>
    </row>
    <row r="5389">
      <c r="A5389" s="4" t="s">
        <v>24568</v>
      </c>
      <c r="B5389" s="4" t="s">
        <v>10730</v>
      </c>
      <c r="C5389" s="16" t="str">
        <f>IFERROR(__xludf.DUMMYFUNCTION(""""""""" &amp; REGEXEXTRACT(B5389, ""/detail/([^/?]+)"") &amp; """""","""),"""dninnbjpndbbfdhhhcbhiojiecbcgddd"",")</f>
        <v>"dninnbjpndbbfdhhhcbhiojiecbcgddd",</v>
      </c>
    </row>
    <row r="5390">
      <c r="A5390" s="4" t="s">
        <v>24569</v>
      </c>
      <c r="B5390" s="4" t="s">
        <v>10732</v>
      </c>
      <c r="C5390" s="16" t="str">
        <f>IFERROR(__xludf.DUMMYFUNCTION(""""""""" &amp; REGEXEXTRACT(B5390, ""/detail/([^/?]+)"") &amp; """""","""),"""dnnbdjbnhfojinfmmiiehamhkheifbbg"",")</f>
        <v>"dnnbdjbnhfojinfmmiiehamhkheifbbg",</v>
      </c>
    </row>
    <row r="5391">
      <c r="A5391" s="4" t="s">
        <v>24570</v>
      </c>
      <c r="B5391" s="4" t="s">
        <v>10734</v>
      </c>
      <c r="C5391" s="16" t="str">
        <f>IFERROR(__xludf.DUMMYFUNCTION(""""""""" &amp; REGEXEXTRACT(B5391, ""/detail/([^/?]+)"") &amp; """""","""),"""dnnlphagnbdccldakkjehjdideaobidd"",")</f>
        <v>"dnnlphagnbdccldakkjehjdideaobidd",</v>
      </c>
    </row>
    <row r="5392">
      <c r="A5392" s="4" t="s">
        <v>24571</v>
      </c>
      <c r="B5392" s="4" t="s">
        <v>10736</v>
      </c>
      <c r="C5392" s="16" t="str">
        <f>IFERROR(__xludf.DUMMYFUNCTION(""""""""" &amp; REGEXEXTRACT(B5392, ""/detail/([^/?]+)"") &amp; """""","""),"""dnoeippmocfhleigngbdncdiaiehjaff"",")</f>
        <v>"dnoeippmocfhleigngbdncdiaiehjaff",</v>
      </c>
    </row>
    <row r="5393">
      <c r="A5393" s="4" t="s">
        <v>24572</v>
      </c>
      <c r="B5393" s="4" t="s">
        <v>10738</v>
      </c>
      <c r="C5393" s="16" t="str">
        <f>IFERROR(__xludf.DUMMYFUNCTION(""""""""" &amp; REGEXEXTRACT(B5393, ""/detail/([^/?]+)"") &amp; """""","""),"""dodkihcbgpjblncjahodbnlgkkflliim"",")</f>
        <v>"dodkihcbgpjblncjahodbnlgkkflliim",</v>
      </c>
    </row>
    <row r="5394">
      <c r="A5394" s="4" t="s">
        <v>24573</v>
      </c>
      <c r="B5394" s="4" t="s">
        <v>10740</v>
      </c>
      <c r="C5394" s="16" t="str">
        <f>IFERROR(__xludf.DUMMYFUNCTION(""""""""" &amp; REGEXEXTRACT(B5394, ""/detail/([^/?]+)"") &amp; """""","""),"""dogblfnfkmjolfcbpgfkhpaahocjhkbk"",")</f>
        <v>"dogblfnfkmjolfcbpgfkhpaahocjhkbk",</v>
      </c>
    </row>
    <row r="5395">
      <c r="A5395" s="4" t="s">
        <v>24574</v>
      </c>
      <c r="B5395" s="4" t="s">
        <v>10742</v>
      </c>
      <c r="C5395" s="16" t="str">
        <f>IFERROR(__xludf.DUMMYFUNCTION(""""""""" &amp; REGEXEXTRACT(B5395, ""/detail/([^/?]+)"") &amp; """""","""),"""dohbiijnjeiejifbgfdhfknogknkglio"",")</f>
        <v>"dohbiijnjeiejifbgfdhfknogknkglio",</v>
      </c>
    </row>
    <row r="5396">
      <c r="A5396" s="4" t="s">
        <v>24575</v>
      </c>
      <c r="B5396" s="4" t="s">
        <v>10744</v>
      </c>
      <c r="C5396" s="16" t="str">
        <f>IFERROR(__xludf.DUMMYFUNCTION(""""""""" &amp; REGEXEXTRACT(B5396, ""/detail/([^/?]+)"") &amp; """""","""),"""doiinciigjmmlnbehjjjkeoamihggkba"",")</f>
        <v>"doiinciigjmmlnbehjjjkeoamihggkba",</v>
      </c>
    </row>
    <row r="5397">
      <c r="A5397" s="4" t="s">
        <v>24576</v>
      </c>
      <c r="B5397" s="4" t="s">
        <v>10746</v>
      </c>
      <c r="C5397" s="16" t="str">
        <f>IFERROR(__xludf.DUMMYFUNCTION(""""""""" &amp; REGEXEXTRACT(B5397, ""/detail/([^/?]+)"") &amp; """""","""),"""doiohphjkpgbokbfkbmhgdbpldndbmld"",")</f>
        <v>"doiohphjkpgbokbfkbmhgdbpldndbmld",</v>
      </c>
    </row>
    <row r="5398">
      <c r="A5398" s="4" t="s">
        <v>24577</v>
      </c>
      <c r="B5398" s="4" t="s">
        <v>10748</v>
      </c>
      <c r="C5398" s="16" t="str">
        <f>IFERROR(__xludf.DUMMYFUNCTION(""""""""" &amp; REGEXEXTRACT(B5398, ""/detail/([^/?]+)"") &amp; """""","""),"""doipekboknichhfnjfpcpdiidckbblme"",")</f>
        <v>"doipekboknichhfnjfpcpdiidckbblme",</v>
      </c>
    </row>
    <row r="5399">
      <c r="A5399" s="4" t="s">
        <v>24578</v>
      </c>
      <c r="B5399" s="4" t="s">
        <v>10750</v>
      </c>
      <c r="C5399" s="16" t="str">
        <f>IFERROR(__xludf.DUMMYFUNCTION(""""""""" &amp; REGEXEXTRACT(B5399, ""/detail/([^/?]+)"") &amp; """""","""),"""dojblmhfhjilfpkfakgfenpeoajdomkj"",")</f>
        <v>"dojblmhfhjilfpkfakgfenpeoajdomkj",</v>
      </c>
    </row>
    <row r="5400">
      <c r="A5400" s="4" t="s">
        <v>24579</v>
      </c>
      <c r="B5400" s="4" t="s">
        <v>10752</v>
      </c>
      <c r="C5400" s="16" t="str">
        <f>IFERROR(__xludf.DUMMYFUNCTION(""""""""" &amp; REGEXEXTRACT(B5400, ""/detail/([^/?]+)"") &amp; """""","""),"""dojjmigcfgjcjakkdhmnkcjajbjcjnja"",")</f>
        <v>"dojjmigcfgjcjakkdhmnkcjajbjcjnja",</v>
      </c>
    </row>
    <row r="5401">
      <c r="A5401" s="4" t="s">
        <v>24580</v>
      </c>
      <c r="B5401" s="4" t="s">
        <v>10754</v>
      </c>
      <c r="C5401" s="16" t="str">
        <f>IFERROR(__xludf.DUMMYFUNCTION(""""""""" &amp; REGEXEXTRACT(B5401, ""/detail/([^/?]+)"") &amp; """""","""),"""dopceadfnnahlcadkebgfacbcemhallh"",")</f>
        <v>"dopceadfnnahlcadkebgfacbcemhallh",</v>
      </c>
    </row>
    <row r="5402">
      <c r="A5402" s="4" t="s">
        <v>24581</v>
      </c>
      <c r="B5402" s="4" t="s">
        <v>10756</v>
      </c>
      <c r="C5402" s="16" t="str">
        <f>IFERROR(__xludf.DUMMYFUNCTION(""""""""" &amp; REGEXEXTRACT(B5402, ""/detail/([^/?]+)"") &amp; """""","""),"""dpbbnpcoijgncncgkkfjibmhgaeflgaf"",")</f>
        <v>"dpbbnpcoijgncncgkkfjibmhgaeflgaf",</v>
      </c>
    </row>
    <row r="5403">
      <c r="A5403" s="4" t="s">
        <v>24582</v>
      </c>
      <c r="B5403" s="4" t="s">
        <v>10758</v>
      </c>
      <c r="C5403" s="16" t="str">
        <f>IFERROR(__xludf.DUMMYFUNCTION(""""""""" &amp; REGEXEXTRACT(B5403, ""/detail/([^/?]+)"") &amp; """""","""),"""dpdkggcaadgahopbpebdlkcpkddjndee"",")</f>
        <v>"dpdkggcaadgahopbpebdlkcpkddjndee",</v>
      </c>
    </row>
    <row r="5404">
      <c r="A5404" s="4" t="s">
        <v>24583</v>
      </c>
      <c r="B5404" s="4" t="s">
        <v>10760</v>
      </c>
      <c r="C5404" s="16" t="str">
        <f>IFERROR(__xludf.DUMMYFUNCTION(""""""""" &amp; REGEXEXTRACT(B5404, ""/detail/([^/?]+)"") &amp; """""","""),"""dpgcehldjbcfejamdkfaeoamlpjlhbig"",")</f>
        <v>"dpgcehldjbcfejamdkfaeoamlpjlhbig",</v>
      </c>
    </row>
    <row r="5405">
      <c r="A5405" s="4" t="s">
        <v>24584</v>
      </c>
      <c r="B5405" s="4" t="s">
        <v>10762</v>
      </c>
      <c r="C5405" s="16" t="str">
        <f>IFERROR(__xludf.DUMMYFUNCTION(""""""""" &amp; REGEXEXTRACT(B5405, ""/detail/([^/?]+)"") &amp; """""","""),"""dpgkehienimlajedknigeeiigiebpifa"",")</f>
        <v>"dpgkehienimlajedknigeeiigiebpifa",</v>
      </c>
    </row>
    <row r="5406">
      <c r="A5406" s="4" t="s">
        <v>24585</v>
      </c>
      <c r="B5406" s="4" t="s">
        <v>10764</v>
      </c>
      <c r="C5406" s="16" t="str">
        <f>IFERROR(__xludf.DUMMYFUNCTION(""""""""" &amp; REGEXEXTRACT(B5406, ""/detail/([^/?]+)"") &amp; """""","""),"""dpgkjbmiapibpdjnnoalnlkcmeepocak"",")</f>
        <v>"dpgkjbmiapibpdjnnoalnlkcmeepocak",</v>
      </c>
    </row>
    <row r="5407">
      <c r="A5407" s="4" t="s">
        <v>24586</v>
      </c>
      <c r="B5407" s="4" t="s">
        <v>10766</v>
      </c>
      <c r="C5407" s="16" t="str">
        <f>IFERROR(__xludf.DUMMYFUNCTION(""""""""" &amp; REGEXEXTRACT(B5407, ""/detail/([^/?]+)"") &amp; """""","""),"""dpgoneajblildfpfabjldhhhdanlmenk"",")</f>
        <v>"dpgoneajblildfpfabjldhhhdanlmenk",</v>
      </c>
    </row>
    <row r="5408">
      <c r="A5408" s="4" t="s">
        <v>24587</v>
      </c>
      <c r="B5408" s="4" t="s">
        <v>10768</v>
      </c>
      <c r="C5408" s="16" t="str">
        <f>IFERROR(__xludf.DUMMYFUNCTION(""""""""" &amp; REGEXEXTRACT(B5408, ""/detail/([^/?]+)"") &amp; """""","""),"""dphjjoijhepbpphpgcjpkmimbmpihlgg"",")</f>
        <v>"dphjjoijhepbpphpgcjpkmimbmpihlgg",</v>
      </c>
    </row>
    <row r="5409">
      <c r="A5409" s="4" t="s">
        <v>24588</v>
      </c>
      <c r="B5409" s="4" t="s">
        <v>10770</v>
      </c>
      <c r="C5409" s="16" t="str">
        <f>IFERROR(__xludf.DUMMYFUNCTION(""""""""" &amp; REGEXEXTRACT(B5409, ""/detail/([^/?]+)"") &amp; """""","""),"""dphplfdpilhebmikohheeiblilajfmin"",")</f>
        <v>"dphplfdpilhebmikohheeiblilajfmin",</v>
      </c>
    </row>
    <row r="5410">
      <c r="A5410" s="4" t="s">
        <v>24589</v>
      </c>
      <c r="B5410" s="4" t="s">
        <v>10772</v>
      </c>
      <c r="C5410" s="16" t="str">
        <f>IFERROR(__xludf.DUMMYFUNCTION(""""""""" &amp; REGEXEXTRACT(B5410, ""/detail/([^/?]+)"") &amp; """""","""),"""dpiiceilamhnhfmifmopmgoncpndlppa"",")</f>
        <v>"dpiiceilamhnhfmifmopmgoncpndlppa",</v>
      </c>
    </row>
    <row r="5411">
      <c r="A5411" s="4" t="s">
        <v>24590</v>
      </c>
      <c r="B5411" s="4" t="s">
        <v>10774</v>
      </c>
      <c r="C5411" s="16" t="str">
        <f>IFERROR(__xludf.DUMMYFUNCTION(""""""""" &amp; REGEXEXTRACT(B5411, ""/detail/([^/?]+)"") &amp; """""","""),"""dpjjodibolklnnnbflilekpbaddeolpe"",")</f>
        <v>"dpjjodibolklnnnbflilekpbaddeolpe",</v>
      </c>
    </row>
    <row r="5412">
      <c r="A5412" s="4" t="s">
        <v>24591</v>
      </c>
      <c r="B5412" s="4" t="s">
        <v>10776</v>
      </c>
      <c r="C5412" s="16" t="str">
        <f>IFERROR(__xludf.DUMMYFUNCTION(""""""""" &amp; REGEXEXTRACT(B5412, ""/detail/([^/?]+)"") &amp; """""","""),"""dpngnogjeefnipdphklffjmcnohjdoln"",")</f>
        <v>"dpngnogjeefnipdphklffjmcnohjdoln",</v>
      </c>
    </row>
    <row r="5413">
      <c r="A5413" s="4" t="s">
        <v>24592</v>
      </c>
      <c r="B5413" s="4" t="s">
        <v>10778</v>
      </c>
      <c r="C5413" s="16" t="str">
        <f>IFERROR(__xludf.DUMMYFUNCTION(""""""""" &amp; REGEXEXTRACT(B5413, ""/detail/([^/?]+)"") &amp; """""","""),"""dpodcjngfcnpjpmlfkiecmohpenljklc"",")</f>
        <v>"dpodcjngfcnpjpmlfkiecmohpenljklc",</v>
      </c>
    </row>
    <row r="5414">
      <c r="A5414" s="4" t="s">
        <v>24593</v>
      </c>
      <c r="B5414" s="4" t="s">
        <v>10780</v>
      </c>
      <c r="C5414" s="16" t="str">
        <f>IFERROR(__xludf.DUMMYFUNCTION(""""""""" &amp; REGEXEXTRACT(B5414, ""/detail/([^/?]+)"") &amp; """""","""),"""dpoijgpgdkhmmpjijlgknkhiichmfabj"",")</f>
        <v>"dpoijgpgdkhmmpjijlgknkhiichmfabj",</v>
      </c>
    </row>
    <row r="5415">
      <c r="A5415" s="4" t="s">
        <v>24594</v>
      </c>
      <c r="B5415" s="4" t="s">
        <v>10782</v>
      </c>
      <c r="C5415" s="16" t="str">
        <f>IFERROR(__xludf.DUMMYFUNCTION(""""""""" &amp; REGEXEXTRACT(B5415, ""/detail/([^/?]+)"") &amp; """""","""),"""eaabjlbddgjhjfplckkiglekpmonabcm"",")</f>
        <v>"eaabjlbddgjhjfplckkiglekpmonabcm",</v>
      </c>
    </row>
    <row r="5416">
      <c r="A5416" s="4" t="s">
        <v>24595</v>
      </c>
      <c r="B5416" s="4" t="s">
        <v>10784</v>
      </c>
      <c r="C5416" s="16" t="str">
        <f>IFERROR(__xludf.DUMMYFUNCTION(""""""""" &amp; REGEXEXTRACT(B5416, ""/detail/([^/?]+)"") &amp; """""","""),"""eadbjpepaobdbloeenghnbeejhbidcpa"",")</f>
        <v>"eadbjpepaobdbloeenghnbeejhbidcpa",</v>
      </c>
    </row>
    <row r="5417">
      <c r="A5417" s="4" t="s">
        <v>24596</v>
      </c>
      <c r="B5417" s="4" t="s">
        <v>10786</v>
      </c>
      <c r="C5417" s="16" t="str">
        <f>IFERROR(__xludf.DUMMYFUNCTION(""""""""" &amp; REGEXEXTRACT(B5417, ""/detail/([^/?]+)"") &amp; """""","""),"""eagjaoajkojpngcgahjbcnahlhacpdap"",")</f>
        <v>"eagjaoajkojpngcgahjbcnahlhacpdap",</v>
      </c>
    </row>
    <row r="5418">
      <c r="A5418" s="4" t="s">
        <v>24597</v>
      </c>
      <c r="B5418" s="4" t="s">
        <v>10788</v>
      </c>
      <c r="C5418" s="16" t="str">
        <f>IFERROR(__xludf.DUMMYFUNCTION(""""""""" &amp; REGEXEXTRACT(B5418, ""/detail/([^/?]+)"") &amp; """""","""),"""eagkabickapieimgklfjghijlclhghhj"",")</f>
        <v>"eagkabickapieimgklfjghijlclhghhj",</v>
      </c>
    </row>
    <row r="5419">
      <c r="A5419" s="4" t="s">
        <v>24598</v>
      </c>
      <c r="B5419" s="4" t="s">
        <v>10790</v>
      </c>
      <c r="C5419" s="16" t="str">
        <f>IFERROR(__xludf.DUMMYFUNCTION(""""""""" &amp; REGEXEXTRACT(B5419, ""/detail/([^/?]+)"") &amp; """""","""),"""eajfidjagfdheejfooghbheaimkghofa"",")</f>
        <v>"eajfidjagfdheejfooghbheaimkghofa",</v>
      </c>
    </row>
    <row r="5420">
      <c r="A5420" s="4" t="s">
        <v>24599</v>
      </c>
      <c r="B5420" s="4" t="s">
        <v>10792</v>
      </c>
      <c r="C5420" s="16" t="str">
        <f>IFERROR(__xludf.DUMMYFUNCTION(""""""""" &amp; REGEXEXTRACT(B5420, ""/detail/([^/?]+)"") &amp; """""","""),"""eaopblpjlkbgaadjbahmafepfegaigfb"",")</f>
        <v>"eaopblpjlkbgaadjbahmafepfegaigfb",</v>
      </c>
    </row>
    <row r="5421">
      <c r="A5421" s="4" t="s">
        <v>24600</v>
      </c>
      <c r="B5421" s="4" t="s">
        <v>10794</v>
      </c>
      <c r="C5421" s="16" t="str">
        <f>IFERROR(__xludf.DUMMYFUNCTION(""""""""" &amp; REGEXEXTRACT(B5421, ""/detail/([^/?]+)"") &amp; """""","""),"""ebamaffgiechnomghfojkmlkaipoadni"",")</f>
        <v>"ebamaffgiechnomghfojkmlkaipoadni",</v>
      </c>
    </row>
    <row r="5422">
      <c r="A5422" s="4" t="s">
        <v>24601</v>
      </c>
      <c r="B5422" s="4" t="s">
        <v>10796</v>
      </c>
      <c r="C5422" s="16" t="str">
        <f>IFERROR(__xludf.DUMMYFUNCTION(""""""""" &amp; REGEXEXTRACT(B5422, ""/detail/([^/?]+)"") &amp; """""","""),"""ebanajomahnlhgbljngocmccmpelnaam"",")</f>
        <v>"ebanajomahnlhgbljngocmccmpelnaam",</v>
      </c>
    </row>
    <row r="5423">
      <c r="A5423" s="4" t="s">
        <v>24602</v>
      </c>
      <c r="B5423" s="4" t="s">
        <v>10798</v>
      </c>
      <c r="C5423" s="16" t="str">
        <f>IFERROR(__xludf.DUMMYFUNCTION(""""""""" &amp; REGEXEXTRACT(B5423, ""/detail/([^/?]+)"") &amp; """""","""),"""ebdjmjgokgjakdpigpmilfebpnfaibeb"",")</f>
        <v>"ebdjmjgokgjakdpigpmilfebpnfaibeb",</v>
      </c>
    </row>
    <row r="5424">
      <c r="A5424" s="4" t="s">
        <v>24603</v>
      </c>
      <c r="B5424" s="4" t="s">
        <v>10800</v>
      </c>
      <c r="C5424" s="16" t="str">
        <f>IFERROR(__xludf.DUMMYFUNCTION(""""""""" &amp; REGEXEXTRACT(B5424, ""/detail/([^/?]+)"") &amp; """""","""),"""ebdnoefbindlpognlepihpfaepalngda"",")</f>
        <v>"ebdnoefbindlpognlepihpfaepalngda",</v>
      </c>
    </row>
    <row r="5425">
      <c r="A5425" s="4" t="s">
        <v>24604</v>
      </c>
      <c r="B5425" s="4" t="s">
        <v>10802</v>
      </c>
      <c r="C5425" s="16" t="str">
        <f>IFERROR(__xludf.DUMMYFUNCTION(""""""""" &amp; REGEXEXTRACT(B5425, ""/detail/([^/?]+)"") &amp; """""","""),"""ebfpgeghginolinmdhlbecaahehoijlh"",")</f>
        <v>"ebfpgeghginolinmdhlbecaahehoijlh",</v>
      </c>
    </row>
    <row r="5426">
      <c r="A5426" s="4" t="s">
        <v>24605</v>
      </c>
      <c r="B5426" s="4" t="s">
        <v>10804</v>
      </c>
      <c r="C5426" s="16" t="str">
        <f>IFERROR(__xludf.DUMMYFUNCTION(""""""""" &amp; REGEXEXTRACT(B5426, ""/detail/([^/?]+)"") &amp; """""","""),"""ebopmadmefafkchimikckagkfgmabbbf"",")</f>
        <v>"ebopmadmefafkchimikckagkfgmabbbf",</v>
      </c>
    </row>
    <row r="5427">
      <c r="A5427" s="4" t="s">
        <v>24606</v>
      </c>
      <c r="B5427" s="4" t="s">
        <v>10806</v>
      </c>
      <c r="C5427" s="16" t="str">
        <f>IFERROR(__xludf.DUMMYFUNCTION(""""""""" &amp; REGEXEXTRACT(B5427, ""/detail/([^/?]+)"") &amp; """""","""),"""ecbkcjeoffcjnppapdlncohmehhnfibd"",")</f>
        <v>"ecbkcjeoffcjnppapdlncohmehhnfibd",</v>
      </c>
    </row>
    <row r="5428">
      <c r="A5428" s="4" t="s">
        <v>24607</v>
      </c>
      <c r="B5428" s="4" t="s">
        <v>10808</v>
      </c>
      <c r="C5428" s="16" t="str">
        <f>IFERROR(__xludf.DUMMYFUNCTION(""""""""" &amp; REGEXEXTRACT(B5428, ""/detail/([^/?]+)"") &amp; """""","""),"""ecgfhpjmkenogpckhiimbnkkmjgmdnkp"",")</f>
        <v>"ecgfhpjmkenogpckhiimbnkkmjgmdnkp",</v>
      </c>
    </row>
    <row r="5429">
      <c r="A5429" s="4" t="s">
        <v>24608</v>
      </c>
      <c r="B5429" s="4" t="s">
        <v>10810</v>
      </c>
      <c r="C5429" s="16" t="str">
        <f>IFERROR(__xludf.DUMMYFUNCTION(""""""""" &amp; REGEXEXTRACT(B5429, ""/detail/([^/?]+)"") &amp; """""","""),"""ecgmmflabkilcakdgbaipdammklpglak"",")</f>
        <v>"ecgmmflabkilcakdgbaipdammklpglak",</v>
      </c>
    </row>
    <row r="5430">
      <c r="A5430" s="4" t="s">
        <v>24609</v>
      </c>
      <c r="B5430" s="4" t="s">
        <v>10812</v>
      </c>
      <c r="C5430" s="16" t="str">
        <f>IFERROR(__xludf.DUMMYFUNCTION(""""""""" &amp; REGEXEXTRACT(B5430, ""/detail/([^/?]+)"") &amp; """""","""),"""ecmnkaldejeaaffaehobmhapkhnicnke"",")</f>
        <v>"ecmnkaldejeaaffaehobmhapkhnicnke",</v>
      </c>
    </row>
    <row r="5431">
      <c r="A5431" s="4" t="s">
        <v>24610</v>
      </c>
      <c r="B5431" s="4" t="s">
        <v>10814</v>
      </c>
      <c r="C5431" s="16" t="str">
        <f>IFERROR(__xludf.DUMMYFUNCTION(""""""""" &amp; REGEXEXTRACT(B5431, ""/detail/([^/?]+)"") &amp; """""","""),"""ecoljajakaeclkkcakoamigglloihgao"",")</f>
        <v>"ecoljajakaeclkkcakoamigglloihgao",</v>
      </c>
    </row>
    <row r="5432">
      <c r="A5432" s="4" t="s">
        <v>24611</v>
      </c>
      <c r="B5432" s="4" t="s">
        <v>10816</v>
      </c>
      <c r="C5432" s="16" t="str">
        <f>IFERROR(__xludf.DUMMYFUNCTION(""""""""" &amp; REGEXEXTRACT(B5432, ""/detail/([^/?]+)"") &amp; """""","""),"""edbdmlapnodebdekiekhmeokboihmong"",")</f>
        <v>"edbdmlapnodebdekiekhmeokboihmong",</v>
      </c>
    </row>
    <row r="5433">
      <c r="A5433" s="4" t="s">
        <v>24612</v>
      </c>
      <c r="B5433" s="4" t="s">
        <v>10818</v>
      </c>
      <c r="C5433" s="16" t="str">
        <f>IFERROR(__xludf.DUMMYFUNCTION(""""""""" &amp; REGEXEXTRACT(B5433, ""/detail/([^/?]+)"") &amp; """""","""),"""edbngnhoeddnhnhppkojfememefahfgh"",")</f>
        <v>"edbngnhoeddnhnhppkojfememefahfgh",</v>
      </c>
    </row>
    <row r="5434">
      <c r="A5434" s="4" t="s">
        <v>24613</v>
      </c>
      <c r="B5434" s="4" t="s">
        <v>10820</v>
      </c>
      <c r="C5434" s="16" t="str">
        <f>IFERROR(__xludf.DUMMYFUNCTION(""""""""" &amp; REGEXEXTRACT(B5434, ""/detail/([^/?]+)"") &amp; """""","""),"""edcakfpjaobkpdfpicldlccdffkhpbfk"",")</f>
        <v>"edcakfpjaobkpdfpicldlccdffkhpbfk",</v>
      </c>
    </row>
    <row r="5435">
      <c r="A5435" s="4" t="s">
        <v>24614</v>
      </c>
      <c r="B5435" s="4" t="s">
        <v>10822</v>
      </c>
      <c r="C5435" s="16" t="str">
        <f>IFERROR(__xludf.DUMMYFUNCTION(""""""""" &amp; REGEXEXTRACT(B5435, ""/detail/([^/?]+)"") &amp; """""","""),"""eddhbfndofdkljemlhkldinjpbkhdpcm"",")</f>
        <v>"eddhbfndofdkljemlhkldinjpbkhdpcm",</v>
      </c>
    </row>
    <row r="5436">
      <c r="A5436" s="4" t="s">
        <v>24615</v>
      </c>
      <c r="B5436" s="4" t="s">
        <v>10824</v>
      </c>
      <c r="C5436" s="16" t="str">
        <f>IFERROR(__xludf.DUMMYFUNCTION(""""""""" &amp; REGEXEXTRACT(B5436, ""/detail/([^/?]+)"") &amp; """""","""),"""edekdaabfonaodpbggccaamfhggjggki"",")</f>
        <v>"edekdaabfonaodpbggccaamfhggjggki",</v>
      </c>
    </row>
    <row r="5437">
      <c r="A5437" s="4" t="s">
        <v>24616</v>
      </c>
      <c r="B5437" s="4" t="s">
        <v>10826</v>
      </c>
      <c r="C5437" s="16" t="str">
        <f>IFERROR(__xludf.DUMMYFUNCTION(""""""""" &amp; REGEXEXTRACT(B5437, ""/detail/([^/?]+)"") &amp; """""","""),"""edlgnjpkhngmffcpmnebfkjcbenmbjoj"",")</f>
        <v>"edlgnjpkhngmffcpmnebfkjcbenmbjoj",</v>
      </c>
    </row>
    <row r="5438">
      <c r="A5438" s="4" t="s">
        <v>24617</v>
      </c>
      <c r="B5438" s="4" t="s">
        <v>10828</v>
      </c>
      <c r="C5438" s="16" t="str">
        <f>IFERROR(__xludf.DUMMYFUNCTION(""""""""" &amp; REGEXEXTRACT(B5438, ""/detail/([^/?]+)"") &amp; """""","""),"""edpadfdmemjdclnjfghaneencjeoncbn"",")</f>
        <v>"edpadfdmemjdclnjfghaneencjeoncbn",</v>
      </c>
    </row>
    <row r="5439">
      <c r="A5439" s="4" t="s">
        <v>24618</v>
      </c>
      <c r="B5439" s="4" t="s">
        <v>10830</v>
      </c>
      <c r="C5439" s="16" t="str">
        <f>IFERROR(__xludf.DUMMYFUNCTION(""""""""" &amp; REGEXEXTRACT(B5439, ""/detail/([^/?]+)"") &amp; """""","""),"""eeajnjmemplcpcjadaihhfopcklaglpa"",")</f>
        <v>"eeajnjmemplcpcjadaihhfopcklaglpa",</v>
      </c>
    </row>
    <row r="5440">
      <c r="A5440" s="4" t="s">
        <v>24619</v>
      </c>
      <c r="B5440" s="4" t="s">
        <v>10832</v>
      </c>
      <c r="C5440" s="16" t="str">
        <f>IFERROR(__xludf.DUMMYFUNCTION(""""""""" &amp; REGEXEXTRACT(B5440, ""/detail/([^/?]+)"") &amp; """""","""),"""eegkpnmlimmhkpgjmacbkbbfojomaiem"",")</f>
        <v>"eegkpnmlimmhkpgjmacbkbbfojomaiem",</v>
      </c>
    </row>
    <row r="5441">
      <c r="A5441" s="4" t="s">
        <v>24620</v>
      </c>
      <c r="B5441" s="4" t="s">
        <v>10834</v>
      </c>
      <c r="C5441" s="16" t="str">
        <f>IFERROR(__xludf.DUMMYFUNCTION(""""""""" &amp; REGEXEXTRACT(B5441, ""/detail/([^/?]+)"") &amp; """""","""),"""eeknhipceeelbgdbcmchicoaoalfdnhi"",")</f>
        <v>"eeknhipceeelbgdbcmchicoaoalfdnhi",</v>
      </c>
    </row>
    <row r="5442">
      <c r="A5442" s="4" t="s">
        <v>24621</v>
      </c>
      <c r="B5442" s="4" t="s">
        <v>10836</v>
      </c>
      <c r="C5442" s="16" t="str">
        <f>IFERROR(__xludf.DUMMYFUNCTION(""""""""" &amp; REGEXEXTRACT(B5442, ""/detail/([^/?]+)"") &amp; """""","""),"""eelblfimbpgpdckjlpknbhclfhdhkmpb"",")</f>
        <v>"eelblfimbpgpdckjlpknbhclfhdhkmpb",</v>
      </c>
    </row>
    <row r="5443">
      <c r="A5443" s="4" t="s">
        <v>24622</v>
      </c>
      <c r="B5443" s="4" t="s">
        <v>10838</v>
      </c>
      <c r="C5443" s="16" t="str">
        <f>IFERROR(__xludf.DUMMYFUNCTION(""""""""" &amp; REGEXEXTRACT(B5443, ""/detail/([^/?]+)"") &amp; """""","""),"""eelcmdidihggbganloigjkefaahhhanj"",")</f>
        <v>"eelcmdidihggbganloigjkefaahhhanj",</v>
      </c>
    </row>
    <row r="5444">
      <c r="A5444" s="4" t="s">
        <v>24623</v>
      </c>
      <c r="B5444" s="4" t="s">
        <v>10840</v>
      </c>
      <c r="C5444" s="16" t="str">
        <f>IFERROR(__xludf.DUMMYFUNCTION(""""""""" &amp; REGEXEXTRACT(B5444, ""/detail/([^/?]+)"") &amp; """""","""),"""eemlmflceflimbfhcpmbpolemefajhdl"",")</f>
        <v>"eemlmflceflimbfhcpmbpolemefajhdl",</v>
      </c>
    </row>
    <row r="5445">
      <c r="A5445" s="4" t="s">
        <v>24624</v>
      </c>
      <c r="B5445" s="4" t="s">
        <v>10842</v>
      </c>
      <c r="C5445" s="16" t="str">
        <f>IFERROR(__xludf.DUMMYFUNCTION(""""""""" &amp; REGEXEXTRACT(B5445, ""/detail/([^/?]+)"") &amp; """""","""),"""eeohmkjefmpmddidkjadpifbfcplkifh"",")</f>
        <v>"eeohmkjefmpmddidkjadpifbfcplkifh",</v>
      </c>
    </row>
    <row r="5446">
      <c r="A5446" s="4" t="s">
        <v>24625</v>
      </c>
      <c r="B5446" s="4" t="s">
        <v>10844</v>
      </c>
      <c r="C5446" s="16" t="str">
        <f>IFERROR(__xludf.DUMMYFUNCTION(""""""""" &amp; REGEXEXTRACT(B5446, ""/detail/([^/?]+)"") &amp; """""","""),"""eeokebplgkeahnimfjeahkngagphpjdj"",")</f>
        <v>"eeokebplgkeahnimfjeahkngagphpjdj",</v>
      </c>
    </row>
    <row r="5447">
      <c r="A5447" s="4" t="s">
        <v>24626</v>
      </c>
      <c r="B5447" s="4" t="s">
        <v>10846</v>
      </c>
      <c r="C5447" s="16" t="str">
        <f>IFERROR(__xludf.DUMMYFUNCTION(""""""""" &amp; REGEXEXTRACT(B5447, ""/detail/([^/?]+)"") &amp; """""","""),"""efailolfobgihgpfiocfladhcnclkhea"",")</f>
        <v>"efailolfobgihgpfiocfladhcnclkhea",</v>
      </c>
    </row>
    <row r="5448">
      <c r="A5448" s="4" t="s">
        <v>24627</v>
      </c>
      <c r="B5448" s="4" t="s">
        <v>10848</v>
      </c>
      <c r="C5448" s="16" t="str">
        <f>IFERROR(__xludf.DUMMYFUNCTION(""""""""" &amp; REGEXEXTRACT(B5448, ""/detail/([^/?]+)"") &amp; """""","""),"""eflminelddfglcbimfpncahdiacnnegk"",")</f>
        <v>"eflminelddfglcbimfpncahdiacnnegk",</v>
      </c>
    </row>
    <row r="5449">
      <c r="A5449" s="4" t="s">
        <v>24628</v>
      </c>
      <c r="B5449" s="4" t="s">
        <v>10850</v>
      </c>
      <c r="C5449" s="16" t="str">
        <f>IFERROR(__xludf.DUMMYFUNCTION(""""""""" &amp; REGEXEXTRACT(B5449, ""/detail/([^/?]+)"") &amp; """""","""),"""efmppndinjbljeellfdkpghgblenbcdd"",")</f>
        <v>"efmppndinjbljeellfdkpghgblenbcdd",</v>
      </c>
    </row>
    <row r="5450">
      <c r="A5450" s="4" t="s">
        <v>24629</v>
      </c>
      <c r="B5450" s="4" t="s">
        <v>10852</v>
      </c>
      <c r="C5450" s="16" t="str">
        <f>IFERROR(__xludf.DUMMYFUNCTION(""""""""" &amp; REGEXEXTRACT(B5450, ""/detail/([^/?]+)"") &amp; """""","""),"""efnlmhjlcioaeboijgibmgepoahkegpm"",")</f>
        <v>"efnlmhjlcioaeboijgibmgepoahkegpm",</v>
      </c>
    </row>
    <row r="5451">
      <c r="A5451" s="4" t="s">
        <v>24630</v>
      </c>
      <c r="B5451" s="4" t="s">
        <v>10854</v>
      </c>
      <c r="C5451" s="16" t="str">
        <f>IFERROR(__xludf.DUMMYFUNCTION(""""""""" &amp; REGEXEXTRACT(B5451, ""/detail/([^/?]+)"") &amp; """""","""),"""efnmkpompmmellmbhajanpbomlklkcdd"",")</f>
        <v>"efnmkpompmmellmbhajanpbomlklkcdd",</v>
      </c>
    </row>
    <row r="5452">
      <c r="A5452" s="4" t="s">
        <v>24631</v>
      </c>
      <c r="B5452" s="4" t="s">
        <v>10856</v>
      </c>
      <c r="C5452" s="16" t="str">
        <f>IFERROR(__xludf.DUMMYFUNCTION(""""""""" &amp; REGEXEXTRACT(B5452, ""/detail/([^/?]+)"") &amp; """""","""),"""efpojaaaadkmgcgafajaapmehnenjflp"",")</f>
        <v>"efpojaaaadkmgcgafajaapmehnenjflp",</v>
      </c>
    </row>
    <row r="5453">
      <c r="A5453" s="4" t="s">
        <v>24632</v>
      </c>
      <c r="B5453" s="4" t="s">
        <v>10858</v>
      </c>
      <c r="C5453" s="16" t="str">
        <f>IFERROR(__xludf.DUMMYFUNCTION(""""""""" &amp; REGEXEXTRACT(B5453, ""/detail/([^/?]+)"") &amp; """""","""),"""egadjdfbcmohcmelgjhfkfkllljacbnp"",")</f>
        <v>"egadjdfbcmohcmelgjhfkfkllljacbnp",</v>
      </c>
    </row>
    <row r="5454">
      <c r="A5454" s="4" t="s">
        <v>24633</v>
      </c>
      <c r="B5454" s="4" t="s">
        <v>10860</v>
      </c>
      <c r="C5454" s="16" t="str">
        <f>IFERROR(__xludf.DUMMYFUNCTION(""""""""" &amp; REGEXEXTRACT(B5454, ""/detail/([^/?]+)"") &amp; """""","""),"""egadmmhpngfnpmonaeekogmilahecfhp"",")</f>
        <v>"egadmmhpngfnpmonaeekogmilahecfhp",</v>
      </c>
    </row>
    <row r="5455">
      <c r="A5455" s="4" t="s">
        <v>24634</v>
      </c>
      <c r="B5455" s="4" t="s">
        <v>10862</v>
      </c>
      <c r="C5455" s="16" t="str">
        <f>IFERROR(__xludf.DUMMYFUNCTION(""""""""" &amp; REGEXEXTRACT(B5455, ""/detail/([^/?]+)"") &amp; """""","""),"""egbgfaldpekjcbmfhbjmcafbfcdjgboe"",")</f>
        <v>"egbgfaldpekjcbmfhbjmcafbfcdjgboe",</v>
      </c>
    </row>
    <row r="5456">
      <c r="A5456" s="4" t="s">
        <v>24635</v>
      </c>
      <c r="B5456" s="4" t="s">
        <v>10864</v>
      </c>
      <c r="C5456" s="16" t="str">
        <f>IFERROR(__xludf.DUMMYFUNCTION(""""""""" &amp; REGEXEXTRACT(B5456, ""/detail/([^/?]+)"") &amp; """""","""),"""egfecfbhbaljhcacmclhcddckfofckid"",")</f>
        <v>"egfecfbhbaljhcacmclhcddckfofckid",</v>
      </c>
    </row>
    <row r="5457">
      <c r="A5457" s="4" t="s">
        <v>24636</v>
      </c>
      <c r="B5457" s="4" t="s">
        <v>10866</v>
      </c>
      <c r="C5457" s="16" t="str">
        <f>IFERROR(__xludf.DUMMYFUNCTION(""""""""" &amp; REGEXEXTRACT(B5457, ""/detail/([^/?]+)"") &amp; """""","""),"""eghabmmdjmfhajonjhglaakpnhhfibde"",")</f>
        <v>"eghabmmdjmfhajonjhglaakpnhhfibde",</v>
      </c>
    </row>
    <row r="5458">
      <c r="A5458" s="4" t="s">
        <v>24637</v>
      </c>
      <c r="B5458" s="4" t="s">
        <v>10868</v>
      </c>
      <c r="C5458" s="16" t="str">
        <f>IFERROR(__xludf.DUMMYFUNCTION(""""""""" &amp; REGEXEXTRACT(B5458, ""/detail/([^/?]+)"") &amp; """""","""),"""eghfogfdhadandcigjcccdfhlohcgljn"",")</f>
        <v>"eghfogfdhadandcigjcccdfhlohcgljn",</v>
      </c>
    </row>
    <row r="5459">
      <c r="A5459" s="4" t="s">
        <v>24638</v>
      </c>
      <c r="B5459" s="4" t="s">
        <v>10870</v>
      </c>
      <c r="C5459" s="16" t="str">
        <f>IFERROR(__xludf.DUMMYFUNCTION(""""""""" &amp; REGEXEXTRACT(B5459, ""/detail/([^/?]+)"") &amp; """""","""),"""egjknjnaeififddehjalmnhjcgdepdac"",")</f>
        <v>"egjknjnaeififddehjalmnhjcgdepdac",</v>
      </c>
    </row>
    <row r="5460">
      <c r="A5460" s="4" t="s">
        <v>24639</v>
      </c>
      <c r="B5460" s="4" t="s">
        <v>10872</v>
      </c>
      <c r="C5460" s="16" t="str">
        <f>IFERROR(__xludf.DUMMYFUNCTION(""""""""" &amp; REGEXEXTRACT(B5460, ""/detail/([^/?]+)"") &amp; """""","""),"""eglpmeihoibemdhnggkgolkepmofnmci"",")</f>
        <v>"eglpmeihoibemdhnggkgolkepmofnmci",</v>
      </c>
    </row>
    <row r="5461">
      <c r="A5461" s="4" t="s">
        <v>24640</v>
      </c>
      <c r="B5461" s="4" t="s">
        <v>10874</v>
      </c>
      <c r="C5461" s="16" t="str">
        <f>IFERROR(__xludf.DUMMYFUNCTION(""""""""" &amp; REGEXEXTRACT(B5461, ""/detail/([^/?]+)"") &amp; """""","""),"""egmcoemabahnkbkfgdifiafkhebcfpfo"",")</f>
        <v>"egmcoemabahnkbkfgdifiafkhebcfpfo",</v>
      </c>
    </row>
    <row r="5462">
      <c r="A5462" s="4" t="s">
        <v>24641</v>
      </c>
      <c r="B5462" s="4" t="s">
        <v>10876</v>
      </c>
      <c r="C5462" s="16" t="str">
        <f>IFERROR(__xludf.DUMMYFUNCTION(""""""""" &amp; REGEXEXTRACT(B5462, ""/detail/([^/?]+)"") &amp; """""","""),"""egoipeajdgeadgkoejbohibgjmiabmpg"",")</f>
        <v>"egoipeajdgeadgkoejbohibgjmiabmpg",</v>
      </c>
    </row>
    <row r="5463">
      <c r="A5463" s="4" t="s">
        <v>24642</v>
      </c>
      <c r="B5463" s="4" t="s">
        <v>10878</v>
      </c>
      <c r="C5463" s="16" t="str">
        <f>IFERROR(__xludf.DUMMYFUNCTION(""""""""" &amp; REGEXEXTRACT(B5463, ""/detail/([^/?]+)"") &amp; """""","""),"""egpkelgmfbcppcjeefkbfemdfjljnhai"",")</f>
        <v>"egpkelgmfbcppcjeefkbfemdfjljnhai",</v>
      </c>
    </row>
    <row r="5464">
      <c r="A5464" s="4" t="s">
        <v>24643</v>
      </c>
      <c r="B5464" s="4" t="s">
        <v>10880</v>
      </c>
      <c r="C5464" s="16" t="str">
        <f>IFERROR(__xludf.DUMMYFUNCTION(""""""""" &amp; REGEXEXTRACT(B5464, ""/detail/([^/?]+)"") &amp; """""","""),"""ehajajfffkhkhlagpchojlakciinemfk"",")</f>
        <v>"ehajajfffkhkhlagpchojlakciinemfk",</v>
      </c>
    </row>
    <row r="5465">
      <c r="A5465" s="4" t="s">
        <v>24644</v>
      </c>
      <c r="B5465" s="4" t="s">
        <v>10882</v>
      </c>
      <c r="C5465" s="16" t="str">
        <f>IFERROR(__xludf.DUMMYFUNCTION(""""""""" &amp; REGEXEXTRACT(B5465, ""/detail/([^/?]+)"") &amp; """""","""),"""ehdkmhgmlehnbibjhddpfelefhhniecm"",")</f>
        <v>"ehdkmhgmlehnbibjhddpfelefhhniecm",</v>
      </c>
    </row>
    <row r="5466">
      <c r="A5466" s="4" t="s">
        <v>24645</v>
      </c>
      <c r="B5466" s="4" t="s">
        <v>10884</v>
      </c>
      <c r="C5466" s="16" t="str">
        <f>IFERROR(__xludf.DUMMYFUNCTION(""""""""" &amp; REGEXEXTRACT(B5466, ""/detail/([^/?]+)"") &amp; """""","""),"""eheapjobppkbengkdjfmjjamdohgnenp"",")</f>
        <v>"eheapjobppkbengkdjfmjjamdohgnenp",</v>
      </c>
    </row>
    <row r="5467">
      <c r="A5467" s="4" t="s">
        <v>24646</v>
      </c>
      <c r="B5467" s="4" t="s">
        <v>10886</v>
      </c>
      <c r="C5467" s="16" t="str">
        <f>IFERROR(__xludf.DUMMYFUNCTION(""""""""" &amp; REGEXEXTRACT(B5467, ""/detail/([^/?]+)"") &amp; """""","""),"""ehecgbjlfigjeeapplnmliblgpkjaeme"",")</f>
        <v>"ehecgbjlfigjeeapplnmliblgpkjaeme",</v>
      </c>
    </row>
    <row r="5468">
      <c r="A5468" s="4" t="s">
        <v>24647</v>
      </c>
      <c r="B5468" s="4" t="s">
        <v>10888</v>
      </c>
      <c r="C5468" s="16" t="str">
        <f>IFERROR(__xludf.DUMMYFUNCTION(""""""""" &amp; REGEXEXTRACT(B5468, ""/detail/([^/?]+)"") &amp; """""","""),"""ehfhdfiepmimglpijcgmgclaejecmmmi"",")</f>
        <v>"ehfhdfiepmimglpijcgmgclaejecmmmi",</v>
      </c>
    </row>
    <row r="5469">
      <c r="A5469" s="4" t="s">
        <v>24648</v>
      </c>
      <c r="B5469" s="4" t="s">
        <v>10890</v>
      </c>
      <c r="C5469" s="16" t="str">
        <f>IFERROR(__xludf.DUMMYFUNCTION(""""""""" &amp; REGEXEXTRACT(B5469, ""/detail/([^/?]+)"") &amp; """""","""),"""ehgcnaneidbjcmblghjepmamomchgahd"",")</f>
        <v>"ehgcnaneidbjcmblghjepmamomchgahd",</v>
      </c>
    </row>
    <row r="5470">
      <c r="A5470" s="4" t="s">
        <v>24649</v>
      </c>
      <c r="B5470" s="4" t="s">
        <v>10892</v>
      </c>
      <c r="C5470" s="16" t="str">
        <f>IFERROR(__xludf.DUMMYFUNCTION(""""""""" &amp; REGEXEXTRACT(B5470, ""/detail/([^/?]+)"") &amp; """""","""),"""ehjiibljljecbmgpgdlkejiaadppplkp"",")</f>
        <v>"ehjiibljljecbmgpgdlkejiaadppplkp",</v>
      </c>
    </row>
    <row r="5471">
      <c r="A5471" s="4" t="s">
        <v>24650</v>
      </c>
      <c r="B5471" s="4" t="s">
        <v>10894</v>
      </c>
      <c r="C5471" s="16" t="str">
        <f>IFERROR(__xludf.DUMMYFUNCTION(""""""""" &amp; REGEXEXTRACT(B5471, ""/detail/([^/?]+)"") &amp; """""","""),"""ehkdoijaaigomfliimepliikhjkoipob"",")</f>
        <v>"ehkdoijaaigomfliimepliikhjkoipob",</v>
      </c>
    </row>
    <row r="5472">
      <c r="A5472" s="4" t="s">
        <v>24651</v>
      </c>
      <c r="B5472" s="4" t="s">
        <v>10896</v>
      </c>
      <c r="C5472" s="16" t="str">
        <f>IFERROR(__xludf.DUMMYFUNCTION(""""""""" &amp; REGEXEXTRACT(B5472, ""/detail/([^/?]+)"") &amp; """""","""),"""ehlpgfcbbkfhglelonfjbgkeaebomjeh"",")</f>
        <v>"ehlpgfcbbkfhglelonfjbgkeaebomjeh",</v>
      </c>
    </row>
    <row r="5473">
      <c r="A5473" s="4" t="s">
        <v>24652</v>
      </c>
      <c r="B5473" s="4" t="s">
        <v>10898</v>
      </c>
      <c r="C5473" s="16" t="str">
        <f>IFERROR(__xludf.DUMMYFUNCTION(""""""""" &amp; REGEXEXTRACT(B5473, ""/detail/([^/?]+)"") &amp; """""","""),"""ehmnahdmmiibcbebjafdgjlomhnommpo"",")</f>
        <v>"ehmnahdmmiibcbebjafdgjlomhnommpo",</v>
      </c>
    </row>
    <row r="5474">
      <c r="A5474" s="4" t="s">
        <v>24653</v>
      </c>
      <c r="B5474" s="4" t="s">
        <v>10899</v>
      </c>
      <c r="C5474" s="16" t="str">
        <f>IFERROR(__xludf.DUMMYFUNCTION(""""""""" &amp; REGEXEXTRACT(B5474, ""/detail/([^/?]+)"") &amp; """""","""),"""ehnhdcgdappdimjoekdckhclbbnnlaio"",")</f>
        <v>"ehnhdcgdappdimjoekdckhclbbnnlaio",</v>
      </c>
    </row>
    <row r="5475">
      <c r="A5475" s="4" t="s">
        <v>24654</v>
      </c>
      <c r="B5475" s="4" t="s">
        <v>10901</v>
      </c>
      <c r="C5475" s="16" t="str">
        <f>IFERROR(__xludf.DUMMYFUNCTION(""""""""" &amp; REGEXEXTRACT(B5475, ""/detail/([^/?]+)"") &amp; """""","""),"""eibjgaihfimmonjpalhfmkjbbhonhmfe"",")</f>
        <v>"eibjgaihfimmonjpalhfmkjbbhonhmfe",</v>
      </c>
    </row>
    <row r="5476">
      <c r="A5476" s="4" t="s">
        <v>24655</v>
      </c>
      <c r="B5476" s="4" t="s">
        <v>10903</v>
      </c>
      <c r="C5476" s="16" t="str">
        <f>IFERROR(__xludf.DUMMYFUNCTION(""""""""" &amp; REGEXEXTRACT(B5476, ""/detail/([^/?]+)"") &amp; """""","""),"""eiehpdffmelfdfjpmicbacjancjlojho"",")</f>
        <v>"eiehpdffmelfdfjpmicbacjancjlojho",</v>
      </c>
    </row>
    <row r="5477">
      <c r="A5477" s="4" t="s">
        <v>24656</v>
      </c>
      <c r="B5477" s="4" t="s">
        <v>10905</v>
      </c>
      <c r="C5477" s="16" t="str">
        <f>IFERROR(__xludf.DUMMYFUNCTION(""""""""" &amp; REGEXEXTRACT(B5477, ""/detail/([^/?]+)"") &amp; """""","""),"""eigblbgjknlfbajkfhopmcojidlgcehm"",")</f>
        <v>"eigblbgjknlfbajkfhopmcojidlgcehm",</v>
      </c>
    </row>
    <row r="5478">
      <c r="A5478" s="4" t="s">
        <v>24657</v>
      </c>
      <c r="B5478" s="4" t="s">
        <v>10907</v>
      </c>
      <c r="C5478" s="16" t="str">
        <f>IFERROR(__xludf.DUMMYFUNCTION(""""""""" &amp; REGEXEXTRACT(B5478, ""/detail/([^/?]+)"") &amp; """""","""),"""eiglgndkjiabiepkliiemoabepkkhacb"",")</f>
        <v>"eiglgndkjiabiepkliiemoabepkkhacb",</v>
      </c>
    </row>
    <row r="5479">
      <c r="A5479" s="4" t="s">
        <v>24658</v>
      </c>
      <c r="B5479" s="4" t="s">
        <v>10909</v>
      </c>
      <c r="C5479" s="16" t="str">
        <f>IFERROR(__xludf.DUMMYFUNCTION(""""""""" &amp; REGEXEXTRACT(B5479, ""/detail/([^/?]+)"") &amp; """""","""),"""eiljhbjamiikjjldhnepillceohglbjh"",")</f>
        <v>"eiljhbjamiikjjldhnepillceohglbjh",</v>
      </c>
    </row>
    <row r="5480">
      <c r="A5480" s="4" t="s">
        <v>24659</v>
      </c>
      <c r="B5480" s="4" t="s">
        <v>10910</v>
      </c>
      <c r="C5480" s="16" t="str">
        <f>IFERROR(__xludf.DUMMYFUNCTION(""""""""" &amp; REGEXEXTRACT(B5480, ""/detail/([^/?]+)"") &amp; """""","""),"""eiopkgeeaokbolhdhfebipcneblkelcm"",")</f>
        <v>"eiopkgeeaokbolhdhfebipcneblkelcm",</v>
      </c>
    </row>
    <row r="5481">
      <c r="A5481" s="4" t="s">
        <v>24660</v>
      </c>
      <c r="B5481" s="4" t="s">
        <v>10912</v>
      </c>
      <c r="C5481" s="16" t="str">
        <f>IFERROR(__xludf.DUMMYFUNCTION(""""""""" &amp; REGEXEXTRACT(B5481, ""/detail/([^/?]+)"") &amp; """""","""),"""eipggklihehagbhhgolojahajhapnnfa"",")</f>
        <v>"eipggklihehagbhhgolojahajhapnnfa",</v>
      </c>
    </row>
    <row r="5482">
      <c r="A5482" s="4" t="s">
        <v>24661</v>
      </c>
      <c r="B5482" s="4" t="s">
        <v>10914</v>
      </c>
      <c r="C5482" s="16" t="str">
        <f>IFERROR(__xludf.DUMMYFUNCTION(""""""""" &amp; REGEXEXTRACT(B5482, ""/detail/([^/?]+)"") &amp; """""","""),"""ejadeefikdifbfnhokdodfphhkimbelb"",")</f>
        <v>"ejadeefikdifbfnhokdodfphhkimbelb",</v>
      </c>
    </row>
    <row r="5483">
      <c r="A5483" s="4" t="s">
        <v>24662</v>
      </c>
      <c r="B5483" s="4" t="s">
        <v>10916</v>
      </c>
      <c r="C5483" s="16" t="str">
        <f>IFERROR(__xludf.DUMMYFUNCTION(""""""""" &amp; REGEXEXTRACT(B5483, ""/detail/([^/?]+)"") &amp; """""","""),"""ejbnakhldlocljfcglmeibhhdnmmcodh"",")</f>
        <v>"ejbnakhldlocljfcglmeibhhdnmmcodh",</v>
      </c>
    </row>
    <row r="5484">
      <c r="A5484" s="4" t="s">
        <v>24663</v>
      </c>
      <c r="B5484" s="4" t="s">
        <v>10918</v>
      </c>
      <c r="C5484" s="16" t="str">
        <f>IFERROR(__xludf.DUMMYFUNCTION(""""""""" &amp; REGEXEXTRACT(B5484, ""/detail/([^/?]+)"") &amp; """""","""),"""ejcbnfgeiphhnkmpjggnkkhnbefihelh"",")</f>
        <v>"ejcbnfgeiphhnkmpjggnkkhnbefihelh",</v>
      </c>
    </row>
    <row r="5485">
      <c r="A5485" s="4" t="s">
        <v>24664</v>
      </c>
      <c r="B5485" s="4" t="s">
        <v>10920</v>
      </c>
      <c r="C5485" s="16" t="str">
        <f>IFERROR(__xludf.DUMMYFUNCTION(""""""""" &amp; REGEXEXTRACT(B5485, ""/detail/([^/?]+)"") &amp; """""","""),"""ejeemacpidnaejkhpbmfkadhgjhnolaa"",")</f>
        <v>"ejeemacpidnaejkhpbmfkadhgjhnolaa",</v>
      </c>
    </row>
    <row r="5486">
      <c r="A5486" s="4" t="s">
        <v>24665</v>
      </c>
      <c r="B5486" s="4" t="s">
        <v>10922</v>
      </c>
      <c r="C5486" s="16" t="str">
        <f>IFERROR(__xludf.DUMMYFUNCTION(""""""""" &amp; REGEXEXTRACT(B5486, ""/detail/([^/?]+)"") &amp; """""","""),"""ejkhknemoeccfghmfnbpekpkndaffjjm"",")</f>
        <v>"ejkhknemoeccfghmfnbpekpkndaffjjm",</v>
      </c>
    </row>
    <row r="5487">
      <c r="A5487" s="4" t="s">
        <v>24666</v>
      </c>
      <c r="B5487" s="4" t="s">
        <v>10924</v>
      </c>
      <c r="C5487" s="16" t="str">
        <f>IFERROR(__xludf.DUMMYFUNCTION(""""""""" &amp; REGEXEXTRACT(B5487, ""/detail/([^/?]+)"") &amp; """""","""),"""ejnccfcackblkelbafbolcpjfpcmbplg"",")</f>
        <v>"ejnccfcackblkelbafbolcpjfpcmbplg",</v>
      </c>
    </row>
    <row r="5488">
      <c r="A5488" s="4" t="s">
        <v>24667</v>
      </c>
      <c r="B5488" s="4" t="s">
        <v>10926</v>
      </c>
      <c r="C5488" s="16" t="str">
        <f>IFERROR(__xludf.DUMMYFUNCTION(""""""""" &amp; REGEXEXTRACT(B5488, ""/detail/([^/?]+)"") &amp; """""","""),"""ejpbmbkanbphaigjplbdbafkpiikdhhn"",")</f>
        <v>"ejpbmbkanbphaigjplbdbafkpiikdhhn",</v>
      </c>
    </row>
    <row r="5489">
      <c r="A5489" s="4" t="s">
        <v>24668</v>
      </c>
      <c r="B5489" s="4" t="s">
        <v>10928</v>
      </c>
      <c r="C5489" s="16" t="str">
        <f>IFERROR(__xludf.DUMMYFUNCTION(""""""""" &amp; REGEXEXTRACT(B5489, ""/detail/([^/?]+)"") &amp; """""","""),"""ekbpmgkfehkgcffncpghihhpblhijnbp"",")</f>
        <v>"ekbpmgkfehkgcffncpghihhpblhijnbp",</v>
      </c>
    </row>
    <row r="5490">
      <c r="A5490" s="4" t="s">
        <v>24669</v>
      </c>
      <c r="B5490" s="4" t="s">
        <v>10930</v>
      </c>
      <c r="C5490" s="16" t="str">
        <f>IFERROR(__xludf.DUMMYFUNCTION(""""""""" &amp; REGEXEXTRACT(B5490, ""/detail/([^/?]+)"") &amp; """""","""),"""ekcdobhfchooihahjgcalnhmppadiomh"",")</f>
        <v>"ekcdobhfchooihahjgcalnhmppadiomh",</v>
      </c>
    </row>
    <row r="5491">
      <c r="A5491" s="4" t="s">
        <v>24670</v>
      </c>
      <c r="B5491" s="4" t="s">
        <v>10931</v>
      </c>
      <c r="C5491" s="16" t="str">
        <f>IFERROR(__xludf.DUMMYFUNCTION(""""""""" &amp; REGEXEXTRACT(B5491, ""/detail/([^/?]+)"") &amp; """""","""),"""ekdmipoabmcjmlonhcdoijilfdoomjbm"",")</f>
        <v>"ekdmipoabmcjmlonhcdoijilfdoomjbm",</v>
      </c>
    </row>
    <row r="5492">
      <c r="A5492" s="4" t="s">
        <v>24671</v>
      </c>
      <c r="B5492" s="4" t="s">
        <v>10933</v>
      </c>
      <c r="C5492" s="16" t="str">
        <f>IFERROR(__xludf.DUMMYFUNCTION(""""""""" &amp; REGEXEXTRACT(B5492, ""/detail/([^/?]+)"") &amp; """""","""),"""ekeenfdgilfphjgpaimhingjekdnifhb"",")</f>
        <v>"ekeenfdgilfphjgpaimhingjekdnifhb",</v>
      </c>
    </row>
    <row r="5493">
      <c r="A5493" s="4" t="s">
        <v>24672</v>
      </c>
      <c r="B5493" s="4" t="s">
        <v>10935</v>
      </c>
      <c r="C5493" s="16" t="str">
        <f>IFERROR(__xludf.DUMMYFUNCTION(""""""""" &amp; REGEXEXTRACT(B5493, ""/detail/([^/?]+)"") &amp; """""","""),"""ekekffgghkadgjkopekbpkhccddmkioc"",")</f>
        <v>"ekekffgghkadgjkopekbpkhccddmkioc",</v>
      </c>
    </row>
    <row r="5494">
      <c r="A5494" s="4" t="s">
        <v>24673</v>
      </c>
      <c r="B5494" s="4" t="s">
        <v>10937</v>
      </c>
      <c r="C5494" s="16" t="str">
        <f>IFERROR(__xludf.DUMMYFUNCTION(""""""""" &amp; REGEXEXTRACT(B5494, ""/detail/([^/?]+)"") &amp; """""","""),"""ekfmaibfpamaegficfifofnlhalkbdfm"",")</f>
        <v>"ekfmaibfpamaegficfifofnlhalkbdfm",</v>
      </c>
    </row>
    <row r="5495">
      <c r="A5495" s="4" t="s">
        <v>24674</v>
      </c>
      <c r="B5495" s="4" t="s">
        <v>10939</v>
      </c>
      <c r="C5495" s="16" t="str">
        <f>IFERROR(__xludf.DUMMYFUNCTION(""""""""" &amp; REGEXEXTRACT(B5495, ""/detail/([^/?]+)"") &amp; """""","""),"""ekgifjamocffoikgnapdbabpaapoappn"",")</f>
        <v>"ekgifjamocffoikgnapdbabpaapoappn",</v>
      </c>
    </row>
    <row r="5496">
      <c r="A5496" s="4" t="s">
        <v>24675</v>
      </c>
      <c r="B5496" s="4" t="s">
        <v>10941</v>
      </c>
      <c r="C5496" s="16" t="str">
        <f>IFERROR(__xludf.DUMMYFUNCTION(""""""""" &amp; REGEXEXTRACT(B5496, ""/detail/([^/?]+)"") &amp; """""","""),"""ekiieomfkkfmficbgpkhfpcaiglihdif"",")</f>
        <v>"ekiieomfkkfmficbgpkhfpcaiglihdif",</v>
      </c>
    </row>
    <row r="5497">
      <c r="A5497" s="4" t="s">
        <v>24676</v>
      </c>
      <c r="B5497" s="4" t="s">
        <v>10943</v>
      </c>
      <c r="C5497" s="16" t="str">
        <f>IFERROR(__xludf.DUMMYFUNCTION(""""""""" &amp; REGEXEXTRACT(B5497, ""/detail/([^/?]+)"") &amp; """""","""),"""ekknkegilfcanmhkplgkfoefdkjmeceb"",")</f>
        <v>"ekknkegilfcanmhkplgkfoefdkjmeceb",</v>
      </c>
    </row>
    <row r="5498">
      <c r="A5498" s="4" t="s">
        <v>24677</v>
      </c>
      <c r="B5498" s="4" t="s">
        <v>10945</v>
      </c>
      <c r="C5498" s="16" t="str">
        <f>IFERROR(__xludf.DUMMYFUNCTION(""""""""" &amp; REGEXEXTRACT(B5498, ""/detail/([^/?]+)"") &amp; """""","""),"""ekljeoillbffchedponaceigjnbiffkm"",")</f>
        <v>"ekljeoillbffchedponaceigjnbiffkm",</v>
      </c>
    </row>
    <row r="5499">
      <c r="A5499" s="4" t="s">
        <v>24678</v>
      </c>
      <c r="B5499" s="4" t="s">
        <v>10947</v>
      </c>
      <c r="C5499" s="16" t="str">
        <f>IFERROR(__xludf.DUMMYFUNCTION(""""""""" &amp; REGEXEXTRACT(B5499, ""/detail/([^/?]+)"") &amp; """""","""),"""elaccagjpdmjkcjogbdmcpcplfinifbh"",")</f>
        <v>"elaccagjpdmjkcjogbdmcpcplfinifbh",</v>
      </c>
    </row>
    <row r="5500">
      <c r="A5500" s="4" t="s">
        <v>24679</v>
      </c>
      <c r="B5500" s="4" t="s">
        <v>10949</v>
      </c>
      <c r="C5500" s="16" t="str">
        <f>IFERROR(__xludf.DUMMYFUNCTION(""""""""" &amp; REGEXEXTRACT(B5500, ""/detail/([^/?]+)"") &amp; """""","""),"""elbfgdnahnccodkhinelmahoclapilkm"",")</f>
        <v>"elbfgdnahnccodkhinelmahoclapilkm",</v>
      </c>
    </row>
    <row r="5501">
      <c r="A5501" s="4" t="s">
        <v>24680</v>
      </c>
      <c r="B5501" s="4" t="s">
        <v>10951</v>
      </c>
      <c r="C5501" s="16" t="str">
        <f>IFERROR(__xludf.DUMMYFUNCTION(""""""""" &amp; REGEXEXTRACT(B5501, ""/detail/([^/?]+)"") &amp; """""","""),"""elcjekocfhomlfniihikpmbbgjdbgcoo"",")</f>
        <v>"elcjekocfhomlfniihikpmbbgjdbgcoo",</v>
      </c>
    </row>
    <row r="5502">
      <c r="A5502" s="4" t="s">
        <v>24681</v>
      </c>
      <c r="B5502" s="4" t="s">
        <v>10953</v>
      </c>
      <c r="C5502" s="16" t="str">
        <f>IFERROR(__xludf.DUMMYFUNCTION(""""""""" &amp; REGEXEXTRACT(B5502, ""/detail/([^/?]+)"") &amp; """""","""),"""eldfkpmlpefcdeafbenjhelmdiggejhg"",")</f>
        <v>"eldfkpmlpefcdeafbenjhelmdiggejhg",</v>
      </c>
    </row>
    <row r="5503">
      <c r="A5503" s="4" t="s">
        <v>24682</v>
      </c>
      <c r="B5503" s="4" t="s">
        <v>10955</v>
      </c>
      <c r="C5503" s="16" t="str">
        <f>IFERROR(__xludf.DUMMYFUNCTION(""""""""" &amp; REGEXEXTRACT(B5503, ""/detail/([^/?]+)"") &amp; """""","""),"""eldodjejjdniikjmjkboebfdocbhofdo"",")</f>
        <v>"eldodjejjdniikjmjkboebfdocbhofdo",</v>
      </c>
    </row>
    <row r="5504">
      <c r="A5504" s="4" t="s">
        <v>24683</v>
      </c>
      <c r="B5504" s="4" t="s">
        <v>10957</v>
      </c>
      <c r="C5504" s="16" t="str">
        <f>IFERROR(__xludf.DUMMYFUNCTION(""""""""" &amp; REGEXEXTRACT(B5504, ""/detail/([^/?]+)"") &amp; """""","""),"""elepfidkonofgnfipndmfimgadcpncgo"",")</f>
        <v>"elepfidkonofgnfipndmfimgadcpncgo",</v>
      </c>
    </row>
    <row r="5505">
      <c r="A5505" s="4" t="s">
        <v>24684</v>
      </c>
      <c r="B5505" s="4" t="s">
        <v>10959</v>
      </c>
      <c r="C5505" s="16" t="str">
        <f>IFERROR(__xludf.DUMMYFUNCTION(""""""""" &amp; REGEXEXTRACT(B5505, ""/detail/([^/?]+)"") &amp; """""","""),"""elmkkpeccekaekegjhnekaolcjafnnep"",")</f>
        <v>"elmkkpeccekaekegjhnekaolcjafnnep",</v>
      </c>
    </row>
    <row r="5506">
      <c r="A5506" s="4" t="s">
        <v>24685</v>
      </c>
      <c r="B5506" s="4" t="s">
        <v>10961</v>
      </c>
      <c r="C5506" s="16" t="str">
        <f>IFERROR(__xludf.DUMMYFUNCTION(""""""""" &amp; REGEXEXTRACT(B5506, ""/detail/([^/?]+)"") &amp; """""","""),"""elnfdnpcmioiblhbichaacoghdhofeei"",")</f>
        <v>"elnfdnpcmioiblhbichaacoghdhofeei",</v>
      </c>
    </row>
    <row r="5507">
      <c r="A5507" s="4" t="s">
        <v>24686</v>
      </c>
      <c r="B5507" s="4" t="s">
        <v>10963</v>
      </c>
      <c r="C5507" s="16" t="str">
        <f>IFERROR(__xludf.DUMMYFUNCTION(""""""""" &amp; REGEXEXTRACT(B5507, ""/detail/([^/?]+)"") &amp; """""","""),"""emajnoacacifjgmkkmheackniabamonm"",")</f>
        <v>"emajnoacacifjgmkkmheackniabamonm",</v>
      </c>
    </row>
    <row r="5508">
      <c r="A5508" s="4" t="s">
        <v>24687</v>
      </c>
      <c r="B5508" s="4" t="s">
        <v>10965</v>
      </c>
      <c r="C5508" s="16" t="str">
        <f>IFERROR(__xludf.DUMMYFUNCTION(""""""""" &amp; REGEXEXTRACT(B5508, ""/detail/([^/?]+)"") &amp; """""","""),"""emakhcohiapmkipgkjelkkkfaphanjdn"",")</f>
        <v>"emakhcohiapmkipgkjelkkkfaphanjdn",</v>
      </c>
    </row>
    <row r="5509">
      <c r="A5509" s="4" t="s">
        <v>24688</v>
      </c>
      <c r="B5509" s="4" t="s">
        <v>10967</v>
      </c>
      <c r="C5509" s="16" t="str">
        <f>IFERROR(__xludf.DUMMYFUNCTION(""""""""" &amp; REGEXEXTRACT(B5509, ""/detail/([^/?]+)"") &amp; """""","""),"""embfhnfkfobkdohleknckodkmhgmpdli"",")</f>
        <v>"embfhnfkfobkdohleknckodkmhgmpdli",</v>
      </c>
    </row>
    <row r="5510">
      <c r="A5510" s="4" t="s">
        <v>24689</v>
      </c>
      <c r="B5510" s="4" t="s">
        <v>10969</v>
      </c>
      <c r="C5510" s="16" t="str">
        <f>IFERROR(__xludf.DUMMYFUNCTION(""""""""" &amp; REGEXEXTRACT(B5510, ""/detail/([^/?]+)"") &amp; """""","""),"""emggakpfjmpnbhceddojakeaonegfecd"",")</f>
        <v>"emggakpfjmpnbhceddojakeaonegfecd",</v>
      </c>
    </row>
    <row r="5511">
      <c r="A5511" s="4" t="s">
        <v>24690</v>
      </c>
      <c r="B5511" s="4" t="s">
        <v>10971</v>
      </c>
      <c r="C5511" s="16" t="str">
        <f>IFERROR(__xludf.DUMMYFUNCTION(""""""""" &amp; REGEXEXTRACT(B5511, ""/detail/([^/?]+)"") &amp; """""","""),"""emhhhnhbnjkilmhkiibfhjmefpipnmke"",")</f>
        <v>"emhhhnhbnjkilmhkiibfhjmefpipnmke",</v>
      </c>
    </row>
    <row r="5512">
      <c r="A5512" s="4" t="s">
        <v>24691</v>
      </c>
      <c r="B5512" s="4" t="s">
        <v>10973</v>
      </c>
      <c r="C5512" s="16" t="str">
        <f>IFERROR(__xludf.DUMMYFUNCTION(""""""""" &amp; REGEXEXTRACT(B5512, ""/detail/([^/?]+)"") &amp; """""","""),"""emkifbbnipjheakepkdnegemeknjmppm"",")</f>
        <v>"emkifbbnipjheakepkdnegemeknjmppm",</v>
      </c>
    </row>
    <row r="5513">
      <c r="A5513" s="4" t="s">
        <v>24692</v>
      </c>
      <c r="B5513" s="4" t="s">
        <v>10975</v>
      </c>
      <c r="C5513" s="16" t="str">
        <f>IFERROR(__xludf.DUMMYFUNCTION(""""""""" &amp; REGEXEXTRACT(B5513, ""/detail/([^/?]+)"") &amp; """""","""),"""emlglgogdlkgaepogbphgkdlpdlchdgg"",")</f>
        <v>"emlglgogdlkgaepogbphgkdlpdlchdgg",</v>
      </c>
    </row>
    <row r="5514">
      <c r="A5514" s="4" t="s">
        <v>24693</v>
      </c>
      <c r="B5514" s="4" t="s">
        <v>10977</v>
      </c>
      <c r="C5514" s="16" t="str">
        <f>IFERROR(__xludf.DUMMYFUNCTION(""""""""" &amp; REGEXEXTRACT(B5514, ""/detail/([^/?]+)"") &amp; """""","""),"""emmenkmcjhjcgnjbngpaegoihmkmnhah"",")</f>
        <v>"emmenkmcjhjcgnjbngpaegoihmkmnhah",</v>
      </c>
    </row>
    <row r="5515">
      <c r="A5515" s="4" t="s">
        <v>24694</v>
      </c>
      <c r="B5515" s="4" t="s">
        <v>10979</v>
      </c>
      <c r="C5515" s="16" t="str">
        <f>IFERROR(__xludf.DUMMYFUNCTION(""""""""" &amp; REGEXEXTRACT(B5515, ""/detail/([^/?]+)"") &amp; """""","""),"""enaifbbcamagcjaaeeaomhofifdgpjcn"",")</f>
        <v>"enaifbbcamagcjaaeeaomhofifdgpjcn",</v>
      </c>
    </row>
    <row r="5516">
      <c r="A5516" s="4" t="s">
        <v>24695</v>
      </c>
      <c r="B5516" s="4" t="s">
        <v>10981</v>
      </c>
      <c r="C5516" s="16" t="str">
        <f>IFERROR(__xludf.DUMMYFUNCTION(""""""""" &amp; REGEXEXTRACT(B5516, ""/detail/([^/?]+)"") &amp; """""","""),"""eneakgbflmejjpkogbdmebjbfcdebjik"",")</f>
        <v>"eneakgbflmejjpkogbdmebjbfcdebjik",</v>
      </c>
    </row>
    <row r="5517">
      <c r="A5517" s="4" t="s">
        <v>24696</v>
      </c>
      <c r="B5517" s="4" t="s">
        <v>10983</v>
      </c>
      <c r="C5517" s="16" t="str">
        <f>IFERROR(__xludf.DUMMYFUNCTION(""""""""" &amp; REGEXEXTRACT(B5517, ""/detail/([^/?]+)"") &amp; """""","""),"""enfgannencjofjonlojjahlblnjnfhon"",")</f>
        <v>"enfgannencjofjonlojjahlblnjnfhon",</v>
      </c>
    </row>
    <row r="5518">
      <c r="A5518" s="4" t="s">
        <v>24697</v>
      </c>
      <c r="B5518" s="4" t="s">
        <v>10985</v>
      </c>
      <c r="C5518" s="16" t="str">
        <f>IFERROR(__xludf.DUMMYFUNCTION(""""""""" &amp; REGEXEXTRACT(B5518, ""/detail/([^/?]+)"") &amp; """""","""),"""enflemcandibjifcelngbchmjfagkkni"",")</f>
        <v>"enflemcandibjifcelngbchmjfagkkni",</v>
      </c>
    </row>
    <row r="5519">
      <c r="A5519" s="4" t="s">
        <v>24698</v>
      </c>
      <c r="B5519" s="4" t="s">
        <v>10987</v>
      </c>
      <c r="C5519" s="16" t="str">
        <f>IFERROR(__xludf.DUMMYFUNCTION(""""""""" &amp; REGEXEXTRACT(B5519, ""/detail/([^/?]+)"") &amp; """""","""),"""engcgfkpphndmbjmondiodpoeegkemgh"",")</f>
        <v>"engcgfkpphndmbjmondiodpoeegkemgh",</v>
      </c>
    </row>
    <row r="5520">
      <c r="A5520" s="4" t="s">
        <v>24699</v>
      </c>
      <c r="B5520" s="4" t="s">
        <v>10989</v>
      </c>
      <c r="C5520" s="16" t="str">
        <f>IFERROR(__xludf.DUMMYFUNCTION(""""""""" &amp; REGEXEXTRACT(B5520, ""/detail/([^/?]+)"") &amp; """""","""),"""enieolhifcncmplmpadiffjnnfnoelic"",")</f>
        <v>"enieolhifcncmplmpadiffjnnfnoelic",</v>
      </c>
    </row>
    <row r="5521">
      <c r="A5521" s="4" t="s">
        <v>24700</v>
      </c>
      <c r="B5521" s="4" t="s">
        <v>10991</v>
      </c>
      <c r="C5521" s="16" t="str">
        <f>IFERROR(__xludf.DUMMYFUNCTION(""""""""" &amp; REGEXEXTRACT(B5521, ""/detail/([^/?]+)"") &amp; """""","""),"""enlkmhjigjnkjhocdnakhnabohfpdbag"",")</f>
        <v>"enlkmhjigjnkjhocdnakhnabohfpdbag",</v>
      </c>
    </row>
    <row r="5522">
      <c r="A5522" s="4" t="s">
        <v>24701</v>
      </c>
      <c r="B5522" s="4" t="s">
        <v>10993</v>
      </c>
      <c r="C5522" s="16" t="str">
        <f>IFERROR(__xludf.DUMMYFUNCTION(""""""""" &amp; REGEXEXTRACT(B5522, ""/detail/([^/?]+)"") &amp; """""","""),"""ennkgpoidlcphlccokdocigfibidmccj"",")</f>
        <v>"ennkgpoidlcphlccokdocigfibidmccj",</v>
      </c>
    </row>
    <row r="5523">
      <c r="A5523" s="4" t="s">
        <v>24702</v>
      </c>
      <c r="B5523" s="4" t="s">
        <v>10995</v>
      </c>
      <c r="C5523" s="16" t="str">
        <f>IFERROR(__xludf.DUMMYFUNCTION(""""""""" &amp; REGEXEXTRACT(B5523, ""/detail/([^/?]+)"") &amp; """""","""),"""enpcedkgdcblopaldlgcajgebojbnhao"",")</f>
        <v>"enpcedkgdcblopaldlgcajgebojbnhao",</v>
      </c>
    </row>
    <row r="5524">
      <c r="A5524" s="4" t="s">
        <v>24703</v>
      </c>
      <c r="B5524" s="4" t="s">
        <v>10997</v>
      </c>
      <c r="C5524" s="16" t="str">
        <f>IFERROR(__xludf.DUMMYFUNCTION(""""""""" &amp; REGEXEXTRACT(B5524, ""/detail/([^/?]+)"") &amp; """""","""),"""enpcfefpndigimneblibaglgcgjkedfn"",")</f>
        <v>"enpcfefpndigimneblibaglgcgjkedfn",</v>
      </c>
    </row>
    <row r="5525">
      <c r="A5525" s="4" t="s">
        <v>24704</v>
      </c>
      <c r="B5525" s="4" t="s">
        <v>10999</v>
      </c>
      <c r="C5525" s="16" t="str">
        <f>IFERROR(__xludf.DUMMYFUNCTION(""""""""" &amp; REGEXEXTRACT(B5525, ""/detail/([^/?]+)"") &amp; """""","""),"""enphflaephhmabkpchhgkhkfcblbhiip"",")</f>
        <v>"enphflaephhmabkpchhgkhkfcblbhiip",</v>
      </c>
    </row>
    <row r="5526">
      <c r="A5526" s="4" t="s">
        <v>24705</v>
      </c>
      <c r="B5526" s="4" t="s">
        <v>11001</v>
      </c>
      <c r="C5526" s="16" t="str">
        <f>IFERROR(__xludf.DUMMYFUNCTION(""""""""" &amp; REGEXEXTRACT(B5526, ""/detail/([^/?]+)"") &amp; """""","""),"""eobkbhboppfebolebbcbbigmbfmflmcf"",")</f>
        <v>"eobkbhboppfebolebbcbbigmbfmflmcf",</v>
      </c>
    </row>
    <row r="5527">
      <c r="A5527" s="4" t="s">
        <v>24706</v>
      </c>
      <c r="B5527" s="4" t="s">
        <v>11003</v>
      </c>
      <c r="C5527" s="16" t="str">
        <f>IFERROR(__xludf.DUMMYFUNCTION(""""""""" &amp; REGEXEXTRACT(B5527, ""/detail/([^/?]+)"") &amp; """""","""),"""eobkkmbgipjpjimcffmjpfdpnekaoiom"",")</f>
        <v>"eobkkmbgipjpjimcffmjpfdpnekaoiom",</v>
      </c>
    </row>
    <row r="5528">
      <c r="A5528" s="4" t="s">
        <v>24707</v>
      </c>
      <c r="B5528" s="4" t="s">
        <v>11005</v>
      </c>
      <c r="C5528" s="16" t="str">
        <f>IFERROR(__xludf.DUMMYFUNCTION(""""""""" &amp; REGEXEXTRACT(B5528, ""/detail/([^/?]+)"") &amp; """""","""),"""eoeaennjgmgjmmpaellcjmjalpokgdee"",")</f>
        <v>"eoeaennjgmgjmmpaellcjmjalpokgdee",</v>
      </c>
    </row>
    <row r="5529">
      <c r="A5529" s="4" t="s">
        <v>24708</v>
      </c>
      <c r="B5529" s="4" t="s">
        <v>11007</v>
      </c>
      <c r="C5529" s="16" t="str">
        <f>IFERROR(__xludf.DUMMYFUNCTION(""""""""" &amp; REGEXEXTRACT(B5529, ""/detail/([^/?]+)"") &amp; """""","""),"""eoiappopphdcceickjphgaaidacdkidi"",")</f>
        <v>"eoiappopphdcceickjphgaaidacdkidi",</v>
      </c>
    </row>
    <row r="5530">
      <c r="A5530" s="4" t="s">
        <v>24709</v>
      </c>
      <c r="B5530" s="4" t="s">
        <v>11009</v>
      </c>
      <c r="C5530" s="16" t="str">
        <f>IFERROR(__xludf.DUMMYFUNCTION(""""""""" &amp; REGEXEXTRACT(B5530, ""/detail/([^/?]+)"") &amp; """""","""),"""eonkdmekioejmbllcbkjepialcifflfo"",")</f>
        <v>"eonkdmekioejmbllcbkjepialcifflfo",</v>
      </c>
    </row>
    <row r="5531">
      <c r="A5531" s="4" t="s">
        <v>24710</v>
      </c>
      <c r="B5531" s="4" t="s">
        <v>11011</v>
      </c>
      <c r="C5531" s="16" t="str">
        <f>IFERROR(__xludf.DUMMYFUNCTION(""""""""" &amp; REGEXEXTRACT(B5531, ""/detail/([^/?]+)"") &amp; """""","""),"""eooofainekcepemamfmcbcjkppcmoome"",")</f>
        <v>"eooofainekcepemamfmcbcjkppcmoome",</v>
      </c>
    </row>
    <row r="5532">
      <c r="A5532" s="4" t="s">
        <v>24711</v>
      </c>
      <c r="B5532" s="4" t="s">
        <v>11013</v>
      </c>
      <c r="C5532" s="16" t="str">
        <f>IFERROR(__xludf.DUMMYFUNCTION(""""""""" &amp; REGEXEXTRACT(B5532, ""/detail/([^/?]+)"") &amp; """""","""),"""eopjpiaipnhmamienhcdapckoojoiacm"",")</f>
        <v>"eopjpiaipnhmamienhcdapckoojoiacm",</v>
      </c>
    </row>
    <row r="5533">
      <c r="A5533" s="4" t="s">
        <v>24712</v>
      </c>
      <c r="B5533" s="4" t="s">
        <v>11015</v>
      </c>
      <c r="C5533" s="16" t="str">
        <f>IFERROR(__xludf.DUMMYFUNCTION(""""""""" &amp; REGEXEXTRACT(B5533, ""/detail/([^/?]+)"") &amp; """""","""),"""epbaejhegljenbdpgnneifblnfcnbiam"",")</f>
        <v>"epbaejhegljenbdpgnneifblnfcnbiam",</v>
      </c>
    </row>
    <row r="5534">
      <c r="A5534" s="4" t="s">
        <v>24713</v>
      </c>
      <c r="B5534" s="4" t="s">
        <v>11017</v>
      </c>
      <c r="C5534" s="16" t="str">
        <f>IFERROR(__xludf.DUMMYFUNCTION(""""""""" &amp; REGEXEXTRACT(B5534, ""/detail/([^/?]+)"") &amp; """""","""),"""epcihifbffodmnbbnjgancnlodhbkhcl"",")</f>
        <v>"epcihifbffodmnbbnjgancnlodhbkhcl",</v>
      </c>
    </row>
    <row r="5535">
      <c r="A5535" s="4" t="s">
        <v>24714</v>
      </c>
      <c r="B5535" s="4" t="s">
        <v>11019</v>
      </c>
      <c r="C5535" s="16" t="str">
        <f>IFERROR(__xludf.DUMMYFUNCTION(""""""""" &amp; REGEXEXTRACT(B5535, ""/detail/([^/?]+)"") &amp; """""","""),"""epcneeimefdgaaokhookbcmgeeffimdf"",")</f>
        <v>"epcneeimefdgaaokhookbcmgeeffimdf",</v>
      </c>
    </row>
    <row r="5536">
      <c r="A5536" s="4" t="s">
        <v>24715</v>
      </c>
      <c r="B5536" s="4" t="s">
        <v>11021</v>
      </c>
      <c r="C5536" s="16" t="str">
        <f>IFERROR(__xludf.DUMMYFUNCTION(""""""""" &amp; REGEXEXTRACT(B5536, ""/detail/([^/?]+)"") &amp; """""","""),"""epdcapclkanflhcnialagecbkbpkbcbi"",")</f>
        <v>"epdcapclkanflhcnialagecbkbpkbcbi",</v>
      </c>
    </row>
    <row r="5537">
      <c r="A5537" s="4" t="s">
        <v>24716</v>
      </c>
      <c r="B5537" s="4" t="s">
        <v>11023</v>
      </c>
      <c r="C5537" s="16" t="str">
        <f>IFERROR(__xludf.DUMMYFUNCTION(""""""""" &amp; REGEXEXTRACT(B5537, ""/detail/([^/?]+)"") &amp; """""","""),"""epebmipapbkicjpjkokcmpncdjdpjidi"",")</f>
        <v>"epebmipapbkicjpjkokcmpncdjdpjidi",</v>
      </c>
    </row>
    <row r="5538">
      <c r="A5538" s="4" t="s">
        <v>24717</v>
      </c>
      <c r="B5538" s="4" t="s">
        <v>11025</v>
      </c>
      <c r="C5538" s="16" t="str">
        <f>IFERROR(__xludf.DUMMYFUNCTION(""""""""" &amp; REGEXEXTRACT(B5538, ""/detail/([^/?]+)"") &amp; """""","""),"""ephoopolmejjnjkbbdcfgoohokhnekca"",")</f>
        <v>"ephoopolmejjnjkbbdcfgoohokhnekca",</v>
      </c>
    </row>
    <row r="5539">
      <c r="A5539" s="4" t="s">
        <v>24718</v>
      </c>
      <c r="B5539" s="4" t="s">
        <v>11027</v>
      </c>
      <c r="C5539" s="16" t="str">
        <f>IFERROR(__xludf.DUMMYFUNCTION(""""""""" &amp; REGEXEXTRACT(B5539, ""/detail/([^/?]+)"") &amp; """""","""),"""epokajiceibnoalmmjgpgljfmamlhflk"",")</f>
        <v>"epokajiceibnoalmmjgpgljfmamlhflk",</v>
      </c>
    </row>
    <row r="5540">
      <c r="A5540" s="4" t="s">
        <v>24719</v>
      </c>
      <c r="B5540" s="4" t="s">
        <v>11029</v>
      </c>
      <c r="C5540" s="16" t="str">
        <f>IFERROR(__xludf.DUMMYFUNCTION(""""""""" &amp; REGEXEXTRACT(B5540, ""/detail/([^/?]+)"") &amp; """""","""),"""eppmoegdkngaleolkhdcdjoepijloikj"",")</f>
        <v>"eppmoegdkngaleolkhdcdjoepijloikj",</v>
      </c>
    </row>
    <row r="5541">
      <c r="A5541" s="4" t="s">
        <v>24720</v>
      </c>
      <c r="B5541" s="4" t="s">
        <v>11031</v>
      </c>
      <c r="C5541" s="16" t="str">
        <f>IFERROR(__xludf.DUMMYFUNCTION(""""""""" &amp; REGEXEXTRACT(B5541, ""/detail/([^/?]+)"") &amp; """""","""),"""fabmnggpampjmglmkbojpebjbhmfflkb"",")</f>
        <v>"fabmnggpampjmglmkbojpebjbhmfflkb",</v>
      </c>
    </row>
    <row r="5542">
      <c r="A5542" s="4" t="s">
        <v>24721</v>
      </c>
      <c r="B5542" s="4" t="s">
        <v>11033</v>
      </c>
      <c r="C5542" s="16" t="str">
        <f>IFERROR(__xludf.DUMMYFUNCTION(""""""""" &amp; REGEXEXTRACT(B5542, ""/detail/([^/?]+)"") &amp; """""","""),"""facdmpkhcadnpcpeodngcnjjmgapfjia"",")</f>
        <v>"facdmpkhcadnpcpeodngcnjjmgapfjia",</v>
      </c>
    </row>
    <row r="5543">
      <c r="A5543" s="4" t="s">
        <v>24722</v>
      </c>
      <c r="B5543" s="4" t="s">
        <v>11035</v>
      </c>
      <c r="C5543" s="16" t="str">
        <f>IFERROR(__xludf.DUMMYFUNCTION(""""""""" &amp; REGEXEXTRACT(B5543, ""/detail/([^/?]+)"") &amp; """""","""),"""facfdjdppldcgnfhdbknokkbnfhdiofl"",")</f>
        <v>"facfdjdppldcgnfhdbknokkbnfhdiofl",</v>
      </c>
    </row>
    <row r="5544">
      <c r="A5544" s="4" t="s">
        <v>24723</v>
      </c>
      <c r="B5544" s="4" t="s">
        <v>11037</v>
      </c>
      <c r="C5544" s="16" t="str">
        <f>IFERROR(__xludf.DUMMYFUNCTION(""""""""" &amp; REGEXEXTRACT(B5544, ""/detail/([^/?]+)"") &amp; """""","""),"""fadfgclijjcbcccnpgkbapnjbpbbicaa"",")</f>
        <v>"fadfgclijjcbcccnpgkbapnjbpbbicaa",</v>
      </c>
    </row>
    <row r="5545">
      <c r="A5545" s="4" t="s">
        <v>24724</v>
      </c>
      <c r="B5545" s="4" t="s">
        <v>11039</v>
      </c>
      <c r="C5545" s="16" t="str">
        <f>IFERROR(__xludf.DUMMYFUNCTION(""""""""" &amp; REGEXEXTRACT(B5545, ""/detail/([^/?]+)"") &amp; """""","""),"""fadncbccmelchegmlghbhpjchdmghmhh"",")</f>
        <v>"fadncbccmelchegmlghbhpjchdmghmhh",</v>
      </c>
    </row>
    <row r="5546">
      <c r="A5546" s="4" t="s">
        <v>24725</v>
      </c>
      <c r="B5546" s="4" t="s">
        <v>11041</v>
      </c>
      <c r="C5546" s="16" t="str">
        <f>IFERROR(__xludf.DUMMYFUNCTION(""""""""" &amp; REGEXEXTRACT(B5546, ""/detail/([^/?]+)"") &amp; """""","""),"""fafngnnaicjaodmdeekbnboekddgiohe"",")</f>
        <v>"fafngnnaicjaodmdeekbnboekddgiohe",</v>
      </c>
    </row>
    <row r="5547">
      <c r="A5547" s="4" t="s">
        <v>24726</v>
      </c>
      <c r="B5547" s="4" t="s">
        <v>11043</v>
      </c>
      <c r="C5547" s="16" t="str">
        <f>IFERROR(__xludf.DUMMYFUNCTION(""""""""" &amp; REGEXEXTRACT(B5547, ""/detail/([^/?]+)"") &amp; """""","""),"""faiiddjaocoaiighbccojehokfaoeimk"",")</f>
        <v>"faiiddjaocoaiighbccojehokfaoeimk",</v>
      </c>
    </row>
    <row r="5548">
      <c r="A5548" s="4" t="s">
        <v>24727</v>
      </c>
      <c r="B5548" s="4" t="s">
        <v>11045</v>
      </c>
      <c r="C5548" s="16" t="str">
        <f>IFERROR(__xludf.DUMMYFUNCTION(""""""""" &amp; REGEXEXTRACT(B5548, ""/detail/([^/?]+)"") &amp; """""","""),"""fakedinbmdjifniaepnfbplcheaecebc"",")</f>
        <v>"fakedinbmdjifniaepnfbplcheaecebc",</v>
      </c>
    </row>
    <row r="5549">
      <c r="A5549" s="4" t="s">
        <v>24728</v>
      </c>
      <c r="B5549" s="4" t="s">
        <v>11047</v>
      </c>
      <c r="C5549" s="16" t="str">
        <f>IFERROR(__xludf.DUMMYFUNCTION(""""""""" &amp; REGEXEXTRACT(B5549, ""/detail/([^/?]+)"") &amp; """""","""),"""faklajjdekhkmkjhdknbikcikhofompi"",")</f>
        <v>"faklajjdekhkmkjhdknbikcikhofompi",</v>
      </c>
    </row>
    <row r="5550">
      <c r="A5550" s="4" t="s">
        <v>24729</v>
      </c>
      <c r="B5550" s="4" t="s">
        <v>11049</v>
      </c>
      <c r="C5550" s="16" t="str">
        <f>IFERROR(__xludf.DUMMYFUNCTION(""""""""" &amp; REGEXEXTRACT(B5550, ""/detail/([^/?]+)"") &amp; """""","""),"""falpcgfkedoeakcmjfpfkddflaebodep"",")</f>
        <v>"falpcgfkedoeakcmjfpfkddflaebodep",</v>
      </c>
    </row>
    <row r="5551">
      <c r="A5551" s="4" t="s">
        <v>24730</v>
      </c>
      <c r="B5551" s="4" t="s">
        <v>11051</v>
      </c>
      <c r="C5551" s="16" t="str">
        <f>IFERROR(__xludf.DUMMYFUNCTION(""""""""" &amp; REGEXEXTRACT(B5551, ""/detail/([^/?]+)"") &amp; """""","""),"""famfklfcpjmoicmdhakofiabnfhgllfd"",")</f>
        <v>"famfklfcpjmoicmdhakofiabnfhgllfd",</v>
      </c>
    </row>
    <row r="5552">
      <c r="A5552" s="4" t="s">
        <v>24731</v>
      </c>
      <c r="B5552" s="4" t="s">
        <v>11053</v>
      </c>
      <c r="C5552" s="16" t="str">
        <f>IFERROR(__xludf.DUMMYFUNCTION(""""""""" &amp; REGEXEXTRACT(B5552, ""/detail/([^/?]+)"") &amp; """""","""),"""famkodflhompmapangljedfdcfeligih"",")</f>
        <v>"famkodflhompmapangljedfdcfeligih",</v>
      </c>
    </row>
    <row r="5553">
      <c r="A5553" s="4" t="s">
        <v>24732</v>
      </c>
      <c r="B5553" s="4" t="s">
        <v>11055</v>
      </c>
      <c r="C5553" s="16" t="str">
        <f>IFERROR(__xludf.DUMMYFUNCTION(""""""""" &amp; REGEXEXTRACT(B5553, ""/detail/([^/?]+)"") &amp; """""","""),"""faodiopjdcjfeflfmeadfkgodcbioejp"",")</f>
        <v>"faodiopjdcjfeflfmeadfkgodcbioejp",</v>
      </c>
    </row>
    <row r="5554">
      <c r="A5554" s="4" t="s">
        <v>24733</v>
      </c>
      <c r="B5554" s="4" t="s">
        <v>11057</v>
      </c>
      <c r="C5554" s="16" t="str">
        <f>IFERROR(__xludf.DUMMYFUNCTION(""""""""" &amp; REGEXEXTRACT(B5554, ""/detail/([^/?]+)"") &amp; """""","""),"""faomlffijfdkplfihocejidnijnbajan"",")</f>
        <v>"faomlffijfdkplfihocejidnijnbajan",</v>
      </c>
    </row>
    <row r="5555">
      <c r="A5555" s="4" t="s">
        <v>24734</v>
      </c>
      <c r="B5555" s="4" t="s">
        <v>11059</v>
      </c>
      <c r="C5555" s="16" t="str">
        <f>IFERROR(__xludf.DUMMYFUNCTION(""""""""" &amp; REGEXEXTRACT(B5555, ""/detail/([^/?]+)"") &amp; """""","""),"""fapnehnahcpolcofaadoopejcmfidffc"",")</f>
        <v>"fapnehnahcpolcofaadoopejcmfidffc",</v>
      </c>
    </row>
    <row r="5556">
      <c r="A5556" s="4" t="s">
        <v>24735</v>
      </c>
      <c r="B5556" s="4" t="s">
        <v>11061</v>
      </c>
      <c r="C5556" s="16" t="str">
        <f>IFERROR(__xludf.DUMMYFUNCTION(""""""""" &amp; REGEXEXTRACT(B5556, ""/detail/([^/?]+)"") &amp; """""","""),"""fbdbnlmganadmogpnpceofkilanfolni"",")</f>
        <v>"fbdbnlmganadmogpnpceofkilanfolni",</v>
      </c>
    </row>
    <row r="5557">
      <c r="A5557" s="4" t="s">
        <v>24736</v>
      </c>
      <c r="B5557" s="4" t="s">
        <v>11063</v>
      </c>
      <c r="C5557" s="16" t="str">
        <f>IFERROR(__xludf.DUMMYFUNCTION(""""""""" &amp; REGEXEXTRACT(B5557, ""/detail/([^/?]+)"") &amp; """""","""),"""fbeahjcnoclflfhkgphfadjldhfadncl"",")</f>
        <v>"fbeahjcnoclflfhkgphfadjldhfadncl",</v>
      </c>
    </row>
    <row r="5558">
      <c r="A5558" s="4" t="s">
        <v>24737</v>
      </c>
      <c r="B5558" s="4" t="s">
        <v>11065</v>
      </c>
      <c r="C5558" s="16" t="str">
        <f>IFERROR(__xludf.DUMMYFUNCTION(""""""""" &amp; REGEXEXTRACT(B5558, ""/detail/([^/?]+)"") &amp; """""","""),"""fbffaafomcgnbgcakjcjmjjnfmominbg"",")</f>
        <v>"fbffaafomcgnbgcakjcjmjjnfmominbg",</v>
      </c>
    </row>
    <row r="5559">
      <c r="A5559" s="4" t="s">
        <v>24738</v>
      </c>
      <c r="B5559" s="4" t="s">
        <v>11067</v>
      </c>
      <c r="C5559" s="16" t="str">
        <f>IFERROR(__xludf.DUMMYFUNCTION(""""""""" &amp; REGEXEXTRACT(B5559, ""/detail/([^/?]+)"") &amp; """""","""),"""fbgchecgijgcacfckobealojikbohcdd"",")</f>
        <v>"fbgchecgijgcacfckobealojikbohcdd",</v>
      </c>
    </row>
    <row r="5560">
      <c r="A5560" s="4" t="s">
        <v>24739</v>
      </c>
      <c r="B5560" s="4" t="s">
        <v>11069</v>
      </c>
      <c r="C5560" s="16" t="str">
        <f>IFERROR(__xludf.DUMMYFUNCTION(""""""""" &amp; REGEXEXTRACT(B5560, ""/detail/([^/?]+)"") &amp; """""","""),"""fbgfjlockdhidoaempmjcddibjklhpka"",")</f>
        <v>"fbgfjlockdhidoaempmjcddibjklhpka",</v>
      </c>
    </row>
    <row r="5561">
      <c r="A5561" s="4" t="s">
        <v>24740</v>
      </c>
      <c r="B5561" s="4" t="s">
        <v>11071</v>
      </c>
      <c r="C5561" s="16" t="str">
        <f>IFERROR(__xludf.DUMMYFUNCTION(""""""""" &amp; REGEXEXTRACT(B5561, ""/detail/([^/?]+)"") &amp; """""","""),"""fbhbfbladmbgakfkccbfjpbabagjcmid"",")</f>
        <v>"fbhbfbladmbgakfkccbfjpbabagjcmid",</v>
      </c>
    </row>
    <row r="5562">
      <c r="A5562" s="4" t="s">
        <v>24741</v>
      </c>
      <c r="B5562" s="4" t="s">
        <v>11073</v>
      </c>
      <c r="C5562" s="16" t="str">
        <f>IFERROR(__xludf.DUMMYFUNCTION(""""""""" &amp; REGEXEXTRACT(B5562, ""/detail/([^/?]+)"") &amp; """""","""),"""fbnakolimookpnpbjillcidcfbijcdci"",")</f>
        <v>"fbnakolimookpnpbjillcidcfbijcdci",</v>
      </c>
    </row>
    <row r="5563">
      <c r="A5563" s="4" t="s">
        <v>24742</v>
      </c>
      <c r="B5563" s="4" t="s">
        <v>11075</v>
      </c>
      <c r="C5563" s="16" t="str">
        <f>IFERROR(__xludf.DUMMYFUNCTION(""""""""" &amp; REGEXEXTRACT(B5563, ""/detail/([^/?]+)"") &amp; """""","""),"""fbnlibmhkkkpncdgfolnijebgnmbdbhi"",")</f>
        <v>"fbnlibmhkkkpncdgfolnijebgnmbdbhi",</v>
      </c>
    </row>
    <row r="5564">
      <c r="A5564" s="4" t="s">
        <v>24743</v>
      </c>
      <c r="B5564" s="4" t="s">
        <v>11077</v>
      </c>
      <c r="C5564" s="16" t="str">
        <f>IFERROR(__xludf.DUMMYFUNCTION(""""""""" &amp; REGEXEXTRACT(B5564, ""/detail/([^/?]+)"") &amp; """""","""),"""fcadcainkooaeglkiofojfbedioapomp"",")</f>
        <v>"fcadcainkooaeglkiofojfbedioapomp",</v>
      </c>
    </row>
    <row r="5565">
      <c r="A5565" s="4" t="s">
        <v>24744</v>
      </c>
      <c r="B5565" s="4" t="s">
        <v>11079</v>
      </c>
      <c r="C5565" s="16" t="str">
        <f>IFERROR(__xludf.DUMMYFUNCTION(""""""""" &amp; REGEXEXTRACT(B5565, ""/detail/([^/?]+)"") &amp; """""","""),"""fcakpkglmoocmpbnohkjbiadlecodijh"",")</f>
        <v>"fcakpkglmoocmpbnohkjbiadlecodijh",</v>
      </c>
    </row>
    <row r="5566">
      <c r="A5566" s="4" t="s">
        <v>24745</v>
      </c>
      <c r="B5566" s="4" t="s">
        <v>11081</v>
      </c>
      <c r="C5566" s="16" t="str">
        <f>IFERROR(__xludf.DUMMYFUNCTION(""""""""" &amp; REGEXEXTRACT(B5566, ""/detail/([^/?]+)"") &amp; """""","""),"""fcbhjoiikniliejghcnihedcjobnjnob"",")</f>
        <v>"fcbhjoiikniliejghcnihedcjobnjnob",</v>
      </c>
    </row>
    <row r="5567">
      <c r="A5567" s="4" t="s">
        <v>24746</v>
      </c>
      <c r="B5567" s="4" t="s">
        <v>11083</v>
      </c>
      <c r="C5567" s="16" t="str">
        <f>IFERROR(__xludf.DUMMYFUNCTION(""""""""" &amp; REGEXEXTRACT(B5567, ""/detail/([^/?]+)"") &amp; """""","""),"""fcgcgajibpoegghmlgkkhjolnfjjflbf"",")</f>
        <v>"fcgcgajibpoegghmlgkkhjolnfjjflbf",</v>
      </c>
    </row>
    <row r="5568">
      <c r="A5568" s="4" t="s">
        <v>24747</v>
      </c>
      <c r="B5568" s="4" t="s">
        <v>11085</v>
      </c>
      <c r="C5568" s="16" t="str">
        <f>IFERROR(__xludf.DUMMYFUNCTION(""""""""" &amp; REGEXEXTRACT(B5568, ""/detail/([^/?]+)"") &amp; """""","""),"""fcihkahjnapdpnenlljgphabbadckoil"",")</f>
        <v>"fcihkahjnapdpnenlljgphabbadckoil",</v>
      </c>
    </row>
    <row r="5569">
      <c r="A5569" s="4" t="s">
        <v>24748</v>
      </c>
      <c r="B5569" s="4" t="s">
        <v>11087</v>
      </c>
      <c r="C5569" s="16" t="str">
        <f>IFERROR(__xludf.DUMMYFUNCTION(""""""""" &amp; REGEXEXTRACT(B5569, ""/detail/([^/?]+)"") &amp; """""","""),"""fckoocndimgbeagiamkcnkbnfmkpdopp"",")</f>
        <v>"fckoocndimgbeagiamkcnkbnfmkpdopp",</v>
      </c>
    </row>
    <row r="5570">
      <c r="A5570" s="4" t="s">
        <v>24749</v>
      </c>
      <c r="B5570" s="4" t="s">
        <v>11089</v>
      </c>
      <c r="C5570" s="16" t="str">
        <f>IFERROR(__xludf.DUMMYFUNCTION(""""""""" &amp; REGEXEXTRACT(B5570, ""/detail/([^/?]+)"") &amp; """""","""),"""fcliomgofohffdcmapnabhpgcemjjhin"",")</f>
        <v>"fcliomgofohffdcmapnabhpgcemjjhin",</v>
      </c>
    </row>
    <row r="5571">
      <c r="A5571" s="4" t="s">
        <v>24750</v>
      </c>
      <c r="B5571" s="4" t="s">
        <v>11091</v>
      </c>
      <c r="C5571" s="16" t="str">
        <f>IFERROR(__xludf.DUMMYFUNCTION(""""""""" &amp; REGEXEXTRACT(B5571, ""/detail/([^/?]+)"") &amp; """""","""),"""fcmiopamalpkecdfjfkmmdlojjhdjfim"",")</f>
        <v>"fcmiopamalpkecdfjfkmmdlojjhdjfim",</v>
      </c>
    </row>
    <row r="5572">
      <c r="A5572" s="4" t="s">
        <v>24751</v>
      </c>
      <c r="B5572" s="4" t="s">
        <v>11093</v>
      </c>
      <c r="C5572" s="16" t="str">
        <f>IFERROR(__xludf.DUMMYFUNCTION(""""""""" &amp; REGEXEXTRACT(B5572, ""/detail/([^/?]+)"") &amp; """""","""),"""fcmkdcldohbdlglienjjldifpahkkond"",")</f>
        <v>"fcmkdcldohbdlglienjjldifpahkkond",</v>
      </c>
    </row>
    <row r="5573">
      <c r="A5573" s="4" t="s">
        <v>24752</v>
      </c>
      <c r="B5573" s="4" t="s">
        <v>11095</v>
      </c>
      <c r="C5573" s="16" t="str">
        <f>IFERROR(__xludf.DUMMYFUNCTION(""""""""" &amp; REGEXEXTRACT(B5573, ""/detail/([^/?]+)"") &amp; """""","""),"""fcomjgibcahinagaaoihliepblakkcdd"",")</f>
        <v>"fcomjgibcahinagaaoihliepblakkcdd",</v>
      </c>
    </row>
    <row r="5574">
      <c r="A5574" s="4" t="s">
        <v>24753</v>
      </c>
      <c r="B5574" s="4" t="s">
        <v>11097</v>
      </c>
      <c r="C5574" s="16" t="str">
        <f>IFERROR(__xludf.DUMMYFUNCTION(""""""""" &amp; REGEXEXTRACT(B5574, ""/detail/([^/?]+)"") &amp; """""","""),"""fdbennihdlknligjbmnimidhimbnhkoj"",")</f>
        <v>"fdbennihdlknligjbmnimidhimbnhkoj",</v>
      </c>
    </row>
    <row r="5575">
      <c r="A5575" s="4" t="s">
        <v>24754</v>
      </c>
      <c r="B5575" s="4" t="s">
        <v>11099</v>
      </c>
      <c r="C5575" s="16" t="str">
        <f>IFERROR(__xludf.DUMMYFUNCTION(""""""""" &amp; REGEXEXTRACT(B5575, ""/detail/([^/?]+)"") &amp; """""","""),"""fdgajmekgmeingahdbcogkbgnpodoihh"",")</f>
        <v>"fdgajmekgmeingahdbcogkbgnpodoihh",</v>
      </c>
    </row>
    <row r="5576">
      <c r="A5576" s="4" t="s">
        <v>24755</v>
      </c>
      <c r="B5576" s="4" t="s">
        <v>11101</v>
      </c>
      <c r="C5576" s="16" t="str">
        <f>IFERROR(__xludf.DUMMYFUNCTION(""""""""" &amp; REGEXEXTRACT(B5576, ""/detail/([^/?]+)"") &amp; """""","""),"""fdgapbbhfnchidhmpjahegjmpnfdldhn"",")</f>
        <v>"fdgapbbhfnchidhmpjahegjmpnfdldhn",</v>
      </c>
    </row>
    <row r="5577">
      <c r="A5577" s="4" t="s">
        <v>24756</v>
      </c>
      <c r="B5577" s="4" t="s">
        <v>11103</v>
      </c>
      <c r="C5577" s="16" t="str">
        <f>IFERROR(__xludf.DUMMYFUNCTION(""""""""" &amp; REGEXEXTRACT(B5577, ""/detail/([^/?]+)"") &amp; """""","""),"""fdjghmbmljbhojdgegmhhbkhgoacgdcb"",")</f>
        <v>"fdjghmbmljbhojdgegmhhbkhgoacgdcb",</v>
      </c>
    </row>
    <row r="5578">
      <c r="A5578" s="4" t="s">
        <v>24757</v>
      </c>
      <c r="B5578" s="4" t="s">
        <v>11105</v>
      </c>
      <c r="C5578" s="16" t="str">
        <f>IFERROR(__xludf.DUMMYFUNCTION(""""""""" &amp; REGEXEXTRACT(B5578, ""/detail/([^/?]+)"") &amp; """""","""),"""fdmdnnfdofijijgcbhdbnlohaabnmdkb"",")</f>
        <v>"fdmdnnfdofijijgcbhdbnlohaabnmdkb",</v>
      </c>
    </row>
    <row r="5579">
      <c r="A5579" s="4" t="s">
        <v>24758</v>
      </c>
      <c r="B5579" s="4" t="s">
        <v>11107</v>
      </c>
      <c r="C5579" s="16" t="str">
        <f>IFERROR(__xludf.DUMMYFUNCTION(""""""""" &amp; REGEXEXTRACT(B5579, ""/detail/([^/?]+)"") &amp; """""","""),"""fdmmgnabliecegmbnmmihidbnmdjmflh"",")</f>
        <v>"fdmmgnabliecegmbnmmihidbnmdjmflh",</v>
      </c>
    </row>
    <row r="5580">
      <c r="A5580" s="4" t="s">
        <v>24759</v>
      </c>
      <c r="B5580" s="4" t="s">
        <v>11109</v>
      </c>
      <c r="C5580" s="16" t="str">
        <f>IFERROR(__xludf.DUMMYFUNCTION(""""""""" &amp; REGEXEXTRACT(B5580, ""/detail/([^/?]+)"") &amp; """""","""),"""fdmmjeeidodfpcijanldnemdkagoplfh"",")</f>
        <v>"fdmmjeeidodfpcijanldnemdkagoplfh",</v>
      </c>
    </row>
    <row r="5581">
      <c r="A5581" s="4" t="s">
        <v>24760</v>
      </c>
      <c r="B5581" s="4" t="s">
        <v>11111</v>
      </c>
      <c r="C5581" s="16" t="str">
        <f>IFERROR(__xludf.DUMMYFUNCTION(""""""""" &amp; REGEXEXTRACT(B5581, ""/detail/([^/?]+)"") &amp; """""","""),"""fdnhgkgdcnekilgcojklcaoleilpaghj"",")</f>
        <v>"fdnhgkgdcnekilgcojklcaoleilpaghj",</v>
      </c>
    </row>
    <row r="5582">
      <c r="A5582" s="4" t="s">
        <v>24761</v>
      </c>
      <c r="B5582" s="4" t="s">
        <v>11113</v>
      </c>
      <c r="C5582" s="16" t="str">
        <f>IFERROR(__xludf.DUMMYFUNCTION(""""""""" &amp; REGEXEXTRACT(B5582, ""/detail/([^/?]+)"") &amp; """""","""),"""feblndkkkcojdijcmdkghckpgjmcjnbd"",")</f>
        <v>"feblndkkkcojdijcmdkghckpgjmcjnbd",</v>
      </c>
    </row>
    <row r="5583">
      <c r="A5583" s="4" t="s">
        <v>24762</v>
      </c>
      <c r="B5583" s="4" t="s">
        <v>11115</v>
      </c>
      <c r="C5583" s="16" t="str">
        <f>IFERROR(__xludf.DUMMYFUNCTION(""""""""" &amp; REGEXEXTRACT(B5583, ""/detail/([^/?]+)"") &amp; """""","""),"""feckpephlmdcjnpoclagmaogngeffafk"",")</f>
        <v>"feckpephlmdcjnpoclagmaogngeffafk",</v>
      </c>
    </row>
    <row r="5584">
      <c r="A5584" s="4" t="s">
        <v>24763</v>
      </c>
      <c r="B5584" s="4" t="s">
        <v>11117</v>
      </c>
      <c r="C5584" s="16" t="str">
        <f>IFERROR(__xludf.DUMMYFUNCTION(""""""""" &amp; REGEXEXTRACT(B5584, ""/detail/([^/?]+)"") &amp; """""","""),"""fedicaemhcfcmelihceehhaodggfeffm"",")</f>
        <v>"fedicaemhcfcmelihceehhaodggfeffm",</v>
      </c>
    </row>
    <row r="5585">
      <c r="A5585" s="4" t="s">
        <v>24764</v>
      </c>
      <c r="B5585" s="4" t="s">
        <v>11119</v>
      </c>
      <c r="C5585" s="16" t="str">
        <f>IFERROR(__xludf.DUMMYFUNCTION(""""""""" &amp; REGEXEXTRACT(B5585, ""/detail/([^/?]+)"") &amp; """""","""),"""fefdekpjmfkgenlofhigjalhkbbedmel"",")</f>
        <v>"fefdekpjmfkgenlofhigjalhkbbedmel",</v>
      </c>
    </row>
    <row r="5586">
      <c r="A5586" s="4" t="s">
        <v>24765</v>
      </c>
      <c r="B5586" s="4" t="s">
        <v>11121</v>
      </c>
      <c r="C5586" s="16" t="str">
        <f>IFERROR(__xludf.DUMMYFUNCTION(""""""""" &amp; REGEXEXTRACT(B5586, ""/detail/([^/?]+)"") &amp; """""","""),"""fefjjiapooggkhiicnofcmlknjgpinop"",")</f>
        <v>"fefjjiapooggkhiicnofcmlknjgpinop",</v>
      </c>
    </row>
    <row r="5587">
      <c r="A5587" s="4" t="s">
        <v>24766</v>
      </c>
      <c r="B5587" s="4" t="s">
        <v>11123</v>
      </c>
      <c r="C5587" s="16" t="str">
        <f>IFERROR(__xludf.DUMMYFUNCTION(""""""""" &amp; REGEXEXTRACT(B5587, ""/detail/([^/?]+)"") &amp; """""","""),"""fegapncdamjhcaofcobgedeppgdhpled"",")</f>
        <v>"fegapncdamjhcaofcobgedeppgdhpled",</v>
      </c>
    </row>
    <row r="5588">
      <c r="A5588" s="4" t="s">
        <v>24767</v>
      </c>
      <c r="B5588" s="4" t="s">
        <v>11125</v>
      </c>
      <c r="C5588" s="16" t="str">
        <f>IFERROR(__xludf.DUMMYFUNCTION(""""""""" &amp; REGEXEXTRACT(B5588, ""/detail/([^/?]+)"") &amp; """""","""),"""fehnbjiphphbebcfgjmmffcfmnohcgbb"",")</f>
        <v>"fehnbjiphphbebcfgjmmffcfmnohcgbb",</v>
      </c>
    </row>
    <row r="5589">
      <c r="A5589" s="4" t="s">
        <v>24768</v>
      </c>
      <c r="B5589" s="4" t="s">
        <v>11127</v>
      </c>
      <c r="C5589" s="16" t="str">
        <f>IFERROR(__xludf.DUMMYFUNCTION(""""""""" &amp; REGEXEXTRACT(B5589, ""/detail/([^/?]+)"") &amp; """""","""),"""feiheebgoilmbkaddngcoocjbogfchlb"",")</f>
        <v>"feiheebgoilmbkaddngcoocjbogfchlb",</v>
      </c>
    </row>
    <row r="5590">
      <c r="A5590" s="4" t="s">
        <v>24769</v>
      </c>
      <c r="B5590" s="4" t="s">
        <v>11129</v>
      </c>
      <c r="C5590" s="16" t="str">
        <f>IFERROR(__xludf.DUMMYFUNCTION(""""""""" &amp; REGEXEXTRACT(B5590, ""/detail/([^/?]+)"") &amp; """""","""),"""fejgbfmdlplhjkbpmnedfonifhajinck"",")</f>
        <v>"fejgbfmdlplhjkbpmnedfonifhajinck",</v>
      </c>
    </row>
    <row r="5591">
      <c r="A5591" s="4" t="s">
        <v>24770</v>
      </c>
      <c r="B5591" s="4" t="s">
        <v>11131</v>
      </c>
      <c r="C5591" s="16" t="str">
        <f>IFERROR(__xludf.DUMMYFUNCTION(""""""""" &amp; REGEXEXTRACT(B5591, ""/detail/([^/?]+)"") &amp; """""","""),"""fekjpjaehfnfhcbakbkkhbjfcpmaffff"",")</f>
        <v>"fekjpjaehfnfhcbakbkkhbjfcpmaffff",</v>
      </c>
    </row>
    <row r="5592">
      <c r="A5592" s="4" t="s">
        <v>24771</v>
      </c>
      <c r="B5592" s="4" t="s">
        <v>11133</v>
      </c>
      <c r="C5592" s="16" t="str">
        <f>IFERROR(__xludf.DUMMYFUNCTION(""""""""" &amp; REGEXEXTRACT(B5592, ""/detail/([^/?]+)"") &amp; """""","""),"""femhimekihpocbkdfimhojklmhkniami"",")</f>
        <v>"femhimekihpocbkdfimhojklmhkniami",</v>
      </c>
    </row>
    <row r="5593">
      <c r="A5593" s="4" t="s">
        <v>24772</v>
      </c>
      <c r="B5593" s="4" t="s">
        <v>11135</v>
      </c>
      <c r="C5593" s="16" t="str">
        <f>IFERROR(__xludf.DUMMYFUNCTION(""""""""" &amp; REGEXEXTRACT(B5593, ""/detail/([^/?]+)"") &amp; """""","""),"""fenhpkaocajfmpchcojgniehkamhkafp"",")</f>
        <v>"fenhpkaocajfmpchcojgniehkamhkafp",</v>
      </c>
    </row>
    <row r="5594">
      <c r="A5594" s="4" t="s">
        <v>24773</v>
      </c>
      <c r="B5594" s="4" t="s">
        <v>11137</v>
      </c>
      <c r="C5594" s="16" t="str">
        <f>IFERROR(__xludf.DUMMYFUNCTION(""""""""" &amp; REGEXEXTRACT(B5594, ""/detail/([^/?]+)"") &amp; """""","""),"""fepoafffphkpcnmmomcofalajmobmojj"",")</f>
        <v>"fepoafffphkpcnmmomcofalajmobmojj",</v>
      </c>
    </row>
    <row r="5595">
      <c r="A5595" s="4" t="s">
        <v>24774</v>
      </c>
      <c r="B5595" s="4" t="s">
        <v>11139</v>
      </c>
      <c r="C5595" s="16" t="str">
        <f>IFERROR(__xludf.DUMMYFUNCTION(""""""""" &amp; REGEXEXTRACT(B5595, ""/detail/([^/?]+)"") &amp; """""","""),"""ffemldjbbfhimggdkkckolidemlllklk"",")</f>
        <v>"ffemldjbbfhimggdkkckolidemlllklk",</v>
      </c>
    </row>
    <row r="5596">
      <c r="A5596" s="4" t="s">
        <v>24775</v>
      </c>
      <c r="B5596" s="4" t="s">
        <v>11141</v>
      </c>
      <c r="C5596" s="16" t="str">
        <f>IFERROR(__xludf.DUMMYFUNCTION(""""""""" &amp; REGEXEXTRACT(B5596, ""/detail/([^/?]+)"") &amp; """""","""),"""fffhehmjhahdjnenkogpejaknlgacanj"",")</f>
        <v>"fffhehmjhahdjnenkogpejaknlgacanj",</v>
      </c>
    </row>
    <row r="5597">
      <c r="A5597" s="4" t="s">
        <v>24776</v>
      </c>
      <c r="B5597" s="4" t="s">
        <v>11143</v>
      </c>
      <c r="C5597" s="16" t="str">
        <f>IFERROR(__xludf.DUMMYFUNCTION(""""""""" &amp; REGEXEXTRACT(B5597, ""/detail/([^/?]+)"") &amp; """""","""),"""ffndamophekokjpnlnmgpdglkmjkcdfc"",")</f>
        <v>"ffndamophekokjpnlnmgpdglkmjkcdfc",</v>
      </c>
    </row>
    <row r="5598">
      <c r="A5598" s="4" t="s">
        <v>24777</v>
      </c>
      <c r="B5598" s="4" t="s">
        <v>11145</v>
      </c>
      <c r="C5598" s="16" t="str">
        <f>IFERROR(__xludf.DUMMYFUNCTION(""""""""" &amp; REGEXEXTRACT(B5598, ""/detail/([^/?]+)"") &amp; """""","""),"""ffpifaemeofjmncjdbegmbpcdaemkeoc"",")</f>
        <v>"ffpifaemeofjmncjdbegmbpcdaemkeoc",</v>
      </c>
    </row>
    <row r="5599">
      <c r="A5599" s="4" t="s">
        <v>24778</v>
      </c>
      <c r="B5599" s="4" t="s">
        <v>11147</v>
      </c>
      <c r="C5599" s="16" t="str">
        <f>IFERROR(__xludf.DUMMYFUNCTION(""""""""" &amp; REGEXEXTRACT(B5599, ""/detail/([^/?]+)"") &amp; """""","""),"""ffpkcknolpnlaecifjnpembbfnbknahd"",")</f>
        <v>"ffpkcknolpnlaecifjnpembbfnbknahd",</v>
      </c>
    </row>
    <row r="5600">
      <c r="A5600" s="4" t="s">
        <v>24779</v>
      </c>
      <c r="B5600" s="4" t="s">
        <v>11149</v>
      </c>
      <c r="C5600" s="16" t="str">
        <f>IFERROR(__xludf.DUMMYFUNCTION(""""""""" &amp; REGEXEXTRACT(B5600, ""/detail/([^/?]+)"") &amp; """""","""),"""fgfmogmmpgfolmebmimlnjbmhecinngd"",")</f>
        <v>"fgfmogmmpgfolmebmimlnjbmhecinngd",</v>
      </c>
    </row>
    <row r="5601">
      <c r="A5601" s="4" t="s">
        <v>24780</v>
      </c>
      <c r="B5601" s="4" t="s">
        <v>11151</v>
      </c>
      <c r="C5601" s="16" t="str">
        <f>IFERROR(__xludf.DUMMYFUNCTION(""""""""" &amp; REGEXEXTRACT(B5601, ""/detail/([^/?]+)"") &amp; """""","""),"""fggehoeohlcblgnaocikggnblikbokdi"",")</f>
        <v>"fggehoeohlcblgnaocikggnblikbokdi",</v>
      </c>
    </row>
    <row r="5602">
      <c r="A5602" s="4" t="s">
        <v>24781</v>
      </c>
      <c r="B5602" s="4" t="s">
        <v>11153</v>
      </c>
      <c r="C5602" s="16" t="str">
        <f>IFERROR(__xludf.DUMMYFUNCTION(""""""""" &amp; REGEXEXTRACT(B5602, ""/detail/([^/?]+)"") &amp; """""","""),"""fghlihhodmdhjbflkmhmfaibhilclahc"",")</f>
        <v>"fghlihhodmdhjbflkmhmfaibhilclahc",</v>
      </c>
    </row>
    <row r="5603">
      <c r="A5603" s="4" t="s">
        <v>24782</v>
      </c>
      <c r="B5603" s="4" t="s">
        <v>11155</v>
      </c>
      <c r="C5603" s="16" t="str">
        <f>IFERROR(__xludf.DUMMYFUNCTION(""""""""" &amp; REGEXEXTRACT(B5603, ""/detail/([^/?]+)"") &amp; """""","""),"""fgjkpniomfjjdnmnahjeglgobdlmglma"",")</f>
        <v>"fgjkpniomfjjdnmnahjeglgobdlmglma",</v>
      </c>
    </row>
    <row r="5604">
      <c r="A5604" s="4" t="s">
        <v>24783</v>
      </c>
      <c r="B5604" s="4" t="s">
        <v>11157</v>
      </c>
      <c r="C5604" s="16" t="str">
        <f>IFERROR(__xludf.DUMMYFUNCTION(""""""""" &amp; REGEXEXTRACT(B5604, ""/detail/([^/?]+)"") &amp; """""","""),"""fglobbnbihckpkodmeefhagijjcjnbeh"",")</f>
        <v>"fglobbnbihckpkodmeefhagijjcjnbeh",</v>
      </c>
    </row>
    <row r="5605">
      <c r="A5605" s="4" t="s">
        <v>24784</v>
      </c>
      <c r="B5605" s="4" t="s">
        <v>11159</v>
      </c>
      <c r="C5605" s="16" t="str">
        <f>IFERROR(__xludf.DUMMYFUNCTION(""""""""" &amp; REGEXEXTRACT(B5605, ""/detail/([^/?]+)"") &amp; """""","""),"""fgnnjldhcpkgffephopliioangockjgk"",")</f>
        <v>"fgnnjldhcpkgffephopliioangockjgk",</v>
      </c>
    </row>
    <row r="5606">
      <c r="A5606" s="4" t="s">
        <v>24785</v>
      </c>
      <c r="B5606" s="4" t="s">
        <v>11161</v>
      </c>
      <c r="C5606" s="16" t="str">
        <f>IFERROR(__xludf.DUMMYFUNCTION(""""""""" &amp; REGEXEXTRACT(B5606, ""/detail/([^/?]+)"") &amp; """""","""),"""fgnpiobcofdgpanjebklpihjmnhfdhic"",")</f>
        <v>"fgnpiobcofdgpanjebklpihjmnhfdhic",</v>
      </c>
    </row>
    <row r="5607">
      <c r="A5607" s="4" t="s">
        <v>24786</v>
      </c>
      <c r="B5607" s="4" t="s">
        <v>11163</v>
      </c>
      <c r="C5607" s="16" t="str">
        <f>IFERROR(__xludf.DUMMYFUNCTION(""""""""" &amp; REGEXEXTRACT(B5607, ""/detail/([^/?]+)"") &amp; """""","""),"""fhaaihkljlacmdclpphnfmjfcckhpjle"",")</f>
        <v>"fhaaihkljlacmdclpphnfmjfcckhpjle",</v>
      </c>
    </row>
    <row r="5608">
      <c r="A5608" s="4" t="s">
        <v>24787</v>
      </c>
      <c r="B5608" s="4" t="s">
        <v>11165</v>
      </c>
      <c r="C5608" s="16" t="str">
        <f>IFERROR(__xludf.DUMMYFUNCTION(""""""""" &amp; REGEXEXTRACT(B5608, ""/detail/([^/?]+)"") &amp; """""","""),"""fhbdfgoahpihjmcpjnhcdofenlhfaicd"",")</f>
        <v>"fhbdfgoahpihjmcpjnhcdofenlhfaicd",</v>
      </c>
    </row>
    <row r="5609">
      <c r="A5609" s="4" t="s">
        <v>24788</v>
      </c>
      <c r="B5609" s="4" t="s">
        <v>11167</v>
      </c>
      <c r="C5609" s="16" t="str">
        <f>IFERROR(__xludf.DUMMYFUNCTION(""""""""" &amp; REGEXEXTRACT(B5609, ""/detail/([^/?]+)"") &amp; """""","""),"""fhbelblobiabomlogejpabonapkencph"",")</f>
        <v>"fhbelblobiabomlogejpabonapkencph",</v>
      </c>
    </row>
    <row r="5610">
      <c r="A5610" s="4" t="s">
        <v>24789</v>
      </c>
      <c r="B5610" s="4" t="s">
        <v>11169</v>
      </c>
      <c r="C5610" s="16" t="str">
        <f>IFERROR(__xludf.DUMMYFUNCTION(""""""""" &amp; REGEXEXTRACT(B5610, ""/detail/([^/?]+)"") &amp; """""","""),"""fhenghaaikkdannghmaapfbngihadgnf"",")</f>
        <v>"fhenghaaikkdannghmaapfbngihadgnf",</v>
      </c>
    </row>
    <row r="5611">
      <c r="A5611" s="4" t="s">
        <v>24790</v>
      </c>
      <c r="B5611" s="4" t="s">
        <v>11171</v>
      </c>
      <c r="C5611" s="16" t="str">
        <f>IFERROR(__xludf.DUMMYFUNCTION(""""""""" &amp; REGEXEXTRACT(B5611, ""/detail/([^/?]+)"") &amp; """""","""),"""fhgdnbefmbjihhjjjlkonajmioaagmoh"",")</f>
        <v>"fhgdnbefmbjihhjjjlkonajmioaagmoh",</v>
      </c>
    </row>
    <row r="5612">
      <c r="A5612" s="4" t="s">
        <v>24791</v>
      </c>
      <c r="B5612" s="4" t="s">
        <v>11173</v>
      </c>
      <c r="C5612" s="16" t="str">
        <f>IFERROR(__xludf.DUMMYFUNCTION(""""""""" &amp; REGEXEXTRACT(B5612, ""/detail/([^/?]+)"") &amp; """""","""),"""fhljkabkmnoeecgibakgnkkdmheccecg"",")</f>
        <v>"fhljkabkmnoeecgibakgnkkdmheccecg",</v>
      </c>
    </row>
    <row r="5613">
      <c r="A5613" s="4" t="s">
        <v>24792</v>
      </c>
      <c r="B5613" s="4" t="s">
        <v>11175</v>
      </c>
      <c r="C5613" s="16" t="str">
        <f>IFERROR(__xludf.DUMMYFUNCTION(""""""""" &amp; REGEXEXTRACT(B5613, ""/detail/([^/?]+)"") &amp; """""","""),"""fhnbdhpddlplookheppaagkaccfancck"",")</f>
        <v>"fhnbdhpddlplookheppaagkaccfancck",</v>
      </c>
    </row>
    <row r="5614">
      <c r="A5614" s="4" t="s">
        <v>24793</v>
      </c>
      <c r="B5614" s="4" t="s">
        <v>11177</v>
      </c>
      <c r="C5614" s="16" t="str">
        <f>IFERROR(__xludf.DUMMYFUNCTION(""""""""" &amp; REGEXEXTRACT(B5614, ""/detail/([^/?]+)"") &amp; """""","""),"""fibmipocbhmmodnjfioojdfobejfdajg"",")</f>
        <v>"fibmipocbhmmodnjfioojdfobejfdajg",</v>
      </c>
    </row>
    <row r="5615">
      <c r="A5615" s="4" t="s">
        <v>24794</v>
      </c>
      <c r="B5615" s="4" t="s">
        <v>11179</v>
      </c>
      <c r="C5615" s="16" t="str">
        <f>IFERROR(__xludf.DUMMYFUNCTION(""""""""" &amp; REGEXEXTRACT(B5615, ""/detail/([^/?]+)"") &amp; """""","""),"""ficbamdhpkgoalecmiclffghlllemcki"",")</f>
        <v>"ficbamdhpkgoalecmiclffghlllemcki",</v>
      </c>
    </row>
    <row r="5616">
      <c r="A5616" s="4" t="s">
        <v>24795</v>
      </c>
      <c r="B5616" s="4" t="s">
        <v>11181</v>
      </c>
      <c r="C5616" s="16" t="str">
        <f>IFERROR(__xludf.DUMMYFUNCTION(""""""""" &amp; REGEXEXTRACT(B5616, ""/detail/([^/?]+)"") &amp; """""","""),"""fichomnnmpafldcbpelajknhhmcafcca"",")</f>
        <v>"fichomnnmpafldcbpelajknhhmcafcca",</v>
      </c>
    </row>
    <row r="5617">
      <c r="A5617" s="4" t="s">
        <v>24796</v>
      </c>
      <c r="B5617" s="4" t="s">
        <v>11183</v>
      </c>
      <c r="C5617" s="16" t="str">
        <f>IFERROR(__xludf.DUMMYFUNCTION(""""""""" &amp; REGEXEXTRACT(B5617, ""/detail/([^/?]+)"") &amp; """""","""),"""fiefoaeemgdpplhofbhkdehoidoajfld"",")</f>
        <v>"fiefoaeemgdpplhofbhkdehoidoajfld",</v>
      </c>
    </row>
    <row r="5618">
      <c r="A5618" s="4" t="s">
        <v>24797</v>
      </c>
      <c r="B5618" s="4" t="s">
        <v>11185</v>
      </c>
      <c r="C5618" s="16" t="str">
        <f>IFERROR(__xludf.DUMMYFUNCTION(""""""""" &amp; REGEXEXTRACT(B5618, ""/detail/([^/?]+)"") &amp; """""","""),"""fiflmfdkmjodhcppbeabhjdmljkifigf"",")</f>
        <v>"fiflmfdkmjodhcppbeabhjdmljkifigf",</v>
      </c>
    </row>
    <row r="5619">
      <c r="A5619" s="4" t="s">
        <v>24798</v>
      </c>
      <c r="B5619" s="4" t="s">
        <v>11187</v>
      </c>
      <c r="C5619" s="16" t="str">
        <f>IFERROR(__xludf.DUMMYFUNCTION(""""""""" &amp; REGEXEXTRACT(B5619, ""/detail/([^/?]+)"") &amp; """""","""),"""fijaenjgknobfdombbdchngpamggajpm"",")</f>
        <v>"fijaenjgknobfdombbdchngpamggajpm",</v>
      </c>
    </row>
    <row r="5620">
      <c r="A5620" s="4" t="s">
        <v>24799</v>
      </c>
      <c r="B5620" s="4" t="s">
        <v>11189</v>
      </c>
      <c r="C5620" s="16" t="str">
        <f>IFERROR(__xludf.DUMMYFUNCTION(""""""""" &amp; REGEXEXTRACT(B5620, ""/detail/([^/?]+)"") &amp; """""","""),"""fikbcnlbgoafooldbkgikejejhaddajg"",")</f>
        <v>"fikbcnlbgoafooldbkgikejejhaddajg",</v>
      </c>
    </row>
    <row r="5621">
      <c r="A5621" s="4" t="s">
        <v>24800</v>
      </c>
      <c r="B5621" s="4" t="s">
        <v>11191</v>
      </c>
      <c r="C5621" s="16" t="str">
        <f>IFERROR(__xludf.DUMMYFUNCTION(""""""""" &amp; REGEXEXTRACT(B5621, ""/detail/([^/?]+)"") &amp; """""","""),"""fikbnglopgmdoobfkallgioahbeddajc"",")</f>
        <v>"fikbnglopgmdoobfkallgioahbeddajc",</v>
      </c>
    </row>
    <row r="5622">
      <c r="A5622" s="4" t="s">
        <v>24801</v>
      </c>
      <c r="B5622" s="4" t="s">
        <v>11193</v>
      </c>
      <c r="C5622" s="16" t="str">
        <f>IFERROR(__xludf.DUMMYFUNCTION(""""""""" &amp; REGEXEXTRACT(B5622, ""/detail/([^/?]+)"") &amp; """""","""),"""fikolfjjlmpebakleinkgcnpomjoodhn"",")</f>
        <v>"fikolfjjlmpebakleinkgcnpomjoodhn",</v>
      </c>
    </row>
    <row r="5623">
      <c r="A5623" s="4" t="s">
        <v>24802</v>
      </c>
      <c r="B5623" s="4" t="s">
        <v>11195</v>
      </c>
      <c r="C5623" s="16" t="str">
        <f>IFERROR(__xludf.DUMMYFUNCTION(""""""""" &amp; REGEXEXTRACT(B5623, ""/detail/([^/?]+)"") &amp; """""","""),"""finhmpmkpbacljcdemplngnnjdenihpp"",")</f>
        <v>"finhmpmkpbacljcdemplngnnjdenihpp",</v>
      </c>
    </row>
    <row r="5624">
      <c r="A5624" s="4" t="s">
        <v>24803</v>
      </c>
      <c r="B5624" s="4" t="s">
        <v>11197</v>
      </c>
      <c r="C5624" s="16" t="str">
        <f>IFERROR(__xludf.DUMMYFUNCTION(""""""""" &amp; REGEXEXTRACT(B5624, ""/detail/([^/?]+)"") &amp; """""","""),"""fjbjbkoepflddmlieaicfhelkdmkbcdb"",")</f>
        <v>"fjbjbkoepflddmlieaicfhelkdmkbcdb",</v>
      </c>
    </row>
    <row r="5625">
      <c r="A5625" s="4" t="s">
        <v>24804</v>
      </c>
      <c r="B5625" s="4" t="s">
        <v>11199</v>
      </c>
      <c r="C5625" s="16" t="str">
        <f>IFERROR(__xludf.DUMMYFUNCTION(""""""""" &amp; REGEXEXTRACT(B5625, ""/detail/([^/?]+)"") &amp; """""","""),"""fjbnbhebgopdlgahhommoinamobocdmo"",")</f>
        <v>"fjbnbhebgopdlgahhommoinamobocdmo",</v>
      </c>
    </row>
    <row r="5626">
      <c r="A5626" s="4" t="s">
        <v>24805</v>
      </c>
      <c r="B5626" s="4" t="s">
        <v>11201</v>
      </c>
      <c r="C5626" s="16" t="str">
        <f>IFERROR(__xludf.DUMMYFUNCTION(""""""""" &amp; REGEXEXTRACT(B5626, ""/detail/([^/?]+)"") &amp; """""","""),"""fjeioblmaijiakkflmjnbnhcdmnhlhde"",")</f>
        <v>"fjeioblmaijiakkflmjnbnhcdmnhlhde",</v>
      </c>
    </row>
    <row r="5627">
      <c r="A5627" s="4" t="s">
        <v>24806</v>
      </c>
      <c r="B5627" s="4" t="s">
        <v>11203</v>
      </c>
      <c r="C5627" s="16" t="str">
        <f>IFERROR(__xludf.DUMMYFUNCTION(""""""""" &amp; REGEXEXTRACT(B5627, ""/detail/([^/?]+)"") &amp; """""","""),"""fjfgeonblbdcofcokojamlcnomcdliap"",")</f>
        <v>"fjfgeonblbdcofcokojamlcnomcdliap",</v>
      </c>
    </row>
    <row r="5628">
      <c r="A5628" s="4" t="s">
        <v>24807</v>
      </c>
      <c r="B5628" s="4" t="s">
        <v>11205</v>
      </c>
      <c r="C5628" s="16" t="str">
        <f>IFERROR(__xludf.DUMMYFUNCTION(""""""""" &amp; REGEXEXTRACT(B5628, ""/detail/([^/?]+)"") &amp; """""","""),"""fjgbnnhgejbfgfbofeohlffjlpceejlm"",")</f>
        <v>"fjgbnnhgejbfgfbofeohlffjlpceejlm",</v>
      </c>
    </row>
    <row r="5629">
      <c r="A5629" s="4" t="s">
        <v>24808</v>
      </c>
      <c r="B5629" s="4" t="s">
        <v>11207</v>
      </c>
      <c r="C5629" s="16" t="str">
        <f>IFERROR(__xludf.DUMMYFUNCTION(""""""""" &amp; REGEXEXTRACT(B5629, ""/detail/([^/?]+)"") &amp; """""","""),"""fjggbafppemkjilmleaibofamjedkkgb"",")</f>
        <v>"fjggbafppemkjilmleaibofamjedkkgb",</v>
      </c>
    </row>
    <row r="5630">
      <c r="A5630" s="4" t="s">
        <v>24809</v>
      </c>
      <c r="B5630" s="4" t="s">
        <v>11209</v>
      </c>
      <c r="C5630" s="16" t="str">
        <f>IFERROR(__xludf.DUMMYFUNCTION(""""""""" &amp; REGEXEXTRACT(B5630, ""/detail/([^/?]+)"") &amp; """""","""),"""fjjkbjfmekjgnedpdpgnpjakppmkpidn"",")</f>
        <v>"fjjkbjfmekjgnedpdpgnpjakppmkpidn",</v>
      </c>
    </row>
    <row r="5631">
      <c r="A5631" s="4" t="s">
        <v>24810</v>
      </c>
      <c r="B5631" s="4" t="s">
        <v>11211</v>
      </c>
      <c r="C5631" s="16" t="str">
        <f>IFERROR(__xludf.DUMMYFUNCTION(""""""""" &amp; REGEXEXTRACT(B5631, ""/detail/([^/?]+)"") &amp; """""","""),"""fjjmlofpfnccdaiplopjkgeifgbhiccl"",")</f>
        <v>"fjjmlofpfnccdaiplopjkgeifgbhiccl",</v>
      </c>
    </row>
    <row r="5632">
      <c r="A5632" s="4" t="s">
        <v>24811</v>
      </c>
      <c r="B5632" s="4" t="s">
        <v>11213</v>
      </c>
      <c r="C5632" s="16" t="str">
        <f>IFERROR(__xludf.DUMMYFUNCTION(""""""""" &amp; REGEXEXTRACT(B5632, ""/detail/([^/?]+)"") &amp; """""","""),"""fjkmgjdhaagkgbaejlglkiacpfchncke"",")</f>
        <v>"fjkmgjdhaagkgbaejlglkiacpfchncke",</v>
      </c>
    </row>
    <row r="5633">
      <c r="A5633" s="4" t="s">
        <v>24812</v>
      </c>
      <c r="B5633" s="4" t="s">
        <v>11215</v>
      </c>
      <c r="C5633" s="16" t="str">
        <f>IFERROR(__xludf.DUMMYFUNCTION(""""""""" &amp; REGEXEXTRACT(B5633, ""/detail/([^/?]+)"") &amp; """""","""),"""fkbigbddainndbfabdcmbhgionobgina"",")</f>
        <v>"fkbigbddainndbfabdcmbhgionobgina",</v>
      </c>
    </row>
    <row r="5634">
      <c r="A5634" s="4" t="s">
        <v>24813</v>
      </c>
      <c r="B5634" s="4" t="s">
        <v>11217</v>
      </c>
      <c r="C5634" s="16" t="str">
        <f>IFERROR(__xludf.DUMMYFUNCTION(""""""""" &amp; REGEXEXTRACT(B5634, ""/detail/([^/?]+)"") &amp; """""","""),"""fkcahpakljaenbeobgjlefompnldambb"",")</f>
        <v>"fkcahpakljaenbeobgjlefompnldambb",</v>
      </c>
    </row>
    <row r="5635">
      <c r="A5635" s="4" t="s">
        <v>24814</v>
      </c>
      <c r="B5635" s="4" t="s">
        <v>11219</v>
      </c>
      <c r="C5635" s="16" t="str">
        <f>IFERROR(__xludf.DUMMYFUNCTION(""""""""" &amp; REGEXEXTRACT(B5635, ""/detail/([^/?]+)"") &amp; """""","""),"""fkcljmgncjjkckdandfdodbgdefgbjep"",")</f>
        <v>"fkcljmgncjjkckdandfdodbgdefgbjep",</v>
      </c>
    </row>
    <row r="5636">
      <c r="A5636" s="4" t="s">
        <v>24815</v>
      </c>
      <c r="B5636" s="4" t="s">
        <v>11221</v>
      </c>
      <c r="C5636" s="16" t="str">
        <f>IFERROR(__xludf.DUMMYFUNCTION(""""""""" &amp; REGEXEXTRACT(B5636, ""/detail/([^/?]+)"") &amp; """""","""),"""fkdjhomfkhllofmhjhnecclikkdhkjpj"",")</f>
        <v>"fkdjhomfkhllofmhjhnecclikkdhkjpj",</v>
      </c>
    </row>
    <row r="5637">
      <c r="A5637" s="4" t="s">
        <v>24816</v>
      </c>
      <c r="B5637" s="4" t="s">
        <v>11223</v>
      </c>
      <c r="C5637" s="16" t="str">
        <f>IFERROR(__xludf.DUMMYFUNCTION(""""""""" &amp; REGEXEXTRACT(B5637, ""/detail/([^/?]+)"") &amp; """""","""),"""fkdnpnhfpckhhihenedafjmejflipbam"",")</f>
        <v>"fkdnpnhfpckhhihenedafjmejflipbam",</v>
      </c>
    </row>
    <row r="5638">
      <c r="A5638" s="4" t="s">
        <v>24817</v>
      </c>
      <c r="B5638" s="4" t="s">
        <v>11224</v>
      </c>
      <c r="C5638" s="16" t="str">
        <f>IFERROR(__xludf.DUMMYFUNCTION(""""""""" &amp; REGEXEXTRACT(B5638, ""/detail/([^/?]+)"") &amp; """""","""),"""fkdpgnngeoheiclbcljihebimblcbcjj"",")</f>
        <v>"fkdpgnngeoheiclbcljihebimblcbcjj",</v>
      </c>
    </row>
    <row r="5639">
      <c r="A5639" s="4" t="s">
        <v>24818</v>
      </c>
      <c r="B5639" s="4" t="s">
        <v>11226</v>
      </c>
      <c r="C5639" s="16" t="str">
        <f>IFERROR(__xludf.DUMMYFUNCTION(""""""""" &amp; REGEXEXTRACT(B5639, ""/detail/([^/?]+)"") &amp; """""","""),"""fkedgglbeenhodhknmpibnbhgfbphggp"",")</f>
        <v>"fkedgglbeenhodhknmpibnbhgfbphggp",</v>
      </c>
    </row>
    <row r="5640">
      <c r="A5640" s="4" t="s">
        <v>24819</v>
      </c>
      <c r="B5640" s="4" t="s">
        <v>11228</v>
      </c>
      <c r="C5640" s="16" t="str">
        <f>IFERROR(__xludf.DUMMYFUNCTION(""""""""" &amp; REGEXEXTRACT(B5640, ""/detail/([^/?]+)"") &amp; """""","""),"""fkenopinnpinfcjneoanjoimhkmdcjne"",")</f>
        <v>"fkenopinnpinfcjneoanjoimhkmdcjne",</v>
      </c>
    </row>
    <row r="5641">
      <c r="A5641" s="4" t="s">
        <v>24820</v>
      </c>
      <c r="B5641" s="4" t="s">
        <v>11230</v>
      </c>
      <c r="C5641" s="16" t="str">
        <f>IFERROR(__xludf.DUMMYFUNCTION(""""""""" &amp; REGEXEXTRACT(B5641, ""/detail/([^/?]+)"") &amp; """""","""),"""fkfpfifjldhigjfibnnnidopknecocbc"",")</f>
        <v>"fkfpfifjldhigjfibnnnidopknecocbc",</v>
      </c>
    </row>
    <row r="5642">
      <c r="A5642" s="4" t="s">
        <v>24821</v>
      </c>
      <c r="B5642" s="4" t="s">
        <v>11232</v>
      </c>
      <c r="C5642" s="16" t="str">
        <f>IFERROR(__xludf.DUMMYFUNCTION(""""""""" &amp; REGEXEXTRACT(B5642, ""/detail/([^/?]+)"") &amp; """""","""),"""fkhfmlkfiaafmoaobaofhldnlgapekhl"",")</f>
        <v>"fkhfmlkfiaafmoaobaofhldnlgapekhl",</v>
      </c>
    </row>
    <row r="5643">
      <c r="A5643" s="4" t="s">
        <v>24822</v>
      </c>
      <c r="B5643" s="4" t="s">
        <v>11234</v>
      </c>
      <c r="C5643" s="16" t="str">
        <f>IFERROR(__xludf.DUMMYFUNCTION(""""""""" &amp; REGEXEXTRACT(B5643, ""/detail/([^/?]+)"") &amp; """""","""),"""fkhkpjiagcmkicnbmnnlfdjodhbblnkl"",")</f>
        <v>"fkhkpjiagcmkicnbmnnlfdjodhbblnkl",</v>
      </c>
    </row>
    <row r="5644">
      <c r="A5644" s="4" t="s">
        <v>24823</v>
      </c>
      <c r="B5644" s="4" t="s">
        <v>11236</v>
      </c>
      <c r="C5644" s="16" t="str">
        <f>IFERROR(__xludf.DUMMYFUNCTION(""""""""" &amp; REGEXEXTRACT(B5644, ""/detail/([^/?]+)"") &amp; """""","""),"""fkmakjnhammpmefchjkboohfgebblhab"",")</f>
        <v>"fkmakjnhammpmefchjkboohfgebblhab",</v>
      </c>
    </row>
    <row r="5645">
      <c r="A5645" s="4" t="s">
        <v>24824</v>
      </c>
      <c r="B5645" s="4" t="s">
        <v>11238</v>
      </c>
      <c r="C5645" s="16" t="str">
        <f>IFERROR(__xludf.DUMMYFUNCTION(""""""""" &amp; REGEXEXTRACT(B5645, ""/detail/([^/?]+)"") &amp; """""","""),"""fkojelfjjlmjcdlgldmkfhkbbdgbkejn"",")</f>
        <v>"fkojelfjjlmjcdlgldmkfhkbbdgbkejn",</v>
      </c>
    </row>
    <row r="5646">
      <c r="A5646" s="4" t="s">
        <v>24825</v>
      </c>
      <c r="B5646" s="4" t="s">
        <v>11240</v>
      </c>
      <c r="C5646" s="16" t="str">
        <f>IFERROR(__xludf.DUMMYFUNCTION(""""""""" &amp; REGEXEXTRACT(B5646, ""/detail/([^/?]+)"") &amp; """""","""),"""fldajflbololikdfkenehickgniedbdb"",")</f>
        <v>"fldajflbololikdfkenehickgniedbdb",</v>
      </c>
    </row>
    <row r="5647">
      <c r="A5647" s="4" t="s">
        <v>24826</v>
      </c>
      <c r="B5647" s="4" t="s">
        <v>11242</v>
      </c>
      <c r="C5647" s="16" t="str">
        <f>IFERROR(__xludf.DUMMYFUNCTION(""""""""" &amp; REGEXEXTRACT(B5647, ""/detail/([^/?]+)"") &amp; """""","""),"""fldnfkeijmngmgjgnagiidmonemlbmpl"",")</f>
        <v>"fldnfkeijmngmgjgnagiidmonemlbmpl",</v>
      </c>
    </row>
    <row r="5648">
      <c r="A5648" s="4" t="s">
        <v>24827</v>
      </c>
      <c r="B5648" s="4" t="s">
        <v>11244</v>
      </c>
      <c r="C5648" s="16" t="str">
        <f>IFERROR(__xludf.DUMMYFUNCTION(""""""""" &amp; REGEXEXTRACT(B5648, ""/detail/([^/?]+)"") &amp; """""","""),"""fldngcbchlbfgbccilklplmhljilhfch"",")</f>
        <v>"fldngcbchlbfgbccilklplmhljilhfch",</v>
      </c>
    </row>
    <row r="5649">
      <c r="A5649" s="4" t="s">
        <v>24828</v>
      </c>
      <c r="B5649" s="4" t="s">
        <v>11246</v>
      </c>
      <c r="C5649" s="16" t="str">
        <f>IFERROR(__xludf.DUMMYFUNCTION(""""""""" &amp; REGEXEXTRACT(B5649, ""/detail/([^/?]+)"") &amp; """""","""),"""flicfhphobgnnpfhieodmggibdhadhnh"",")</f>
        <v>"flicfhphobgnnpfhieodmggibdhadhnh",</v>
      </c>
    </row>
    <row r="5650">
      <c r="A5650" s="4" t="s">
        <v>24829</v>
      </c>
      <c r="B5650" s="4" t="s">
        <v>11248</v>
      </c>
      <c r="C5650" s="16" t="str">
        <f>IFERROR(__xludf.DUMMYFUNCTION(""""""""" &amp; REGEXEXTRACT(B5650, ""/detail/([^/?]+)"") &amp; """""","""),"""flnpcnpfgfcepjbngdeocjodncnljaig"",")</f>
        <v>"flnpcnpfgfcepjbngdeocjodncnljaig",</v>
      </c>
    </row>
    <row r="5651">
      <c r="A5651" s="4" t="s">
        <v>24830</v>
      </c>
      <c r="B5651" s="4" t="s">
        <v>11250</v>
      </c>
      <c r="C5651" s="16" t="str">
        <f>IFERROR(__xludf.DUMMYFUNCTION(""""""""" &amp; REGEXEXTRACT(B5651, ""/detail/([^/?]+)"") &amp; """""","""),"""flompapkhbacnpmgokmghphpohejaohn"",")</f>
        <v>"flompapkhbacnpmgokmghphpohejaohn",</v>
      </c>
    </row>
    <row r="5652">
      <c r="A5652" s="4" t="s">
        <v>24831</v>
      </c>
      <c r="B5652" s="4" t="s">
        <v>11252</v>
      </c>
      <c r="C5652" s="16" t="str">
        <f>IFERROR(__xludf.DUMMYFUNCTION(""""""""" &amp; REGEXEXTRACT(B5652, ""/detail/([^/?]+)"") &amp; """""","""),"""fmaghpidamhgpflfpekegcleapoapjba"",")</f>
        <v>"fmaghpidamhgpflfpekegcleapoapjba",</v>
      </c>
    </row>
    <row r="5653">
      <c r="A5653" s="4" t="s">
        <v>24832</v>
      </c>
      <c r="B5653" s="4" t="s">
        <v>11254</v>
      </c>
      <c r="C5653" s="16" t="str">
        <f>IFERROR(__xludf.DUMMYFUNCTION(""""""""" &amp; REGEXEXTRACT(B5653, ""/detail/([^/?]+)"") &amp; """""","""),"""fmbbgedgoimcifgdghmifpnpcfaioena"",")</f>
        <v>"fmbbgedgoimcifgdghmifpnpcfaioena",</v>
      </c>
    </row>
    <row r="5654">
      <c r="A5654" s="4" t="s">
        <v>24833</v>
      </c>
      <c r="B5654" s="4" t="s">
        <v>11256</v>
      </c>
      <c r="C5654" s="16" t="str">
        <f>IFERROR(__xludf.DUMMYFUNCTION(""""""""" &amp; REGEXEXTRACT(B5654, ""/detail/([^/?]+)"") &amp; """""","""),"""fmbcdhjmhddnnpeomknikdbboejbhdcl"",")</f>
        <v>"fmbcdhjmhddnnpeomknikdbboejbhdcl",</v>
      </c>
    </row>
    <row r="5655">
      <c r="A5655" s="4" t="s">
        <v>24834</v>
      </c>
      <c r="B5655" s="4" t="s">
        <v>11258</v>
      </c>
      <c r="C5655" s="16" t="str">
        <f>IFERROR(__xludf.DUMMYFUNCTION(""""""""" &amp; REGEXEXTRACT(B5655, ""/detail/([^/?]+)"") &amp; """""","""),"""fncdipbcmcjafbnfkkfgocoghjjdmfej"",")</f>
        <v>"fncdipbcmcjafbnfkkfgocoghjjdmfej",</v>
      </c>
    </row>
    <row r="5656">
      <c r="A5656" s="4" t="s">
        <v>24835</v>
      </c>
      <c r="B5656" s="4" t="s">
        <v>11260</v>
      </c>
      <c r="C5656" s="16" t="str">
        <f>IFERROR(__xludf.DUMMYFUNCTION(""""""""" &amp; REGEXEXTRACT(B5656, ""/detail/([^/?]+)"") &amp; """""","""),"""fnlkljfogjamjaemldpapdokokkifmib"",")</f>
        <v>"fnlkljfogjamjaemldpapdokokkifmib",</v>
      </c>
    </row>
    <row r="5657">
      <c r="A5657" s="4" t="s">
        <v>24836</v>
      </c>
      <c r="B5657" s="4" t="s">
        <v>11262</v>
      </c>
      <c r="C5657" s="16" t="str">
        <f>IFERROR(__xludf.DUMMYFUNCTION(""""""""" &amp; REGEXEXTRACT(B5657, ""/detail/([^/?]+)"") &amp; """""","""),"""fnmdahffmlhakdfmdimpmdffegffldad"",")</f>
        <v>"fnmdahffmlhakdfmdimpmdffegffldad",</v>
      </c>
    </row>
    <row r="5658">
      <c r="A5658" s="4" t="s">
        <v>24837</v>
      </c>
      <c r="B5658" s="4" t="s">
        <v>11264</v>
      </c>
      <c r="C5658" s="16" t="str">
        <f>IFERROR(__xludf.DUMMYFUNCTION(""""""""" &amp; REGEXEXTRACT(B5658, ""/detail/([^/?]+)"") &amp; """""","""),"""fnmndjbocidkodmnhanjingkafiihphh"",")</f>
        <v>"fnmndjbocidkodmnhanjingkafiihphh",</v>
      </c>
    </row>
    <row r="5659">
      <c r="A5659" s="4" t="s">
        <v>24838</v>
      </c>
      <c r="B5659" s="4" t="s">
        <v>11266</v>
      </c>
      <c r="C5659" s="16" t="str">
        <f>IFERROR(__xludf.DUMMYFUNCTION(""""""""" &amp; REGEXEXTRACT(B5659, ""/detail/([^/?]+)"") &amp; """""","""),"""fnpgnmindcbkjbpblcklealdhnogmlko"",")</f>
        <v>"fnpgnmindcbkjbpblcklealdhnogmlko",</v>
      </c>
    </row>
    <row r="5660">
      <c r="A5660" s="4" t="s">
        <v>24839</v>
      </c>
      <c r="B5660" s="4" t="s">
        <v>11268</v>
      </c>
      <c r="C5660" s="16" t="str">
        <f>IFERROR(__xludf.DUMMYFUNCTION(""""""""" &amp; REGEXEXTRACT(B5660, ""/detail/([^/?]+)"") &amp; """""","""),"""foelobhaomlkojekpgenegcfedbgemej"",")</f>
        <v>"foelobhaomlkojekpgenegcfedbgemej",</v>
      </c>
    </row>
    <row r="5661">
      <c r="A5661" s="4" t="s">
        <v>24840</v>
      </c>
      <c r="B5661" s="4" t="s">
        <v>11270</v>
      </c>
      <c r="C5661" s="16" t="str">
        <f>IFERROR(__xludf.DUMMYFUNCTION(""""""""" &amp; REGEXEXTRACT(B5661, ""/detail/([^/?]+)"") &amp; """""","""),"""fomablkkbmbjodfinocpjfakdieacgji"",")</f>
        <v>"fomablkkbmbjodfinocpjfakdieacgji",</v>
      </c>
    </row>
    <row r="5662">
      <c r="A5662" s="4" t="s">
        <v>24841</v>
      </c>
      <c r="B5662" s="4" t="s">
        <v>11272</v>
      </c>
      <c r="C5662" s="16" t="str">
        <f>IFERROR(__xludf.DUMMYFUNCTION(""""""""" &amp; REGEXEXTRACT(B5662, ""/detail/([^/?]+)"") &amp; """""","""),"""fomndpnkhdffldikpeefdjeiebjdbgmn"",")</f>
        <v>"fomndpnkhdffldikpeefdjeiebjdbgmn",</v>
      </c>
    </row>
    <row r="5663">
      <c r="A5663" s="4" t="s">
        <v>24842</v>
      </c>
      <c r="B5663" s="4" t="s">
        <v>11274</v>
      </c>
      <c r="C5663" s="16" t="str">
        <f>IFERROR(__xludf.DUMMYFUNCTION(""""""""" &amp; REGEXEXTRACT(B5663, ""/detail/([^/?]+)"") &amp; """""","""),"""fpfccnfknmankeccdibflfjjpifpnfbe"",")</f>
        <v>"fpfccnfknmankeccdibflfjjpifpnfbe",</v>
      </c>
    </row>
    <row r="5664">
      <c r="A5664" s="4" t="s">
        <v>24843</v>
      </c>
      <c r="B5664" s="4" t="s">
        <v>11276</v>
      </c>
      <c r="C5664" s="16" t="str">
        <f>IFERROR(__xludf.DUMMYFUNCTION(""""""""" &amp; REGEXEXTRACT(B5664, ""/detail/([^/?]+)"") &amp; """""","""),"""fpgiejkdidmmdhcaieeafclkikdaknhd"",")</f>
        <v>"fpgiejkdidmmdhcaieeafclkikdaknhd",</v>
      </c>
    </row>
    <row r="5665">
      <c r="A5665" s="4" t="s">
        <v>24844</v>
      </c>
      <c r="B5665" s="4" t="s">
        <v>11278</v>
      </c>
      <c r="C5665" s="16" t="str">
        <f>IFERROR(__xludf.DUMMYFUNCTION(""""""""" &amp; REGEXEXTRACT(B5665, ""/detail/([^/?]+)"") &amp; """""","""),"""fpkhlnacfhciopipcjpcjmkpldbogaeo"",")</f>
        <v>"fpkhlnacfhciopipcjpcjmkpldbogaeo",</v>
      </c>
    </row>
    <row r="5666">
      <c r="A5666" s="4" t="s">
        <v>24845</v>
      </c>
      <c r="B5666" s="4" t="s">
        <v>11280</v>
      </c>
      <c r="C5666" s="16" t="str">
        <f>IFERROR(__xludf.DUMMYFUNCTION(""""""""" &amp; REGEXEXTRACT(B5666, ""/detail/([^/?]+)"") &amp; """""","""),"""fpmfnhlniafpabplcacficlgmnnckggm"",")</f>
        <v>"fpmfnhlniafpabplcacficlgmnnckggm",</v>
      </c>
    </row>
    <row r="5667">
      <c r="A5667" s="4" t="s">
        <v>24846</v>
      </c>
      <c r="B5667" s="4" t="s">
        <v>11282</v>
      </c>
      <c r="C5667" s="16" t="str">
        <f>IFERROR(__xludf.DUMMYFUNCTION(""""""""" &amp; REGEXEXTRACT(B5667, ""/detail/([^/?]+)"") &amp; """""","""),"""gadhgehadcnbmhjkpnjbhjhdbohdokpj"",")</f>
        <v>"gadhgehadcnbmhjkpnjbhjhdbohdokpj",</v>
      </c>
    </row>
    <row r="5668">
      <c r="A5668" s="4" t="s">
        <v>24847</v>
      </c>
      <c r="B5668" s="4" t="s">
        <v>11283</v>
      </c>
      <c r="C5668" s="16" t="str">
        <f>IFERROR(__xludf.DUMMYFUNCTION(""""""""" &amp; REGEXEXTRACT(B5668, ""/detail/([^/?]+)"") &amp; """""","""),"""gajcbmkmmcacnlpaffppednahicmomfn"",")</f>
        <v>"gajcbmkmmcacnlpaffppednahicmomfn",</v>
      </c>
    </row>
    <row r="5669">
      <c r="A5669" s="4" t="s">
        <v>24848</v>
      </c>
      <c r="B5669" s="4" t="s">
        <v>11285</v>
      </c>
      <c r="C5669" s="16" t="str">
        <f>IFERROR(__xludf.DUMMYFUNCTION(""""""""" &amp; REGEXEXTRACT(B5669, ""/detail/([^/?]+)"") &amp; """""","""),"""gamblpaiplkihjneblbnoniddfockndi"",")</f>
        <v>"gamblpaiplkihjneblbnoniddfockndi",</v>
      </c>
    </row>
    <row r="5670">
      <c r="A5670" s="4" t="s">
        <v>24849</v>
      </c>
      <c r="B5670" s="4" t="s">
        <v>11287</v>
      </c>
      <c r="C5670" s="16" t="str">
        <f>IFERROR(__xludf.DUMMYFUNCTION(""""""""" &amp; REGEXEXTRACT(B5670, ""/detail/([^/?]+)"") &amp; """""","""),"""ganicbccpopbpidgkpeflfmmhjbkbonj"",")</f>
        <v>"ganicbccpopbpidgkpeflfmmhjbkbonj",</v>
      </c>
    </row>
    <row r="5671">
      <c r="A5671" s="4" t="s">
        <v>24850</v>
      </c>
      <c r="B5671" s="4" t="s">
        <v>11289</v>
      </c>
      <c r="C5671" s="16" t="str">
        <f>IFERROR(__xludf.DUMMYFUNCTION(""""""""" &amp; REGEXEXTRACT(B5671, ""/detail/([^/?]+)"") &amp; """""","""),"""ganniadnoflaogjededkdpicdfkloajf"",")</f>
        <v>"ganniadnoflaogjededkdpicdfkloajf",</v>
      </c>
    </row>
    <row r="5672">
      <c r="A5672" s="4" t="s">
        <v>24851</v>
      </c>
      <c r="B5672" s="4" t="s">
        <v>11291</v>
      </c>
      <c r="C5672" s="16" t="str">
        <f>IFERROR(__xludf.DUMMYFUNCTION(""""""""" &amp; REGEXEXTRACT(B5672, ""/detail/([^/?]+)"") &amp; """""","""),"""gbfhdedhodbapamdigljaeenfpnilibo"",")</f>
        <v>"gbfhdedhodbapamdigljaeenfpnilibo",</v>
      </c>
    </row>
    <row r="5673">
      <c r="A5673" s="4" t="s">
        <v>24852</v>
      </c>
      <c r="B5673" s="4" t="s">
        <v>11293</v>
      </c>
      <c r="C5673" s="16" t="str">
        <f>IFERROR(__xludf.DUMMYFUNCTION(""""""""" &amp; REGEXEXTRACT(B5673, ""/detail/([^/?]+)"") &amp; """""","""),"""gbghegmimhjemkhpimohkdopkeahldbh"",")</f>
        <v>"gbghegmimhjemkhpimohkdopkeahldbh",</v>
      </c>
    </row>
    <row r="5674">
      <c r="A5674" s="4" t="s">
        <v>24853</v>
      </c>
      <c r="B5674" s="4" t="s">
        <v>11295</v>
      </c>
      <c r="C5674" s="16" t="str">
        <f>IFERROR(__xludf.DUMMYFUNCTION(""""""""" &amp; REGEXEXTRACT(B5674, ""/detail/([^/?]+)"") &amp; """""","""),"""gbgigcmlilhenhgdndoejbenepgeaahc"",")</f>
        <v>"gbgigcmlilhenhgdndoejbenepgeaahc",</v>
      </c>
    </row>
    <row r="5675">
      <c r="A5675" s="4" t="s">
        <v>24854</v>
      </c>
      <c r="B5675" s="4" t="s">
        <v>11297</v>
      </c>
      <c r="C5675" s="16" t="str">
        <f>IFERROR(__xludf.DUMMYFUNCTION(""""""""" &amp; REGEXEXTRACT(B5675, ""/detail/([^/?]+)"") &amp; """""","""),"""gbladodjhonkijdnbbcfoingmljmolnp"",")</f>
        <v>"gbladodjhonkijdnbbcfoingmljmolnp",</v>
      </c>
    </row>
    <row r="5676">
      <c r="A5676" s="4" t="s">
        <v>24855</v>
      </c>
      <c r="B5676" s="4" t="s">
        <v>11299</v>
      </c>
      <c r="C5676" s="16" t="str">
        <f>IFERROR(__xludf.DUMMYFUNCTION(""""""""" &amp; REGEXEXTRACT(B5676, ""/detail/([^/?]+)"") &amp; """""","""),"""gbmlmheknojbpmagkgfcjlalpmeiflko"",")</f>
        <v>"gbmlmheknojbpmagkgfcjlalpmeiflko",</v>
      </c>
    </row>
    <row r="5677">
      <c r="A5677" s="4" t="s">
        <v>24856</v>
      </c>
      <c r="B5677" s="4" t="s">
        <v>11301</v>
      </c>
      <c r="C5677" s="16" t="str">
        <f>IFERROR(__xludf.DUMMYFUNCTION(""""""""" &amp; REGEXEXTRACT(B5677, ""/detail/([^/?]+)"") &amp; """""","""),"""gbomaenjpmaeabacnllkhgijpdhplphb"",")</f>
        <v>"gbomaenjpmaeabacnllkhgijpdhplphb",</v>
      </c>
    </row>
    <row r="5678">
      <c r="A5678" s="4" t="s">
        <v>24857</v>
      </c>
      <c r="B5678" s="4" t="s">
        <v>11303</v>
      </c>
      <c r="C5678" s="16" t="str">
        <f>IFERROR(__xludf.DUMMYFUNCTION(""""""""" &amp; REGEXEXTRACT(B5678, ""/detail/([^/?]+)"") &amp; """""","""),"""gbpnfdnpkiogmaicmknplgedbcjndaaf"",")</f>
        <v>"gbpnfdnpkiogmaicmknplgedbcjndaaf",</v>
      </c>
    </row>
    <row r="5679">
      <c r="A5679" s="10" t="s">
        <v>24858</v>
      </c>
      <c r="B5679" s="4" t="s">
        <v>11305</v>
      </c>
      <c r="C5679" s="16" t="str">
        <f>IFERROR(__xludf.DUMMYFUNCTION(""""""""" &amp; REGEXEXTRACT(B5679, ""/detail/([^/?]+)"") &amp; """""","""),"""gcdfpaeecjlihblmdbjbmaobeakbiaoo"",")</f>
        <v>"gcdfpaeecjlihblmdbjbmaobeakbiaoo",</v>
      </c>
    </row>
    <row r="5680">
      <c r="A5680" s="4" t="s">
        <v>24859</v>
      </c>
      <c r="B5680" s="4" t="s">
        <v>11307</v>
      </c>
      <c r="C5680" s="16" t="str">
        <f>IFERROR(__xludf.DUMMYFUNCTION(""""""""" &amp; REGEXEXTRACT(B5680, ""/detail/([^/?]+)"") &amp; """""","""),"""gcfcmfbcpibcjmcinnimklngkpkkcing"",")</f>
        <v>"gcfcmfbcpibcjmcinnimklngkpkkcing",</v>
      </c>
    </row>
    <row r="5681">
      <c r="A5681" s="4" t="s">
        <v>24860</v>
      </c>
      <c r="B5681" s="4" t="s">
        <v>11309</v>
      </c>
      <c r="C5681" s="16" t="str">
        <f>IFERROR(__xludf.DUMMYFUNCTION(""""""""" &amp; REGEXEXTRACT(B5681, ""/detail/([^/?]+)"") &amp; """""","""),"""gcibdgjaladjjloeocimnijdgopejkfk"",")</f>
        <v>"gcibdgjaladjjloeocimnijdgopejkfk",</v>
      </c>
    </row>
    <row r="5682">
      <c r="A5682" s="4" t="s">
        <v>24861</v>
      </c>
      <c r="B5682" s="4" t="s">
        <v>11311</v>
      </c>
      <c r="C5682" s="16" t="str">
        <f>IFERROR(__xludf.DUMMYFUNCTION(""""""""" &amp; REGEXEXTRACT(B5682, ""/detail/([^/?]+)"") &amp; """""","""),"""gcjekannlcclfkkhphflfdiebjcjndjp"",")</f>
        <v>"gcjekannlcclfkkhphflfdiebjcjndjp",</v>
      </c>
    </row>
    <row r="5683">
      <c r="A5683" s="4" t="s">
        <v>24862</v>
      </c>
      <c r="B5683" s="4" t="s">
        <v>11313</v>
      </c>
      <c r="C5683" s="16" t="str">
        <f>IFERROR(__xludf.DUMMYFUNCTION(""""""""" &amp; REGEXEXTRACT(B5683, ""/detail/([^/?]+)"") &amp; """""","""),"""gckdnedgcldldbdajllnmbmfhacalini"",")</f>
        <v>"gckdnedgcldldbdajllnmbmfhacalini",</v>
      </c>
    </row>
    <row r="5684">
      <c r="A5684" s="4" t="s">
        <v>24863</v>
      </c>
      <c r="B5684" s="4" t="s">
        <v>11315</v>
      </c>
      <c r="C5684" s="16" t="str">
        <f>IFERROR(__xludf.DUMMYFUNCTION(""""""""" &amp; REGEXEXTRACT(B5684, ""/detail/([^/?]+)"") &amp; """""","""),"""gckjoaicbopdnkkkcmbhmamioeepjjkn"",")</f>
        <v>"gckjoaicbopdnkkkcmbhmamioeepjjkn",</v>
      </c>
    </row>
    <row r="5685">
      <c r="A5685" s="4" t="s">
        <v>24864</v>
      </c>
      <c r="B5685" s="4" t="s">
        <v>11317</v>
      </c>
      <c r="C5685" s="16" t="str">
        <f>IFERROR(__xludf.DUMMYFUNCTION(""""""""" &amp; REGEXEXTRACT(B5685, ""/detail/([^/?]+)"") &amp; """""","""),"""gcpoippahbbfaeglpmpecmbfnjlbmfpj"",")</f>
        <v>"gcpoippahbbfaeglpmpecmbfnjlbmfpj",</v>
      </c>
    </row>
    <row r="5686">
      <c r="A5686" s="4" t="s">
        <v>24865</v>
      </c>
      <c r="B5686" s="4" t="s">
        <v>11319</v>
      </c>
      <c r="C5686" s="16" t="str">
        <f>IFERROR(__xludf.DUMMYFUNCTION(""""""""" &amp; REGEXEXTRACT(B5686, ""/detail/([^/?]+)"") &amp; """""","""),"""gdedhdlfdeaakpdfkikflkfnbiegaonb"",")</f>
        <v>"gdedhdlfdeaakpdfkikflkfnbiegaonb",</v>
      </c>
    </row>
    <row r="5687">
      <c r="A5687" s="4" t="s">
        <v>24866</v>
      </c>
      <c r="B5687" s="4" t="s">
        <v>11321</v>
      </c>
      <c r="C5687" s="16" t="str">
        <f>IFERROR(__xludf.DUMMYFUNCTION(""""""""" &amp; REGEXEXTRACT(B5687, ""/detail/([^/?]+)"") &amp; """""","""),"""gdicngljankkhfnhjffcdlnnfeooihbk"",")</f>
        <v>"gdicngljankkhfnhjffcdlnnfeooihbk",</v>
      </c>
    </row>
    <row r="5688">
      <c r="A5688" s="4" t="s">
        <v>24867</v>
      </c>
      <c r="B5688" s="4" t="s">
        <v>11323</v>
      </c>
      <c r="C5688" s="16" t="str">
        <f>IFERROR(__xludf.DUMMYFUNCTION(""""""""" &amp; REGEXEXTRACT(B5688, ""/detail/([^/?]+)"") &amp; """""","""),"""gdifdhnjmjaidbajhapmbcbnoocoeooc"",")</f>
        <v>"gdifdhnjmjaidbajhapmbcbnoocoeooc",</v>
      </c>
    </row>
    <row r="5689">
      <c r="A5689" s="4" t="s">
        <v>24868</v>
      </c>
      <c r="B5689" s="4" t="s">
        <v>11325</v>
      </c>
      <c r="C5689" s="16" t="str">
        <f>IFERROR(__xludf.DUMMYFUNCTION(""""""""" &amp; REGEXEXTRACT(B5689, ""/detail/([^/?]+)"") &amp; """""","""),"""gdihpadobhahlfahpojgbbhiiicaipom"",")</f>
        <v>"gdihpadobhahlfahpojgbbhiiicaipom",</v>
      </c>
    </row>
    <row r="5690">
      <c r="A5690" s="4" t="s">
        <v>24869</v>
      </c>
      <c r="B5690" s="4" t="s">
        <v>11327</v>
      </c>
      <c r="C5690" s="16" t="str">
        <f>IFERROR(__xludf.DUMMYFUNCTION(""""""""" &amp; REGEXEXTRACT(B5690, ""/detail/([^/?]+)"") &amp; """""","""),"""gdlphncgdlaajddhdginocbkndmceaml"",")</f>
        <v>"gdlphncgdlaajddhdginocbkndmceaml",</v>
      </c>
    </row>
    <row r="5691">
      <c r="A5691" s="4" t="s">
        <v>24870</v>
      </c>
      <c r="B5691" s="4" t="s">
        <v>11329</v>
      </c>
      <c r="C5691" s="16" t="str">
        <f>IFERROR(__xludf.DUMMYFUNCTION(""""""""" &amp; REGEXEXTRACT(B5691, ""/detail/([^/?]+)"") &amp; """""","""),"""gdmapdijiljmjingeihifkgchmfiaaic"",")</f>
        <v>"gdmapdijiljmjingeihifkgchmfiaaic",</v>
      </c>
    </row>
    <row r="5692">
      <c r="A5692" s="4" t="s">
        <v>24871</v>
      </c>
      <c r="B5692" s="4" t="s">
        <v>11331</v>
      </c>
      <c r="C5692" s="16" t="str">
        <f>IFERROR(__xludf.DUMMYFUNCTION(""""""""" &amp; REGEXEXTRACT(B5692, ""/detail/([^/?]+)"") &amp; """""","""),"""gdngbglapejijhppfmpaofmcgbcpofnj"",")</f>
        <v>"gdngbglapejijhppfmpaofmcgbcpofnj",</v>
      </c>
    </row>
    <row r="5693">
      <c r="A5693" s="4" t="s">
        <v>24872</v>
      </c>
      <c r="B5693" s="4" t="s">
        <v>11333</v>
      </c>
      <c r="C5693" s="16" t="str">
        <f>IFERROR(__xludf.DUMMYFUNCTION(""""""""" &amp; REGEXEXTRACT(B5693, ""/detail/([^/?]+)"") &amp; """""","""),"""gdoiopdelonmejbbcfoiibojafcpihhm"",")</f>
        <v>"gdoiopdelonmejbbcfoiibojafcpihhm",</v>
      </c>
    </row>
    <row r="5694">
      <c r="A5694" s="4" t="s">
        <v>24873</v>
      </c>
      <c r="B5694" s="4" t="s">
        <v>11335</v>
      </c>
      <c r="C5694" s="16" t="str">
        <f>IFERROR(__xludf.DUMMYFUNCTION(""""""""" &amp; REGEXEXTRACT(B5694, ""/detail/([^/?]+)"") &amp; """""","""),"""gdooemnipkaehoocmkfhicaidlaejjgc"",")</f>
        <v>"gdooemnipkaehoocmkfhicaidlaejjgc",</v>
      </c>
    </row>
    <row r="5695">
      <c r="A5695" s="4" t="s">
        <v>24874</v>
      </c>
      <c r="B5695" s="4" t="s">
        <v>11337</v>
      </c>
      <c r="C5695" s="16" t="str">
        <f>IFERROR(__xludf.DUMMYFUNCTION(""""""""" &amp; REGEXEXTRACT(B5695, ""/detail/([^/?]+)"") &amp; """""","""),"""geancnifhbkbjijfkcjjdnfemppmcjmk"",")</f>
        <v>"geancnifhbkbjijfkcjjdnfemppmcjmk",</v>
      </c>
    </row>
    <row r="5696">
      <c r="A5696" s="4" t="s">
        <v>24875</v>
      </c>
      <c r="B5696" s="4" t="s">
        <v>11339</v>
      </c>
      <c r="C5696" s="16" t="str">
        <f>IFERROR(__xludf.DUMMYFUNCTION(""""""""" &amp; REGEXEXTRACT(B5696, ""/detail/([^/?]+)"") &amp; """""","""),"""geeaennekbbdgfnjhnbgafdfjoefhmbb"",")</f>
        <v>"geeaennekbbdgfnjhnbgafdfjoefhmbb",</v>
      </c>
    </row>
    <row r="5697">
      <c r="A5697" s="4" t="s">
        <v>24876</v>
      </c>
      <c r="B5697" s="4" t="s">
        <v>11341</v>
      </c>
      <c r="C5697" s="16" t="str">
        <f>IFERROR(__xludf.DUMMYFUNCTION(""""""""" &amp; REGEXEXTRACT(B5697, ""/detail/([^/?]+)"") &amp; """""","""),"""gefbnbbmfoakmbblphigemkiekfelahe"",")</f>
        <v>"gefbnbbmfoakmbblphigemkiekfelahe",</v>
      </c>
    </row>
    <row r="5698">
      <c r="A5698" s="4" t="s">
        <v>24877</v>
      </c>
      <c r="B5698" s="4" t="s">
        <v>11343</v>
      </c>
      <c r="C5698" s="16" t="str">
        <f>IFERROR(__xludf.DUMMYFUNCTION(""""""""" &amp; REGEXEXTRACT(B5698, ""/detail/([^/?]+)"") &amp; """""","""),"""gefgndifclopmilijflfficigjpjpfik"",")</f>
        <v>"gefgndifclopmilijflfficigjpjpfik",</v>
      </c>
    </row>
    <row r="5699">
      <c r="A5699" s="4" t="s">
        <v>24878</v>
      </c>
      <c r="B5699" s="4" t="s">
        <v>11345</v>
      </c>
      <c r="C5699" s="16" t="str">
        <f>IFERROR(__xludf.DUMMYFUNCTION(""""""""" &amp; REGEXEXTRACT(B5699, ""/detail/([^/?]+)"") &amp; """""","""),"""gehmihiiaeebmlflnmegjmocnnjghcch"",")</f>
        <v>"gehmihiiaeebmlflnmegjmocnnjghcch",</v>
      </c>
    </row>
    <row r="5700">
      <c r="A5700" s="4" t="s">
        <v>24879</v>
      </c>
      <c r="B5700" s="4" t="s">
        <v>11347</v>
      </c>
      <c r="C5700" s="16" t="str">
        <f>IFERROR(__xludf.DUMMYFUNCTION(""""""""" &amp; REGEXEXTRACT(B5700, ""/detail/([^/?]+)"") &amp; """""","""),"""gehpcmgffmioghpbkmgfpcaldchnaefk"",")</f>
        <v>"gehpcmgffmioghpbkmgfpcaldchnaefk",</v>
      </c>
    </row>
    <row r="5701">
      <c r="A5701" s="4" t="s">
        <v>24880</v>
      </c>
      <c r="B5701" s="4" t="s">
        <v>11349</v>
      </c>
      <c r="C5701" s="16" t="str">
        <f>IFERROR(__xludf.DUMMYFUNCTION(""""""""" &amp; REGEXEXTRACT(B5701, ""/detail/([^/?]+)"") &amp; """""","""),"""genhbfcaempmppmoonblekidkagafkio"",")</f>
        <v>"genhbfcaempmppmoonblekidkagafkio",</v>
      </c>
    </row>
    <row r="5702">
      <c r="A5702" s="4" t="s">
        <v>24881</v>
      </c>
      <c r="B5702" s="4" t="s">
        <v>11351</v>
      </c>
      <c r="C5702" s="16" t="str">
        <f>IFERROR(__xludf.DUMMYFUNCTION(""""""""" &amp; REGEXEXTRACT(B5702, ""/detail/([^/?]+)"") &amp; """""","""),"""geopiocdphdpmkapnceogppdcfjklhbj"",")</f>
        <v>"geopiocdphdpmkapnceogppdcfjklhbj",</v>
      </c>
    </row>
    <row r="5703">
      <c r="A5703" s="4" t="s">
        <v>24882</v>
      </c>
      <c r="B5703" s="4" t="s">
        <v>11353</v>
      </c>
      <c r="C5703" s="16" t="str">
        <f>IFERROR(__xludf.DUMMYFUNCTION(""""""""" &amp; REGEXEXTRACT(B5703, ""/detail/([^/?]+)"") &amp; """""","""),"""gfcfendehdonmfflgpkkaijdfbafkdfa"",")</f>
        <v>"gfcfendehdonmfflgpkkaijdfbafkdfa",</v>
      </c>
    </row>
    <row r="5704">
      <c r="A5704" s="4" t="s">
        <v>24883</v>
      </c>
      <c r="B5704" s="4" t="s">
        <v>11355</v>
      </c>
      <c r="C5704" s="16" t="str">
        <f>IFERROR(__xludf.DUMMYFUNCTION(""""""""" &amp; REGEXEXTRACT(B5704, ""/detail/([^/?]+)"") &amp; """""","""),"""gfedcgdbdlokekhnkgmgcdjoaoecocaj"",")</f>
        <v>"gfedcgdbdlokekhnkgmgcdjoaoecocaj",</v>
      </c>
    </row>
    <row r="5705">
      <c r="A5705" s="4" t="s">
        <v>24884</v>
      </c>
      <c r="B5705" s="4" t="s">
        <v>11357</v>
      </c>
      <c r="C5705" s="16" t="str">
        <f>IFERROR(__xludf.DUMMYFUNCTION(""""""""" &amp; REGEXEXTRACT(B5705, ""/detail/([^/?]+)"") &amp; """""","""),"""gffmljieoedhigbaagdjoipecmbiifkf"",")</f>
        <v>"gffmljieoedhigbaagdjoipecmbiifkf",</v>
      </c>
    </row>
    <row r="5706">
      <c r="A5706" s="4" t="s">
        <v>24885</v>
      </c>
      <c r="B5706" s="4" t="s">
        <v>11359</v>
      </c>
      <c r="C5706" s="16" t="str">
        <f>IFERROR(__xludf.DUMMYFUNCTION(""""""""" &amp; REGEXEXTRACT(B5706, ""/detail/([^/?]+)"") &amp; """""","""),"""gfibmgbpcionfgicoganojajjbglffpe"",")</f>
        <v>"gfibmgbpcionfgicoganojajjbglffpe",</v>
      </c>
    </row>
    <row r="5707">
      <c r="A5707" s="4" t="s">
        <v>24886</v>
      </c>
      <c r="B5707" s="4" t="s">
        <v>11361</v>
      </c>
      <c r="C5707" s="16" t="str">
        <f>IFERROR(__xludf.DUMMYFUNCTION(""""""""" &amp; REGEXEXTRACT(B5707, ""/detail/([^/?]+)"") &amp; """""","""),"""gfiebgdcafaljnemebjjlgkoblpankml"",")</f>
        <v>"gfiebgdcafaljnemebjjlgkoblpankml",</v>
      </c>
    </row>
    <row r="5708">
      <c r="A5708" s="4" t="s">
        <v>24887</v>
      </c>
      <c r="B5708" s="4" t="s">
        <v>11363</v>
      </c>
      <c r="C5708" s="16" t="str">
        <f>IFERROR(__xludf.DUMMYFUNCTION(""""""""" &amp; REGEXEXTRACT(B5708, ""/detail/([^/?]+)"") &amp; """""","""),"""gfkhjmihhdlbceonegblhnkbioiddjmi"",")</f>
        <v>"gfkhjmihhdlbceonegblhnkbioiddjmi",</v>
      </c>
    </row>
    <row r="5709">
      <c r="A5709" s="4" t="s">
        <v>24888</v>
      </c>
      <c r="B5709" s="4" t="s">
        <v>11365</v>
      </c>
      <c r="C5709" s="16" t="str">
        <f>IFERROR(__xludf.DUMMYFUNCTION(""""""""" &amp; REGEXEXTRACT(B5709, ""/detail/([^/?]+)"") &amp; """""","""),"""gfocmiihofighegjlbmdklopoboedema"",")</f>
        <v>"gfocmiihofighegjlbmdklopoboedema",</v>
      </c>
    </row>
    <row r="5710">
      <c r="A5710" s="4" t="s">
        <v>24889</v>
      </c>
      <c r="B5710" s="4" t="s">
        <v>11367</v>
      </c>
      <c r="C5710" s="16" t="str">
        <f>IFERROR(__xludf.DUMMYFUNCTION(""""""""" &amp; REGEXEXTRACT(B5710, ""/detail/([^/?]+)"") &amp; """""","""),"""gfpiiddjejppjlaegjhfommdfjdfkfop"",")</f>
        <v>"gfpiiddjejppjlaegjhfommdfjdfkfop",</v>
      </c>
    </row>
    <row r="5711">
      <c r="A5711" s="4" t="s">
        <v>24890</v>
      </c>
      <c r="B5711" s="4" t="s">
        <v>11369</v>
      </c>
      <c r="C5711" s="16" t="str">
        <f>IFERROR(__xludf.DUMMYFUNCTION(""""""""" &amp; REGEXEXTRACT(B5711, ""/detail/([^/?]+)"") &amp; """""","""),"""ggbmfiledfmoeinemnnappkjldilblfh"",")</f>
        <v>"ggbmfiledfmoeinemnnappkjldilblfh",</v>
      </c>
    </row>
    <row r="5712">
      <c r="A5712" s="4" t="s">
        <v>24891</v>
      </c>
      <c r="B5712" s="4" t="s">
        <v>11371</v>
      </c>
      <c r="C5712" s="16" t="str">
        <f>IFERROR(__xludf.DUMMYFUNCTION(""""""""" &amp; REGEXEXTRACT(B5712, ""/detail/([^/?]+)"") &amp; """""","""),"""ggbojnjohnjgiloeoljkmnacjaeahhmc"",")</f>
        <v>"ggbojnjohnjgiloeoljkmnacjaeahhmc",</v>
      </c>
    </row>
    <row r="5713">
      <c r="A5713" s="4" t="s">
        <v>24892</v>
      </c>
      <c r="B5713" s="4" t="s">
        <v>11373</v>
      </c>
      <c r="C5713" s="16" t="str">
        <f>IFERROR(__xludf.DUMMYFUNCTION(""""""""" &amp; REGEXEXTRACT(B5713, ""/detail/([^/?]+)"") &amp; """""","""),"""gghkamaeinhfnhpempdbopannocnlbkg"",")</f>
        <v>"gghkamaeinhfnhpempdbopannocnlbkg",</v>
      </c>
    </row>
    <row r="5714">
      <c r="A5714" s="4" t="s">
        <v>24893</v>
      </c>
      <c r="B5714" s="4" t="s">
        <v>11375</v>
      </c>
      <c r="C5714" s="16" t="str">
        <f>IFERROR(__xludf.DUMMYFUNCTION(""""""""" &amp; REGEXEXTRACT(B5714, ""/detail/([^/?]+)"") &amp; """""","""),"""ggkcbiemgdlcempheklmiljdelngeani"",")</f>
        <v>"ggkcbiemgdlcempheklmiljdelngeani",</v>
      </c>
    </row>
    <row r="5715">
      <c r="A5715" s="4" t="s">
        <v>24894</v>
      </c>
      <c r="B5715" s="4" t="s">
        <v>11377</v>
      </c>
      <c r="C5715" s="16" t="str">
        <f>IFERROR(__xludf.DUMMYFUNCTION(""""""""" &amp; REGEXEXTRACT(B5715, ""/detail/([^/?]+)"") &amp; """""","""),"""gglajafleceohegiiegjinmfnomagiaf"",")</f>
        <v>"gglajafleceohegiiegjinmfnomagiaf",</v>
      </c>
    </row>
    <row r="5716">
      <c r="A5716" s="4" t="s">
        <v>24895</v>
      </c>
      <c r="B5716" s="4" t="s">
        <v>11379</v>
      </c>
      <c r="C5716" s="16" t="str">
        <f>IFERROR(__xludf.DUMMYFUNCTION(""""""""" &amp; REGEXEXTRACT(B5716, ""/detail/([^/?]+)"") &amp; """""","""),"""ghbefppmmpdhcpeebokjjnkmdflcgbcn"",")</f>
        <v>"ghbefppmmpdhcpeebokjjnkmdflcgbcn",</v>
      </c>
    </row>
    <row r="5717">
      <c r="A5717" s="4" t="s">
        <v>24896</v>
      </c>
      <c r="B5717" s="4" t="s">
        <v>11381</v>
      </c>
      <c r="C5717" s="16" t="str">
        <f>IFERROR(__xludf.DUMMYFUNCTION(""""""""" &amp; REGEXEXTRACT(B5717, ""/detail/([^/?]+)"") &amp; """""","""),"""ghboalniiaeppganfgbbdejcmjcfcjgh"",")</f>
        <v>"ghboalniiaeppganfgbbdejcmjcfcjgh",</v>
      </c>
    </row>
    <row r="5718">
      <c r="A5718" s="4" t="s">
        <v>24897</v>
      </c>
      <c r="B5718" s="4" t="s">
        <v>11383</v>
      </c>
      <c r="C5718" s="16" t="str">
        <f>IFERROR(__xludf.DUMMYFUNCTION(""""""""" &amp; REGEXEXTRACT(B5718, ""/detail/([^/?]+)"") &amp; """""","""),"""ghikdcejfdebjjhpljbebapifdpphbkc"",")</f>
        <v>"ghikdcejfdebjjhpljbebapifdpphbkc",</v>
      </c>
    </row>
    <row r="5719">
      <c r="A5719" s="4" t="s">
        <v>24898</v>
      </c>
      <c r="B5719" s="4" t="s">
        <v>11385</v>
      </c>
      <c r="C5719" s="16" t="str">
        <f>IFERROR(__xludf.DUMMYFUNCTION(""""""""" &amp; REGEXEXTRACT(B5719, ""/detail/([^/?]+)"") &amp; """""","""),"""ghjcfdhamnkmmjiaponhaoikkhnighpc"",")</f>
        <v>"ghjcfdhamnkmmjiaponhaoikkhnighpc",</v>
      </c>
    </row>
    <row r="5720">
      <c r="A5720" s="4" t="s">
        <v>24899</v>
      </c>
      <c r="B5720" s="4" t="s">
        <v>11387</v>
      </c>
      <c r="C5720" s="16" t="str">
        <f>IFERROR(__xludf.DUMMYFUNCTION(""""""""" &amp; REGEXEXTRACT(B5720, ""/detail/([^/?]+)"") &amp; """""","""),"""ghmdcodhffmkgjclaimakmogaacfekch"",")</f>
        <v>"ghmdcodhffmkgjclaimakmogaacfekch",</v>
      </c>
    </row>
    <row r="5721">
      <c r="A5721" s="4" t="s">
        <v>24900</v>
      </c>
      <c r="B5721" s="4" t="s">
        <v>11389</v>
      </c>
      <c r="C5721" s="16" t="str">
        <f>IFERROR(__xludf.DUMMYFUNCTION(""""""""" &amp; REGEXEXTRACT(B5721, ""/detail/([^/?]+)"") &amp; """""","""),"""ghmkhegmedggpnghojodmkkflpokmlab"",")</f>
        <v>"ghmkhegmedggpnghojodmkkflpokmlab",</v>
      </c>
    </row>
    <row r="5722">
      <c r="A5722" s="4" t="s">
        <v>24901</v>
      </c>
      <c r="B5722" s="4" t="s">
        <v>11391</v>
      </c>
      <c r="C5722" s="16" t="str">
        <f>IFERROR(__xludf.DUMMYFUNCTION(""""""""" &amp; REGEXEXTRACT(B5722, ""/detail/([^/?]+)"") &amp; """""","""),"""ghndenjnakialbecpflcknnhipancekk"",")</f>
        <v>"ghndenjnakialbecpflcknnhipancekk",</v>
      </c>
    </row>
    <row r="5723">
      <c r="A5723" s="4" t="s">
        <v>24902</v>
      </c>
      <c r="B5723" s="4" t="s">
        <v>11393</v>
      </c>
      <c r="C5723" s="16" t="str">
        <f>IFERROR(__xludf.DUMMYFUNCTION(""""""""" &amp; REGEXEXTRACT(B5723, ""/detail/([^/?]+)"") &amp; """""","""),"""gialkacknhjboidnkgappheioemdcona"",")</f>
        <v>"gialkacknhjboidnkgappheioemdcona",</v>
      </c>
    </row>
    <row r="5724">
      <c r="A5724" s="4" t="s">
        <v>24903</v>
      </c>
      <c r="B5724" s="4" t="s">
        <v>11395</v>
      </c>
      <c r="C5724" s="16" t="str">
        <f>IFERROR(__xludf.DUMMYFUNCTION(""""""""" &amp; REGEXEXTRACT(B5724, ""/detail/([^/?]+)"") &amp; """""","""),"""gidcdbfijclcchilpkmeihnpjeepbjjm"",")</f>
        <v>"gidcdbfijclcchilpkmeihnpjeepbjjm",</v>
      </c>
    </row>
    <row r="5725">
      <c r="A5725" s="4" t="s">
        <v>24904</v>
      </c>
      <c r="B5725" s="4" t="s">
        <v>11397</v>
      </c>
      <c r="C5725" s="16" t="str">
        <f>IFERROR(__xludf.DUMMYFUNCTION(""""""""" &amp; REGEXEXTRACT(B5725, ""/detail/([^/?]+)"") &amp; """""","""),"""gihginompkjijnipckobcjioandcmjgp"",")</f>
        <v>"gihginompkjijnipckobcjioandcmjgp",</v>
      </c>
    </row>
    <row r="5726">
      <c r="A5726" s="4" t="s">
        <v>24905</v>
      </c>
      <c r="B5726" s="4" t="s">
        <v>11399</v>
      </c>
      <c r="C5726" s="16" t="str">
        <f>IFERROR(__xludf.DUMMYFUNCTION(""""""""" &amp; REGEXEXTRACT(B5726, ""/detail/([^/?]+)"") &amp; """""","""),"""ginfoceafejgiojoiomkmcdgimgagdal"",")</f>
        <v>"ginfoceafejgiojoiomkmcdgimgagdal",</v>
      </c>
    </row>
    <row r="5727">
      <c r="A5727" s="4" t="s">
        <v>24906</v>
      </c>
      <c r="B5727" s="4" t="s">
        <v>11401</v>
      </c>
      <c r="C5727" s="16" t="str">
        <f>IFERROR(__xludf.DUMMYFUNCTION(""""""""" &amp; REGEXEXTRACT(B5727, ""/detail/([^/?]+)"") &amp; """""","""),"""giplmolhikmggbhmliaighboilflkfph"",")</f>
        <v>"giplmolhikmggbhmliaighboilflkfph",</v>
      </c>
    </row>
    <row r="5728">
      <c r="A5728" s="4" t="s">
        <v>24907</v>
      </c>
      <c r="B5728" s="4" t="s">
        <v>11403</v>
      </c>
      <c r="C5728" s="16" t="str">
        <f>IFERROR(__xludf.DUMMYFUNCTION(""""""""" &amp; REGEXEXTRACT(B5728, ""/detail/([^/?]+)"") &amp; """""","""),"""gjaimbbhbanehmbfnfikbpnimkcciofl"",")</f>
        <v>"gjaimbbhbanehmbfnfikbpnimkcciofl",</v>
      </c>
    </row>
    <row r="5729">
      <c r="A5729" s="4" t="s">
        <v>24908</v>
      </c>
      <c r="B5729" s="4" t="s">
        <v>11405</v>
      </c>
      <c r="C5729" s="16" t="str">
        <f>IFERROR(__xludf.DUMMYFUNCTION(""""""""" &amp; REGEXEXTRACT(B5729, ""/detail/([^/?]+)"") &amp; """""","""),"""gjegofcnbogmeijackegenkifhkgkigi"",")</f>
        <v>"gjegofcnbogmeijackegenkifhkgkigi",</v>
      </c>
    </row>
    <row r="5730">
      <c r="A5730" s="4" t="s">
        <v>24909</v>
      </c>
      <c r="B5730" s="4" t="s">
        <v>11407</v>
      </c>
      <c r="C5730" s="16" t="str">
        <f>IFERROR(__xludf.DUMMYFUNCTION(""""""""" &amp; REGEXEXTRACT(B5730, ""/detail/([^/?]+)"") &amp; """""","""),"""gjgadmpbpojbdcehgijdlboanljfmnel"",")</f>
        <v>"gjgadmpbpojbdcehgijdlboanljfmnel",</v>
      </c>
    </row>
    <row r="5731">
      <c r="A5731" s="4" t="s">
        <v>24910</v>
      </c>
      <c r="B5731" s="4" t="s">
        <v>11409</v>
      </c>
      <c r="C5731" s="16" t="str">
        <f>IFERROR(__xludf.DUMMYFUNCTION(""""""""" &amp; REGEXEXTRACT(B5731, ""/detail/([^/?]+)"") &amp; """""","""),"""gjnjekopfnpjfbophjifjinbigkldcol"",")</f>
        <v>"gjnjekopfnpjfbophjifjinbigkldcol",</v>
      </c>
    </row>
    <row r="5732">
      <c r="A5732" s="4" t="s">
        <v>24911</v>
      </c>
      <c r="B5732" s="4" t="s">
        <v>11411</v>
      </c>
      <c r="C5732" s="16" t="str">
        <f>IFERROR(__xludf.DUMMYFUNCTION(""""""""" &amp; REGEXEXTRACT(B5732, ""/detail/([^/?]+)"") &amp; """""","""),"""gkfjmfmjckaabogdpclnahenmcijplpe"",")</f>
        <v>"gkfjmfmjckaabogdpclnahenmcijplpe",</v>
      </c>
    </row>
    <row r="5733">
      <c r="A5733" s="4" t="s">
        <v>24912</v>
      </c>
      <c r="B5733" s="4" t="s">
        <v>11413</v>
      </c>
      <c r="C5733" s="16" t="str">
        <f>IFERROR(__xludf.DUMMYFUNCTION(""""""""" &amp; REGEXEXTRACT(B5733, ""/detail/([^/?]+)"") &amp; """""","""),"""gkfpnohhmkonpkkpdbebccbgnajfgpjp"",")</f>
        <v>"gkfpnohhmkonpkkpdbebccbgnajfgpjp",</v>
      </c>
    </row>
    <row r="5734">
      <c r="A5734" s="4" t="s">
        <v>24913</v>
      </c>
      <c r="B5734" s="4" t="s">
        <v>11415</v>
      </c>
      <c r="C5734" s="16" t="str">
        <f>IFERROR(__xludf.DUMMYFUNCTION(""""""""" &amp; REGEXEXTRACT(B5734, ""/detail/([^/?]+)"") &amp; """""","""),"""gkjcjolgbgobjdmnocfmojklgpapdnff"",")</f>
        <v>"gkjcjolgbgobjdmnocfmojklgpapdnff",</v>
      </c>
    </row>
    <row r="5735">
      <c r="A5735" s="4" t="s">
        <v>24914</v>
      </c>
      <c r="B5735" s="4" t="s">
        <v>11417</v>
      </c>
      <c r="C5735" s="16" t="str">
        <f>IFERROR(__xludf.DUMMYFUNCTION(""""""""" &amp; REGEXEXTRACT(B5735, ""/detail/([^/?]+)"") &amp; """""","""),"""gkjdlidimdcgmohgflkklbhkphgfpkfk"",")</f>
        <v>"gkjdlidimdcgmohgflkklbhkphgfpkfk",</v>
      </c>
    </row>
    <row r="5736">
      <c r="A5736" s="4" t="s">
        <v>24915</v>
      </c>
      <c r="B5736" s="4" t="s">
        <v>11419</v>
      </c>
      <c r="C5736" s="16" t="str">
        <f>IFERROR(__xludf.DUMMYFUNCTION(""""""""" &amp; REGEXEXTRACT(B5736, ""/detail/([^/?]+)"") &amp; """""","""),"""gklkhffllgehhcfeaoanogjcgfdekeom"",")</f>
        <v>"gklkhffllgehhcfeaoanogjcgfdekeom",</v>
      </c>
    </row>
    <row r="5737">
      <c r="A5737" s="4" t="s">
        <v>24916</v>
      </c>
      <c r="B5737" s="4" t="s">
        <v>11421</v>
      </c>
      <c r="C5737" s="16" t="str">
        <f>IFERROR(__xludf.DUMMYFUNCTION(""""""""" &amp; REGEXEXTRACT(B5737, ""/detail/([^/?]+)"") &amp; """""","""),"""gknbnafalimbhgkmichoadhmkaoingil"",")</f>
        <v>"gknbnafalimbhgkmichoadhmkaoingil",</v>
      </c>
    </row>
    <row r="5738">
      <c r="A5738" s="4" t="s">
        <v>24917</v>
      </c>
      <c r="B5738" s="4" t="s">
        <v>11423</v>
      </c>
      <c r="C5738" s="16" t="str">
        <f>IFERROR(__xludf.DUMMYFUNCTION(""""""""" &amp; REGEXEXTRACT(B5738, ""/detail/([^/?]+)"") &amp; """""","""),"""gkopncgliliconghbmejgnbmmadgogbj"",")</f>
        <v>"gkopncgliliconghbmejgnbmmadgogbj",</v>
      </c>
    </row>
    <row r="5739">
      <c r="A5739" s="4" t="s">
        <v>24918</v>
      </c>
      <c r="B5739" s="4" t="s">
        <v>11425</v>
      </c>
      <c r="C5739" s="16" t="str">
        <f>IFERROR(__xludf.DUMMYFUNCTION(""""""""" &amp; REGEXEXTRACT(B5739, ""/detail/([^/?]+)"") &amp; """""","""),"""glbkmopajpdlfhmbdchelmchokighpei"",")</f>
        <v>"glbkmopajpdlfhmbdchelmchokighpei",</v>
      </c>
    </row>
    <row r="5740">
      <c r="A5740" s="4" t="s">
        <v>24919</v>
      </c>
      <c r="B5740" s="4" t="s">
        <v>11427</v>
      </c>
      <c r="C5740" s="16" t="str">
        <f>IFERROR(__xludf.DUMMYFUNCTION(""""""""" &amp; REGEXEXTRACT(B5740, ""/detail/([^/?]+)"") &amp; """""","""),"""glcdefibajbglmeelclffdbakgjjjopc"",")</f>
        <v>"glcdefibajbglmeelclffdbakgjjjopc",</v>
      </c>
    </row>
    <row r="5741">
      <c r="A5741" s="4" t="s">
        <v>24920</v>
      </c>
      <c r="B5741" s="4" t="s">
        <v>11429</v>
      </c>
      <c r="C5741" s="16" t="str">
        <f>IFERROR(__xludf.DUMMYFUNCTION(""""""""" &amp; REGEXEXTRACT(B5741, ""/detail/([^/?]+)"") &amp; """""","""),"""gldakbghopefnhcagpbhdocnopmmnbfp"",")</f>
        <v>"gldakbghopefnhcagpbhdocnopmmnbfp",</v>
      </c>
    </row>
    <row r="5742">
      <c r="A5742" s="4" t="s">
        <v>24921</v>
      </c>
      <c r="B5742" s="4" t="s">
        <v>11431</v>
      </c>
      <c r="C5742" s="16" t="str">
        <f>IFERROR(__xludf.DUMMYFUNCTION(""""""""" &amp; REGEXEXTRACT(B5742, ""/detail/([^/?]+)"") &amp; """""","""),"""glgdckpipcpcjmbkcmnponlnphnkkikn"",")</f>
        <v>"glgdckpipcpcjmbkcmnponlnphnkkikn",</v>
      </c>
    </row>
    <row r="5743">
      <c r="A5743" s="4" t="s">
        <v>24922</v>
      </c>
      <c r="B5743" s="4" t="s">
        <v>11433</v>
      </c>
      <c r="C5743" s="16" t="str">
        <f>IFERROR(__xludf.DUMMYFUNCTION(""""""""" &amp; REGEXEXTRACT(B5743, ""/detail/([^/?]+)"") &amp; """""","""),"""glglefmmcceobfdjabhgbcalfkicncgj"",")</f>
        <v>"glglefmmcceobfdjabhgbcalfkicncgj",</v>
      </c>
    </row>
    <row r="5744">
      <c r="A5744" s="4" t="s">
        <v>24923</v>
      </c>
      <c r="B5744" s="4" t="s">
        <v>11435</v>
      </c>
      <c r="C5744" s="16" t="str">
        <f>IFERROR(__xludf.DUMMYFUNCTION(""""""""" &amp; REGEXEXTRACT(B5744, ""/detail/([^/?]+)"") &amp; """""","""),"""glljpjmfmlajokkjcpabaclmjecmlgoo"",")</f>
        <v>"glljpjmfmlajokkjcpabaclmjecmlgoo",</v>
      </c>
    </row>
    <row r="5745">
      <c r="A5745" s="4" t="s">
        <v>24924</v>
      </c>
      <c r="B5745" s="4" t="s">
        <v>11437</v>
      </c>
      <c r="C5745" s="16" t="str">
        <f>IFERROR(__xludf.DUMMYFUNCTION(""""""""" &amp; REGEXEXTRACT(B5745, ""/detail/([^/?]+)"") &amp; """""","""),"""glmjeemfonfjmnggjfphkcnjpnenbjkp"",")</f>
        <v>"glmjeemfonfjmnggjfphkcnjpnenbjkp",</v>
      </c>
    </row>
    <row r="5746">
      <c r="A5746" s="4" t="s">
        <v>24925</v>
      </c>
      <c r="B5746" s="4" t="s">
        <v>11439</v>
      </c>
      <c r="C5746" s="16" t="str">
        <f>IFERROR(__xludf.DUMMYFUNCTION(""""""""" &amp; REGEXEXTRACT(B5746, ""/detail/([^/?]+)"") &amp; """""","""),"""glogljhklaiimlocpigpigckeipgekkm"",")</f>
        <v>"glogljhklaiimlocpigpigckeipgekkm",</v>
      </c>
    </row>
    <row r="5747">
      <c r="A5747" s="4" t="s">
        <v>24926</v>
      </c>
      <c r="B5747" s="4" t="s">
        <v>11441</v>
      </c>
      <c r="C5747" s="16" t="str">
        <f>IFERROR(__xludf.DUMMYFUNCTION(""""""""" &amp; REGEXEXTRACT(B5747, ""/detail/([^/?]+)"") &amp; """""","""),"""glpejjlbjjegcemceejaipihnhjkaddf"",")</f>
        <v>"glpejjlbjjegcemceejaipihnhjkaddf",</v>
      </c>
    </row>
    <row r="5748">
      <c r="A5748" s="4" t="s">
        <v>24927</v>
      </c>
      <c r="B5748" s="4" t="s">
        <v>11443</v>
      </c>
      <c r="C5748" s="16" t="str">
        <f>IFERROR(__xludf.DUMMYFUNCTION(""""""""" &amp; REGEXEXTRACT(B5748, ""/detail/([^/?]+)"") &amp; """""","""),"""glpkdnkdpcloinlicdbnlemidgdmglhh"",")</f>
        <v>"glpkdnkdpcloinlicdbnlemidgdmglhh",</v>
      </c>
    </row>
    <row r="5749">
      <c r="A5749" s="4" t="s">
        <v>24928</v>
      </c>
      <c r="B5749" s="4" t="s">
        <v>11445</v>
      </c>
      <c r="C5749" s="16" t="str">
        <f>IFERROR(__xludf.DUMMYFUNCTION(""""""""" &amp; REGEXEXTRACT(B5749, ""/detail/([^/?]+)"") &amp; """""","""),"""gmdmngbeceipkojacdoljnllcnfpdgce"",")</f>
        <v>"gmdmngbeceipkojacdoljnllcnfpdgce",</v>
      </c>
    </row>
    <row r="5750">
      <c r="A5750" s="4" t="s">
        <v>24929</v>
      </c>
      <c r="B5750" s="4" t="s">
        <v>11447</v>
      </c>
      <c r="C5750" s="16" t="str">
        <f>IFERROR(__xludf.DUMMYFUNCTION(""""""""" &amp; REGEXEXTRACT(B5750, ""/detail/([^/?]+)"") &amp; """""","""),"""gmgeefghnadlmkpbjfamblomkoknhjga"",")</f>
        <v>"gmgeefghnadlmkpbjfamblomkoknhjga",</v>
      </c>
    </row>
    <row r="5751">
      <c r="A5751" s="4" t="s">
        <v>24930</v>
      </c>
      <c r="B5751" s="4" t="s">
        <v>11449</v>
      </c>
      <c r="C5751" s="16" t="str">
        <f>IFERROR(__xludf.DUMMYFUNCTION(""""""""" &amp; REGEXEXTRACT(B5751, ""/detail/([^/?]+)"") &amp; """""","""),"""gmhaddmfnmddbjgobfjfghpjlbgmeiop"",")</f>
        <v>"gmhaddmfnmddbjgobfjfghpjlbgmeiop",</v>
      </c>
    </row>
    <row r="5752">
      <c r="A5752" s="4" t="s">
        <v>24931</v>
      </c>
      <c r="B5752" s="4" t="s">
        <v>11451</v>
      </c>
      <c r="C5752" s="16" t="str">
        <f>IFERROR(__xludf.DUMMYFUNCTION(""""""""" &amp; REGEXEXTRACT(B5752, ""/detail/([^/?]+)"") &amp; """""","""),"""gmkeppffdejhpppfnbgakglpoeaobhhh"",")</f>
        <v>"gmkeppffdejhpppfnbgakglpoeaobhhh",</v>
      </c>
    </row>
    <row r="5753">
      <c r="A5753" s="4" t="s">
        <v>24932</v>
      </c>
      <c r="B5753" s="4" t="s">
        <v>11453</v>
      </c>
      <c r="C5753" s="16" t="str">
        <f>IFERROR(__xludf.DUMMYFUNCTION(""""""""" &amp; REGEXEXTRACT(B5753, ""/detail/([^/?]+)"") &amp; """""","""),"""gmlafnjffcblkipjaelgjdgdpmgmjbfp"",")</f>
        <v>"gmlafnjffcblkipjaelgjdgdpmgmjbfp",</v>
      </c>
    </row>
    <row r="5754">
      <c r="A5754" s="4" t="s">
        <v>24933</v>
      </c>
      <c r="B5754" s="4" t="s">
        <v>11455</v>
      </c>
      <c r="C5754" s="16" t="str">
        <f>IFERROR(__xludf.DUMMYFUNCTION(""""""""" &amp; REGEXEXTRACT(B5754, ""/detail/([^/?]+)"") &amp; """""","""),"""gmmcieaimnaokicplhkelbbggnaipnce"",")</f>
        <v>"gmmcieaimnaokicplhkelbbggnaipnce",</v>
      </c>
    </row>
    <row r="5755">
      <c r="A5755" s="4" t="s">
        <v>24934</v>
      </c>
      <c r="B5755" s="4" t="s">
        <v>11457</v>
      </c>
      <c r="C5755" s="16" t="str">
        <f>IFERROR(__xludf.DUMMYFUNCTION(""""""""" &amp; REGEXEXTRACT(B5755, ""/detail/([^/?]+)"") &amp; """""","""),"""gmodkkelloolkcebchmmjfdbhhdhnfpb"",")</f>
        <v>"gmodkkelloolkcebchmmjfdbhhdhnfpb",</v>
      </c>
    </row>
    <row r="5756">
      <c r="A5756" s="4" t="s">
        <v>24935</v>
      </c>
      <c r="B5756" s="4" t="s">
        <v>11459</v>
      </c>
      <c r="C5756" s="16" t="str">
        <f>IFERROR(__xludf.DUMMYFUNCTION(""""""""" &amp; REGEXEXTRACT(B5756, ""/detail/([^/?]+)"") &amp; """""","""),"""gmogjpphjifpompcibhiafmlkhdmbbkb"",")</f>
        <v>"gmogjpphjifpompcibhiafmlkhdmbbkb",</v>
      </c>
    </row>
    <row r="5757">
      <c r="A5757" s="4" t="s">
        <v>24936</v>
      </c>
      <c r="B5757" s="4" t="s">
        <v>11461</v>
      </c>
      <c r="C5757" s="16" t="str">
        <f>IFERROR(__xludf.DUMMYFUNCTION(""""""""" &amp; REGEXEXTRACT(B5757, ""/detail/([^/?]+)"") &amp; """""","""),"""gmojchmfkdpbmcboingdhcpaejpffhem"",")</f>
        <v>"gmojchmfkdpbmcboingdhcpaejpffhem",</v>
      </c>
    </row>
    <row r="5758">
      <c r="A5758" s="4" t="s">
        <v>24937</v>
      </c>
      <c r="B5758" s="4" t="s">
        <v>11463</v>
      </c>
      <c r="C5758" s="16" t="str">
        <f>IFERROR(__xludf.DUMMYFUNCTION(""""""""" &amp; REGEXEXTRACT(B5758, ""/detail/([^/?]+)"") &amp; """""","""),"""gnblbfpegnbgfflpomkmhdegcpcjkbnh"",")</f>
        <v>"gnblbfpegnbgfflpomkmhdegcpcjkbnh",</v>
      </c>
    </row>
    <row r="5759">
      <c r="A5759" s="4" t="s">
        <v>24938</v>
      </c>
      <c r="B5759" s="4" t="s">
        <v>11465</v>
      </c>
      <c r="C5759" s="16" t="str">
        <f>IFERROR(__xludf.DUMMYFUNCTION(""""""""" &amp; REGEXEXTRACT(B5759, ""/detail/([^/?]+)"") &amp; """""","""),"""gnfkfajglnnkaaiaaeheiinmcmniecni"",")</f>
        <v>"gnfkfajglnnkaaiaaeheiinmcmniecni",</v>
      </c>
    </row>
    <row r="5760">
      <c r="A5760" s="4" t="s">
        <v>24939</v>
      </c>
      <c r="B5760" s="4" t="s">
        <v>11467</v>
      </c>
      <c r="C5760" s="16" t="str">
        <f>IFERROR(__xludf.DUMMYFUNCTION(""""""""" &amp; REGEXEXTRACT(B5760, ""/detail/([^/?]+)"") &amp; """""","""),"""gnhoncdnkjpdoikknikbmecicaihhiai"",")</f>
        <v>"gnhoncdnkjpdoikknikbmecicaihhiai",</v>
      </c>
    </row>
    <row r="5761">
      <c r="A5761" s="4" t="s">
        <v>24940</v>
      </c>
      <c r="B5761" s="4" t="s">
        <v>11469</v>
      </c>
      <c r="C5761" s="16" t="str">
        <f>IFERROR(__xludf.DUMMYFUNCTION(""""""""" &amp; REGEXEXTRACT(B5761, ""/detail/([^/?]+)"") &amp; """""","""),"""gnhpgfjkcocbojfegmijaaapefldpemb"",")</f>
        <v>"gnhpgfjkcocbojfegmijaaapefldpemb",</v>
      </c>
    </row>
    <row r="5762">
      <c r="A5762" s="4" t="s">
        <v>24941</v>
      </c>
      <c r="B5762" s="4" t="s">
        <v>11471</v>
      </c>
      <c r="C5762" s="16" t="str">
        <f>IFERROR(__xludf.DUMMYFUNCTION(""""""""" &amp; REGEXEXTRACT(B5762, ""/detail/([^/?]+)"") &amp; """""","""),"""gnijgfamanlebomemfebpndnnbbpcijl"",")</f>
        <v>"gnijgfamanlebomemfebpndnnbbpcijl",</v>
      </c>
    </row>
    <row r="5763">
      <c r="A5763" s="4" t="s">
        <v>24942</v>
      </c>
      <c r="B5763" s="4" t="s">
        <v>11473</v>
      </c>
      <c r="C5763" s="16" t="str">
        <f>IFERROR(__xludf.DUMMYFUNCTION(""""""""" &amp; REGEXEXTRACT(B5763, ""/detail/([^/?]+)"") &amp; """""","""),"""gnmacbkcpgnljoegkpmhoejgiipfdian"",")</f>
        <v>"gnmacbkcpgnljoegkpmhoejgiipfdian",</v>
      </c>
    </row>
    <row r="5764">
      <c r="A5764" s="4" t="s">
        <v>24943</v>
      </c>
      <c r="B5764" s="4" t="s">
        <v>11475</v>
      </c>
      <c r="C5764" s="16" t="str">
        <f>IFERROR(__xludf.DUMMYFUNCTION(""""""""" &amp; REGEXEXTRACT(B5764, ""/detail/([^/?]+)"") &amp; """""","""),"""gnoegjcomgnaofcdeckopfoajfbboplb"",")</f>
        <v>"gnoegjcomgnaofcdeckopfoajfbboplb",</v>
      </c>
    </row>
    <row r="5765">
      <c r="A5765" s="4" t="s">
        <v>24944</v>
      </c>
      <c r="B5765" s="4" t="s">
        <v>11477</v>
      </c>
      <c r="C5765" s="16" t="str">
        <f>IFERROR(__xludf.DUMMYFUNCTION(""""""""" &amp; REGEXEXTRACT(B5765, ""/detail/([^/?]+)"") &amp; """""","""),"""gnofggopjcccippphnjmajelmklljmhl"",")</f>
        <v>"gnofggopjcccippphnjmajelmklljmhl",</v>
      </c>
    </row>
    <row r="5766">
      <c r="A5766" s="4" t="s">
        <v>24945</v>
      </c>
      <c r="B5766" s="4" t="s">
        <v>11479</v>
      </c>
      <c r="C5766" s="16" t="str">
        <f>IFERROR(__xludf.DUMMYFUNCTION(""""""""" &amp; REGEXEXTRACT(B5766, ""/detail/([^/?]+)"") &amp; """""","""),"""gnpbpbbdcikepgimaaflpdobempiegcp"",")</f>
        <v>"gnpbpbbdcikepgimaaflpdobempiegcp",</v>
      </c>
    </row>
    <row r="5767">
      <c r="A5767" s="4" t="s">
        <v>24946</v>
      </c>
      <c r="B5767" s="4" t="s">
        <v>11481</v>
      </c>
      <c r="C5767" s="16" t="str">
        <f>IFERROR(__xludf.DUMMYFUNCTION(""""""""" &amp; REGEXEXTRACT(B5767, ""/detail/([^/?]+)"") &amp; """""","""),"""gnpnpeephndoppbobdbpigepfdklacbp"",")</f>
        <v>"gnpnpeephndoppbobdbpigepfdklacbp",</v>
      </c>
    </row>
    <row r="5768">
      <c r="A5768" s="4" t="s">
        <v>24947</v>
      </c>
      <c r="B5768" s="4" t="s">
        <v>11483</v>
      </c>
      <c r="C5768" s="16" t="str">
        <f>IFERROR(__xludf.DUMMYFUNCTION(""""""""" &amp; REGEXEXTRACT(B5768, ""/detail/([^/?]+)"") &amp; """""","""),"""gobkmjhllbkjeakbgmiodimehipofpmb"",")</f>
        <v>"gobkmjhllbkjeakbgmiodimehipofpmb",</v>
      </c>
    </row>
    <row r="5769">
      <c r="A5769" s="4" t="s">
        <v>24948</v>
      </c>
      <c r="B5769" s="4" t="s">
        <v>11485</v>
      </c>
      <c r="C5769" s="16" t="str">
        <f>IFERROR(__xludf.DUMMYFUNCTION(""""""""" &amp; REGEXEXTRACT(B5769, ""/detail/([^/?]+)"") &amp; """""","""),"""gocgbnckcebedcielkcikcjbmgejaknb"",")</f>
        <v>"gocgbnckcebedcielkcikcjbmgejaknb",</v>
      </c>
    </row>
    <row r="5770">
      <c r="A5770" s="4" t="s">
        <v>24949</v>
      </c>
      <c r="B5770" s="4" t="s">
        <v>11487</v>
      </c>
      <c r="C5770" s="16" t="str">
        <f>IFERROR(__xludf.DUMMYFUNCTION(""""""""" &amp; REGEXEXTRACT(B5770, ""/detail/([^/?]+)"") &amp; """""","""),"""goelkfmlebeihlnanaindammeonplnhi"",")</f>
        <v>"goelkfmlebeihlnanaindammeonplnhi",</v>
      </c>
    </row>
    <row r="5771">
      <c r="A5771" s="4" t="s">
        <v>24950</v>
      </c>
      <c r="B5771" s="4" t="s">
        <v>11489</v>
      </c>
      <c r="C5771" s="16" t="str">
        <f>IFERROR(__xludf.DUMMYFUNCTION(""""""""" &amp; REGEXEXTRACT(B5771, ""/detail/([^/?]+)"") &amp; """""","""),"""gohnadkcefpdhblajddfnhapimpdjkje"",")</f>
        <v>"gohnadkcefpdhblajddfnhapimpdjkje",</v>
      </c>
    </row>
    <row r="5772">
      <c r="A5772" s="4" t="s">
        <v>24951</v>
      </c>
      <c r="B5772" s="4" t="s">
        <v>11491</v>
      </c>
      <c r="C5772" s="16" t="str">
        <f>IFERROR(__xludf.DUMMYFUNCTION(""""""""" &amp; REGEXEXTRACT(B5772, ""/detail/([^/?]+)"") &amp; """""","""),"""gohnaeiejimgpgoaoehhocepoeafppeo"",")</f>
        <v>"gohnaeiejimgpgoaoehhocepoeafppeo",</v>
      </c>
    </row>
    <row r="5773">
      <c r="A5773" s="4" t="s">
        <v>24952</v>
      </c>
      <c r="B5773" s="4" t="s">
        <v>11493</v>
      </c>
      <c r="C5773" s="16" t="str">
        <f>IFERROR(__xludf.DUMMYFUNCTION(""""""""" &amp; REGEXEXTRACT(B5773, ""/detail/([^/?]+)"") &amp; """""","""),"""goiemopobkpclgiidbbbfeiibggbnnin"",")</f>
        <v>"goiemopobkpclgiidbbbfeiibggbnnin",</v>
      </c>
    </row>
    <row r="5774">
      <c r="A5774" s="4" t="s">
        <v>24953</v>
      </c>
      <c r="B5774" s="4" t="s">
        <v>11495</v>
      </c>
      <c r="C5774" s="16" t="str">
        <f>IFERROR(__xludf.DUMMYFUNCTION(""""""""" &amp; REGEXEXTRACT(B5774, ""/detail/([^/?]+)"") &amp; """""","""),"""golladjmjodbefcoombodcdhimkmgemd"",")</f>
        <v>"golladjmjodbefcoombodcdhimkmgemd",</v>
      </c>
    </row>
    <row r="5775">
      <c r="A5775" s="4" t="s">
        <v>24954</v>
      </c>
      <c r="B5775" s="4" t="s">
        <v>11497</v>
      </c>
      <c r="C5775" s="16" t="str">
        <f>IFERROR(__xludf.DUMMYFUNCTION(""""""""" &amp; REGEXEXTRACT(B5775, ""/detail/([^/?]+)"") &amp; """""","""),"""goofcmgbmabnnnkfmjcchocjdfpgjmlk"",")</f>
        <v>"goofcmgbmabnnnkfmjcchocjdfpgjmlk",</v>
      </c>
    </row>
    <row r="5776">
      <c r="A5776" s="4" t="s">
        <v>24955</v>
      </c>
      <c r="B5776" s="4" t="s">
        <v>11499</v>
      </c>
      <c r="C5776" s="16" t="str">
        <f>IFERROR(__xludf.DUMMYFUNCTION(""""""""" &amp; REGEXEXTRACT(B5776, ""/detail/([^/?]+)"") &amp; """""","""),"""gopfokpflndblbooehdbffnnjmnegeph"",")</f>
        <v>"gopfokpflndblbooehdbffnnjmnegeph",</v>
      </c>
    </row>
    <row r="5777">
      <c r="A5777" s="4" t="s">
        <v>24956</v>
      </c>
      <c r="B5777" s="4" t="s">
        <v>11501</v>
      </c>
      <c r="C5777" s="16" t="str">
        <f>IFERROR(__xludf.DUMMYFUNCTION(""""""""" &amp; REGEXEXTRACT(B5777, ""/detail/([^/?]+)"") &amp; """""","""),"""gopnboakogbabooghplgljcbmebphmon"",")</f>
        <v>"gopnboakogbabooghplgljcbmebphmon",</v>
      </c>
    </row>
    <row r="5778">
      <c r="A5778" s="4" t="s">
        <v>24957</v>
      </c>
      <c r="B5778" s="4" t="s">
        <v>11503</v>
      </c>
      <c r="C5778" s="16" t="str">
        <f>IFERROR(__xludf.DUMMYFUNCTION(""""""""" &amp; REGEXEXTRACT(B5778, ""/detail/([^/?]+)"") &amp; """""","""),"""gpbhhjnhdfmdjephhladopnjpelhmplc"",")</f>
        <v>"gpbhhjnhdfmdjephhladopnjpelhmplc",</v>
      </c>
    </row>
    <row r="5779">
      <c r="A5779" s="4" t="s">
        <v>24958</v>
      </c>
      <c r="B5779" s="4" t="s">
        <v>11505</v>
      </c>
      <c r="C5779" s="16" t="str">
        <f>IFERROR(__xludf.DUMMYFUNCTION(""""""""" &amp; REGEXEXTRACT(B5779, ""/detail/([^/?]+)"") &amp; """""","""),"""gpdnihamialibcjfmdnfbjcljnfbgkbc"",")</f>
        <v>"gpdnihamialibcjfmdnfbjcljnfbgkbc",</v>
      </c>
    </row>
    <row r="5780">
      <c r="A5780" s="4" t="s">
        <v>24959</v>
      </c>
      <c r="B5780" s="4" t="s">
        <v>11507</v>
      </c>
      <c r="C5780" s="16" t="str">
        <f>IFERROR(__xludf.DUMMYFUNCTION(""""""""" &amp; REGEXEXTRACT(B5780, ""/detail/([^/?]+)"") &amp; """""","""),"""gpdohcgeplmiakcbgdagnajcdjlogbnl"",")</f>
        <v>"gpdohcgeplmiakcbgdagnajcdjlogbnl",</v>
      </c>
    </row>
    <row r="5781">
      <c r="A5781" s="4" t="s">
        <v>24960</v>
      </c>
      <c r="B5781" s="4" t="s">
        <v>11509</v>
      </c>
      <c r="C5781" s="16" t="str">
        <f>IFERROR(__xludf.DUMMYFUNCTION(""""""""" &amp; REGEXEXTRACT(B5781, ""/detail/([^/?]+)"") &amp; """""","""),"""gpfdhanahponbcjklpigjocndbfdejnc"",")</f>
        <v>"gpfdhanahponbcjklpigjocndbfdejnc",</v>
      </c>
    </row>
    <row r="5782">
      <c r="A5782" s="4" t="s">
        <v>24961</v>
      </c>
      <c r="B5782" s="4" t="s">
        <v>11511</v>
      </c>
      <c r="C5782" s="16" t="str">
        <f>IFERROR(__xludf.DUMMYFUNCTION(""""""""" &amp; REGEXEXTRACT(B5782, ""/detail/([^/?]+)"") &amp; """""","""),"""gpfoeagcgabbdibhiofcmeimcbkafndo"",")</f>
        <v>"gpfoeagcgabbdibhiofcmeimcbkafndo",</v>
      </c>
    </row>
    <row r="5783">
      <c r="A5783" s="4" t="s">
        <v>24962</v>
      </c>
      <c r="B5783" s="4" t="s">
        <v>11513</v>
      </c>
      <c r="C5783" s="16" t="str">
        <f>IFERROR(__xludf.DUMMYFUNCTION(""""""""" &amp; REGEXEXTRACT(B5783, ""/detail/([^/?]+)"") &amp; """""","""),"""gpidlbbcdlkdifeooghlabmmgamkamlm"",")</f>
        <v>"gpidlbbcdlkdifeooghlabmmgamkamlm",</v>
      </c>
    </row>
    <row r="5784">
      <c r="A5784" s="4" t="s">
        <v>24963</v>
      </c>
      <c r="B5784" s="4" t="s">
        <v>11515</v>
      </c>
      <c r="C5784" s="16" t="str">
        <f>IFERROR(__xludf.DUMMYFUNCTION(""""""""" &amp; REGEXEXTRACT(B5784, ""/detail/([^/?]+)"") &amp; """""","""),"""gpjbfckicpmdjmhgcjoecomooejngkam"",")</f>
        <v>"gpjbfckicpmdjmhgcjoecomooejngkam",</v>
      </c>
    </row>
    <row r="5785">
      <c r="A5785" s="4" t="s">
        <v>24964</v>
      </c>
      <c r="B5785" s="4" t="s">
        <v>11517</v>
      </c>
      <c r="C5785" s="16" t="str">
        <f>IFERROR(__xludf.DUMMYFUNCTION(""""""""" &amp; REGEXEXTRACT(B5785, ""/detail/([^/?]+)"") &amp; """""","""),"""gpjdnkhbioemglbhdaaikcnkdcnpgiph"",")</f>
        <v>"gpjdnkhbioemglbhdaaikcnkdcnpgiph",</v>
      </c>
    </row>
    <row r="5786">
      <c r="A5786" s="4" t="s">
        <v>24965</v>
      </c>
      <c r="B5786" s="4" t="s">
        <v>11519</v>
      </c>
      <c r="C5786" s="16" t="str">
        <f>IFERROR(__xludf.DUMMYFUNCTION(""""""""" &amp; REGEXEXTRACT(B5786, ""/detail/([^/?]+)"") &amp; """""","""),"""gplfbclbkplhmjblennehlnjfnngncgc"",")</f>
        <v>"gplfbclbkplhmjblennehlnjfnngncgc",</v>
      </c>
    </row>
    <row r="5787">
      <c r="A5787" s="4" t="s">
        <v>24966</v>
      </c>
      <c r="B5787" s="4" t="s">
        <v>11521</v>
      </c>
      <c r="C5787" s="16" t="str">
        <f>IFERROR(__xludf.DUMMYFUNCTION(""""""""" &amp; REGEXEXTRACT(B5787, ""/detail/([^/?]+)"") &amp; """""","""),"""gpljbknhblkhonhioehklflggjhooopd"",")</f>
        <v>"gpljbknhblkhonhioehklflggjhooopd",</v>
      </c>
    </row>
    <row r="5788">
      <c r="A5788" s="4" t="s">
        <v>24967</v>
      </c>
      <c r="B5788" s="4" t="s">
        <v>11523</v>
      </c>
      <c r="C5788" s="16" t="str">
        <f>IFERROR(__xludf.DUMMYFUNCTION(""""""""" &amp; REGEXEXTRACT(B5788, ""/detail/([^/?]+)"") &amp; """""","""),"""gpoanfafbmmhifpmbefgllakooeokdgl"",")</f>
        <v>"gpoanfafbmmhifpmbefgllakooeokdgl",</v>
      </c>
    </row>
    <row r="5789">
      <c r="A5789" s="4" t="s">
        <v>24968</v>
      </c>
      <c r="B5789" s="4" t="s">
        <v>11525</v>
      </c>
      <c r="C5789" s="16" t="str">
        <f>IFERROR(__xludf.DUMMYFUNCTION(""""""""" &amp; REGEXEXTRACT(B5789, ""/detail/([^/?]+)"") &amp; """""","""),"""gpoflfbdghibihmhhhlkebbeppilmoih"",")</f>
        <v>"gpoflfbdghibihmhhhlkebbeppilmoih",</v>
      </c>
    </row>
    <row r="5790">
      <c r="A5790" s="4" t="s">
        <v>24969</v>
      </c>
      <c r="B5790" s="4" t="s">
        <v>11527</v>
      </c>
      <c r="C5790" s="16" t="str">
        <f>IFERROR(__xludf.DUMMYFUNCTION(""""""""" &amp; REGEXEXTRACT(B5790, ""/detail/([^/?]+)"") &amp; """""","""),"""haahcjpkljcjfjldgcllmkpojfbgjfaf"",")</f>
        <v>"haahcjpkljcjfjldgcllmkpojfbgjfaf",</v>
      </c>
    </row>
    <row r="5791">
      <c r="A5791" s="4" t="s">
        <v>24970</v>
      </c>
      <c r="B5791" s="4" t="s">
        <v>11529</v>
      </c>
      <c r="C5791" s="16" t="str">
        <f>IFERROR(__xludf.DUMMYFUNCTION(""""""""" &amp; REGEXEXTRACT(B5791, ""/detail/([^/?]+)"") &amp; """""","""),"""hackndbjgkehhjinjjoldifbhnfddklh"",")</f>
        <v>"hackndbjgkehhjinjjoldifbhnfddklh",</v>
      </c>
    </row>
    <row r="5792">
      <c r="A5792" s="4" t="s">
        <v>24971</v>
      </c>
      <c r="B5792" s="4" t="s">
        <v>11531</v>
      </c>
      <c r="C5792" s="16" t="str">
        <f>IFERROR(__xludf.DUMMYFUNCTION(""""""""" &amp; REGEXEXTRACT(B5792, ""/detail/([^/?]+)"") &amp; """""","""),"""hadbecmlcefimjheionmdhnmdjclpbnj"",")</f>
        <v>"hadbecmlcefimjheionmdhnmdjclpbnj",</v>
      </c>
    </row>
    <row r="5793">
      <c r="A5793" s="4" t="s">
        <v>24972</v>
      </c>
      <c r="B5793" s="4" t="s">
        <v>11533</v>
      </c>
      <c r="C5793" s="16" t="str">
        <f>IFERROR(__xludf.DUMMYFUNCTION(""""""""" &amp; REGEXEXTRACT(B5793, ""/detail/([^/?]+)"") &amp; """""","""),"""haebljcbppijaghbfigaiegljbiicllh"",")</f>
        <v>"haebljcbppijaghbfigaiegljbiicllh",</v>
      </c>
    </row>
    <row r="5794">
      <c r="A5794" s="4" t="s">
        <v>24973</v>
      </c>
      <c r="B5794" s="4" t="s">
        <v>11535</v>
      </c>
      <c r="C5794" s="16" t="str">
        <f>IFERROR(__xludf.DUMMYFUNCTION(""""""""" &amp; REGEXEXTRACT(B5794, ""/detail/([^/?]+)"") &amp; """""","""),"""haedjkfbplpnlmlohhjhnhplcnljbnel"",")</f>
        <v>"haedjkfbplpnlmlohhjhnhplcnljbnel",</v>
      </c>
    </row>
    <row r="5795">
      <c r="A5795" s="4" t="s">
        <v>24974</v>
      </c>
      <c r="B5795" s="4" t="s">
        <v>11537</v>
      </c>
      <c r="C5795" s="16" t="str">
        <f>IFERROR(__xludf.DUMMYFUNCTION(""""""""" &amp; REGEXEXTRACT(B5795, ""/detail/([^/?]+)"") &amp; """""","""),"""haflmpndeggigeeccecfbkcdaobjabib"",")</f>
        <v>"haflmpndeggigeeccecfbkcdaobjabib",</v>
      </c>
    </row>
    <row r="5796">
      <c r="A5796" s="4" t="s">
        <v>24975</v>
      </c>
      <c r="B5796" s="4" t="s">
        <v>11539</v>
      </c>
      <c r="C5796" s="16" t="str">
        <f>IFERROR(__xludf.DUMMYFUNCTION(""""""""" &amp; REGEXEXTRACT(B5796, ""/detail/([^/?]+)"") &amp; """""","""),"""hbajjpcdbninabigakflkhiogmmjaakm"",")</f>
        <v>"hbajjpcdbninabigakflkhiogmmjaakm",</v>
      </c>
    </row>
    <row r="5797">
      <c r="A5797" s="4" t="s">
        <v>24976</v>
      </c>
      <c r="B5797" s="4" t="s">
        <v>11541</v>
      </c>
      <c r="C5797" s="16" t="str">
        <f>IFERROR(__xludf.DUMMYFUNCTION(""""""""" &amp; REGEXEXTRACT(B5797, ""/detail/([^/?]+)"") &amp; """""","""),"""hbcdmmaobjagbplobejomeefggahclkf"",")</f>
        <v>"hbcdmmaobjagbplobejomeefggahclkf",</v>
      </c>
    </row>
    <row r="5798">
      <c r="A5798" s="4" t="s">
        <v>24977</v>
      </c>
      <c r="B5798" s="4" t="s">
        <v>11543</v>
      </c>
      <c r="C5798" s="16" t="str">
        <f>IFERROR(__xludf.DUMMYFUNCTION(""""""""" &amp; REGEXEXTRACT(B5798, ""/detail/([^/?]+)"") &amp; """""","""),"""hbdplfijcjnbgeifjbhdgdpaniodhcbf"",")</f>
        <v>"hbdplfijcjnbgeifjbhdgdpaniodhcbf",</v>
      </c>
    </row>
    <row r="5799">
      <c r="A5799" s="4" t="s">
        <v>24978</v>
      </c>
      <c r="B5799" s="4" t="s">
        <v>11545</v>
      </c>
      <c r="C5799" s="16" t="str">
        <f>IFERROR(__xludf.DUMMYFUNCTION(""""""""" &amp; REGEXEXTRACT(B5799, ""/detail/([^/?]+)"") &amp; """""","""),"""hbelphkdkebaclidgfhjaobpljdoagpd"",")</f>
        <v>"hbelphkdkebaclidgfhjaobpljdoagpd",</v>
      </c>
    </row>
    <row r="5800">
      <c r="A5800" s="4" t="s">
        <v>24979</v>
      </c>
      <c r="B5800" s="4" t="s">
        <v>11547</v>
      </c>
      <c r="C5800" s="16" t="str">
        <f>IFERROR(__xludf.DUMMYFUNCTION(""""""""" &amp; REGEXEXTRACT(B5800, ""/detail/([^/?]+)"") &amp; """""","""),"""hbhkmnepjaoiamapfdbhpkjendeeegbb"",")</f>
        <v>"hbhkmnepjaoiamapfdbhpkjendeeegbb",</v>
      </c>
    </row>
    <row r="5801">
      <c r="A5801" s="4" t="s">
        <v>24980</v>
      </c>
      <c r="B5801" s="4" t="s">
        <v>11549</v>
      </c>
      <c r="C5801" s="16" t="str">
        <f>IFERROR(__xludf.DUMMYFUNCTION(""""""""" &amp; REGEXEXTRACT(B5801, ""/detail/([^/?]+)"") &amp; """""","""),"""hbhmnegpijmdbjpacncnjegdkieeffag"",")</f>
        <v>"hbhmnegpijmdbjpacncnjegdkieeffag",</v>
      </c>
    </row>
    <row r="5802">
      <c r="A5802" s="4" t="s">
        <v>24981</v>
      </c>
      <c r="B5802" s="4" t="s">
        <v>11551</v>
      </c>
      <c r="C5802" s="16" t="str">
        <f>IFERROR(__xludf.DUMMYFUNCTION(""""""""" &amp; REGEXEXTRACT(B5802, ""/detail/([^/?]+)"") &amp; """""","""),"""hbinnmjinjjgoknbmgeoomeamnbbokki"",")</f>
        <v>"hbinnmjinjjgoknbmgeoomeamnbbokki",</v>
      </c>
    </row>
    <row r="5803">
      <c r="A5803" s="4" t="s">
        <v>24982</v>
      </c>
      <c r="B5803" s="4" t="s">
        <v>11553</v>
      </c>
      <c r="C5803" s="16" t="str">
        <f>IFERROR(__xludf.DUMMYFUNCTION(""""""""" &amp; REGEXEXTRACT(B5803, ""/detail/([^/?]+)"") &amp; """""","""),"""hbjipahjdnkchnhlmhlbakoooiilhkhh"",")</f>
        <v>"hbjipahjdnkchnhlmhlbakoooiilhkhh",</v>
      </c>
    </row>
    <row r="5804">
      <c r="A5804" s="4" t="s">
        <v>24983</v>
      </c>
      <c r="B5804" s="4" t="s">
        <v>11554</v>
      </c>
      <c r="C5804" s="16" t="str">
        <f>IFERROR(__xludf.DUMMYFUNCTION(""""""""" &amp; REGEXEXTRACT(B5804, ""/detail/([^/?]+)"") &amp; """""","""),"""hbkboegfdkllhmokangamapokbnnhfbl"",")</f>
        <v>"hbkboegfdkllhmokangamapokbnnhfbl",</v>
      </c>
    </row>
    <row r="5805">
      <c r="A5805" s="4" t="s">
        <v>24984</v>
      </c>
      <c r="B5805" s="4" t="s">
        <v>11556</v>
      </c>
      <c r="C5805" s="16" t="str">
        <f>IFERROR(__xludf.DUMMYFUNCTION(""""""""" &amp; REGEXEXTRACT(B5805, ""/detail/([^/?]+)"") &amp; """""","""),"""hbnmdgcdginbiabpiliphgbepbopajla"",")</f>
        <v>"hbnmdgcdginbiabpiliphgbepbopajla",</v>
      </c>
    </row>
    <row r="5806">
      <c r="A5806" s="4" t="s">
        <v>24985</v>
      </c>
      <c r="B5806" s="4" t="s">
        <v>11558</v>
      </c>
      <c r="C5806" s="16" t="str">
        <f>IFERROR(__xludf.DUMMYFUNCTION(""""""""" &amp; REGEXEXTRACT(B5806, ""/detail/([^/?]+)"") &amp; """""","""),"""hbnnphjhkbdeagbpjcnihdgianfhdgoo"",")</f>
        <v>"hbnnphjhkbdeagbpjcnihdgianfhdgoo",</v>
      </c>
    </row>
    <row r="5807">
      <c r="A5807" s="4" t="s">
        <v>24986</v>
      </c>
      <c r="B5807" s="4" t="s">
        <v>11560</v>
      </c>
      <c r="C5807" s="16" t="str">
        <f>IFERROR(__xludf.DUMMYFUNCTION(""""""""" &amp; REGEXEXTRACT(B5807, ""/detail/([^/?]+)"") &amp; """""","""),"""hcdkopihmfgkkjdjgpfhehgmijgmebjl"",")</f>
        <v>"hcdkopihmfgkkjdjgpfhehgmijgmebjl",</v>
      </c>
    </row>
    <row r="5808">
      <c r="A5808" s="4" t="s">
        <v>24987</v>
      </c>
      <c r="B5808" s="4" t="s">
        <v>11562</v>
      </c>
      <c r="C5808" s="16" t="str">
        <f>IFERROR(__xludf.DUMMYFUNCTION(""""""""" &amp; REGEXEXTRACT(B5808, ""/detail/([^/?]+)"") &amp; """""","""),"""hcffgojagdaebjicjhbcjpmbolaaepme"",")</f>
        <v>"hcffgojagdaebjicjhbcjpmbolaaepme",</v>
      </c>
    </row>
    <row r="5809">
      <c r="A5809" s="4" t="s">
        <v>24988</v>
      </c>
      <c r="B5809" s="4" t="s">
        <v>11564</v>
      </c>
      <c r="C5809" s="16" t="str">
        <f>IFERROR(__xludf.DUMMYFUNCTION(""""""""" &amp; REGEXEXTRACT(B5809, ""/detail/([^/?]+)"") &amp; """""","""),"""hcgpoobeoeoahbhfcdabdjciflibpdal"",")</f>
        <v>"hcgpoobeoeoahbhfcdabdjciflibpdal",</v>
      </c>
    </row>
    <row r="5810">
      <c r="A5810" s="4" t="s">
        <v>24989</v>
      </c>
      <c r="B5810" s="4" t="s">
        <v>11566</v>
      </c>
      <c r="C5810" s="16" t="str">
        <f>IFERROR(__xludf.DUMMYFUNCTION(""""""""" &amp; REGEXEXTRACT(B5810, ""/detail/([^/?]+)"") &amp; """""","""),"""hchbodopdlebbofpkiaebjhionnkhkgi"",")</f>
        <v>"hchbodopdlebbofpkiaebjhionnkhkgi",</v>
      </c>
    </row>
    <row r="5811">
      <c r="A5811" s="4" t="s">
        <v>24990</v>
      </c>
      <c r="B5811" s="4" t="s">
        <v>11568</v>
      </c>
      <c r="C5811" s="16" t="str">
        <f>IFERROR(__xludf.DUMMYFUNCTION(""""""""" &amp; REGEXEXTRACT(B5811, ""/detail/([^/?]+)"") &amp; """""","""),"""hcicdlofgmjjiloeecipffiacpholmkb"",")</f>
        <v>"hcicdlofgmjjiloeecipffiacpholmkb",</v>
      </c>
    </row>
    <row r="5812">
      <c r="A5812" s="4" t="s">
        <v>24991</v>
      </c>
      <c r="B5812" s="4" t="s">
        <v>11570</v>
      </c>
      <c r="C5812" s="16" t="str">
        <f>IFERROR(__xludf.DUMMYFUNCTION(""""""""" &amp; REGEXEXTRACT(B5812, ""/detail/([^/?]+)"") &amp; """""","""),"""hclnhkcfkccpjnkgjmaghkchfgbppcaj"",")</f>
        <v>"hclnhkcfkccpjnkgjmaghkchfgbppcaj",</v>
      </c>
    </row>
    <row r="5813">
      <c r="A5813" s="4" t="s">
        <v>24992</v>
      </c>
      <c r="B5813" s="4" t="s">
        <v>11572</v>
      </c>
      <c r="C5813" s="16" t="str">
        <f>IFERROR(__xludf.DUMMYFUNCTION(""""""""" &amp; REGEXEXTRACT(B5813, ""/detail/([^/?]+)"") &amp; """""","""),"""hcnohopcajeibomnkkbaebokofafkgbf"",")</f>
        <v>"hcnohopcajeibomnkkbaebokofafkgbf",</v>
      </c>
    </row>
    <row r="5814">
      <c r="A5814" s="4" t="s">
        <v>24993</v>
      </c>
      <c r="B5814" s="4" t="s">
        <v>11574</v>
      </c>
      <c r="C5814" s="16" t="str">
        <f>IFERROR(__xludf.DUMMYFUNCTION(""""""""" &amp; REGEXEXTRACT(B5814, ""/detail/([^/?]+)"") &amp; """""","""),"""hcogkbekdbiipilncghmakoknoblnhif"",")</f>
        <v>"hcogkbekdbiipilncghmakoknoblnhif",</v>
      </c>
    </row>
    <row r="5815">
      <c r="A5815" s="4" t="s">
        <v>24994</v>
      </c>
      <c r="B5815" s="4" t="s">
        <v>11576</v>
      </c>
      <c r="C5815" s="16" t="str">
        <f>IFERROR(__xludf.DUMMYFUNCTION(""""""""" &amp; REGEXEXTRACT(B5815, ""/detail/([^/?]+)"") &amp; """""","""),"""hcpgdfjpehdkdebjepgcmgkhoabjdegf"",")</f>
        <v>"hcpgdfjpehdkdebjepgcmgkhoabjdegf",</v>
      </c>
    </row>
    <row r="5816">
      <c r="A5816" s="4" t="s">
        <v>24995</v>
      </c>
      <c r="B5816" s="4" t="s">
        <v>11578</v>
      </c>
      <c r="C5816" s="16" t="str">
        <f>IFERROR(__xludf.DUMMYFUNCTION(""""""""" &amp; REGEXEXTRACT(B5816, ""/detail/([^/?]+)"") &amp; """""","""),"""hdadofjbdnckpfbmddfkgpnpchcfbpki"",")</f>
        <v>"hdadofjbdnckpfbmddfkgpnpchcfbpki",</v>
      </c>
    </row>
    <row r="5817">
      <c r="A5817" s="4" t="s">
        <v>24996</v>
      </c>
      <c r="B5817" s="4" t="s">
        <v>11580</v>
      </c>
      <c r="C5817" s="16" t="str">
        <f>IFERROR(__xludf.DUMMYFUNCTION(""""""""" &amp; REGEXEXTRACT(B5817, ""/detail/([^/?]+)"") &amp; """""","""),"""hdidglkcgdolpoijdckmafdnddjoglia"",")</f>
        <v>"hdidglkcgdolpoijdckmafdnddjoglia",</v>
      </c>
    </row>
    <row r="5818">
      <c r="A5818" s="4" t="s">
        <v>24997</v>
      </c>
      <c r="B5818" s="4" t="s">
        <v>11582</v>
      </c>
      <c r="C5818" s="16" t="str">
        <f>IFERROR(__xludf.DUMMYFUNCTION(""""""""" &amp; REGEXEXTRACT(B5818, ""/detail/([^/?]+)"") &amp; """""","""),"""hdifhbpniaokcjogffalpnbphplppdcb"",")</f>
        <v>"hdifhbpniaokcjogffalpnbphplppdcb",</v>
      </c>
    </row>
    <row r="5819">
      <c r="A5819" s="4" t="s">
        <v>24998</v>
      </c>
      <c r="B5819" s="4" t="s">
        <v>11584</v>
      </c>
      <c r="C5819" s="16" t="str">
        <f>IFERROR(__xludf.DUMMYFUNCTION(""""""""" &amp; REGEXEXTRACT(B5819, ""/detail/([^/?]+)"") &amp; """""","""),"""hdlhboohbcbdmkcnjcldhcpgmoliflee"",")</f>
        <v>"hdlhboohbcbdmkcnjcldhcpgmoliflee",</v>
      </c>
    </row>
    <row r="5820">
      <c r="A5820" s="4" t="s">
        <v>24999</v>
      </c>
      <c r="B5820" s="4" t="s">
        <v>11586</v>
      </c>
      <c r="C5820" s="16" t="str">
        <f>IFERROR(__xludf.DUMMYFUNCTION(""""""""" &amp; REGEXEXTRACT(B5820, ""/detail/([^/?]+)"") &amp; """""","""),"""hdongmdneapmhfblomidbafplpanpdmm"",")</f>
        <v>"hdongmdneapmhfblomidbafplpanpdmm",</v>
      </c>
    </row>
    <row r="5821">
      <c r="A5821" s="4" t="s">
        <v>25000</v>
      </c>
      <c r="B5821" s="4" t="s">
        <v>11588</v>
      </c>
      <c r="C5821" s="16" t="str">
        <f>IFERROR(__xludf.DUMMYFUNCTION(""""""""" &amp; REGEXEXTRACT(B5821, ""/detail/([^/?]+)"") &amp; """""","""),"""hdpnapnmccppiagahpoclpjdoimjjkic"",")</f>
        <v>"hdpnapnmccppiagahpoclpjdoimjjkic",</v>
      </c>
    </row>
    <row r="5822">
      <c r="A5822" s="4" t="s">
        <v>25001</v>
      </c>
      <c r="B5822" s="4" t="s">
        <v>11590</v>
      </c>
      <c r="C5822" s="16" t="str">
        <f>IFERROR(__xludf.DUMMYFUNCTION(""""""""" &amp; REGEXEXTRACT(B5822, ""/detail/([^/?]+)"") &amp; """""","""),"""hecfkgekabkkhiidlinmifelhdooeool"",")</f>
        <v>"hecfkgekabkkhiidlinmifelhdooeool",</v>
      </c>
    </row>
    <row r="5823">
      <c r="A5823" s="4" t="s">
        <v>25002</v>
      </c>
      <c r="B5823" s="4" t="s">
        <v>11592</v>
      </c>
      <c r="C5823" s="16" t="str">
        <f>IFERROR(__xludf.DUMMYFUNCTION(""""""""" &amp; REGEXEXTRACT(B5823, ""/detail/([^/?]+)"") &amp; """""","""),"""hedbhjnengmmoddkcajcfdlaaiclkfdl"",")</f>
        <v>"hedbhjnengmmoddkcajcfdlaaiclkfdl",</v>
      </c>
    </row>
    <row r="5824">
      <c r="A5824" s="4" t="s">
        <v>25003</v>
      </c>
      <c r="B5824" s="4" t="s">
        <v>11594</v>
      </c>
      <c r="C5824" s="16" t="str">
        <f>IFERROR(__xludf.DUMMYFUNCTION(""""""""" &amp; REGEXEXTRACT(B5824, ""/detail/([^/?]+)"") &amp; """""","""),"""heemmlhkhdppoankkjldbmnfnoanemlj"",")</f>
        <v>"heemmlhkhdppoankkjldbmnfnoanemlj",</v>
      </c>
    </row>
    <row r="5825">
      <c r="A5825" s="4" t="s">
        <v>25004</v>
      </c>
      <c r="B5825" s="4" t="s">
        <v>11596</v>
      </c>
      <c r="C5825" s="16" t="str">
        <f>IFERROR(__xludf.DUMMYFUNCTION(""""""""" &amp; REGEXEXTRACT(B5825, ""/detail/([^/?]+)"") &amp; """""","""),"""hegebeakcbcknnoepfmhgmfhbgeahhjl"",")</f>
        <v>"hegebeakcbcknnoepfmhgmfhbgeahhjl",</v>
      </c>
    </row>
    <row r="5826">
      <c r="A5826" s="4" t="s">
        <v>25005</v>
      </c>
      <c r="B5826" s="4" t="s">
        <v>11598</v>
      </c>
      <c r="C5826" s="16" t="str">
        <f>IFERROR(__xludf.DUMMYFUNCTION(""""""""" &amp; REGEXEXTRACT(B5826, ""/detail/([^/?]+)"") &amp; """""","""),"""heiclpadccjamigpdpfpbdkcfnglcjgc"",")</f>
        <v>"heiclpadccjamigpdpfpbdkcfnglcjgc",</v>
      </c>
    </row>
    <row r="5827">
      <c r="A5827" s="4" t="s">
        <v>25006</v>
      </c>
      <c r="B5827" s="4" t="s">
        <v>11600</v>
      </c>
      <c r="C5827" s="16" t="str">
        <f>IFERROR(__xludf.DUMMYFUNCTION(""""""""" &amp; REGEXEXTRACT(B5827, ""/detail/([^/?]+)"") &amp; """""","""),"""hendnmfbkcgmpafikljbfhpgphdilohj"",")</f>
        <v>"hendnmfbkcgmpafikljbfhpgphdilohj",</v>
      </c>
    </row>
    <row r="5828">
      <c r="A5828" s="4" t="s">
        <v>25007</v>
      </c>
      <c r="B5828" s="4" t="s">
        <v>11602</v>
      </c>
      <c r="C5828" s="16" t="str">
        <f>IFERROR(__xludf.DUMMYFUNCTION(""""""""" &amp; REGEXEXTRACT(B5828, ""/detail/([^/?]+)"") &amp; """""","""),"""henlmhlhpgnkeecjjcbhhcfmecohnilo"",")</f>
        <v>"henlmhlhpgnkeecjjcbhhcfmecohnilo",</v>
      </c>
    </row>
    <row r="5829">
      <c r="A5829" s="4" t="s">
        <v>25008</v>
      </c>
      <c r="B5829" s="4" t="s">
        <v>11604</v>
      </c>
      <c r="C5829" s="16" t="str">
        <f>IFERROR(__xludf.DUMMYFUNCTION(""""""""" &amp; REGEXEXTRACT(B5829, ""/detail/([^/?]+)"") &amp; """""","""),"""hfbiabiflljddpmkngbjkgoenmeijcnl"",")</f>
        <v>"hfbiabiflljddpmkngbjkgoenmeijcnl",</v>
      </c>
    </row>
    <row r="5830">
      <c r="A5830" s="4" t="s">
        <v>25009</v>
      </c>
      <c r="B5830" s="4" t="s">
        <v>11606</v>
      </c>
      <c r="C5830" s="16" t="str">
        <f>IFERROR(__xludf.DUMMYFUNCTION(""""""""" &amp; REGEXEXTRACT(B5830, ""/detail/([^/?]+)"") &amp; """""","""),"""hffpgicobjkkimfijonhiccjfbcibdhg"",")</f>
        <v>"hffpgicobjkkimfijonhiccjfbcibdhg",</v>
      </c>
    </row>
    <row r="5831">
      <c r="A5831" s="4" t="s">
        <v>25010</v>
      </c>
      <c r="B5831" s="4" t="s">
        <v>11608</v>
      </c>
      <c r="C5831" s="16" t="str">
        <f>IFERROR(__xludf.DUMMYFUNCTION(""""""""" &amp; REGEXEXTRACT(B5831, ""/detail/([^/?]+)"") &amp; """""","""),"""hfiemcjbbibdkggfinmbmfepbbmehomc"",")</f>
        <v>"hfiemcjbbibdkggfinmbmfepbbmehomc",</v>
      </c>
    </row>
    <row r="5832">
      <c r="A5832" s="4" t="s">
        <v>25011</v>
      </c>
      <c r="B5832" s="4" t="s">
        <v>11610</v>
      </c>
      <c r="C5832" s="16" t="str">
        <f>IFERROR(__xludf.DUMMYFUNCTION(""""""""" &amp; REGEXEXTRACT(B5832, ""/detail/([^/?]+)"") &amp; """""","""),"""hfkbfaacabmkdnemhpffhhhpnecnmkjg"",")</f>
        <v>"hfkbfaacabmkdnemhpffhhhpnecnmkjg",</v>
      </c>
    </row>
    <row r="5833">
      <c r="A5833" s="4" t="s">
        <v>25012</v>
      </c>
      <c r="B5833" s="4" t="s">
        <v>11612</v>
      </c>
      <c r="C5833" s="16" t="str">
        <f>IFERROR(__xludf.DUMMYFUNCTION(""""""""" &amp; REGEXEXTRACT(B5833, ""/detail/([^/?]+)"") &amp; """""","""),"""hfkcllpkaefjfaiiobanmfkabkncfike"",")</f>
        <v>"hfkcllpkaefjfaiiobanmfkabkncfike",</v>
      </c>
    </row>
    <row r="5834">
      <c r="A5834" s="4" t="s">
        <v>25013</v>
      </c>
      <c r="B5834" s="4" t="s">
        <v>11614</v>
      </c>
      <c r="C5834" s="16" t="str">
        <f>IFERROR(__xludf.DUMMYFUNCTION(""""""""" &amp; REGEXEXTRACT(B5834, ""/detail/([^/?]+)"") &amp; """""","""),"""hflngkajjgpnnedmkbncjngebjohefoc"",")</f>
        <v>"hflngkajjgpnnedmkbncjngebjohefoc",</v>
      </c>
    </row>
    <row r="5835">
      <c r="A5835" s="4" t="s">
        <v>25014</v>
      </c>
      <c r="B5835" s="4" t="s">
        <v>11616</v>
      </c>
      <c r="C5835" s="16" t="str">
        <f>IFERROR(__xludf.DUMMYFUNCTION(""""""""" &amp; REGEXEXTRACT(B5835, ""/detail/([^/?]+)"") &amp; """""","""),"""hfnlihmimmlilelpcclhdhchamjlopgl"",")</f>
        <v>"hfnlihmimmlilelpcclhdhchamjlopgl",</v>
      </c>
    </row>
    <row r="5836">
      <c r="A5836" s="4" t="s">
        <v>25015</v>
      </c>
      <c r="B5836" s="4" t="s">
        <v>11618</v>
      </c>
      <c r="C5836" s="16" t="str">
        <f>IFERROR(__xludf.DUMMYFUNCTION(""""""""" &amp; REGEXEXTRACT(B5836, ""/detail/([^/?]+)"") &amp; """""","""),"""hfpkpdncnibdboledobffdkpfgccdbpn"",")</f>
        <v>"hfpkpdncnibdboledobffdkpfgccdbpn",</v>
      </c>
    </row>
    <row r="5837">
      <c r="A5837" s="4" t="s">
        <v>25016</v>
      </c>
      <c r="B5837" s="4" t="s">
        <v>11620</v>
      </c>
      <c r="C5837" s="16" t="str">
        <f>IFERROR(__xludf.DUMMYFUNCTION(""""""""" &amp; REGEXEXTRACT(B5837, ""/detail/([^/?]+)"") &amp; """""","""),"""hgaahalodagndnfjpggmojcbdololagh"",")</f>
        <v>"hgaahalodagndnfjpggmojcbdololagh",</v>
      </c>
    </row>
    <row r="5838">
      <c r="A5838" s="4" t="s">
        <v>25017</v>
      </c>
      <c r="B5838" s="4" t="s">
        <v>11622</v>
      </c>
      <c r="C5838" s="16" t="str">
        <f>IFERROR(__xludf.DUMMYFUNCTION(""""""""" &amp; REGEXEXTRACT(B5838, ""/detail/([^/?]+)"") &amp; """""","""),"""hgabbjfneihcmbbcnbnfdnfdcbpodnhp"",")</f>
        <v>"hgabbjfneihcmbbcnbnfdnfdcbpodnhp",</v>
      </c>
    </row>
    <row r="5839">
      <c r="A5839" s="4" t="s">
        <v>25018</v>
      </c>
      <c r="B5839" s="4" t="s">
        <v>11624</v>
      </c>
      <c r="C5839" s="16" t="str">
        <f>IFERROR(__xludf.DUMMYFUNCTION(""""""""" &amp; REGEXEXTRACT(B5839, ""/detail/([^/?]+)"") &amp; """""","""),"""hgdanalmcipcgojcicjenedeaoedebla"",")</f>
        <v>"hgdanalmcipcgojcicjenedeaoedebla",</v>
      </c>
    </row>
    <row r="5840">
      <c r="A5840" s="4" t="s">
        <v>25019</v>
      </c>
      <c r="B5840" s="4" t="s">
        <v>11626</v>
      </c>
      <c r="C5840" s="16" t="str">
        <f>IFERROR(__xludf.DUMMYFUNCTION(""""""""" &amp; REGEXEXTRACT(B5840, ""/detail/([^/?]+)"") &amp; """""","""),"""hgdlbdfhokgghlojnkonhkcdlamolagk"",")</f>
        <v>"hgdlbdfhokgghlojnkonhkcdlamolagk",</v>
      </c>
    </row>
    <row r="5841">
      <c r="A5841" s="4" t="s">
        <v>25020</v>
      </c>
      <c r="B5841" s="4" t="s">
        <v>11628</v>
      </c>
      <c r="C5841" s="16" t="str">
        <f>IFERROR(__xludf.DUMMYFUNCTION(""""""""" &amp; REGEXEXTRACT(B5841, ""/detail/([^/?]+)"") &amp; """""","""),"""hgeefdjnmmeindmchabjodoggbfkhaam"",")</f>
        <v>"hgeefdjnmmeindmchabjodoggbfkhaam",</v>
      </c>
    </row>
    <row r="5842">
      <c r="A5842" s="4" t="s">
        <v>25021</v>
      </c>
      <c r="B5842" s="4" t="s">
        <v>11630</v>
      </c>
      <c r="C5842" s="16" t="str">
        <f>IFERROR(__xludf.DUMMYFUNCTION(""""""""" &amp; REGEXEXTRACT(B5842, ""/detail/([^/?]+)"") &amp; """""","""),"""hgfehgeccidmnomgijefcdmmkhobjbpp"",")</f>
        <v>"hgfehgeccidmnomgijefcdmmkhobjbpp",</v>
      </c>
    </row>
    <row r="5843">
      <c r="A5843" s="4" t="s">
        <v>25022</v>
      </c>
      <c r="B5843" s="4" t="s">
        <v>11632</v>
      </c>
      <c r="C5843" s="16" t="str">
        <f>IFERROR(__xludf.DUMMYFUNCTION(""""""""" &amp; REGEXEXTRACT(B5843, ""/detail/([^/?]+)"") &amp; """""","""),"""hghhhfmjdmdgfjnpkmfbelagbdcjamek"",")</f>
        <v>"hghhhfmjdmdgfjnpkmfbelagbdcjamek",</v>
      </c>
    </row>
    <row r="5844">
      <c r="A5844" s="4" t="s">
        <v>25023</v>
      </c>
      <c r="B5844" s="4" t="s">
        <v>11633</v>
      </c>
      <c r="C5844" s="16" t="str">
        <f>IFERROR(__xludf.DUMMYFUNCTION(""""""""" &amp; REGEXEXTRACT(B5844, ""/detail/([^/?]+)"") &amp; """""","""),"""hgipnfbocicekiedonjljfceicobdfgo"",")</f>
        <v>"hgipnfbocicekiedonjljfceicobdfgo",</v>
      </c>
    </row>
    <row r="5845">
      <c r="A5845" s="4" t="s">
        <v>25024</v>
      </c>
      <c r="B5845" s="4" t="s">
        <v>11635</v>
      </c>
      <c r="C5845" s="16" t="str">
        <f>IFERROR(__xludf.DUMMYFUNCTION(""""""""" &amp; REGEXEXTRACT(B5845, ""/detail/([^/?]+)"") &amp; """""","""),"""hgjjflccppnaefhbhboinilggpmlcaff"",")</f>
        <v>"hgjjflccppnaefhbhboinilggpmlcaff",</v>
      </c>
    </row>
    <row r="5846">
      <c r="A5846" s="4" t="s">
        <v>25025</v>
      </c>
      <c r="B5846" s="4" t="s">
        <v>11637</v>
      </c>
      <c r="C5846" s="16" t="str">
        <f>IFERROR(__xludf.DUMMYFUNCTION(""""""""" &amp; REGEXEXTRACT(B5846, ""/detail/([^/?]+)"") &amp; """""","""),"""hgkidiolliocgcfaaoohdjoheoamnmdd"",")</f>
        <v>"hgkidiolliocgcfaaoohdjoheoamnmdd",</v>
      </c>
    </row>
    <row r="5847">
      <c r="A5847" s="4" t="s">
        <v>25026</v>
      </c>
      <c r="B5847" s="4" t="s">
        <v>11639</v>
      </c>
      <c r="C5847" s="16" t="str">
        <f>IFERROR(__xludf.DUMMYFUNCTION(""""""""" &amp; REGEXEXTRACT(B5847, ""/detail/([^/?]+)"") &amp; """""","""),"""hglnfjenacgcagdcfniidbdakdhdbale"",")</f>
        <v>"hglnfjenacgcagdcfniidbdakdhdbale",</v>
      </c>
    </row>
    <row r="5848">
      <c r="A5848" s="4" t="s">
        <v>25027</v>
      </c>
      <c r="B5848" s="4" t="s">
        <v>11641</v>
      </c>
      <c r="C5848" s="16" t="str">
        <f>IFERROR(__xludf.DUMMYFUNCTION(""""""""" &amp; REGEXEXTRACT(B5848, ""/detail/([^/?]+)"") &amp; """""","""),"""hgmhpkajleaiioafngcamefgfekmlgfm"",")</f>
        <v>"hgmhpkajleaiioafngcamefgfekmlgfm",</v>
      </c>
    </row>
    <row r="5849">
      <c r="A5849" s="4" t="s">
        <v>25028</v>
      </c>
      <c r="B5849" s="4" t="s">
        <v>11643</v>
      </c>
      <c r="C5849" s="16" t="str">
        <f>IFERROR(__xludf.DUMMYFUNCTION(""""""""" &amp; REGEXEXTRACT(B5849, ""/detail/([^/?]+)"") &amp; """""","""),"""hgnipgiknaeinnpcclfendkbppdhjkbd"",")</f>
        <v>"hgnipgiknaeinnpcclfendkbppdhjkbd",</v>
      </c>
    </row>
    <row r="5850">
      <c r="A5850" s="4" t="s">
        <v>25029</v>
      </c>
      <c r="B5850" s="4" t="s">
        <v>11645</v>
      </c>
      <c r="C5850" s="16" t="str">
        <f>IFERROR(__xludf.DUMMYFUNCTION(""""""""" &amp; REGEXEXTRACT(B5850, ""/detail/([^/?]+)"") &amp; """""","""),"""hgoefiiboehgnhnhdhlfckklmamnlfkc"",")</f>
        <v>"hgoefiiboehgnhnhdhlfckklmamnlfkc",</v>
      </c>
    </row>
    <row r="5851">
      <c r="A5851" s="4" t="s">
        <v>25030</v>
      </c>
      <c r="B5851" s="4" t="s">
        <v>11647</v>
      </c>
      <c r="C5851" s="16" t="str">
        <f>IFERROR(__xludf.DUMMYFUNCTION(""""""""" &amp; REGEXEXTRACT(B5851, ""/detail/([^/?]+)"") &amp; """""","""),"""hhbjppdghagniamelnodbhnlbnpmipnm"",")</f>
        <v>"hhbjppdghagniamelnodbhnlbnpmipnm",</v>
      </c>
    </row>
    <row r="5852">
      <c r="A5852" s="4" t="s">
        <v>25031</v>
      </c>
      <c r="B5852" s="4" t="s">
        <v>11649</v>
      </c>
      <c r="C5852" s="16" t="str">
        <f>IFERROR(__xludf.DUMMYFUNCTION(""""""""" &amp; REGEXEXTRACT(B5852, ""/detail/([^/?]+)"") &amp; """""","""),"""hhfiihfaaibbapieenkaiklejldlhhfd"",")</f>
        <v>"hhfiihfaaibbapieenkaiklejldlhhfd",</v>
      </c>
    </row>
    <row r="5853">
      <c r="A5853" s="4" t="s">
        <v>25032</v>
      </c>
      <c r="B5853" s="4" t="s">
        <v>11651</v>
      </c>
      <c r="C5853" s="16" t="str">
        <f>IFERROR(__xludf.DUMMYFUNCTION(""""""""" &amp; REGEXEXTRACT(B5853, ""/detail/([^/?]+)"") &amp; """""","""),"""hhfnbfhcojlgbojpphigjibpjkccfikh"",")</f>
        <v>"hhfnbfhcojlgbojpphigjibpjkccfikh",</v>
      </c>
    </row>
    <row r="5854">
      <c r="A5854" s="4" t="s">
        <v>25033</v>
      </c>
      <c r="B5854" s="4" t="s">
        <v>11653</v>
      </c>
      <c r="C5854" s="16" t="str">
        <f>IFERROR(__xludf.DUMMYFUNCTION(""""""""" &amp; REGEXEXTRACT(B5854, ""/detail/([^/?]+)"") &amp; """""","""),"""hhjdhphdahdiegkachmnakmdbikakplo"",")</f>
        <v>"hhjdhphdahdiegkachmnakmdbikakplo",</v>
      </c>
    </row>
    <row r="5855">
      <c r="A5855" s="4" t="s">
        <v>25034</v>
      </c>
      <c r="B5855" s="4" t="s">
        <v>11655</v>
      </c>
      <c r="C5855" s="16" t="str">
        <f>IFERROR(__xludf.DUMMYFUNCTION(""""""""" &amp; REGEXEXTRACT(B5855, ""/detail/([^/?]+)"") &amp; """""","""),"""hhjnoabnlicjpahfibejifhankpfahnd"",")</f>
        <v>"hhjnoabnlicjpahfibejifhankpfahnd",</v>
      </c>
    </row>
    <row r="5856">
      <c r="A5856" s="4" t="s">
        <v>25035</v>
      </c>
      <c r="B5856" s="4" t="s">
        <v>11656</v>
      </c>
      <c r="C5856" s="16" t="str">
        <f>IFERROR(__xludf.DUMMYFUNCTION(""""""""" &amp; REGEXEXTRACT(B5856, ""/detail/([^/?]+)"") &amp; """""","""),"""hhklogggdjdonnoldcekmhkdifjapggo"",")</f>
        <v>"hhklogggdjdonnoldcekmhkdifjapggo",</v>
      </c>
    </row>
    <row r="5857">
      <c r="A5857" s="4" t="s">
        <v>25036</v>
      </c>
      <c r="B5857" s="4" t="s">
        <v>11658</v>
      </c>
      <c r="C5857" s="16" t="str">
        <f>IFERROR(__xludf.DUMMYFUNCTION(""""""""" &amp; REGEXEXTRACT(B5857, ""/detail/([^/?]+)"") &amp; """""","""),"""hhkpllkpdbjolfmnooionbkpjkeeigjg"",")</f>
        <v>"hhkpllkpdbjolfmnooionbkpjkeeigjg",</v>
      </c>
    </row>
    <row r="5858">
      <c r="A5858" s="4" t="s">
        <v>25037</v>
      </c>
      <c r="B5858" s="4" t="s">
        <v>11660</v>
      </c>
      <c r="C5858" s="16" t="str">
        <f>IFERROR(__xludf.DUMMYFUNCTION(""""""""" &amp; REGEXEXTRACT(B5858, ""/detail/([^/?]+)"") &amp; """""","""),"""hhnkmoijlinhobdagnchdhogdmedamce"",")</f>
        <v>"hhnkmoijlinhobdagnchdhogdmedamce",</v>
      </c>
    </row>
    <row r="5859">
      <c r="A5859" s="4" t="s">
        <v>25038</v>
      </c>
      <c r="B5859" s="4" t="s">
        <v>11662</v>
      </c>
      <c r="C5859" s="16" t="str">
        <f>IFERROR(__xludf.DUMMYFUNCTION(""""""""" &amp; REGEXEXTRACT(B5859, ""/detail/([^/?]+)"") &amp; """""","""),"""hhoihjklpidiicnmmlndmpkahnmfmfho"",")</f>
        <v>"hhoihjklpidiicnmmlndmpkahnmfmfho",</v>
      </c>
    </row>
    <row r="5860">
      <c r="A5860" s="4" t="s">
        <v>25039</v>
      </c>
      <c r="B5860" s="4" t="s">
        <v>11664</v>
      </c>
      <c r="C5860" s="16" t="str">
        <f>IFERROR(__xludf.DUMMYFUNCTION(""""""""" &amp; REGEXEXTRACT(B5860, ""/detail/([^/?]+)"") &amp; """""","""),"""hhopdkekcmkdfpdjbpajmmfbheglcaac"",")</f>
        <v>"hhopdkekcmkdfpdjbpajmmfbheglcaac",</v>
      </c>
    </row>
    <row r="5861">
      <c r="A5861" s="4" t="s">
        <v>25040</v>
      </c>
      <c r="B5861" s="4" t="s">
        <v>11666</v>
      </c>
      <c r="C5861" s="16" t="str">
        <f>IFERROR(__xludf.DUMMYFUNCTION(""""""""" &amp; REGEXEXTRACT(B5861, ""/detail/([^/?]+)"") &amp; """""","""),"""hicbenbldlkghoodigniooplopgjjpnh"",")</f>
        <v>"hicbenbldlkghoodigniooplopgjjpnh",</v>
      </c>
    </row>
    <row r="5862">
      <c r="A5862" s="4" t="s">
        <v>25041</v>
      </c>
      <c r="B5862" s="4" t="s">
        <v>11668</v>
      </c>
      <c r="C5862" s="16" t="str">
        <f>IFERROR(__xludf.DUMMYFUNCTION(""""""""" &amp; REGEXEXTRACT(B5862, ""/detail/([^/?]+)"") &amp; """""","""),"""hiemiigjnmkjedjibioplldlbkhekbjk"",")</f>
        <v>"hiemiigjnmkjedjibioplldlbkhekbjk",</v>
      </c>
    </row>
    <row r="5863">
      <c r="A5863" s="4" t="s">
        <v>25042</v>
      </c>
      <c r="B5863" s="4" t="s">
        <v>11670</v>
      </c>
      <c r="C5863" s="16" t="str">
        <f>IFERROR(__xludf.DUMMYFUNCTION(""""""""" &amp; REGEXEXTRACT(B5863, ""/detail/([^/?]+)"") &amp; """""","""),"""hieolpjdilnibgamiafklnlcmagdngoo"",")</f>
        <v>"hieolpjdilnibgamiafklnlcmagdngoo",</v>
      </c>
    </row>
    <row r="5864">
      <c r="A5864" s="4" t="s">
        <v>25043</v>
      </c>
      <c r="B5864" s="4" t="s">
        <v>11672</v>
      </c>
      <c r="C5864" s="16" t="str">
        <f>IFERROR(__xludf.DUMMYFUNCTION(""""""""" &amp; REGEXEXTRACT(B5864, ""/detail/([^/?]+)"") &amp; """""","""),"""higclgihaoclpabfngjkpihkkdfbgihh"",")</f>
        <v>"higclgihaoclpabfngjkpihkkdfbgihh",</v>
      </c>
    </row>
    <row r="5865">
      <c r="A5865" s="4" t="s">
        <v>25044</v>
      </c>
      <c r="B5865" s="4" t="s">
        <v>11674</v>
      </c>
      <c r="C5865" s="16" t="str">
        <f>IFERROR(__xludf.DUMMYFUNCTION(""""""""" &amp; REGEXEXTRACT(B5865, ""/detail/([^/?]+)"") &amp; """""","""),"""hiiobhaaokpmdmkkcaokdlanlemmcoah"",")</f>
        <v>"hiiobhaaokpmdmkkcaokdlanlemmcoah",</v>
      </c>
    </row>
    <row r="5866">
      <c r="A5866" s="4" t="s">
        <v>25045</v>
      </c>
      <c r="B5866" s="4" t="s">
        <v>11676</v>
      </c>
      <c r="C5866" s="16" t="str">
        <f>IFERROR(__xludf.DUMMYFUNCTION(""""""""" &amp; REGEXEXTRACT(B5866, ""/detail/([^/?]+)"") &amp; """""","""),"""himdgcgphpbdjgkdeiofihmgneenojlg"",")</f>
        <v>"himdgcgphpbdjgkdeiofihmgneenojlg",</v>
      </c>
    </row>
    <row r="5867">
      <c r="A5867" s="4" t="s">
        <v>25046</v>
      </c>
      <c r="B5867" s="4" t="s">
        <v>11678</v>
      </c>
      <c r="C5867" s="16" t="str">
        <f>IFERROR(__xludf.DUMMYFUNCTION(""""""""" &amp; REGEXEXTRACT(B5867, ""/detail/([^/?]+)"") &amp; """""","""),"""himjpafoalifigpnpmigmngiinghljhh"",")</f>
        <v>"himjpafoalifigpnpmigmngiinghljhh",</v>
      </c>
    </row>
    <row r="5868">
      <c r="A5868" s="4" t="s">
        <v>25047</v>
      </c>
      <c r="B5868" s="4" t="s">
        <v>11680</v>
      </c>
      <c r="C5868" s="16" t="str">
        <f>IFERROR(__xludf.DUMMYFUNCTION(""""""""" &amp; REGEXEXTRACT(B5868, ""/detail/([^/?]+)"") &amp; """""","""),"""hinoflbjclgnnaccbpbenmjomjmiafmc"",")</f>
        <v>"hinoflbjclgnnaccbpbenmjomjmiafmc",</v>
      </c>
    </row>
    <row r="5869">
      <c r="A5869" s="4" t="s">
        <v>25048</v>
      </c>
      <c r="B5869" s="4" t="s">
        <v>11682</v>
      </c>
      <c r="C5869" s="16" t="str">
        <f>IFERROR(__xludf.DUMMYFUNCTION(""""""""" &amp; REGEXEXTRACT(B5869, ""/detail/([^/?]+)"") &amp; """""","""),"""hjaomadfoogedimonbneolajleaneifj"",")</f>
        <v>"hjaomadfoogedimonbneolajleaneifj",</v>
      </c>
    </row>
    <row r="5870">
      <c r="A5870" s="4" t="s">
        <v>25049</v>
      </c>
      <c r="B5870" s="4" t="s">
        <v>11684</v>
      </c>
      <c r="C5870" s="16" t="str">
        <f>IFERROR(__xludf.DUMMYFUNCTION(""""""""" &amp; REGEXEXTRACT(B5870, ""/detail/([^/?]+)"") &amp; """""","""),"""hjimacdiplfkaobglkdgkmhlamjjlnik"",")</f>
        <v>"hjimacdiplfkaobglkdgkmhlamjjlnik",</v>
      </c>
    </row>
    <row r="5871">
      <c r="A5871" s="4" t="s">
        <v>25050</v>
      </c>
      <c r="B5871" s="4" t="s">
        <v>11686</v>
      </c>
      <c r="C5871" s="16" t="str">
        <f>IFERROR(__xludf.DUMMYFUNCTION(""""""""" &amp; REGEXEXTRACT(B5871, ""/detail/([^/?]+)"") &amp; """""","""),"""hjlbhnjnmmfadkobjkmddmgopanllkna"",")</f>
        <v>"hjlbhnjnmmfadkobjkmddmgopanllkna",</v>
      </c>
    </row>
    <row r="5872">
      <c r="A5872" s="4" t="s">
        <v>25051</v>
      </c>
      <c r="B5872" s="4" t="s">
        <v>11688</v>
      </c>
      <c r="C5872" s="16" t="str">
        <f>IFERROR(__xludf.DUMMYFUNCTION(""""""""" &amp; REGEXEXTRACT(B5872, ""/detail/([^/?]+)"") &amp; """""","""),"""hjppbpdnpakbidnpdlekfhenadbnohcb"",")</f>
        <v>"hjppbpdnpakbidnpdlekfhenadbnohcb",</v>
      </c>
    </row>
    <row r="5873">
      <c r="A5873" s="4" t="s">
        <v>25052</v>
      </c>
      <c r="B5873" s="4" t="s">
        <v>11690</v>
      </c>
      <c r="C5873" s="16" t="str">
        <f>IFERROR(__xludf.DUMMYFUNCTION(""""""""" &amp; REGEXEXTRACT(B5873, ""/detail/([^/?]+)"") &amp; """""","""),"""hkckiflbaedpdigcjoeiacmfnlncpeoj"",")</f>
        <v>"hkckiflbaedpdigcjoeiacmfnlncpeoj",</v>
      </c>
    </row>
    <row r="5874">
      <c r="A5874" s="4" t="s">
        <v>25053</v>
      </c>
      <c r="B5874" s="4" t="s">
        <v>11692</v>
      </c>
      <c r="C5874" s="16" t="str">
        <f>IFERROR(__xludf.DUMMYFUNCTION(""""""""" &amp; REGEXEXTRACT(B5874, ""/detail/([^/?]+)"") &amp; """""","""),"""hkjclebibhoolmdkpahfndidllgbkalg"",")</f>
        <v>"hkjclebibhoolmdkpahfndidllgbkalg",</v>
      </c>
    </row>
    <row r="5875">
      <c r="A5875" s="4" t="s">
        <v>25054</v>
      </c>
      <c r="B5875" s="4" t="s">
        <v>11694</v>
      </c>
      <c r="C5875" s="16" t="str">
        <f>IFERROR(__xludf.DUMMYFUNCTION(""""""""" &amp; REGEXEXTRACT(B5875, ""/detail/([^/?]+)"") &amp; """""","""),"""hkjmkgflkdnkdbhgomjghknpfhinkonn"",")</f>
        <v>"hkjmkgflkdnkdbhgomjghknpfhinkonn",</v>
      </c>
    </row>
    <row r="5876">
      <c r="A5876" s="4" t="s">
        <v>25055</v>
      </c>
      <c r="B5876" s="4" t="s">
        <v>11695</v>
      </c>
      <c r="C5876" s="16" t="str">
        <f>IFERROR(__xludf.DUMMYFUNCTION(""""""""" &amp; REGEXEXTRACT(B5876, ""/detail/([^/?]+)"") &amp; """""","""),"""hkkjcknodnahjdnemannhkhnfedifkoh"",")</f>
        <v>"hkkjcknodnahjdnemannhkhnfedifkoh",</v>
      </c>
    </row>
    <row r="5877">
      <c r="A5877" s="4" t="s">
        <v>25056</v>
      </c>
      <c r="B5877" s="4" t="s">
        <v>11697</v>
      </c>
      <c r="C5877" s="16" t="str">
        <f>IFERROR(__xludf.DUMMYFUNCTION(""""""""" &amp; REGEXEXTRACT(B5877, ""/detail/([^/?]+)"") &amp; """""","""),"""hkoblclipggkhhbllgefhnbjdcajmelh"",")</f>
        <v>"hkoblclipggkhhbllgefhnbjdcajmelh",</v>
      </c>
    </row>
    <row r="5878">
      <c r="A5878" s="4" t="s">
        <v>25057</v>
      </c>
      <c r="B5878" s="4" t="s">
        <v>11699</v>
      </c>
      <c r="C5878" s="16" t="str">
        <f>IFERROR(__xludf.DUMMYFUNCTION(""""""""" &amp; REGEXEXTRACT(B5878, ""/detail/([^/?]+)"") &amp; """""","""),"""hkpmdgakkflkddmiffelfaokkgoamlil"",")</f>
        <v>"hkpmdgakkflkddmiffelfaokkgoamlil",</v>
      </c>
    </row>
    <row r="5879">
      <c r="A5879" s="4" t="s">
        <v>25058</v>
      </c>
      <c r="B5879" s="4" t="s">
        <v>11701</v>
      </c>
      <c r="C5879" s="16" t="str">
        <f>IFERROR(__xludf.DUMMYFUNCTION(""""""""" &amp; REGEXEXTRACT(B5879, ""/detail/([^/?]+)"") &amp; """""","""),"""hlagecmhpppmpfdifmigdglnhcpnohib"",")</f>
        <v>"hlagecmhpppmpfdifmigdglnhcpnohib",</v>
      </c>
    </row>
    <row r="5880">
      <c r="A5880" s="4" t="s">
        <v>25059</v>
      </c>
      <c r="B5880" s="4" t="s">
        <v>11703</v>
      </c>
      <c r="C5880" s="16" t="str">
        <f>IFERROR(__xludf.DUMMYFUNCTION(""""""""" &amp; REGEXEXTRACT(B5880, ""/detail/([^/?]+)"") &amp; """""","""),"""hlblemoeejhimmggbhheapknebnlhhnb"",")</f>
        <v>"hlblemoeejhimmggbhheapknebnlhhnb",</v>
      </c>
    </row>
    <row r="5881">
      <c r="A5881" s="4" t="s">
        <v>25060</v>
      </c>
      <c r="B5881" s="4" t="s">
        <v>11705</v>
      </c>
      <c r="C5881" s="16" t="str">
        <f>IFERROR(__xludf.DUMMYFUNCTION(""""""""" &amp; REGEXEXTRACT(B5881, ""/detail/([^/?]+)"") &amp; """""","""),"""hljoencdappihmlkilchbhcjoldimkbn"",")</f>
        <v>"hljoencdappihmlkilchbhcjoldimkbn",</v>
      </c>
    </row>
    <row r="5882">
      <c r="A5882" s="4" t="s">
        <v>25061</v>
      </c>
      <c r="B5882" s="4" t="s">
        <v>11707</v>
      </c>
      <c r="C5882" s="16" t="str">
        <f>IFERROR(__xludf.DUMMYFUNCTION(""""""""" &amp; REGEXEXTRACT(B5882, ""/detail/([^/?]+)"") &amp; """""","""),"""hllkmgbbakimjdblagoeejllkccghbmh"",")</f>
        <v>"hllkmgbbakimjdblagoeejllkccghbmh",</v>
      </c>
    </row>
    <row r="5883">
      <c r="A5883" s="4" t="s">
        <v>25062</v>
      </c>
      <c r="B5883" s="4" t="s">
        <v>11709</v>
      </c>
      <c r="C5883" s="16" t="str">
        <f>IFERROR(__xludf.DUMMYFUNCTION(""""""""" &amp; REGEXEXTRACT(B5883, ""/detail/([^/?]+)"") &amp; """""","""),"""hlnfnoahfgnjnbkdckfnolacbmoknlmi"",")</f>
        <v>"hlnfnoahfgnjnbkdckfnolacbmoknlmi",</v>
      </c>
    </row>
    <row r="5884">
      <c r="A5884" s="4" t="s">
        <v>25063</v>
      </c>
      <c r="B5884" s="4" t="s">
        <v>11711</v>
      </c>
      <c r="C5884" s="16" t="str">
        <f>IFERROR(__xludf.DUMMYFUNCTION(""""""""" &amp; REGEXEXTRACT(B5884, ""/detail/([^/?]+)"") &amp; """""","""),"""hlnmjkbpmnbgeondjeceaomhafdacmlj"",")</f>
        <v>"hlnmjkbpmnbgeondjeceaomhafdacmlj",</v>
      </c>
    </row>
    <row r="5885">
      <c r="A5885" s="4" t="s">
        <v>25064</v>
      </c>
      <c r="B5885" s="4" t="s">
        <v>11713</v>
      </c>
      <c r="C5885" s="16" t="str">
        <f>IFERROR(__xludf.DUMMYFUNCTION(""""""""" &amp; REGEXEXTRACT(B5885, ""/detail/([^/?]+)"") &amp; """""","""),"""hlodlcjfnnoingcnaaicdnjmddaejlnf"",")</f>
        <v>"hlodlcjfnnoingcnaaicdnjmddaejlnf",</v>
      </c>
    </row>
    <row r="5886">
      <c r="A5886" s="4" t="s">
        <v>25065</v>
      </c>
      <c r="B5886" s="4" t="s">
        <v>11715</v>
      </c>
      <c r="C5886" s="16" t="str">
        <f>IFERROR(__xludf.DUMMYFUNCTION(""""""""" &amp; REGEXEXTRACT(B5886, ""/detail/([^/?]+)"") &amp; """""","""),"""hmcfamnbfmaaogikhpkmgkanecnkpkpa"",")</f>
        <v>"hmcfamnbfmaaogikhpkmgkanecnkpkpa",</v>
      </c>
    </row>
    <row r="5887">
      <c r="A5887" s="4" t="s">
        <v>25066</v>
      </c>
      <c r="B5887" s="4" t="s">
        <v>11717</v>
      </c>
      <c r="C5887" s="16" t="str">
        <f>IFERROR(__xludf.DUMMYFUNCTION(""""""""" &amp; REGEXEXTRACT(B5887, ""/detail/([^/?]+)"") &amp; """""","""),"""hmebhknlgddhfbbdhgplnillngljgmdi"",")</f>
        <v>"hmebhknlgddhfbbdhgplnillngljgmdi",</v>
      </c>
    </row>
    <row r="5888">
      <c r="A5888" s="4" t="s">
        <v>25067</v>
      </c>
      <c r="B5888" s="4" t="s">
        <v>11719</v>
      </c>
      <c r="C5888" s="16" t="str">
        <f>IFERROR(__xludf.DUMMYFUNCTION(""""""""" &amp; REGEXEXTRACT(B5888, ""/detail/([^/?]+)"") &amp; """""","""),"""hmejdnnbejbmmpfnpojbmhecjfkkheme"",")</f>
        <v>"hmejdnnbejbmmpfnpojbmhecjfkkheme",</v>
      </c>
    </row>
    <row r="5889">
      <c r="A5889" s="4" t="s">
        <v>25068</v>
      </c>
      <c r="B5889" s="4" t="s">
        <v>11721</v>
      </c>
      <c r="C5889" s="16" t="str">
        <f>IFERROR(__xludf.DUMMYFUNCTION(""""""""" &amp; REGEXEXTRACT(B5889, ""/detail/([^/?]+)"") &amp; """""","""),"""hmfecahlfpofpenneelahhaobgafijhb"",")</f>
        <v>"hmfecahlfpofpenneelahhaobgafijhb",</v>
      </c>
    </row>
    <row r="5890">
      <c r="A5890" s="4" t="s">
        <v>25069</v>
      </c>
      <c r="B5890" s="4" t="s">
        <v>11723</v>
      </c>
      <c r="C5890" s="16" t="str">
        <f>IFERROR(__xludf.DUMMYFUNCTION(""""""""" &amp; REGEXEXTRACT(B5890, ""/detail/([^/?]+)"") &amp; """""","""),"""hmfocflebeolgkehnimcchankdjljepb"",")</f>
        <v>"hmfocflebeolgkehnimcchankdjljepb",</v>
      </c>
    </row>
    <row r="5891">
      <c r="A5891" s="4" t="s">
        <v>25070</v>
      </c>
      <c r="B5891" s="4" t="s">
        <v>11725</v>
      </c>
      <c r="C5891" s="16" t="str">
        <f>IFERROR(__xludf.DUMMYFUNCTION(""""""""" &amp; REGEXEXTRACT(B5891, ""/detail/([^/?]+)"") &amp; """""","""),"""hmhgfkoeogiaopknabgfochofnnijnnn"",")</f>
        <v>"hmhgfkoeogiaopknabgfochofnnijnnn",</v>
      </c>
    </row>
    <row r="5892">
      <c r="A5892" s="4" t="s">
        <v>25071</v>
      </c>
      <c r="B5892" s="4" t="s">
        <v>11727</v>
      </c>
      <c r="C5892" s="16" t="str">
        <f>IFERROR(__xludf.DUMMYFUNCTION(""""""""" &amp; REGEXEXTRACT(B5892, ""/detail/([^/?]+)"") &amp; """""","""),"""hmhickbbhblacjileplnjeabeeolffkf"",")</f>
        <v>"hmhickbbhblacjileplnjeabeeolffkf",</v>
      </c>
    </row>
    <row r="5893">
      <c r="A5893" s="4" t="s">
        <v>25072</v>
      </c>
      <c r="B5893" s="4" t="s">
        <v>11729</v>
      </c>
      <c r="C5893" s="16" t="str">
        <f>IFERROR(__xludf.DUMMYFUNCTION(""""""""" &amp; REGEXEXTRACT(B5893, ""/detail/([^/?]+)"") &amp; """""","""),"""hmipmjjongmaabhjnllmdfehpnimjpjj"",")</f>
        <v>"hmipmjjongmaabhjnllmdfehpnimjpjj",</v>
      </c>
    </row>
    <row r="5894">
      <c r="A5894" s="4" t="s">
        <v>25073</v>
      </c>
      <c r="B5894" s="4" t="s">
        <v>11731</v>
      </c>
      <c r="C5894" s="16" t="str">
        <f>IFERROR(__xludf.DUMMYFUNCTION(""""""""" &amp; REGEXEXTRACT(B5894, ""/detail/([^/?]+)"") &amp; """""","""),"""hmkadgiamebgpakhbliibifeaijfnlca"",")</f>
        <v>"hmkadgiamebgpakhbliibifeaijfnlca",</v>
      </c>
    </row>
    <row r="5895">
      <c r="A5895" s="4" t="s">
        <v>25074</v>
      </c>
      <c r="B5895" s="4" t="s">
        <v>11733</v>
      </c>
      <c r="C5895" s="16" t="str">
        <f>IFERROR(__xludf.DUMMYFUNCTION(""""""""" &amp; REGEXEXTRACT(B5895, ""/detail/([^/?]+)"") &amp; """""","""),"""hmkkdkhgadgmaplnhahncddmmcdegjhi"",")</f>
        <v>"hmkkdkhgadgmaplnhahncddmmcdegjhi",</v>
      </c>
    </row>
    <row r="5896">
      <c r="A5896" s="4" t="s">
        <v>25075</v>
      </c>
      <c r="B5896" s="4" t="s">
        <v>11735</v>
      </c>
      <c r="C5896" s="16" t="str">
        <f>IFERROR(__xludf.DUMMYFUNCTION(""""""""" &amp; REGEXEXTRACT(B5896, ""/detail/([^/?]+)"") &amp; """""","""),"""hnajjdkmjekcoclmnmockmblibnmkbdb"",")</f>
        <v>"hnajjdkmjekcoclmnmockmblibnmkbdb",</v>
      </c>
    </row>
    <row r="5897">
      <c r="A5897" s="4" t="s">
        <v>25076</v>
      </c>
      <c r="B5897" s="4" t="s">
        <v>11737</v>
      </c>
      <c r="C5897" s="16" t="str">
        <f>IFERROR(__xludf.DUMMYFUNCTION(""""""""" &amp; REGEXEXTRACT(B5897, ""/detail/([^/?]+)"") &amp; """""","""),"""hnbnabjejnidmgpndhgcgmbhadhnicha"",")</f>
        <v>"hnbnabjejnidmgpndhgcgmbhadhnicha",</v>
      </c>
    </row>
    <row r="5898">
      <c r="A5898" s="4" t="s">
        <v>25077</v>
      </c>
      <c r="B5898" s="4" t="s">
        <v>11739</v>
      </c>
      <c r="C5898" s="16" t="str">
        <f>IFERROR(__xludf.DUMMYFUNCTION(""""""""" &amp; REGEXEXTRACT(B5898, ""/detail/([^/?]+)"") &amp; """""","""),"""hncmdohencefmegacfphphmbplacfjaj"",")</f>
        <v>"hncmdohencefmegacfphphmbplacfjaj",</v>
      </c>
    </row>
    <row r="5899">
      <c r="A5899" s="4" t="s">
        <v>25078</v>
      </c>
      <c r="B5899" s="4" t="s">
        <v>11741</v>
      </c>
      <c r="C5899" s="16" t="str">
        <f>IFERROR(__xludf.DUMMYFUNCTION(""""""""" &amp; REGEXEXTRACT(B5899, ""/detail/([^/?]+)"") &amp; """""","""),"""hngdnbnepjjamanhmkgolabelaaladjk"",")</f>
        <v>"hngdnbnepjjamanhmkgolabelaaladjk",</v>
      </c>
    </row>
    <row r="5900">
      <c r="A5900" s="4" t="s">
        <v>25079</v>
      </c>
      <c r="B5900" s="4" t="s">
        <v>11743</v>
      </c>
      <c r="C5900" s="16" t="str">
        <f>IFERROR(__xludf.DUMMYFUNCTION(""""""""" &amp; REGEXEXTRACT(B5900, ""/detail/([^/?]+)"") &amp; """""","""),"""hnhplmcglkomfmoapojflionoibodhla"",")</f>
        <v>"hnhplmcglkomfmoapojflionoibodhla",</v>
      </c>
    </row>
    <row r="5901">
      <c r="A5901" s="4" t="s">
        <v>25080</v>
      </c>
      <c r="B5901" s="4" t="s">
        <v>11745</v>
      </c>
      <c r="C5901" s="16" t="str">
        <f>IFERROR(__xludf.DUMMYFUNCTION(""""""""" &amp; REGEXEXTRACT(B5901, ""/detail/([^/?]+)"") &amp; """""","""),"""hnpkjoifldafgenlhognhkfjbpglbmmp"",")</f>
        <v>"hnpkjoifldafgenlhognhkfjbpglbmmp",</v>
      </c>
    </row>
    <row r="5902">
      <c r="A5902" s="4" t="s">
        <v>25081</v>
      </c>
      <c r="B5902" s="4" t="s">
        <v>11747</v>
      </c>
      <c r="C5902" s="16" t="str">
        <f>IFERROR(__xludf.DUMMYFUNCTION(""""""""" &amp; REGEXEXTRACT(B5902, ""/detail/([^/?]+)"") &amp; """""","""),"""hoaehblonfjfhjimblnicebllhkpanpi"",")</f>
        <v>"hoaehblonfjfhjimblnicebllhkpanpi",</v>
      </c>
    </row>
    <row r="5903">
      <c r="A5903" s="4" t="s">
        <v>25082</v>
      </c>
      <c r="B5903" s="4" t="s">
        <v>11749</v>
      </c>
      <c r="C5903" s="16" t="str">
        <f>IFERROR(__xludf.DUMMYFUNCTION(""""""""" &amp; REGEXEXTRACT(B5903, ""/detail/([^/?]+)"") &amp; """""","""),"""hobpbmcamljoikiiajiopaognabcoceh"",")</f>
        <v>"hobpbmcamljoikiiajiopaognabcoceh",</v>
      </c>
    </row>
    <row r="5904">
      <c r="A5904" s="4" t="s">
        <v>25083</v>
      </c>
      <c r="B5904" s="4" t="s">
        <v>11751</v>
      </c>
      <c r="C5904" s="16" t="str">
        <f>IFERROR(__xludf.DUMMYFUNCTION(""""""""" &amp; REGEXEXTRACT(B5904, ""/detail/([^/?]+)"") &amp; """""","""),"""hoccpcefjcgnabbmojbfoflggkecmpgd"",")</f>
        <v>"hoccpcefjcgnabbmojbfoflggkecmpgd",</v>
      </c>
    </row>
    <row r="5905">
      <c r="A5905" s="4" t="s">
        <v>25084</v>
      </c>
      <c r="B5905" s="4" t="s">
        <v>11753</v>
      </c>
      <c r="C5905" s="16" t="str">
        <f>IFERROR(__xludf.DUMMYFUNCTION(""""""""" &amp; REGEXEXTRACT(B5905, ""/detail/([^/?]+)"") &amp; """""","""),"""hogfjibfigegjgnilealmgcmaclnfook"",")</f>
        <v>"hogfjibfigegjgnilealmgcmaclnfook",</v>
      </c>
    </row>
    <row r="5906">
      <c r="A5906" s="4" t="s">
        <v>25085</v>
      </c>
      <c r="B5906" s="4" t="s">
        <v>11754</v>
      </c>
      <c r="C5906" s="16" t="str">
        <f>IFERROR(__xludf.DUMMYFUNCTION(""""""""" &amp; REGEXEXTRACT(B5906, ""/detail/([^/?]+)"") &amp; """""","""),"""hohlhlgjmkmoifphmaloogebclmjnhgb"",")</f>
        <v>"hohlhlgjmkmoifphmaloogebclmjnhgb",</v>
      </c>
    </row>
    <row r="5907">
      <c r="A5907" s="4" t="s">
        <v>25086</v>
      </c>
      <c r="B5907" s="4" t="s">
        <v>11756</v>
      </c>
      <c r="C5907" s="16" t="str">
        <f>IFERROR(__xludf.DUMMYFUNCTION(""""""""" &amp; REGEXEXTRACT(B5907, ""/detail/([^/?]+)"") &amp; """""","""),"""hokcepcfcicnhalinladgknhaljndhpc"",")</f>
        <v>"hokcepcfcicnhalinladgknhaljndhpc",</v>
      </c>
    </row>
    <row r="5908">
      <c r="A5908" s="4" t="s">
        <v>25087</v>
      </c>
      <c r="B5908" s="4" t="s">
        <v>11758</v>
      </c>
      <c r="C5908" s="16" t="str">
        <f>IFERROR(__xludf.DUMMYFUNCTION(""""""""" &amp; REGEXEXTRACT(B5908, ""/detail/([^/?]+)"") &amp; """""","""),"""holbbklonohcgehjencimoakedfmoonh"",")</f>
        <v>"holbbklonohcgehjencimoakedfmoonh",</v>
      </c>
    </row>
    <row r="5909">
      <c r="A5909" s="4" t="s">
        <v>25088</v>
      </c>
      <c r="B5909" s="4" t="s">
        <v>11760</v>
      </c>
      <c r="C5909" s="16" t="str">
        <f>IFERROR(__xludf.DUMMYFUNCTION(""""""""" &amp; REGEXEXTRACT(B5909, ""/detail/([^/?]+)"") &amp; """""","""),"""holbpikmjepcdgpfclodjljclfnpojak"",")</f>
        <v>"holbpikmjepcdgpfclodjljclfnpojak",</v>
      </c>
    </row>
    <row r="5910">
      <c r="A5910" s="4" t="s">
        <v>25089</v>
      </c>
      <c r="B5910" s="4" t="s">
        <v>11762</v>
      </c>
      <c r="C5910" s="16" t="str">
        <f>IFERROR(__xludf.DUMMYFUNCTION(""""""""" &amp; REGEXEXTRACT(B5910, ""/detail/([^/?]+)"") &amp; """""","""),"""holnmhdkmdnlefbmmcanbcicakfbiopi"",")</f>
        <v>"holnmhdkmdnlefbmmcanbcicakfbiopi",</v>
      </c>
    </row>
    <row r="5911">
      <c r="A5911" s="4" t="s">
        <v>25090</v>
      </c>
      <c r="B5911" s="4" t="s">
        <v>11764</v>
      </c>
      <c r="C5911" s="16" t="str">
        <f>IFERROR(__xludf.DUMMYFUNCTION(""""""""" &amp; REGEXEXTRACT(B5911, ""/detail/([^/?]+)"") &amp; """""","""),"""hopdblcmcfipdidllgkjflmaopndofmp"",")</f>
        <v>"hopdblcmcfipdidllgkjflmaopndofmp",</v>
      </c>
    </row>
    <row r="5912">
      <c r="A5912" s="4" t="s">
        <v>25091</v>
      </c>
      <c r="B5912" s="4" t="s">
        <v>11766</v>
      </c>
      <c r="C5912" s="16" t="str">
        <f>IFERROR(__xludf.DUMMYFUNCTION(""""""""" &amp; REGEXEXTRACT(B5912, ""/detail/([^/?]+)"") &amp; """""","""),"""hpbpclohalginomgpnnnalelfnjaeiac"",")</f>
        <v>"hpbpclohalginomgpnnnalelfnjaeiac",</v>
      </c>
    </row>
    <row r="5913">
      <c r="A5913" s="4" t="s">
        <v>25092</v>
      </c>
      <c r="B5913" s="4" t="s">
        <v>11768</v>
      </c>
      <c r="C5913" s="16" t="str">
        <f>IFERROR(__xludf.DUMMYFUNCTION(""""""""" &amp; REGEXEXTRACT(B5913, ""/detail/([^/?]+)"") &amp; """""","""),"""hpdcheheebhjfkbdbialimlbhoopehil"",")</f>
        <v>"hpdcheheebhjfkbdbialimlbhoopehil",</v>
      </c>
    </row>
    <row r="5914">
      <c r="A5914" s="4" t="s">
        <v>25093</v>
      </c>
      <c r="B5914" s="4" t="s">
        <v>11770</v>
      </c>
      <c r="C5914" s="16" t="str">
        <f>IFERROR(__xludf.DUMMYFUNCTION(""""""""" &amp; REGEXEXTRACT(B5914, ""/detail/([^/?]+)"") &amp; """""","""),"""hpeooigmanddmkodommkgpeoppkacccp"",")</f>
        <v>"hpeooigmanddmkodommkgpeoppkacccp",</v>
      </c>
    </row>
    <row r="5915">
      <c r="A5915" s="4" t="s">
        <v>25094</v>
      </c>
      <c r="B5915" s="4" t="s">
        <v>11772</v>
      </c>
      <c r="C5915" s="16" t="str">
        <f>IFERROR(__xludf.DUMMYFUNCTION(""""""""" &amp; REGEXEXTRACT(B5915, ""/detail/([^/?]+)"") &amp; """""","""),"""hphbefeddlckdmlajndflekopnhgolgb"",")</f>
        <v>"hphbefeddlckdmlajndflekopnhgolgb",</v>
      </c>
    </row>
    <row r="5916">
      <c r="A5916" s="4" t="s">
        <v>25095</v>
      </c>
      <c r="B5916" s="4" t="s">
        <v>11774</v>
      </c>
      <c r="C5916" s="16" t="str">
        <f>IFERROR(__xludf.DUMMYFUNCTION(""""""""" &amp; REGEXEXTRACT(B5916, ""/detail/([^/?]+)"") &amp; """""","""),"""hpjhbnhnnjbokhecalhbbllcombnbmdl"",")</f>
        <v>"hpjhbnhnnjbokhecalhbbllcombnbmdl",</v>
      </c>
    </row>
    <row r="5917">
      <c r="A5917" s="4" t="s">
        <v>25096</v>
      </c>
      <c r="B5917" s="4" t="s">
        <v>11776</v>
      </c>
      <c r="C5917" s="16" t="str">
        <f>IFERROR(__xludf.DUMMYFUNCTION(""""""""" &amp; REGEXEXTRACT(B5917, ""/detail/([^/?]+)"") &amp; """""","""),"""hpjkfdjeaikfhkponnlcfkcagidigdfm"",")</f>
        <v>"hpjkfdjeaikfhkponnlcfkcagidigdfm",</v>
      </c>
    </row>
    <row r="5918">
      <c r="A5918" s="4" t="s">
        <v>25097</v>
      </c>
      <c r="B5918" s="4" t="s">
        <v>11778</v>
      </c>
      <c r="C5918" s="16" t="str">
        <f>IFERROR(__xludf.DUMMYFUNCTION(""""""""" &amp; REGEXEXTRACT(B5918, ""/detail/([^/?]+)"") &amp; """""","""),"""hplbaefjnkjpbnbkcbkjmdcedcbncppm"",")</f>
        <v>"hplbaefjnkjpbnbkcbkjmdcedcbncppm",</v>
      </c>
    </row>
    <row r="5919">
      <c r="A5919" s="4" t="s">
        <v>25098</v>
      </c>
      <c r="B5919" s="4" t="s">
        <v>11780</v>
      </c>
      <c r="C5919" s="16" t="str">
        <f>IFERROR(__xludf.DUMMYFUNCTION(""""""""" &amp; REGEXEXTRACT(B5919, ""/detail/([^/?]+)"") &amp; """""","""),"""hpmlhjbpfidpmpioffejokldcojmljjf"",")</f>
        <v>"hpmlhjbpfidpmpioffejokldcojmljjf",</v>
      </c>
    </row>
    <row r="5920">
      <c r="A5920" s="4" t="s">
        <v>25099</v>
      </c>
      <c r="B5920" s="4" t="s">
        <v>11782</v>
      </c>
      <c r="C5920" s="16" t="str">
        <f>IFERROR(__xludf.DUMMYFUNCTION(""""""""" &amp; REGEXEXTRACT(B5920, ""/detail/([^/?]+)"") &amp; """""","""),"""hpoppoplmjinccgllbdponidaffcflcc"",")</f>
        <v>"hpoppoplmjinccgllbdponidaffcflcc",</v>
      </c>
    </row>
    <row r="5921">
      <c r="A5921" s="4" t="s">
        <v>25100</v>
      </c>
      <c r="B5921" s="4" t="s">
        <v>11784</v>
      </c>
      <c r="C5921" s="16" t="str">
        <f>IFERROR(__xludf.DUMMYFUNCTION(""""""""" &amp; REGEXEXTRACT(B5921, ""/detail/([^/?]+)"") &amp; """""","""),"""hppojpmpiodfkpibhmjjmknaccnhjaaa"",")</f>
        <v>"hppojpmpiodfkpibhmjjmknaccnhjaaa",</v>
      </c>
    </row>
    <row r="5922">
      <c r="A5922" s="4" t="s">
        <v>25101</v>
      </c>
      <c r="B5922" s="4" t="s">
        <v>11786</v>
      </c>
      <c r="C5922" s="16" t="str">
        <f>IFERROR(__xludf.DUMMYFUNCTION(""""""""" &amp; REGEXEXTRACT(B5922, ""/detail/([^/?]+)"") &amp; """""","""),"""iadfnfppbfedncehcbccibaapaeipocd"",")</f>
        <v>"iadfnfppbfedncehcbccibaapaeipocd",</v>
      </c>
    </row>
    <row r="5923">
      <c r="A5923" s="4" t="s">
        <v>25102</v>
      </c>
      <c r="B5923" s="4" t="s">
        <v>11788</v>
      </c>
      <c r="C5923" s="16" t="str">
        <f>IFERROR(__xludf.DUMMYFUNCTION(""""""""" &amp; REGEXEXTRACT(B5923, ""/detail/([^/?]+)"") &amp; """""","""),"""iagkfbcmjgeodpjjhafegmjnedpaandi"",")</f>
        <v>"iagkfbcmjgeodpjjhafegmjnedpaandi",</v>
      </c>
    </row>
    <row r="5924">
      <c r="A5924" s="4" t="s">
        <v>25103</v>
      </c>
      <c r="B5924" s="4" t="s">
        <v>11790</v>
      </c>
      <c r="C5924" s="16" t="str">
        <f>IFERROR(__xludf.DUMMYFUNCTION(""""""""" &amp; REGEXEXTRACT(B5924, ""/detail/([^/?]+)"") &amp; """""","""),"""iakcnnmjbdoemkjecojadhpinebnkipm"",")</f>
        <v>"iakcnnmjbdoemkjecojadhpinebnkipm",</v>
      </c>
    </row>
    <row r="5925">
      <c r="A5925" s="4" t="s">
        <v>25104</v>
      </c>
      <c r="B5925" s="4" t="s">
        <v>11792</v>
      </c>
      <c r="C5925" s="16" t="str">
        <f>IFERROR(__xludf.DUMMYFUNCTION(""""""""" &amp; REGEXEXTRACT(B5925, ""/detail/([^/?]+)"") &amp; """""","""),"""iamjbjphhaopopflkbbkddfpbiihangc"",")</f>
        <v>"iamjbjphhaopopflkbbkddfpbiihangc",</v>
      </c>
    </row>
    <row r="5926">
      <c r="A5926" s="4" t="s">
        <v>25105</v>
      </c>
      <c r="B5926" s="4" t="s">
        <v>11794</v>
      </c>
      <c r="C5926" s="16" t="str">
        <f>IFERROR(__xludf.DUMMYFUNCTION(""""""""" &amp; REGEXEXTRACT(B5926, ""/detail/([^/?]+)"") &amp; """""","""),"""iangopklojclohjcbiobemaknapklaeg"",")</f>
        <v>"iangopklojclohjcbiobemaknapklaeg",</v>
      </c>
    </row>
    <row r="5927">
      <c r="A5927" s="4" t="s">
        <v>25106</v>
      </c>
      <c r="B5927" s="4" t="s">
        <v>11796</v>
      </c>
      <c r="C5927" s="16" t="str">
        <f>IFERROR(__xludf.DUMMYFUNCTION(""""""""" &amp; REGEXEXTRACT(B5927, ""/detail/([^/?]+)"") &amp; """""","""),"""ibalioppfbgkpnijdonlogccokhmplif"",")</f>
        <v>"ibalioppfbgkpnijdonlogccokhmplif",</v>
      </c>
    </row>
    <row r="5928">
      <c r="A5928" s="4" t="s">
        <v>25107</v>
      </c>
      <c r="B5928" s="4" t="s">
        <v>11798</v>
      </c>
      <c r="C5928" s="16" t="str">
        <f>IFERROR(__xludf.DUMMYFUNCTION(""""""""" &amp; REGEXEXTRACT(B5928, ""/detail/([^/?]+)"") &amp; """""","""),"""ibehnpdcgpabccnlefccelhblhphbbpl"",")</f>
        <v>"ibehnpdcgpabccnlefccelhblhphbbpl",</v>
      </c>
    </row>
    <row r="5929">
      <c r="A5929" s="4" t="s">
        <v>25108</v>
      </c>
      <c r="B5929" s="4" t="s">
        <v>11800</v>
      </c>
      <c r="C5929" s="16" t="str">
        <f>IFERROR(__xludf.DUMMYFUNCTION(""""""""" &amp; REGEXEXTRACT(B5929, ""/detail/([^/?]+)"") &amp; """""","""),"""ibhhbcaipjilldjkhhblhgdedjgoecap"",")</f>
        <v>"ibhhbcaipjilldjkhhblhgdedjgoecap",</v>
      </c>
    </row>
    <row r="5930">
      <c r="A5930" s="4" t="s">
        <v>25109</v>
      </c>
      <c r="B5930" s="4" t="s">
        <v>11802</v>
      </c>
      <c r="C5930" s="16" t="str">
        <f>IFERROR(__xludf.DUMMYFUNCTION(""""""""" &amp; REGEXEXTRACT(B5930, ""/detail/([^/?]+)"") &amp; """""","""),"""ibljmcpffldiiccjmnbnpnehgkjddapk"",")</f>
        <v>"ibljmcpffldiiccjmnbnpnehgkjddapk",</v>
      </c>
    </row>
    <row r="5931">
      <c r="A5931" s="4" t="s">
        <v>25110</v>
      </c>
      <c r="B5931" s="4" t="s">
        <v>11804</v>
      </c>
      <c r="C5931" s="16" t="str">
        <f>IFERROR(__xludf.DUMMYFUNCTION(""""""""" &amp; REGEXEXTRACT(B5931, ""/detail/([^/?]+)"") &amp; """""","""),"""ibncmbgpniokogofpkjnlcpfpiodoppk"",")</f>
        <v>"ibncmbgpniokogofpkjnlcpfpiodoppk",</v>
      </c>
    </row>
    <row r="5932">
      <c r="A5932" s="4" t="s">
        <v>25111</v>
      </c>
      <c r="B5932" s="4" t="s">
        <v>11806</v>
      </c>
      <c r="C5932" s="16" t="str">
        <f>IFERROR(__xludf.DUMMYFUNCTION(""""""""" &amp; REGEXEXTRACT(B5932, ""/detail/([^/?]+)"") &amp; """""","""),"""ibnjlibjbocfijndlhlfdkjihmjlmibd"",")</f>
        <v>"ibnjlibjbocfijndlhlfdkjihmjlmibd",</v>
      </c>
    </row>
    <row r="5933">
      <c r="A5933" s="4" t="s">
        <v>25112</v>
      </c>
      <c r="B5933" s="4" t="s">
        <v>11808</v>
      </c>
      <c r="C5933" s="16" t="str">
        <f>IFERROR(__xludf.DUMMYFUNCTION(""""""""" &amp; REGEXEXTRACT(B5933, ""/detail/([^/?]+)"") &amp; """""","""),"""icebdekglepmmohgnelpphfbonigmfgp"",")</f>
        <v>"icebdekglepmmohgnelpphfbonigmfgp",</v>
      </c>
    </row>
    <row r="5934">
      <c r="A5934" s="4" t="s">
        <v>25113</v>
      </c>
      <c r="B5934" s="4" t="s">
        <v>11810</v>
      </c>
      <c r="C5934" s="16" t="str">
        <f>IFERROR(__xludf.DUMMYFUNCTION(""""""""" &amp; REGEXEXTRACT(B5934, ""/detail/([^/?]+)"") &amp; """""","""),"""iceiemadajkmhlnchhmdenbfgnjkjnlh"",")</f>
        <v>"iceiemadajkmhlnchhmdenbfgnjkjnlh",</v>
      </c>
    </row>
    <row r="5935">
      <c r="A5935" s="4" t="s">
        <v>25114</v>
      </c>
      <c r="B5935" s="4" t="s">
        <v>11812</v>
      </c>
      <c r="C5935" s="16" t="str">
        <f>IFERROR(__xludf.DUMMYFUNCTION(""""""""" &amp; REGEXEXTRACT(B5935, ""/detail/([^/?]+)"") &amp; """""","""),"""icfblmejfimdamccpnoihghdjdhkaedi"",")</f>
        <v>"icfblmejfimdamccpnoihghdjdhkaedi",</v>
      </c>
    </row>
    <row r="5936">
      <c r="A5936" s="4" t="s">
        <v>25115</v>
      </c>
      <c r="B5936" s="4" t="s">
        <v>11814</v>
      </c>
      <c r="C5936" s="16" t="str">
        <f>IFERROR(__xludf.DUMMYFUNCTION(""""""""" &amp; REGEXEXTRACT(B5936, ""/detail/([^/?]+)"") &amp; """""","""),"""icgllojphobcelnadkpnpakckhlmnoaa"",")</f>
        <v>"icgllojphobcelnadkpnpakckhlmnoaa",</v>
      </c>
    </row>
    <row r="5937">
      <c r="A5937" s="4" t="s">
        <v>25116</v>
      </c>
      <c r="B5937" s="4" t="s">
        <v>11816</v>
      </c>
      <c r="C5937" s="16" t="str">
        <f>IFERROR(__xludf.DUMMYFUNCTION(""""""""" &amp; REGEXEXTRACT(B5937, ""/detail/([^/?]+)"") &amp; """""","""),"""icjlfhgfjjmpbfminikodoeipbinmjcm"",")</f>
        <v>"icjlfhgfjjmpbfminikodoeipbinmjcm",</v>
      </c>
    </row>
    <row r="5938">
      <c r="A5938" s="4" t="s">
        <v>25117</v>
      </c>
      <c r="B5938" s="4" t="s">
        <v>11817</v>
      </c>
      <c r="C5938" s="16" t="str">
        <f>IFERROR(__xludf.DUMMYFUNCTION(""""""""" &amp; REGEXEXTRACT(B5938, ""/detail/([^/?]+)"") &amp; """""","""),"""icncdnmkpbfelimpahkncfjdkdhgammm"",")</f>
        <v>"icncdnmkpbfelimpahkncfjdkdhgammm",</v>
      </c>
    </row>
    <row r="5939">
      <c r="A5939" s="4" t="s">
        <v>25118</v>
      </c>
      <c r="B5939" s="4" t="s">
        <v>11819</v>
      </c>
      <c r="C5939" s="16" t="str">
        <f>IFERROR(__xludf.DUMMYFUNCTION(""""""""" &amp; REGEXEXTRACT(B5939, ""/detail/([^/?]+)"") &amp; """""","""),"""icnhjdhclnciidcbbafekjogmkdhhgib"",")</f>
        <v>"icnhjdhclnciidcbbafekjogmkdhhgib",</v>
      </c>
    </row>
    <row r="5940">
      <c r="A5940" s="4" t="s">
        <v>25119</v>
      </c>
      <c r="B5940" s="4" t="s">
        <v>11821</v>
      </c>
      <c r="C5940" s="16" t="str">
        <f>IFERROR(__xludf.DUMMYFUNCTION(""""""""" &amp; REGEXEXTRACT(B5940, ""/detail/([^/?]+)"") &amp; """""","""),"""idbnpledljooaelhbodmpjaeimmbdcmo"",")</f>
        <v>"idbnpledljooaelhbodmpjaeimmbdcmo",</v>
      </c>
    </row>
    <row r="5941">
      <c r="A5941" s="4" t="s">
        <v>25120</v>
      </c>
      <c r="B5941" s="4" t="s">
        <v>11823</v>
      </c>
      <c r="C5941" s="16" t="str">
        <f>IFERROR(__xludf.DUMMYFUNCTION(""""""""" &amp; REGEXEXTRACT(B5941, ""/detail/([^/?]+)"") &amp; """""","""),"""idckcaillgcgdmbfldkdajbiipgdcihe"",")</f>
        <v>"idckcaillgcgdmbfldkdajbiipgdcihe",</v>
      </c>
    </row>
    <row r="5942">
      <c r="A5942" s="4" t="s">
        <v>25121</v>
      </c>
      <c r="B5942" s="4" t="s">
        <v>11825</v>
      </c>
      <c r="C5942" s="16" t="str">
        <f>IFERROR(__xludf.DUMMYFUNCTION(""""""""" &amp; REGEXEXTRACT(B5942, ""/detail/([^/?]+)"") &amp; """""","""),"""idiomkjpboogdmkpndeepnkldhbpnnpb"",")</f>
        <v>"idiomkjpboogdmkpndeepnkldhbpnnpb",</v>
      </c>
    </row>
    <row r="5943">
      <c r="A5943" s="4" t="s">
        <v>25122</v>
      </c>
      <c r="B5943" s="4" t="s">
        <v>11827</v>
      </c>
      <c r="C5943" s="16" t="str">
        <f>IFERROR(__xludf.DUMMYFUNCTION(""""""""" &amp; REGEXEXTRACT(B5943, ""/detail/([^/?]+)"") &amp; """""","""),"""idkamlaejpamdckefmbhknakamfgkaih"",")</f>
        <v>"idkamlaejpamdckefmbhknakamfgkaih",</v>
      </c>
    </row>
    <row r="5944">
      <c r="A5944" s="4" t="s">
        <v>25123</v>
      </c>
      <c r="B5944" s="4" t="s">
        <v>11829</v>
      </c>
      <c r="C5944" s="16" t="str">
        <f>IFERROR(__xludf.DUMMYFUNCTION(""""""""" &amp; REGEXEXTRACT(B5944, ""/detail/([^/?]+)"") &amp; """""","""),"""idnmlamplcoognldklompmmabhlldllo"",")</f>
        <v>"idnmlamplcoognldklompmmabhlldllo",</v>
      </c>
    </row>
    <row r="5945">
      <c r="A5945" s="4" t="s">
        <v>25124</v>
      </c>
      <c r="B5945" s="4" t="s">
        <v>11831</v>
      </c>
      <c r="C5945" s="16" t="str">
        <f>IFERROR(__xludf.DUMMYFUNCTION(""""""""" &amp; REGEXEXTRACT(B5945, ""/detail/([^/?]+)"") &amp; """""","""),"""idpkhlmnodphnlldoadnmflmoiflcbeo"",")</f>
        <v>"idpkhlmnodphnlldoadnmflmoiflcbeo",</v>
      </c>
    </row>
    <row r="5946">
      <c r="A5946" s="4" t="s">
        <v>25125</v>
      </c>
      <c r="B5946" s="4" t="s">
        <v>11833</v>
      </c>
      <c r="C5946" s="16" t="str">
        <f>IFERROR(__xludf.DUMMYFUNCTION(""""""""" &amp; REGEXEXTRACT(B5946, ""/detail/([^/?]+)"") &amp; """""","""),"""ieadkjmeiojipognhgeomlcdlpgdpekn"",")</f>
        <v>"ieadkjmeiojipognhgeomlcdlpgdpekn",</v>
      </c>
    </row>
    <row r="5947">
      <c r="A5947" s="4" t="s">
        <v>25126</v>
      </c>
      <c r="B5947" s="4" t="s">
        <v>11835</v>
      </c>
      <c r="C5947" s="16" t="str">
        <f>IFERROR(__xludf.DUMMYFUNCTION(""""""""" &amp; REGEXEXTRACT(B5947, ""/detail/([^/?]+)"") &amp; """""","""),"""iegcbninklpnmdhbmdfbcpjlahemibba"",")</f>
        <v>"iegcbninklpnmdhbmdfbcpjlahemibba",</v>
      </c>
    </row>
    <row r="5948">
      <c r="A5948" s="4" t="s">
        <v>25127</v>
      </c>
      <c r="B5948" s="4" t="s">
        <v>11837</v>
      </c>
      <c r="C5948" s="16" t="str">
        <f>IFERROR(__xludf.DUMMYFUNCTION(""""""""" &amp; REGEXEXTRACT(B5948, ""/detail/([^/?]+)"") &amp; """""","""),"""iejckekdjogeeilmllnabmgkbbmedeal"",")</f>
        <v>"iejckekdjogeeilmllnabmgkbbmedeal",</v>
      </c>
    </row>
    <row r="5949">
      <c r="A5949" s="4" t="s">
        <v>25128</v>
      </c>
      <c r="B5949" s="4" t="s">
        <v>11839</v>
      </c>
      <c r="C5949" s="16" t="str">
        <f>IFERROR(__xludf.DUMMYFUNCTION(""""""""" &amp; REGEXEXTRACT(B5949, ""/detail/([^/?]+)"") &amp; """""","""),"""iepmcfkedcobclgjlblahmlekodmnmmk"",")</f>
        <v>"iepmcfkedcobclgjlblahmlekodmnmmk",</v>
      </c>
    </row>
    <row r="5950">
      <c r="A5950" s="4" t="s">
        <v>25129</v>
      </c>
      <c r="B5950" s="4" t="s">
        <v>11841</v>
      </c>
      <c r="C5950" s="16" t="str">
        <f>IFERROR(__xludf.DUMMYFUNCTION(""""""""" &amp; REGEXEXTRACT(B5950, ""/detail/([^/?]+)"") &amp; """""","""),"""ifbdkkmplemchhmcafjphahhmdgleolp"",")</f>
        <v>"ifbdkkmplemchhmcafjphahhmdgleolp",</v>
      </c>
    </row>
    <row r="5951">
      <c r="A5951" s="4" t="s">
        <v>25130</v>
      </c>
      <c r="B5951" s="4" t="s">
        <v>11843</v>
      </c>
      <c r="C5951" s="16" t="str">
        <f>IFERROR(__xludf.DUMMYFUNCTION(""""""""" &amp; REGEXEXTRACT(B5951, ""/detail/([^/?]+)"") &amp; """""","""),"""ifdnjffggmmjiammdpklgldliaaempce"",")</f>
        <v>"ifdnjffggmmjiammdpklgldliaaempce",</v>
      </c>
    </row>
    <row r="5952">
      <c r="A5952" s="4" t="s">
        <v>25131</v>
      </c>
      <c r="B5952" s="4" t="s">
        <v>11845</v>
      </c>
      <c r="C5952" s="16" t="str">
        <f>IFERROR(__xludf.DUMMYFUNCTION(""""""""" &amp; REGEXEXTRACT(B5952, ""/detail/([^/?]+)"") &amp; """""","""),"""ifgdeokhnfkbgdocafpokgdnnfbnbbok"",")</f>
        <v>"ifgdeokhnfkbgdocafpokgdnnfbnbbok",</v>
      </c>
    </row>
    <row r="5953">
      <c r="A5953" s="4" t="s">
        <v>25132</v>
      </c>
      <c r="B5953" s="4" t="s">
        <v>11847</v>
      </c>
      <c r="C5953" s="16" t="str">
        <f>IFERROR(__xludf.DUMMYFUNCTION(""""""""" &amp; REGEXEXTRACT(B5953, ""/detail/([^/?]+)"") &amp; """""","""),"""ifhnmgllkaeebiklhakndljclagikoak"",")</f>
        <v>"ifhnmgllkaeebiklhakndljclagikoak",</v>
      </c>
    </row>
    <row r="5954">
      <c r="A5954" s="4" t="s">
        <v>25133</v>
      </c>
      <c r="B5954" s="4" t="s">
        <v>11849</v>
      </c>
      <c r="C5954" s="16" t="str">
        <f>IFERROR(__xludf.DUMMYFUNCTION(""""""""" &amp; REGEXEXTRACT(B5954, ""/detail/([^/?]+)"") &amp; """""","""),"""ifjnjbjmhoicgefokkkeclokbphfaeki"",")</f>
        <v>"ifjnjbjmhoicgefokkkeclokbphfaeki",</v>
      </c>
    </row>
    <row r="5955">
      <c r="A5955" s="4" t="s">
        <v>25134</v>
      </c>
      <c r="B5955" s="4" t="s">
        <v>11851</v>
      </c>
      <c r="C5955" s="16" t="str">
        <f>IFERROR(__xludf.DUMMYFUNCTION(""""""""" &amp; REGEXEXTRACT(B5955, ""/detail/([^/?]+)"") &amp; """""","""),"""iflmcpajnjgcmfcdlokppahkgkolmcfd"",")</f>
        <v>"iflmcpajnjgcmfcdlokppahkgkolmcfd",</v>
      </c>
    </row>
    <row r="5956">
      <c r="A5956" s="4" t="s">
        <v>25135</v>
      </c>
      <c r="B5956" s="4" t="s">
        <v>11853</v>
      </c>
      <c r="C5956" s="16" t="str">
        <f>IFERROR(__xludf.DUMMYFUNCTION(""""""""" &amp; REGEXEXTRACT(B5956, ""/detail/([^/?]+)"") &amp; """""","""),"""ifmcadkgfhfofgnmmhkegecdhallnhge"",")</f>
        <v>"ifmcadkgfhfofgnmmhkegecdhallnhge",</v>
      </c>
    </row>
    <row r="5957">
      <c r="A5957" s="4" t="s">
        <v>25136</v>
      </c>
      <c r="B5957" s="4" t="s">
        <v>11855</v>
      </c>
      <c r="C5957" s="16" t="str">
        <f>IFERROR(__xludf.DUMMYFUNCTION(""""""""" &amp; REGEXEXTRACT(B5957, ""/detail/([^/?]+)"") &amp; """""","""),"""ifmejflahgcnbjoocdchmcfbgcpbpooa"",")</f>
        <v>"ifmejflahgcnbjoocdchmcfbgcpbpooa",</v>
      </c>
    </row>
    <row r="5958">
      <c r="A5958" s="4" t="s">
        <v>25137</v>
      </c>
      <c r="B5958" s="4" t="s">
        <v>11857</v>
      </c>
      <c r="C5958" s="16" t="str">
        <f>IFERROR(__xludf.DUMMYFUNCTION(""""""""" &amp; REGEXEXTRACT(B5958, ""/detail/([^/?]+)"") &amp; """""","""),"""ifmencfdmeefbminibdligiflakibpoh"",")</f>
        <v>"ifmencfdmeefbminibdligiflakibpoh",</v>
      </c>
    </row>
    <row r="5959">
      <c r="A5959" s="4" t="s">
        <v>25138</v>
      </c>
      <c r="B5959" s="4" t="s">
        <v>11859</v>
      </c>
      <c r="C5959" s="16" t="str">
        <f>IFERROR(__xludf.DUMMYFUNCTION(""""""""" &amp; REGEXEXTRACT(B5959, ""/detail/([^/?]+)"") &amp; """""","""),"""igafblhljepfhmcccgklehhlbheclmob"",")</f>
        <v>"igafblhljepfhmcccgklehhlbheclmob",</v>
      </c>
    </row>
    <row r="5960">
      <c r="A5960" s="4" t="s">
        <v>25139</v>
      </c>
      <c r="B5960" s="4" t="s">
        <v>11861</v>
      </c>
      <c r="C5960" s="16" t="str">
        <f>IFERROR(__xludf.DUMMYFUNCTION(""""""""" &amp; REGEXEXTRACT(B5960, ""/detail/([^/?]+)"") &amp; """""","""),"""igedhbjllcmgidlmhclmphmhlllkibkb"",")</f>
        <v>"igedhbjllcmgidlmhclmphmhlllkibkb",</v>
      </c>
    </row>
    <row r="5961">
      <c r="A5961" s="4" t="s">
        <v>25140</v>
      </c>
      <c r="B5961" s="4" t="s">
        <v>11863</v>
      </c>
      <c r="C5961" s="16" t="str">
        <f>IFERROR(__xludf.DUMMYFUNCTION(""""""""" &amp; REGEXEXTRACT(B5961, ""/detail/([^/?]+)"") &amp; """""","""),"""igeggliaekimdimalkgichjgepnjbnap"",")</f>
        <v>"igeggliaekimdimalkgichjgepnjbnap",</v>
      </c>
    </row>
    <row r="5962">
      <c r="A5962" s="4" t="s">
        <v>25141</v>
      </c>
      <c r="B5962" s="4" t="s">
        <v>11865</v>
      </c>
      <c r="C5962" s="16" t="str">
        <f>IFERROR(__xludf.DUMMYFUNCTION(""""""""" &amp; REGEXEXTRACT(B5962, ""/detail/([^/?]+)"") &amp; """""","""),"""igjaadcoconlababjpkhmjimepgnekdo"",")</f>
        <v>"igjaadcoconlababjpkhmjimepgnekdo",</v>
      </c>
    </row>
    <row r="5963">
      <c r="A5963" s="4" t="s">
        <v>25142</v>
      </c>
      <c r="B5963" s="4" t="s">
        <v>11867</v>
      </c>
      <c r="C5963" s="16" t="str">
        <f>IFERROR(__xludf.DUMMYFUNCTION(""""""""" &amp; REGEXEXTRACT(B5963, ""/detail/([^/?]+)"") &amp; """""","""),"""igjmkejolekkpjnaeknjgaghhlhhekle"",")</f>
        <v>"igjmkejolekkpjnaeknjgaghhlhhekle",</v>
      </c>
    </row>
    <row r="5964">
      <c r="A5964" s="4" t="s">
        <v>25143</v>
      </c>
      <c r="B5964" s="4" t="s">
        <v>11869</v>
      </c>
      <c r="C5964" s="16" t="str">
        <f>IFERROR(__xludf.DUMMYFUNCTION(""""""""" &amp; REGEXEXTRACT(B5964, ""/detail/([^/?]+)"") &amp; """""","""),"""igkhfelkcokndphgeoimbijbegmfpcep"",")</f>
        <v>"igkhfelkcokndphgeoimbijbegmfpcep",</v>
      </c>
    </row>
    <row r="5965">
      <c r="A5965" s="4" t="s">
        <v>25144</v>
      </c>
      <c r="B5965" s="4" t="s">
        <v>11870</v>
      </c>
      <c r="C5965" s="16" t="str">
        <f>IFERROR(__xludf.DUMMYFUNCTION(""""""""" &amp; REGEXEXTRACT(B5965, ""/detail/([^/?]+)"") &amp; """""","""),"""ignddgemjkghaogmfmokpfplbmoiecde"",")</f>
        <v>"ignddgemjkghaogmfmokpfplbmoiecde",</v>
      </c>
    </row>
    <row r="5966">
      <c r="A5966" s="4" t="s">
        <v>25145</v>
      </c>
      <c r="B5966" s="4" t="s">
        <v>11872</v>
      </c>
      <c r="C5966" s="16" t="str">
        <f>IFERROR(__xludf.DUMMYFUNCTION(""""""""" &amp; REGEXEXTRACT(B5966, ""/detail/([^/?]+)"") &amp; """""","""),"""igobdfagkcadgcfooegonbbeeggagakn"",")</f>
        <v>"igobdfagkcadgcfooegonbbeeggagakn",</v>
      </c>
    </row>
    <row r="5967">
      <c r="A5967" s="4" t="s">
        <v>25146</v>
      </c>
      <c r="B5967" s="4" t="s">
        <v>11874</v>
      </c>
      <c r="C5967" s="16" t="str">
        <f>IFERROR(__xludf.DUMMYFUNCTION(""""""""" &amp; REGEXEXTRACT(B5967, ""/detail/([^/?]+)"") &amp; """""","""),"""igolleadgmkcpideghiegkgfnfbodjll"",")</f>
        <v>"igolleadgmkcpideghiegkgfnfbodjll",</v>
      </c>
    </row>
    <row r="5968">
      <c r="A5968" s="4" t="s">
        <v>25147</v>
      </c>
      <c r="B5968" s="4" t="s">
        <v>11876</v>
      </c>
      <c r="C5968" s="16" t="str">
        <f>IFERROR(__xludf.DUMMYFUNCTION(""""""""" &amp; REGEXEXTRACT(B5968, ""/detail/([^/?]+)"") &amp; """""","""),"""igpnpekckpgidennnogoholpehjgcapk"",")</f>
        <v>"igpnpekckpgidennnogoholpehjgcapk",</v>
      </c>
    </row>
    <row r="5969">
      <c r="A5969" s="4" t="s">
        <v>25148</v>
      </c>
      <c r="B5969" s="4" t="s">
        <v>11878</v>
      </c>
      <c r="C5969" s="16" t="str">
        <f>IFERROR(__xludf.DUMMYFUNCTION(""""""""" &amp; REGEXEXTRACT(B5969, ""/detail/([^/?]+)"") &amp; """""","""),"""igpoimkggagpelmpjlojcnjddehkoamp"",")</f>
        <v>"igpoimkggagpelmpjlojcnjddehkoamp",</v>
      </c>
    </row>
    <row r="5970">
      <c r="A5970" s="4" t="s">
        <v>25149</v>
      </c>
      <c r="B5970" s="4" t="s">
        <v>11880</v>
      </c>
      <c r="C5970" s="16" t="str">
        <f>IFERROR(__xludf.DUMMYFUNCTION(""""""""" &amp; REGEXEXTRACT(B5970, ""/detail/([^/?]+)"") &amp; """""","""),"""ihaobgceoogckalioenpheioedgjaahk"",")</f>
        <v>"ihaobgceoogckalioenpheioedgjaahk",</v>
      </c>
    </row>
    <row r="5971">
      <c r="A5971" s="4" t="s">
        <v>25150</v>
      </c>
      <c r="B5971" s="4" t="s">
        <v>11882</v>
      </c>
      <c r="C5971" s="16" t="str">
        <f>IFERROR(__xludf.DUMMYFUNCTION(""""""""" &amp; REGEXEXTRACT(B5971, ""/detail/([^/?]+)"") &amp; """""","""),"""ihaojehalhppjmffmpanipimfpkhacnk"",")</f>
        <v>"ihaojehalhppjmffmpanipimfpkhacnk",</v>
      </c>
    </row>
    <row r="5972">
      <c r="A5972" s="4" t="s">
        <v>25151</v>
      </c>
      <c r="B5972" s="4" t="s">
        <v>11884</v>
      </c>
      <c r="C5972" s="16" t="str">
        <f>IFERROR(__xludf.DUMMYFUNCTION(""""""""" &amp; REGEXEXTRACT(B5972, ""/detail/([^/?]+)"") &amp; """""","""),"""ihcahckdmfgebcihagehdfcdopmjmcjp"",")</f>
        <v>"ihcahckdmfgebcihagehdfcdopmjmcjp",</v>
      </c>
    </row>
    <row r="5973">
      <c r="A5973" s="4" t="s">
        <v>25152</v>
      </c>
      <c r="B5973" s="4" t="s">
        <v>11886</v>
      </c>
      <c r="C5973" s="16" t="str">
        <f>IFERROR(__xludf.DUMMYFUNCTION(""""""""" &amp; REGEXEXTRACT(B5973, ""/detail/([^/?]+)"") &amp; """""","""),"""ihcoajeckiamdgjipkokhcggolflbinf"",")</f>
        <v>"ihcoajeckiamdgjipkokhcggolflbinf",</v>
      </c>
    </row>
    <row r="5974">
      <c r="A5974" s="4" t="s">
        <v>25153</v>
      </c>
      <c r="B5974" s="4" t="s">
        <v>11888</v>
      </c>
      <c r="C5974" s="16" t="str">
        <f>IFERROR(__xludf.DUMMYFUNCTION(""""""""" &amp; REGEXEXTRACT(B5974, ""/detail/([^/?]+)"") &amp; """""","""),"""ihdmmfkidjhokdgchkddpnhmbjdlpbkp"",")</f>
        <v>"ihdmmfkidjhokdgchkddpnhmbjdlpbkp",</v>
      </c>
    </row>
    <row r="5975">
      <c r="A5975" s="4" t="s">
        <v>25154</v>
      </c>
      <c r="B5975" s="4" t="s">
        <v>11890</v>
      </c>
      <c r="C5975" s="16" t="str">
        <f>IFERROR(__xludf.DUMMYFUNCTION(""""""""" &amp; REGEXEXTRACT(B5975, ""/detail/([^/?]+)"") &amp; """""","""),"""ihebbaifpapaepmdmcphkepihalaibee"",")</f>
        <v>"ihebbaifpapaepmdmcphkepihalaibee",</v>
      </c>
    </row>
    <row r="5976">
      <c r="A5976" s="4" t="s">
        <v>25155</v>
      </c>
      <c r="B5976" s="4" t="s">
        <v>11892</v>
      </c>
      <c r="C5976" s="16" t="str">
        <f>IFERROR(__xludf.DUMMYFUNCTION(""""""""" &amp; REGEXEXTRACT(B5976, ""/detail/([^/?]+)"") &amp; """""","""),"""ihfblkkmkmcgejfkgmkiipplonimjnec"",")</f>
        <v>"ihfblkkmkmcgejfkgmkiipplonimjnec",</v>
      </c>
    </row>
    <row r="5977">
      <c r="A5977" s="4" t="s">
        <v>25156</v>
      </c>
      <c r="B5977" s="4" t="s">
        <v>11894</v>
      </c>
      <c r="C5977" s="16" t="str">
        <f>IFERROR(__xludf.DUMMYFUNCTION(""""""""" &amp; REGEXEXTRACT(B5977, ""/detail/([^/?]+)"") &amp; """""","""),"""ihhllachgimmobopggdgbknfodhkkjbn"",")</f>
        <v>"ihhllachgimmobopggdgbknfodhkkjbn",</v>
      </c>
    </row>
    <row r="5978">
      <c r="A5978" s="4" t="s">
        <v>25157</v>
      </c>
      <c r="B5978" s="4" t="s">
        <v>11896</v>
      </c>
      <c r="C5978" s="16" t="str">
        <f>IFERROR(__xludf.DUMMYFUNCTION(""""""""" &amp; REGEXEXTRACT(B5978, ""/detail/([^/?]+)"") &amp; """""","""),"""iicjcloailigfcpaikaoklmekegcahhk"",")</f>
        <v>"iicjcloailigfcpaikaoklmekegcahhk",</v>
      </c>
    </row>
    <row r="5979">
      <c r="A5979" s="4" t="s">
        <v>25158</v>
      </c>
      <c r="B5979" s="4" t="s">
        <v>11898</v>
      </c>
      <c r="C5979" s="16" t="str">
        <f>IFERROR(__xludf.DUMMYFUNCTION(""""""""" &amp; REGEXEXTRACT(B5979, ""/detail/([^/?]+)"") &amp; """""","""),"""iidcnkpdmnopbbkdmneglbelcefgfohf"",")</f>
        <v>"iidcnkpdmnopbbkdmneglbelcefgfohf",</v>
      </c>
    </row>
    <row r="5980">
      <c r="A5980" s="4" t="s">
        <v>25159</v>
      </c>
      <c r="B5980" s="4" t="s">
        <v>11900</v>
      </c>
      <c r="C5980" s="16" t="str">
        <f>IFERROR(__xludf.DUMMYFUNCTION(""""""""" &amp; REGEXEXTRACT(B5980, ""/detail/([^/?]+)"") &amp; """""","""),"""iifbfdeeneklajclonmnjbmakdniikep"",")</f>
        <v>"iifbfdeeneklajclonmnjbmakdniikep",</v>
      </c>
    </row>
    <row r="5981">
      <c r="A5981" s="4" t="s">
        <v>25160</v>
      </c>
      <c r="B5981" s="4" t="s">
        <v>11902</v>
      </c>
      <c r="C5981" s="16" t="str">
        <f>IFERROR(__xludf.DUMMYFUNCTION(""""""""" &amp; REGEXEXTRACT(B5981, ""/detail/([^/?]+)"") &amp; """""","""),"""iihenfcdndalmajfmebbiajgejocengf"",")</f>
        <v>"iihenfcdndalmajfmebbiajgejocengf",</v>
      </c>
    </row>
    <row r="5982">
      <c r="A5982" s="4" t="s">
        <v>25161</v>
      </c>
      <c r="B5982" s="4" t="s">
        <v>11904</v>
      </c>
      <c r="C5982" s="16" t="str">
        <f>IFERROR(__xludf.DUMMYFUNCTION(""""""""" &amp; REGEXEXTRACT(B5982, ""/detail/([^/?]+)"") &amp; """""","""),"""iiibfipobpiinhifgobbilpmijinambj"",")</f>
        <v>"iiibfipobpiinhifgobbilpmijinambj",</v>
      </c>
    </row>
    <row r="5983">
      <c r="A5983" s="4" t="s">
        <v>25162</v>
      </c>
      <c r="B5983" s="4" t="s">
        <v>11906</v>
      </c>
      <c r="C5983" s="16" t="str">
        <f>IFERROR(__xludf.DUMMYFUNCTION(""""""""" &amp; REGEXEXTRACT(B5983, ""/detail/([^/?]+)"") &amp; """""","""),"""iiidlaodookaobikpdnlpacodackhbfk"",")</f>
        <v>"iiidlaodookaobikpdnlpacodackhbfk",</v>
      </c>
    </row>
    <row r="5984">
      <c r="A5984" s="4" t="s">
        <v>25163</v>
      </c>
      <c r="B5984" s="4" t="s">
        <v>11908</v>
      </c>
      <c r="C5984" s="16" t="str">
        <f>IFERROR(__xludf.DUMMYFUNCTION(""""""""" &amp; REGEXEXTRACT(B5984, ""/detail/([^/?]+)"") &amp; """""","""),"""iijemcphocnlembodanflickfiafjnmk"",")</f>
        <v>"iijemcphocnlembodanflickfiafjnmk",</v>
      </c>
    </row>
    <row r="5985">
      <c r="A5985" s="4" t="s">
        <v>25164</v>
      </c>
      <c r="B5985" s="4" t="s">
        <v>11910</v>
      </c>
      <c r="C5985" s="16" t="str">
        <f>IFERROR(__xludf.DUMMYFUNCTION(""""""""" &amp; REGEXEXTRACT(B5985, ""/detail/([^/?]+)"") &amp; """""","""),"""iikaeeiidojdmhlmgkhndkpblahibgok"",")</f>
        <v>"iikaeeiidojdmhlmgkhndkpblahibgok",</v>
      </c>
    </row>
    <row r="5986">
      <c r="A5986" s="4" t="s">
        <v>25165</v>
      </c>
      <c r="B5986" s="4" t="s">
        <v>11912</v>
      </c>
      <c r="C5986" s="16" t="str">
        <f>IFERROR(__xludf.DUMMYFUNCTION(""""""""" &amp; REGEXEXTRACT(B5986, ""/detail/([^/?]+)"") &amp; """""","""),"""iimpkhokkfekbpmoamlmcndclohnehhk"",")</f>
        <v>"iimpkhokkfekbpmoamlmcndclohnehhk",</v>
      </c>
    </row>
    <row r="5987">
      <c r="A5987" s="4" t="s">
        <v>25166</v>
      </c>
      <c r="B5987" s="4" t="s">
        <v>11914</v>
      </c>
      <c r="C5987" s="16" t="str">
        <f>IFERROR(__xludf.DUMMYFUNCTION(""""""""" &amp; REGEXEXTRACT(B5987, ""/detail/([^/?]+)"") &amp; """""","""),"""iinkgkmmblamljaklibgclblomobdbha"",")</f>
        <v>"iinkgkmmblamljaklibgclblomobdbha",</v>
      </c>
    </row>
    <row r="5988">
      <c r="A5988" s="4" t="s">
        <v>25167</v>
      </c>
      <c r="B5988" s="4" t="s">
        <v>11916</v>
      </c>
      <c r="C5988" s="16" t="str">
        <f>IFERROR(__xludf.DUMMYFUNCTION(""""""""" &amp; REGEXEXTRACT(B5988, ""/detail/([^/?]+)"") &amp; """""","""),"""iinlmmcaihpbbpcgmfppbempfbiahmna"",")</f>
        <v>"iinlmmcaihpbbpcgmfppbempfbiahmna",</v>
      </c>
    </row>
    <row r="5989">
      <c r="A5989" s="4" t="s">
        <v>25168</v>
      </c>
      <c r="B5989" s="4" t="s">
        <v>11918</v>
      </c>
      <c r="C5989" s="16" t="str">
        <f>IFERROR(__xludf.DUMMYFUNCTION(""""""""" &amp; REGEXEXTRACT(B5989, ""/detail/([^/?]+)"") &amp; """""","""),"""iinnlcahmailoholehlbhbefddpbojpa"",")</f>
        <v>"iinnlcahmailoholehlbhbefddpbojpa",</v>
      </c>
    </row>
    <row r="5990">
      <c r="A5990" s="4" t="s">
        <v>25169</v>
      </c>
      <c r="B5990" s="4" t="s">
        <v>11920</v>
      </c>
      <c r="C5990" s="16" t="str">
        <f>IFERROR(__xludf.DUMMYFUNCTION(""""""""" &amp; REGEXEXTRACT(B5990, ""/detail/([^/?]+)"") &amp; """""","""),"""iiokblnaglmiafdbegeffodnjoobagml"",")</f>
        <v>"iiokblnaglmiafdbegeffodnjoobagml",</v>
      </c>
    </row>
    <row r="5991">
      <c r="A5991" s="4" t="s">
        <v>25170</v>
      </c>
      <c r="B5991" s="4" t="s">
        <v>11922</v>
      </c>
      <c r="C5991" s="16" t="str">
        <f>IFERROR(__xludf.DUMMYFUNCTION(""""""""" &amp; REGEXEXTRACT(B5991, ""/detail/([^/?]+)"") &amp; """""","""),"""ijihchgjhagfhdkhagnmlebpepjlecml"",")</f>
        <v>"ijihchgjhagfhdkhagnmlebpepjlecml",</v>
      </c>
    </row>
    <row r="5992">
      <c r="A5992" s="4" t="s">
        <v>25171</v>
      </c>
      <c r="B5992" s="4" t="s">
        <v>11924</v>
      </c>
      <c r="C5992" s="16" t="str">
        <f>IFERROR(__xludf.DUMMYFUNCTION(""""""""" &amp; REGEXEXTRACT(B5992, ""/detail/([^/?]+)"") &amp; """""","""),"""ijobgiajjnljalbobenleknenhkcionc"",")</f>
        <v>"ijobgiajjnljalbobenleknenhkcionc",</v>
      </c>
    </row>
    <row r="5993">
      <c r="A5993" s="4" t="s">
        <v>25172</v>
      </c>
      <c r="B5993" s="4" t="s">
        <v>11926</v>
      </c>
      <c r="C5993" s="16" t="str">
        <f>IFERROR(__xludf.DUMMYFUNCTION(""""""""" &amp; REGEXEXTRACT(B5993, ""/detail/([^/?]+)"") &amp; """""","""),"""ijoemkoipbejbfmedlellkdidiopecfg"",")</f>
        <v>"ijoemkoipbejbfmedlellkdidiopecfg",</v>
      </c>
    </row>
    <row r="5994">
      <c r="A5994" s="4" t="s">
        <v>25173</v>
      </c>
      <c r="B5994" s="4" t="s">
        <v>11928</v>
      </c>
      <c r="C5994" s="16" t="str">
        <f>IFERROR(__xludf.DUMMYFUNCTION(""""""""" &amp; REGEXEXTRACT(B5994, ""/detail/([^/?]+)"") &amp; """""","""),"""ijpanngdfpjaogfmobflgnhfpagcidjl"",")</f>
        <v>"ijpanngdfpjaogfmobflgnhfpagcidjl",</v>
      </c>
    </row>
    <row r="5995">
      <c r="A5995" s="4" t="s">
        <v>25174</v>
      </c>
      <c r="B5995" s="4" t="s">
        <v>11930</v>
      </c>
      <c r="C5995" s="16" t="str">
        <f>IFERROR(__xludf.DUMMYFUNCTION(""""""""" &amp; REGEXEXTRACT(B5995, ""/detail/([^/?]+)"") &amp; """""","""),"""ikapkidffcmjhlkgdgcbakcahgfbabnb"",")</f>
        <v>"ikapkidffcmjhlkgdgcbakcahgfbabnb",</v>
      </c>
    </row>
    <row r="5996">
      <c r="A5996" s="4" t="s">
        <v>25175</v>
      </c>
      <c r="B5996" s="4" t="s">
        <v>11932</v>
      </c>
      <c r="C5996" s="16" t="str">
        <f>IFERROR(__xludf.DUMMYFUNCTION(""""""""" &amp; REGEXEXTRACT(B5996, ""/detail/([^/?]+)"") &amp; """""","""),"""ikdncbjpcpkheefmnbicggciklkeebmp"",")</f>
        <v>"ikdncbjpcpkheefmnbicggciklkeebmp",</v>
      </c>
    </row>
    <row r="5997">
      <c r="A5997" s="4" t="s">
        <v>25176</v>
      </c>
      <c r="B5997" s="4" t="s">
        <v>11934</v>
      </c>
      <c r="C5997" s="16" t="str">
        <f>IFERROR(__xludf.DUMMYFUNCTION(""""""""" &amp; REGEXEXTRACT(B5997, ""/detail/([^/?]+)"") &amp; """""","""),"""ikglgnekadileanonnapmgkeklpgjifk"",")</f>
        <v>"ikglgnekadileanonnapmgkeklpgjifk",</v>
      </c>
    </row>
    <row r="5998">
      <c r="A5998" s="4" t="s">
        <v>25177</v>
      </c>
      <c r="B5998" s="4" t="s">
        <v>11936</v>
      </c>
      <c r="C5998" s="16" t="str">
        <f>IFERROR(__xludf.DUMMYFUNCTION(""""""""" &amp; REGEXEXTRACT(B5998, ""/detail/([^/?]+)"") &amp; """""","""),"""ikkmlinflfffinhglacakfnkapjfpkno"",")</f>
        <v>"ikkmlinflfffinhglacakfnkapjfpkno",</v>
      </c>
    </row>
    <row r="5999">
      <c r="A5999" s="4" t="s">
        <v>25178</v>
      </c>
      <c r="B5999" s="4" t="s">
        <v>11938</v>
      </c>
      <c r="C5999" s="16" t="str">
        <f>IFERROR(__xludf.DUMMYFUNCTION(""""""""" &amp; REGEXEXTRACT(B5999, ""/detail/([^/?]+)"") &amp; """""","""),"""ilcajdpmgfbeggnpffmohcopdgpcdndh"",")</f>
        <v>"ilcajdpmgfbeggnpffmohcopdgpcdndh",</v>
      </c>
    </row>
    <row r="6000">
      <c r="A6000" s="4" t="s">
        <v>25179</v>
      </c>
      <c r="B6000" s="4" t="s">
        <v>11940</v>
      </c>
      <c r="C6000" s="16" t="str">
        <f>IFERROR(__xludf.DUMMYFUNCTION(""""""""" &amp; REGEXEXTRACT(B6000, ""/detail/([^/?]+)"") &amp; """""","""),"""ilfokbeknllmcepedkagnjciemcjncpc"",")</f>
        <v>"ilfokbeknllmcepedkagnjciemcjncpc",</v>
      </c>
    </row>
    <row r="6001">
      <c r="A6001" s="4" t="s">
        <v>25180</v>
      </c>
      <c r="B6001" s="4" t="s">
        <v>11942</v>
      </c>
      <c r="C6001" s="16" t="str">
        <f>IFERROR(__xludf.DUMMYFUNCTION(""""""""" &amp; REGEXEXTRACT(B6001, ""/detail/([^/?]+)"") &amp; """""","""),"""iliebjbhkdndcfhhpcdebgiecbgjilne"",")</f>
        <v>"iliebjbhkdndcfhhpcdebgiecbgjilne",</v>
      </c>
    </row>
    <row r="6002">
      <c r="A6002" s="4" t="s">
        <v>25181</v>
      </c>
      <c r="B6002" s="4" t="s">
        <v>11944</v>
      </c>
      <c r="C6002" s="16" t="str">
        <f>IFERROR(__xludf.DUMMYFUNCTION(""""""""" &amp; REGEXEXTRACT(B6002, ""/detail/([^/?]+)"") &amp; """""","""),"""iligknooplmpldohcehdaoeimhbkccga"",")</f>
        <v>"iligknooplmpldohcehdaoeimhbkccga",</v>
      </c>
    </row>
    <row r="6003">
      <c r="A6003" s="4" t="s">
        <v>25182</v>
      </c>
      <c r="B6003" s="4" t="s">
        <v>11946</v>
      </c>
      <c r="C6003" s="16" t="str">
        <f>IFERROR(__xludf.DUMMYFUNCTION(""""""""" &amp; REGEXEXTRACT(B6003, ""/detail/([^/?]+)"") &amp; """""","""),"""imaaiilmcbpokolbjlimgccaifclhama"",")</f>
        <v>"imaaiilmcbpokolbjlimgccaifclhama",</v>
      </c>
    </row>
    <row r="6004">
      <c r="A6004" s="4" t="s">
        <v>25183</v>
      </c>
      <c r="B6004" s="4" t="s">
        <v>11948</v>
      </c>
      <c r="C6004" s="16" t="str">
        <f>IFERROR(__xludf.DUMMYFUNCTION(""""""""" &amp; REGEXEXTRACT(B6004, ""/detail/([^/?]+)"") &amp; """""","""),"""imdlnagpdjhelkapllclmdogjobpoihg"",")</f>
        <v>"imdlnagpdjhelkapllclmdogjobpoihg",</v>
      </c>
    </row>
    <row r="6005">
      <c r="A6005" s="4" t="s">
        <v>25184</v>
      </c>
      <c r="B6005" s="4" t="s">
        <v>11950</v>
      </c>
      <c r="C6005" s="16" t="str">
        <f>IFERROR(__xludf.DUMMYFUNCTION(""""""""" &amp; REGEXEXTRACT(B6005, ""/detail/([^/?]+)"") &amp; """""","""),"""imebnbicmjechdnmmibhehpkkaaamijo"",")</f>
        <v>"imebnbicmjechdnmmibhehpkkaaamijo",</v>
      </c>
    </row>
    <row r="6006">
      <c r="A6006" s="4" t="s">
        <v>25185</v>
      </c>
      <c r="B6006" s="4" t="s">
        <v>11952</v>
      </c>
      <c r="C6006" s="16" t="str">
        <f>IFERROR(__xludf.DUMMYFUNCTION(""""""""" &amp; REGEXEXTRACT(B6006, ""/detail/([^/?]+)"") &amp; """""","""),"""imfahbojndienpabmejppmflepmnikfl"",")</f>
        <v>"imfahbojndienpabmejppmflepmnikfl",</v>
      </c>
    </row>
    <row r="6007">
      <c r="A6007" s="4" t="s">
        <v>25186</v>
      </c>
      <c r="B6007" s="4" t="s">
        <v>11954</v>
      </c>
      <c r="C6007" s="16" t="str">
        <f>IFERROR(__xludf.DUMMYFUNCTION(""""""""" &amp; REGEXEXTRACT(B6007, ""/detail/([^/?]+)"") &amp; """""","""),"""impckkpjcejdmacpmkpegegnpagddajk"",")</f>
        <v>"impckkpjcejdmacpmkpegegnpagddajk",</v>
      </c>
    </row>
    <row r="6008">
      <c r="A6008" s="4" t="s">
        <v>25187</v>
      </c>
      <c r="B6008" s="4" t="s">
        <v>11956</v>
      </c>
      <c r="C6008" s="16" t="str">
        <f>IFERROR(__xludf.DUMMYFUNCTION(""""""""" &amp; REGEXEXTRACT(B6008, ""/detail/([^/?]+)"") &amp; """""","""),"""ineblhlndelngcbhcmjjomgjggmhkkmi"",")</f>
        <v>"ineblhlndelngcbhcmjjomgjggmhkkmi",</v>
      </c>
    </row>
    <row r="6009">
      <c r="A6009" s="4" t="s">
        <v>25188</v>
      </c>
      <c r="B6009" s="4" t="s">
        <v>11958</v>
      </c>
      <c r="C6009" s="16" t="str">
        <f>IFERROR(__xludf.DUMMYFUNCTION(""""""""" &amp; REGEXEXTRACT(B6009, ""/detail/([^/?]+)"") &amp; """""","""),"""inglgcknnendooehdkhplbmhhbfkngmg"",")</f>
        <v>"inglgcknnendooehdkhplbmhhbfkngmg",</v>
      </c>
    </row>
    <row r="6010">
      <c r="A6010" s="4" t="s">
        <v>25189</v>
      </c>
      <c r="B6010" s="4" t="s">
        <v>11960</v>
      </c>
      <c r="C6010" s="16" t="str">
        <f>IFERROR(__xludf.DUMMYFUNCTION(""""""""" &amp; REGEXEXTRACT(B6010, ""/detail/([^/?]+)"") &amp; """""","""),"""inhhamgcakfdohnnppfnehdbjomiglbp"",")</f>
        <v>"inhhamgcakfdohnnppfnehdbjomiglbp",</v>
      </c>
    </row>
    <row r="6011">
      <c r="A6011" s="4" t="s">
        <v>25190</v>
      </c>
      <c r="B6011" s="4" t="s">
        <v>11962</v>
      </c>
      <c r="C6011" s="16" t="str">
        <f>IFERROR(__xludf.DUMMYFUNCTION(""""""""" &amp; REGEXEXTRACT(B6011, ""/detail/([^/?]+)"") &amp; """""","""),"""inhocmadkfmhncnfjpkjfnojfdiaghfg"",")</f>
        <v>"inhocmadkfmhncnfjpkjfnojfdiaghfg",</v>
      </c>
    </row>
    <row r="6012">
      <c r="A6012" s="4" t="s">
        <v>25191</v>
      </c>
      <c r="B6012" s="4" t="s">
        <v>11964</v>
      </c>
      <c r="C6012" s="16" t="str">
        <f>IFERROR(__xludf.DUMMYFUNCTION(""""""""" &amp; REGEXEXTRACT(B6012, ""/detail/([^/?]+)"") &amp; """""","""),"""inicpkmkmcfgnembpecjakbgoioklcnk"",")</f>
        <v>"inicpkmkmcfgnembpecjakbgoioklcnk",</v>
      </c>
    </row>
    <row r="6013">
      <c r="A6013" s="4" t="s">
        <v>25192</v>
      </c>
      <c r="B6013" s="4" t="s">
        <v>11966</v>
      </c>
      <c r="C6013" s="16" t="str">
        <f>IFERROR(__xludf.DUMMYFUNCTION(""""""""" &amp; REGEXEXTRACT(B6013, ""/detail/([^/?]+)"") &amp; """""","""),"""inkakhlnhbkdffpnlfpmbinhmodpjdin"",")</f>
        <v>"inkakhlnhbkdffpnlfpmbinhmodpjdin",</v>
      </c>
    </row>
    <row r="6014">
      <c r="A6014" s="4" t="s">
        <v>25193</v>
      </c>
      <c r="B6014" s="4" t="s">
        <v>11968</v>
      </c>
      <c r="C6014" s="16" t="str">
        <f>IFERROR(__xludf.DUMMYFUNCTION(""""""""" &amp; REGEXEXTRACT(B6014, ""/detail/([^/?]+)"") &amp; """""","""),"""iodkgkdaapibojgkceoclhgjpahblkio"",")</f>
        <v>"iodkgkdaapibojgkceoclhgjpahblkio",</v>
      </c>
    </row>
    <row r="6015">
      <c r="A6015" s="4" t="s">
        <v>25194</v>
      </c>
      <c r="B6015" s="4" t="s">
        <v>11970</v>
      </c>
      <c r="C6015" s="16" t="str">
        <f>IFERROR(__xludf.DUMMYFUNCTION(""""""""" &amp; REGEXEXTRACT(B6015, ""/detail/([^/?]+)"") &amp; """""","""),"""ioejcchhffpmcjkjmkkgpndhobjbdgml"",")</f>
        <v>"ioejcchhffpmcjkjmkkgpndhobjbdgml",</v>
      </c>
    </row>
    <row r="6016">
      <c r="A6016" s="4" t="s">
        <v>25195</v>
      </c>
      <c r="B6016" s="4" t="s">
        <v>11972</v>
      </c>
      <c r="C6016" s="16" t="str">
        <f>IFERROR(__xludf.DUMMYFUNCTION(""""""""" &amp; REGEXEXTRACT(B6016, ""/detail/([^/?]+)"") &amp; """""","""),"""ioemepjpplneldnhflchbllkbjgfceho"",")</f>
        <v>"ioemepjpplneldnhflchbllkbjgfceho",</v>
      </c>
    </row>
    <row r="6017">
      <c r="A6017" s="4" t="s">
        <v>25196</v>
      </c>
      <c r="B6017" s="4" t="s">
        <v>11974</v>
      </c>
      <c r="C6017" s="16" t="str">
        <f>IFERROR(__xludf.DUMMYFUNCTION(""""""""" &amp; REGEXEXTRACT(B6017, ""/detail/([^/?]+)"") &amp; """""","""),"""iohfdefnnffaejpacklikjbjhnfcmbej"",")</f>
        <v>"iohfdefnnffaejpacklikjbjhnfcmbej",</v>
      </c>
    </row>
    <row r="6018">
      <c r="A6018" s="4" t="s">
        <v>25197</v>
      </c>
      <c r="B6018" s="4" t="s">
        <v>11976</v>
      </c>
      <c r="C6018" s="16" t="str">
        <f>IFERROR(__xludf.DUMMYFUNCTION(""""""""" &amp; REGEXEXTRACT(B6018, ""/detail/([^/?]+)"") &amp; """""","""),"""iolfhmhipbbpacmhhffkjelgkadnffid"",")</f>
        <v>"iolfhmhipbbpacmhhffkjelgkadnffid",</v>
      </c>
    </row>
    <row r="6019">
      <c r="A6019" s="4" t="s">
        <v>25198</v>
      </c>
      <c r="B6019" s="4" t="s">
        <v>11978</v>
      </c>
      <c r="C6019" s="16" t="str">
        <f>IFERROR(__xludf.DUMMYFUNCTION(""""""""" &amp; REGEXEXTRACT(B6019, ""/detail/([^/?]+)"") &amp; """""","""),"""iolllppockafcienapcpdpbmbdolbpgn"",")</f>
        <v>"iolllppockafcienapcpdpbmbdolbpgn",</v>
      </c>
    </row>
    <row r="6020">
      <c r="A6020" s="4" t="s">
        <v>25199</v>
      </c>
      <c r="B6020" s="4" t="s">
        <v>11980</v>
      </c>
      <c r="C6020" s="16" t="str">
        <f>IFERROR(__xludf.DUMMYFUNCTION(""""""""" &amp; REGEXEXTRACT(B6020, ""/detail/([^/?]+)"") &amp; """""","""),"""iomchefffddaglnekonfihdnccacnjjb"",")</f>
        <v>"iomchefffddaglnekonfihdnccacnjjb",</v>
      </c>
    </row>
    <row r="6021">
      <c r="A6021" s="4" t="s">
        <v>25200</v>
      </c>
      <c r="B6021" s="4" t="s">
        <v>11982</v>
      </c>
      <c r="C6021" s="16" t="str">
        <f>IFERROR(__xludf.DUMMYFUNCTION(""""""""" &amp; REGEXEXTRACT(B6021, ""/detail/([^/?]+)"") &amp; """""","""),"""ipbclffpmnocdigdcpmahfmdlibcggal"",")</f>
        <v>"ipbclffpmnocdigdcpmahfmdlibcggal",</v>
      </c>
    </row>
    <row r="6022">
      <c r="A6022" s="4" t="s">
        <v>25201</v>
      </c>
      <c r="B6022" s="4" t="s">
        <v>11984</v>
      </c>
      <c r="C6022" s="16" t="str">
        <f>IFERROR(__xludf.DUMMYFUNCTION(""""""""" &amp; REGEXEXTRACT(B6022, ""/detail/([^/?]+)"") &amp; """""","""),"""ipblkdfaeagmojkgohnhiknbmepfokdd"",")</f>
        <v>"ipblkdfaeagmojkgohnhiknbmepfokdd",</v>
      </c>
    </row>
    <row r="6023">
      <c r="A6023" s="10" t="s">
        <v>25202</v>
      </c>
      <c r="B6023" s="4" t="s">
        <v>11986</v>
      </c>
      <c r="C6023" s="16" t="str">
        <f>IFERROR(__xludf.DUMMYFUNCTION(""""""""" &amp; REGEXEXTRACT(B6023, ""/detail/([^/?]+)"") &amp; """""","""),"""ipbomjpcpbebobdnkoogngmknkohncjd"",")</f>
        <v>"ipbomjpcpbebobdnkoogngmknkohncjd",</v>
      </c>
    </row>
    <row r="6024">
      <c r="A6024" s="4" t="s">
        <v>25203</v>
      </c>
      <c r="B6024" s="4" t="s">
        <v>11988</v>
      </c>
      <c r="C6024" s="16" t="str">
        <f>IFERROR(__xludf.DUMMYFUNCTION(""""""""" &amp; REGEXEXTRACT(B6024, ""/detail/([^/?]+)"") &amp; """""","""),"""ipdbhnffahpohpdkcelabahpmlheidff"",")</f>
        <v>"ipdbhnffahpohpdkcelabahpmlheidff",</v>
      </c>
    </row>
    <row r="6025">
      <c r="A6025" s="4" t="s">
        <v>25204</v>
      </c>
      <c r="B6025" s="4" t="s">
        <v>11990</v>
      </c>
      <c r="C6025" s="16" t="str">
        <f>IFERROR(__xludf.DUMMYFUNCTION(""""""""" &amp; REGEXEXTRACT(B6025, ""/detail/([^/?]+)"") &amp; """""","""),"""ipeedobjpnifnedmipdjkhddenoghcgm"",")</f>
        <v>"ipeedobjpnifnedmipdjkhddenoghcgm",</v>
      </c>
    </row>
    <row r="6026">
      <c r="A6026" s="4" t="s">
        <v>25205</v>
      </c>
      <c r="B6026" s="4" t="s">
        <v>11992</v>
      </c>
      <c r="C6026" s="16" t="str">
        <f>IFERROR(__xludf.DUMMYFUNCTION(""""""""" &amp; REGEXEXTRACT(B6026, ""/detail/([^/?]+)"") &amp; """""","""),"""iphchnegaodmijmkdlbhbanjhfphhikp"",")</f>
        <v>"iphchnegaodmijmkdlbhbanjhfphhikp",</v>
      </c>
    </row>
    <row r="6027">
      <c r="A6027" s="4" t="s">
        <v>25206</v>
      </c>
      <c r="B6027" s="4" t="s">
        <v>11994</v>
      </c>
      <c r="C6027" s="16" t="str">
        <f>IFERROR(__xludf.DUMMYFUNCTION(""""""""" &amp; REGEXEXTRACT(B6027, ""/detail/([^/?]+)"") &amp; """""","""),"""iphpjhbabehcmdjobbjmbkgbbgipnppo"",")</f>
        <v>"iphpjhbabehcmdjobbjmbkgbbgipnppo",</v>
      </c>
    </row>
    <row r="6028">
      <c r="A6028" s="4" t="s">
        <v>25207</v>
      </c>
      <c r="B6028" s="4" t="s">
        <v>11996</v>
      </c>
      <c r="C6028" s="16" t="str">
        <f>IFERROR(__xludf.DUMMYFUNCTION(""""""""" &amp; REGEXEXTRACT(B6028, ""/detail/([^/?]+)"") &amp; """""","""),"""ipjhpmdippbajafafidlinjjmfkdamci"",")</f>
        <v>"ipjhpmdippbajafafidlinjjmfkdamci",</v>
      </c>
    </row>
    <row r="6029">
      <c r="A6029" s="4" t="s">
        <v>25208</v>
      </c>
      <c r="B6029" s="4" t="s">
        <v>11998</v>
      </c>
      <c r="C6029" s="16" t="str">
        <f>IFERROR(__xludf.DUMMYFUNCTION(""""""""" &amp; REGEXEXTRACT(B6029, ""/detail/([^/?]+)"") &amp; """""","""),"""ipjljbilkibpncgnagphiamkkdilbbki"",")</f>
        <v>"ipjljbilkibpncgnagphiamkkdilbbki",</v>
      </c>
    </row>
    <row r="6030">
      <c r="A6030" s="4" t="s">
        <v>25209</v>
      </c>
      <c r="B6030" s="4" t="s">
        <v>12000</v>
      </c>
      <c r="C6030" s="16" t="str">
        <f>IFERROR(__xludf.DUMMYFUNCTION(""""""""" &amp; REGEXEXTRACT(B6030, ""/detail/([^/?]+)"") &amp; """""","""),"""ipjokmngflkhejjllgjoiikojlnlkoop"",")</f>
        <v>"ipjokmngflkhejjllgjoiikojlnlkoop",</v>
      </c>
    </row>
    <row r="6031">
      <c r="A6031" s="4" t="s">
        <v>25210</v>
      </c>
      <c r="B6031" s="4" t="s">
        <v>12002</v>
      </c>
      <c r="C6031" s="16" t="str">
        <f>IFERROR(__xludf.DUMMYFUNCTION(""""""""" &amp; REGEXEXTRACT(B6031, ""/detail/([^/?]+)"") &amp; """""","""),"""ipkcinfcdhhcmibffhlklololceffgnc"",")</f>
        <v>"ipkcinfcdhhcmibffhlklololceffgnc",</v>
      </c>
    </row>
    <row r="6032">
      <c r="A6032" s="4" t="s">
        <v>25211</v>
      </c>
      <c r="B6032" s="4" t="s">
        <v>12004</v>
      </c>
      <c r="C6032" s="16" t="str">
        <f>IFERROR(__xludf.DUMMYFUNCTION(""""""""" &amp; REGEXEXTRACT(B6032, ""/detail/([^/?]+)"") &amp; """""","""),"""ipofikknncgcohpploljmbmpkgamedmi"",")</f>
        <v>"ipofikknncgcohpploljmbmpkgamedmi",</v>
      </c>
    </row>
    <row r="6033">
      <c r="A6033" s="4" t="s">
        <v>25212</v>
      </c>
      <c r="B6033" s="4" t="s">
        <v>12006</v>
      </c>
      <c r="C6033" s="16" t="str">
        <f>IFERROR(__xludf.DUMMYFUNCTION(""""""""" &amp; REGEXEXTRACT(B6033, ""/detail/([^/?]+)"") &amp; """""","""),"""jaccdpaccdpnonbghbpigkjjjlollmak"",")</f>
        <v>"jaccdpaccdpnonbghbpigkjjjlollmak",</v>
      </c>
    </row>
    <row r="6034">
      <c r="A6034" s="4" t="s">
        <v>25213</v>
      </c>
      <c r="B6034" s="4" t="s">
        <v>12008</v>
      </c>
      <c r="C6034" s="16" t="str">
        <f>IFERROR(__xludf.DUMMYFUNCTION(""""""""" &amp; REGEXEXTRACT(B6034, ""/detail/([^/?]+)"") &amp; """""","""),"""jafenodgdcelmajjnbcchlfjomlkaifp"",")</f>
        <v>"jafenodgdcelmajjnbcchlfjomlkaifp",</v>
      </c>
    </row>
    <row r="6035">
      <c r="A6035" s="4" t="s">
        <v>25214</v>
      </c>
      <c r="B6035" s="4" t="s">
        <v>12010</v>
      </c>
      <c r="C6035" s="16" t="str">
        <f>IFERROR(__xludf.DUMMYFUNCTION(""""""""" &amp; REGEXEXTRACT(B6035, ""/detail/([^/?]+)"") &amp; """""","""),"""jakahgbcggmbjgkfjghonlokknhkdfeg"",")</f>
        <v>"jakahgbcggmbjgkfjghonlokknhkdfeg",</v>
      </c>
    </row>
    <row r="6036">
      <c r="A6036" s="4" t="s">
        <v>25215</v>
      </c>
      <c r="B6036" s="4" t="s">
        <v>12012</v>
      </c>
      <c r="C6036" s="16" t="str">
        <f>IFERROR(__xludf.DUMMYFUNCTION(""""""""" &amp; REGEXEXTRACT(B6036, ""/detail/([^/?]+)"") &amp; """""","""),"""jakokfjpnhpnhilgnlnkaihmkhdfhhmh"",")</f>
        <v>"jakokfjpnhpnhilgnlnkaihmkhdfhhmh",</v>
      </c>
    </row>
    <row r="6037">
      <c r="A6037" s="4" t="s">
        <v>25216</v>
      </c>
      <c r="B6037" s="4" t="s">
        <v>12014</v>
      </c>
      <c r="C6037" s="16" t="str">
        <f>IFERROR(__xludf.DUMMYFUNCTION(""""""""" &amp; REGEXEXTRACT(B6037, ""/detail/([^/?]+)"") &amp; """""","""),"""jaooiolkmfcmloonphpiiogkfckgciom"",")</f>
        <v>"jaooiolkmfcmloonphpiiogkfckgciom",</v>
      </c>
    </row>
    <row r="6038">
      <c r="A6038" s="4" t="s">
        <v>25217</v>
      </c>
      <c r="B6038" s="4" t="s">
        <v>12016</v>
      </c>
      <c r="C6038" s="16" t="str">
        <f>IFERROR(__xludf.DUMMYFUNCTION(""""""""" &amp; REGEXEXTRACT(B6038, ""/detail/([^/?]+)"") &amp; """""","""),"""japockpeaaanknlkhagilkgcledilbfk"",")</f>
        <v>"japockpeaaanknlkhagilkgcledilbfk",</v>
      </c>
    </row>
    <row r="6039">
      <c r="A6039" s="4" t="s">
        <v>25218</v>
      </c>
      <c r="B6039" s="4" t="s">
        <v>12018</v>
      </c>
      <c r="C6039" s="16" t="str">
        <f>IFERROR(__xludf.DUMMYFUNCTION(""""""""" &amp; REGEXEXTRACT(B6039, ""/detail/([^/?]+)"") &amp; """""","""),"""jbbappjmafnnhhalfbhdhiemchcgejcp"",")</f>
        <v>"jbbappjmafnnhhalfbhdhiemchcgejcp",</v>
      </c>
    </row>
    <row r="6040">
      <c r="A6040" s="4" t="s">
        <v>25219</v>
      </c>
      <c r="B6040" s="4" t="s">
        <v>12020</v>
      </c>
      <c r="C6040" s="16" t="str">
        <f>IFERROR(__xludf.DUMMYFUNCTION(""""""""" &amp; REGEXEXTRACT(B6040, ""/detail/([^/?]+)"") &amp; """""","""),"""jbbnnopgaidlnbefoiebogfaebmehbda"",")</f>
        <v>"jbbnnopgaidlnbefoiebogfaebmehbda",</v>
      </c>
    </row>
    <row r="6041">
      <c r="A6041" s="4" t="s">
        <v>25220</v>
      </c>
      <c r="B6041" s="4" t="s">
        <v>12021</v>
      </c>
      <c r="C6041" s="16" t="str">
        <f>IFERROR(__xludf.DUMMYFUNCTION(""""""""" &amp; REGEXEXTRACT(B6041, ""/detail/([^/?]+)"") &amp; """""","""),"""jbbpfbflcaebghkmocpbmbgekomglnan"",")</f>
        <v>"jbbpfbflcaebghkmocpbmbgekomglnan",</v>
      </c>
    </row>
    <row r="6042">
      <c r="A6042" s="4" t="s">
        <v>25221</v>
      </c>
      <c r="B6042" s="4" t="s">
        <v>12023</v>
      </c>
      <c r="C6042" s="16" t="str">
        <f>IFERROR(__xludf.DUMMYFUNCTION(""""""""" &amp; REGEXEXTRACT(B6042, ""/detail/([^/?]+)"") &amp; """""","""),"""jbfelchjnicpmdnfmcfpfajkdpibabkl"",")</f>
        <v>"jbfelchjnicpmdnfmcfpfajkdpibabkl",</v>
      </c>
    </row>
    <row r="6043">
      <c r="A6043" s="4" t="s">
        <v>25222</v>
      </c>
      <c r="B6043" s="4" t="s">
        <v>12025</v>
      </c>
      <c r="C6043" s="16" t="str">
        <f>IFERROR(__xludf.DUMMYFUNCTION(""""""""" &amp; REGEXEXTRACT(B6043, ""/detail/([^/?]+)"") &amp; """""","""),"""jbfocblhjmlekemmngloodkpeocfkabc"",")</f>
        <v>"jbfocblhjmlekemmngloodkpeocfkabc",</v>
      </c>
    </row>
    <row r="6044">
      <c r="A6044" s="4" t="s">
        <v>25223</v>
      </c>
      <c r="B6044" s="4" t="s">
        <v>12027</v>
      </c>
      <c r="C6044" s="16" t="str">
        <f>IFERROR(__xludf.DUMMYFUNCTION(""""""""" &amp; REGEXEXTRACT(B6044, ""/detail/([^/?]+)"") &amp; """""","""),"""jbgpfjbmmlcaicpeimjggdppephemamf"",")</f>
        <v>"jbgpfjbmmlcaicpeimjggdppephemamf",</v>
      </c>
    </row>
    <row r="6045">
      <c r="A6045" s="4" t="s">
        <v>25224</v>
      </c>
      <c r="B6045" s="4" t="s">
        <v>12029</v>
      </c>
      <c r="C6045" s="16" t="str">
        <f>IFERROR(__xludf.DUMMYFUNCTION(""""""""" &amp; REGEXEXTRACT(B6045, ""/detail/([^/?]+)"") &amp; """""","""),"""jbkojnjgjfpgmnjcmdkgjjpbgchblkjn"",")</f>
        <v>"jbkojnjgjfpgmnjcmdkgjjpbgchblkjn",</v>
      </c>
    </row>
    <row r="6046">
      <c r="A6046" s="4" t="s">
        <v>25225</v>
      </c>
      <c r="B6046" s="4" t="s">
        <v>12031</v>
      </c>
      <c r="C6046" s="16" t="str">
        <f>IFERROR(__xludf.DUMMYFUNCTION(""""""""" &amp; REGEXEXTRACT(B6046, ""/detail/([^/?]+)"") &amp; """""","""),"""jbmdcdfnnpenkgliplbglfpninigbiml"",")</f>
        <v>"jbmdcdfnnpenkgliplbglfpninigbiml",</v>
      </c>
    </row>
    <row r="6047">
      <c r="A6047" s="4" t="s">
        <v>25226</v>
      </c>
      <c r="B6047" s="4" t="s">
        <v>12033</v>
      </c>
      <c r="C6047" s="16" t="str">
        <f>IFERROR(__xludf.DUMMYFUNCTION(""""""""" &amp; REGEXEXTRACT(B6047, ""/detail/([^/?]+)"") &amp; """""","""),"""jbmkeloifnkohclofiomelojjgpdjjcp"",")</f>
        <v>"jbmkeloifnkohclofiomelojjgpdjjcp",</v>
      </c>
    </row>
    <row r="6048">
      <c r="A6048" s="4" t="s">
        <v>25227</v>
      </c>
      <c r="B6048" s="4" t="s">
        <v>12035</v>
      </c>
      <c r="C6048" s="16" t="str">
        <f>IFERROR(__xludf.DUMMYFUNCTION(""""""""" &amp; REGEXEXTRACT(B6048, ""/detail/([^/?]+)"") &amp; """""","""),"""jbmlplamocjhjhodhcnampkkbopjabhl"",")</f>
        <v>"jbmlplamocjhjhodhcnampkkbopjabhl",</v>
      </c>
    </row>
    <row r="6049">
      <c r="A6049" s="4" t="s">
        <v>25228</v>
      </c>
      <c r="B6049" s="4" t="s">
        <v>12036</v>
      </c>
      <c r="C6049" s="16" t="str">
        <f>IFERROR(__xludf.DUMMYFUNCTION(""""""""" &amp; REGEXEXTRACT(B6049, ""/detail/([^/?]+)"") &amp; """""","""),"""jbnlafikncgjjhdkmfhokcplgahebmjl"",")</f>
        <v>"jbnlafikncgjjhdkmfhokcplgahebmjl",</v>
      </c>
    </row>
    <row r="6050">
      <c r="A6050" s="4" t="s">
        <v>25229</v>
      </c>
      <c r="B6050" s="4" t="s">
        <v>12038</v>
      </c>
      <c r="C6050" s="16" t="str">
        <f>IFERROR(__xludf.DUMMYFUNCTION(""""""""" &amp; REGEXEXTRACT(B6050, ""/detail/([^/?]+)"") &amp; """""","""),"""jbokjdopkpibagemeeelbkfhcldefkkp"",")</f>
        <v>"jbokjdopkpibagemeeelbkfhcldefkkp",</v>
      </c>
    </row>
    <row r="6051">
      <c r="A6051" s="4" t="s">
        <v>25230</v>
      </c>
      <c r="B6051" s="4" t="s">
        <v>12040</v>
      </c>
      <c r="C6051" s="16" t="str">
        <f>IFERROR(__xludf.DUMMYFUNCTION(""""""""" &amp; REGEXEXTRACT(B6051, ""/detail/([^/?]+)"") &amp; """""","""),"""jbooignbehgkkjfeiojiijijdpjoinco"",")</f>
        <v>"jbooignbehgkkjfeiojiijijdpjoinco",</v>
      </c>
    </row>
    <row r="6052">
      <c r="A6052" s="4" t="s">
        <v>25231</v>
      </c>
      <c r="B6052" s="4" t="s">
        <v>12042</v>
      </c>
      <c r="C6052" s="16" t="str">
        <f>IFERROR(__xludf.DUMMYFUNCTION(""""""""" &amp; REGEXEXTRACT(B6052, ""/detail/([^/?]+)"") &amp; """""","""),"""jccfbhillgcekaepchoahodacnlhcbnj"",")</f>
        <v>"jccfbhillgcekaepchoahodacnlhcbnj",</v>
      </c>
    </row>
    <row r="6053">
      <c r="A6053" s="4" t="s">
        <v>25232</v>
      </c>
      <c r="B6053" s="4" t="s">
        <v>12044</v>
      </c>
      <c r="C6053" s="16" t="str">
        <f>IFERROR(__xludf.DUMMYFUNCTION(""""""""" &amp; REGEXEXTRACT(B6053, ""/detail/([^/?]+)"") &amp; """""","""),"""jccnghfeobcbfenibcgfkcadhdnchegp"",")</f>
        <v>"jccnghfeobcbfenibcgfkcadhdnchegp",</v>
      </c>
    </row>
    <row r="6054">
      <c r="A6054" s="4" t="s">
        <v>25233</v>
      </c>
      <c r="B6054" s="4" t="s">
        <v>12046</v>
      </c>
      <c r="C6054" s="16" t="str">
        <f>IFERROR(__xludf.DUMMYFUNCTION(""""""""" &amp; REGEXEXTRACT(B6054, ""/detail/([^/?]+)"") &amp; """""","""),"""jcfdalmioobeifbpcgjghhaifimaeaca"",")</f>
        <v>"jcfdalmioobeifbpcgjghhaifimaeaca",</v>
      </c>
    </row>
    <row r="6055">
      <c r="A6055" s="4" t="s">
        <v>25234</v>
      </c>
      <c r="B6055" s="4" t="s">
        <v>12048</v>
      </c>
      <c r="C6055" s="16" t="str">
        <f>IFERROR(__xludf.DUMMYFUNCTION(""""""""" &amp; REGEXEXTRACT(B6055, ""/detail/([^/?]+)"") &amp; """""","""),"""jchkcjcaaoajpabnafbijhamndjfklec"",")</f>
        <v>"jchkcjcaaoajpabnafbijhamndjfklec",</v>
      </c>
    </row>
    <row r="6056">
      <c r="A6056" s="4" t="s">
        <v>25235</v>
      </c>
      <c r="B6056" s="4" t="s">
        <v>12050</v>
      </c>
      <c r="C6056" s="16" t="str">
        <f>IFERROR(__xludf.DUMMYFUNCTION(""""""""" &amp; REGEXEXTRACT(B6056, ""/detail/([^/?]+)"") &amp; """""","""),"""jcjomfhhhgknfhodkcjpagdibgnbdgna"",")</f>
        <v>"jcjomfhhhgknfhodkcjpagdibgnbdgna",</v>
      </c>
    </row>
    <row r="6057">
      <c r="A6057" s="4" t="s">
        <v>25236</v>
      </c>
      <c r="B6057" s="4" t="s">
        <v>12052</v>
      </c>
      <c r="C6057" s="16" t="str">
        <f>IFERROR(__xludf.DUMMYFUNCTION(""""""""" &amp; REGEXEXTRACT(B6057, ""/detail/([^/?]+)"") &amp; """""","""),"""jckchajdleibnohnphddbiglgpjpbffn"",")</f>
        <v>"jckchajdleibnohnphddbiglgpjpbffn",</v>
      </c>
    </row>
    <row r="6058">
      <c r="A6058" s="4" t="s">
        <v>25237</v>
      </c>
      <c r="B6058" s="4" t="s">
        <v>12054</v>
      </c>
      <c r="C6058" s="16" t="str">
        <f>IFERROR(__xludf.DUMMYFUNCTION(""""""""" &amp; REGEXEXTRACT(B6058, ""/detail/([^/?]+)"") &amp; """""","""),"""jclikkcolnhlpnlcecldfigfdeocdgpf"",")</f>
        <v>"jclikkcolnhlpnlcecldfigfdeocdgpf",</v>
      </c>
    </row>
    <row r="6059">
      <c r="A6059" s="4" t="s">
        <v>25238</v>
      </c>
      <c r="B6059" s="4" t="s">
        <v>12056</v>
      </c>
      <c r="C6059" s="16" t="str">
        <f>IFERROR(__xludf.DUMMYFUNCTION(""""""""" &amp; REGEXEXTRACT(B6059, ""/detail/([^/?]+)"") &amp; """""","""),"""jdbdoclhimkcngmlcphcfgaeklpmlkap"",")</f>
        <v>"jdbdoclhimkcngmlcphcfgaeklpmlkap",</v>
      </c>
    </row>
    <row r="6060">
      <c r="A6060" s="4" t="s">
        <v>25239</v>
      </c>
      <c r="B6060" s="4" t="s">
        <v>12058</v>
      </c>
      <c r="C6060" s="16" t="str">
        <f>IFERROR(__xludf.DUMMYFUNCTION(""""""""" &amp; REGEXEXTRACT(B6060, ""/detail/([^/?]+)"") &amp; """""","""),"""jdblagejdbkmjfbnppiggfeiglefmpfk"",")</f>
        <v>"jdblagejdbkmjfbnppiggfeiglefmpfk",</v>
      </c>
    </row>
    <row r="6061">
      <c r="A6061" s="4" t="s">
        <v>25240</v>
      </c>
      <c r="B6061" s="4" t="s">
        <v>12060</v>
      </c>
      <c r="C6061" s="16" t="str">
        <f>IFERROR(__xludf.DUMMYFUNCTION(""""""""" &amp; REGEXEXTRACT(B6061, ""/detail/([^/?]+)"") &amp; """""","""),"""jdhkkkapgdggbnglgficlikfkcbfebec"",")</f>
        <v>"jdhkkkapgdggbnglgficlikfkcbfebec",</v>
      </c>
    </row>
    <row r="6062">
      <c r="A6062" s="4" t="s">
        <v>25241</v>
      </c>
      <c r="B6062" s="4" t="s">
        <v>12062</v>
      </c>
      <c r="C6062" s="16" t="str">
        <f>IFERROR(__xludf.DUMMYFUNCTION(""""""""" &amp; REGEXEXTRACT(B6062, ""/detail/([^/?]+)"") &amp; """""","""),"""jdiikkhlhlgndjllhoinidnkbgkjfepe"",")</f>
        <v>"jdiikkhlhlgndjllhoinidnkbgkjfepe",</v>
      </c>
    </row>
    <row r="6063">
      <c r="A6063" s="4" t="s">
        <v>25242</v>
      </c>
      <c r="B6063" s="4" t="s">
        <v>12064</v>
      </c>
      <c r="C6063" s="16" t="str">
        <f>IFERROR(__xludf.DUMMYFUNCTION(""""""""" &amp; REGEXEXTRACT(B6063, ""/detail/([^/?]+)"") &amp; """""","""),"""jdkfbkogojpmdmpnkgjcgpngkkmhdfem"",")</f>
        <v>"jdkfbkogojpmdmpnkgjcgpngkkmhdfem",</v>
      </c>
    </row>
    <row r="6064">
      <c r="A6064" s="4" t="s">
        <v>25243</v>
      </c>
      <c r="B6064" s="4" t="s">
        <v>12066</v>
      </c>
      <c r="C6064" s="16" t="str">
        <f>IFERROR(__xludf.DUMMYFUNCTION(""""""""" &amp; REGEXEXTRACT(B6064, ""/detail/([^/?]+)"") &amp; """""","""),"""jebjmpoblhckkhjpegbcgpbhdpalbpih"",")</f>
        <v>"jebjmpoblhckkhjpegbcgpbhdpalbpih",</v>
      </c>
    </row>
    <row r="6065">
      <c r="A6065" s="4" t="s">
        <v>25244</v>
      </c>
      <c r="B6065" s="4" t="s">
        <v>12068</v>
      </c>
      <c r="C6065" s="16" t="str">
        <f>IFERROR(__xludf.DUMMYFUNCTION(""""""""" &amp; REGEXEXTRACT(B6065, ""/detail/([^/?]+)"") &amp; """""","""),"""jeccccjfpjoheejopfjmhcbkdeiohfgg"",")</f>
        <v>"jeccccjfpjoheejopfjmhcbkdeiohfgg",</v>
      </c>
    </row>
    <row r="6066">
      <c r="A6066" s="4" t="s">
        <v>25245</v>
      </c>
      <c r="B6066" s="4" t="s">
        <v>12070</v>
      </c>
      <c r="C6066" s="16" t="str">
        <f>IFERROR(__xludf.DUMMYFUNCTION(""""""""" &amp; REGEXEXTRACT(B6066, ""/detail/([^/?]+)"") &amp; """""","""),"""jecjgcceeafhbkoemdmeocbdphhacbfi"",")</f>
        <v>"jecjgcceeafhbkoemdmeocbdphhacbfi",</v>
      </c>
    </row>
    <row r="6067">
      <c r="A6067" s="4" t="s">
        <v>25246</v>
      </c>
      <c r="B6067" s="4" t="s">
        <v>12072</v>
      </c>
      <c r="C6067" s="16" t="str">
        <f>IFERROR(__xludf.DUMMYFUNCTION(""""""""" &amp; REGEXEXTRACT(B6067, ""/detail/([^/?]+)"") &amp; """""","""),"""jedmfdadjflnlakpidicccpibkdfpeap"",")</f>
        <v>"jedmfdadjflnlakpidicccpibkdfpeap",</v>
      </c>
    </row>
    <row r="6068">
      <c r="A6068" s="4" t="s">
        <v>25247</v>
      </c>
      <c r="B6068" s="4" t="s">
        <v>12074</v>
      </c>
      <c r="C6068" s="16" t="str">
        <f>IFERROR(__xludf.DUMMYFUNCTION(""""""""" &amp; REGEXEXTRACT(B6068, ""/detail/([^/?]+)"") &amp; """""","""),"""jeeilfacglnffgflhgmciaegglekjlod"",")</f>
        <v>"jeeilfacglnffgflhgmciaegglekjlod",</v>
      </c>
    </row>
    <row r="6069">
      <c r="A6069" s="4" t="s">
        <v>25248</v>
      </c>
      <c r="B6069" s="4" t="s">
        <v>12076</v>
      </c>
      <c r="C6069" s="16" t="str">
        <f>IFERROR(__xludf.DUMMYFUNCTION(""""""""" &amp; REGEXEXTRACT(B6069, ""/detail/([^/?]+)"") &amp; """""","""),"""jefpknpgklhhhnagffflpaffceilmohg"",")</f>
        <v>"jefpknpgklhhhnagffflpaffceilmohg",</v>
      </c>
    </row>
    <row r="6070">
      <c r="A6070" s="4" t="s">
        <v>25249</v>
      </c>
      <c r="B6070" s="4" t="s">
        <v>12078</v>
      </c>
      <c r="C6070" s="16" t="str">
        <f>IFERROR(__xludf.DUMMYFUNCTION(""""""""" &amp; REGEXEXTRACT(B6070, ""/detail/([^/?]+)"") &amp; """""","""),"""jellomkphijifcoeoefbniimkdehcjfl"",")</f>
        <v>"jellomkphijifcoeoefbniimkdehcjfl",</v>
      </c>
    </row>
    <row r="6071">
      <c r="A6071" s="4" t="s">
        <v>25250</v>
      </c>
      <c r="B6071" s="4" t="s">
        <v>12080</v>
      </c>
      <c r="C6071" s="16" t="str">
        <f>IFERROR(__xludf.DUMMYFUNCTION(""""""""" &amp; REGEXEXTRACT(B6071, ""/detail/([^/?]+)"") &amp; """""","""),"""jfbodkjgjenlagkjepebmpnhekihgplo"",")</f>
        <v>"jfbodkjgjenlagkjepebmpnhekihgplo",</v>
      </c>
    </row>
    <row r="6072">
      <c r="A6072" s="4" t="s">
        <v>25251</v>
      </c>
      <c r="B6072" s="4" t="s">
        <v>12082</v>
      </c>
      <c r="C6072" s="16" t="str">
        <f>IFERROR(__xludf.DUMMYFUNCTION(""""""""" &amp; REGEXEXTRACT(B6072, ""/detail/([^/?]+)"") &amp; """""","""),"""jfempmidaeihapfgebideoelfjgnegab"",")</f>
        <v>"jfempmidaeihapfgebideoelfjgnegab",</v>
      </c>
    </row>
    <row r="6073">
      <c r="A6073" s="4" t="s">
        <v>25252</v>
      </c>
      <c r="B6073" s="4" t="s">
        <v>12084</v>
      </c>
      <c r="C6073" s="16" t="str">
        <f>IFERROR(__xludf.DUMMYFUNCTION(""""""""" &amp; REGEXEXTRACT(B6073, ""/detail/([^/?]+)"") &amp; """""","""),"""jffahhmaajjplmpgfpeihhifecgcocmk"",")</f>
        <v>"jffahhmaajjplmpgfpeihhifecgcocmk",</v>
      </c>
    </row>
    <row r="6074">
      <c r="A6074" s="4" t="s">
        <v>25253</v>
      </c>
      <c r="B6074" s="4" t="s">
        <v>12086</v>
      </c>
      <c r="C6074" s="16" t="str">
        <f>IFERROR(__xludf.DUMMYFUNCTION(""""""""" &amp; REGEXEXTRACT(B6074, ""/detail/([^/?]+)"") &amp; """""","""),"""jfiaocmgamojjagpllpljapgekgmkaje"",")</f>
        <v>"jfiaocmgamojjagpllpljapgekgmkaje",</v>
      </c>
    </row>
    <row r="6075">
      <c r="A6075" s="4" t="s">
        <v>25254</v>
      </c>
      <c r="B6075" s="4" t="s">
        <v>12088</v>
      </c>
      <c r="C6075" s="16" t="str">
        <f>IFERROR(__xludf.DUMMYFUNCTION(""""""""" &amp; REGEXEXTRACT(B6075, ""/detail/([^/?]+)"") &amp; """""","""),"""jfjbbakkeggpkjklfdiacnchjjmocoac"",")</f>
        <v>"jfjbbakkeggpkjklfdiacnchjjmocoac",</v>
      </c>
    </row>
    <row r="6076">
      <c r="A6076" s="4" t="s">
        <v>25255</v>
      </c>
      <c r="B6076" s="4" t="s">
        <v>12090</v>
      </c>
      <c r="C6076" s="16" t="str">
        <f>IFERROR(__xludf.DUMMYFUNCTION(""""""""" &amp; REGEXEXTRACT(B6076, ""/detail/([^/?]+)"") &amp; """""","""),"""jfjjlnififpkkkbbgdncaolfocgkdecm"",")</f>
        <v>"jfjjlnififpkkkbbgdncaolfocgkdecm",</v>
      </c>
    </row>
    <row r="6077">
      <c r="A6077" s="4" t="s">
        <v>25256</v>
      </c>
      <c r="B6077" s="4" t="s">
        <v>12092</v>
      </c>
      <c r="C6077" s="16" t="str">
        <f>IFERROR(__xludf.DUMMYFUNCTION(""""""""" &amp; REGEXEXTRACT(B6077, ""/detail/([^/?]+)"") &amp; """""","""),"""jfknaapblnppeflfamkegnnonlfgokhp"",")</f>
        <v>"jfknaapblnppeflfamkegnnonlfgokhp",</v>
      </c>
    </row>
    <row r="6078">
      <c r="A6078" s="4" t="s">
        <v>25257</v>
      </c>
      <c r="B6078" s="4" t="s">
        <v>12094</v>
      </c>
      <c r="C6078" s="16" t="str">
        <f>IFERROR(__xludf.DUMMYFUNCTION(""""""""" &amp; REGEXEXTRACT(B6078, ""/detail/([^/?]+)"") &amp; """""","""),"""jflpleoegnheglmefkpcjbmbolhiffdi"",")</f>
        <v>"jflpleoegnheglmefkpcjbmbolhiffdi",</v>
      </c>
    </row>
    <row r="6079">
      <c r="A6079" s="4" t="s">
        <v>25258</v>
      </c>
      <c r="B6079" s="4" t="s">
        <v>12096</v>
      </c>
      <c r="C6079" s="16" t="str">
        <f>IFERROR(__xludf.DUMMYFUNCTION(""""""""" &amp; REGEXEXTRACT(B6079, ""/detail/([^/?]+)"") &amp; """""","""),"""jgnfpjioblcgjidmekaikhkpkapfifhd"",")</f>
        <v>"jgnfpjioblcgjidmekaikhkpkapfifhd",</v>
      </c>
    </row>
    <row r="6080">
      <c r="A6080" s="4" t="s">
        <v>25259</v>
      </c>
      <c r="B6080" s="4" t="s">
        <v>12098</v>
      </c>
      <c r="C6080" s="16" t="str">
        <f>IFERROR(__xludf.DUMMYFUNCTION(""""""""" &amp; REGEXEXTRACT(B6080, ""/detail/([^/?]+)"") &amp; """""","""),"""jgoilgghdiafcdpgaddhfnlnhjhiejjl"",")</f>
        <v>"jgoilgghdiafcdpgaddhfnlnhjhiejjl",</v>
      </c>
    </row>
    <row r="6081">
      <c r="A6081" s="4" t="s">
        <v>25260</v>
      </c>
      <c r="B6081" s="4" t="s">
        <v>12100</v>
      </c>
      <c r="C6081" s="16" t="str">
        <f>IFERROR(__xludf.DUMMYFUNCTION(""""""""" &amp; REGEXEXTRACT(B6081, ""/detail/([^/?]+)"") &amp; """""","""),"""jgpfopdbickmplomaophdeafcoenhpep"",")</f>
        <v>"jgpfopdbickmplomaophdeafcoenhpep",</v>
      </c>
    </row>
    <row r="6082">
      <c r="A6082" s="4" t="s">
        <v>25261</v>
      </c>
      <c r="B6082" s="4" t="s">
        <v>12102</v>
      </c>
      <c r="C6082" s="16" t="str">
        <f>IFERROR(__xludf.DUMMYFUNCTION(""""""""" &amp; REGEXEXTRACT(B6082, ""/detail/([^/?]+)"") &amp; """""","""),"""jgplakhhiofpgplgbjgohnjfnkiafncd"",")</f>
        <v>"jgplakhhiofpgplgbjgohnjfnkiafncd",</v>
      </c>
    </row>
    <row r="6083">
      <c r="A6083" s="4" t="s">
        <v>25262</v>
      </c>
      <c r="B6083" s="4" t="s">
        <v>12104</v>
      </c>
      <c r="C6083" s="16" t="str">
        <f>IFERROR(__xludf.DUMMYFUNCTION(""""""""" &amp; REGEXEXTRACT(B6083, ""/detail/([^/?]+)"") &amp; """""","""),"""jhbapkbempcealhabaeicidlgbmhafmk"",")</f>
        <v>"jhbapkbempcealhabaeicidlgbmhafmk",</v>
      </c>
    </row>
    <row r="6084">
      <c r="A6084" s="4" t="s">
        <v>25263</v>
      </c>
      <c r="B6084" s="4" t="s">
        <v>12106</v>
      </c>
      <c r="C6084" s="16" t="str">
        <f>IFERROR(__xludf.DUMMYFUNCTION(""""""""" &amp; REGEXEXTRACT(B6084, ""/detail/([^/?]+)"") &amp; """""","""),"""jhblbpejbfgogmhhkaeeicanbgaaehid"",")</f>
        <v>"jhblbpejbfgogmhhkaeeicanbgaaehid",</v>
      </c>
    </row>
    <row r="6085">
      <c r="A6085" s="4" t="s">
        <v>25264</v>
      </c>
      <c r="B6085" s="4" t="s">
        <v>12108</v>
      </c>
      <c r="C6085" s="16" t="str">
        <f>IFERROR(__xludf.DUMMYFUNCTION(""""""""" &amp; REGEXEXTRACT(B6085, ""/detail/([^/?]+)"") &amp; """""","""),"""jhdcbkpphfaclidacgbnnaphoilhgipm"",")</f>
        <v>"jhdcbkpphfaclidacgbnnaphoilhgipm",</v>
      </c>
    </row>
    <row r="6086">
      <c r="A6086" s="4" t="s">
        <v>25265</v>
      </c>
      <c r="B6086" s="4" t="s">
        <v>12110</v>
      </c>
      <c r="C6086" s="16" t="str">
        <f>IFERROR(__xludf.DUMMYFUNCTION(""""""""" &amp; REGEXEXTRACT(B6086, ""/detail/([^/?]+)"") &amp; """""","""),"""jhdmlgkbngkbonnfkknnmeohkomcnagk"",")</f>
        <v>"jhdmlgkbngkbonnfkknnmeohkomcnagk",</v>
      </c>
    </row>
    <row r="6087">
      <c r="A6087" s="4" t="s">
        <v>25266</v>
      </c>
      <c r="B6087" s="4" t="s">
        <v>12112</v>
      </c>
      <c r="C6087" s="16" t="str">
        <f>IFERROR(__xludf.DUMMYFUNCTION(""""""""" &amp; REGEXEXTRACT(B6087, ""/detail/([^/?]+)"") &amp; """""","""),"""jhfblapoehcfajokolimghdfmeeakbee"",")</f>
        <v>"jhfblapoehcfajokolimghdfmeeakbee",</v>
      </c>
    </row>
    <row r="6088">
      <c r="A6088" s="4" t="s">
        <v>25267</v>
      </c>
      <c r="B6088" s="4" t="s">
        <v>12114</v>
      </c>
      <c r="C6088" s="16" t="str">
        <f>IFERROR(__xludf.DUMMYFUNCTION(""""""""" &amp; REGEXEXTRACT(B6088, ""/detail/([^/?]+)"") &amp; """""","""),"""jhgnbkkipaallpehbohjmkbjofjdmeid"",")</f>
        <v>"jhgnbkkipaallpehbohjmkbjofjdmeid",</v>
      </c>
    </row>
    <row r="6089">
      <c r="A6089" s="4" t="s">
        <v>25268</v>
      </c>
      <c r="B6089" s="4" t="s">
        <v>12116</v>
      </c>
      <c r="C6089" s="16" t="str">
        <f>IFERROR(__xludf.DUMMYFUNCTION(""""""""" &amp; REGEXEXTRACT(B6089, ""/detail/([^/?]+)"") &amp; """""","""),"""jhnjkibnbggodedbajpnkdehambhddjk"",")</f>
        <v>"jhnjkibnbggodedbajpnkdehambhddjk",</v>
      </c>
    </row>
    <row r="6090">
      <c r="A6090" s="4" t="s">
        <v>25269</v>
      </c>
      <c r="B6090" s="4" t="s">
        <v>12118</v>
      </c>
      <c r="C6090" s="16" t="str">
        <f>IFERROR(__xludf.DUMMYFUNCTION(""""""""" &amp; REGEXEXTRACT(B6090, ""/detail/([^/?]+)"") &amp; """""","""),"""jhoineohanallgjdgfeebmoejgjmlibk"",")</f>
        <v>"jhoineohanallgjdgfeebmoejgjmlibk",</v>
      </c>
    </row>
    <row r="6091">
      <c r="A6091" s="4" t="s">
        <v>25270</v>
      </c>
      <c r="B6091" s="4" t="s">
        <v>12120</v>
      </c>
      <c r="C6091" s="16" t="str">
        <f>IFERROR(__xludf.DUMMYFUNCTION(""""""""" &amp; REGEXEXTRACT(B6091, ""/detail/([^/?]+)"") &amp; """""","""),"""jhojofcfcoaehegceklibimbbjejdjfo"",")</f>
        <v>"jhojofcfcoaehegceklibimbbjejdjfo",</v>
      </c>
    </row>
    <row r="6092">
      <c r="A6092" s="4" t="s">
        <v>25271</v>
      </c>
      <c r="B6092" s="4" t="s">
        <v>12122</v>
      </c>
      <c r="C6092" s="16" t="str">
        <f>IFERROR(__xludf.DUMMYFUNCTION(""""""""" &amp; REGEXEXTRACT(B6092, ""/detail/([^/?]+)"") &amp; """""","""),"""jibccbkkepidahndjomdfbmbnfappopf"",")</f>
        <v>"jibccbkkepidahndjomdfbmbnfappopf",</v>
      </c>
    </row>
    <row r="6093">
      <c r="A6093" s="4" t="s">
        <v>25272</v>
      </c>
      <c r="B6093" s="4" t="s">
        <v>12124</v>
      </c>
      <c r="C6093" s="16" t="str">
        <f>IFERROR(__xludf.DUMMYFUNCTION(""""""""" &amp; REGEXEXTRACT(B6093, ""/detail/([^/?]+)"") &amp; """""","""),"""jibfakcjhhekoolfogeejilflpcnbnel"",")</f>
        <v>"jibfakcjhhekoolfogeejilflpcnbnel",</v>
      </c>
    </row>
    <row r="6094">
      <c r="A6094" s="4" t="s">
        <v>25273</v>
      </c>
      <c r="B6094" s="4" t="s">
        <v>12126</v>
      </c>
      <c r="C6094" s="16" t="str">
        <f>IFERROR(__xludf.DUMMYFUNCTION(""""""""" &amp; REGEXEXTRACT(B6094, ""/detail/([^/?]+)"") &amp; """""","""),"""jicglelpanknddlcpkflelfbaciblgdk"",")</f>
        <v>"jicglelpanknddlcpkflelfbaciblgdk",</v>
      </c>
    </row>
    <row r="6095">
      <c r="A6095" s="4" t="s">
        <v>25274</v>
      </c>
      <c r="B6095" s="4" t="s">
        <v>12128</v>
      </c>
      <c r="C6095" s="16" t="str">
        <f>IFERROR(__xludf.DUMMYFUNCTION(""""""""" &amp; REGEXEXTRACT(B6095, ""/detail/([^/?]+)"") &amp; """""","""),"""jicncdodkpdlndbppohjljcggoemckjp"",")</f>
        <v>"jicncdodkpdlndbppohjljcggoemckjp",</v>
      </c>
    </row>
    <row r="6096">
      <c r="A6096" s="4" t="s">
        <v>25275</v>
      </c>
      <c r="B6096" s="4" t="s">
        <v>12130</v>
      </c>
      <c r="C6096" s="16" t="str">
        <f>IFERROR(__xludf.DUMMYFUNCTION(""""""""" &amp; REGEXEXTRACT(B6096, ""/detail/([^/?]+)"") &amp; """""","""),"""jidjocdchokabfoljbhpdiejiddilnop"",")</f>
        <v>"jidjocdchokabfoljbhpdiejiddilnop",</v>
      </c>
    </row>
    <row r="6097">
      <c r="A6097" s="4" t="s">
        <v>25276</v>
      </c>
      <c r="B6097" s="4" t="s">
        <v>12132</v>
      </c>
      <c r="C6097" s="16" t="str">
        <f>IFERROR(__xludf.DUMMYFUNCTION(""""""""" &amp; REGEXEXTRACT(B6097, ""/detail/([^/?]+)"") &amp; """""","""),"""jieipmflhhlbimogheoejpchlebnpfie"",")</f>
        <v>"jieipmflhhlbimogheoejpchlebnpfie",</v>
      </c>
    </row>
    <row r="6098">
      <c r="A6098" s="4" t="s">
        <v>25277</v>
      </c>
      <c r="B6098" s="4" t="s">
        <v>12134</v>
      </c>
      <c r="C6098" s="16" t="str">
        <f>IFERROR(__xludf.DUMMYFUNCTION(""""""""" &amp; REGEXEXTRACT(B6098, ""/detail/([^/?]+)"") &amp; """""","""),"""jieoklljhhfecfdhgobapbbjlpkdlmli"",")</f>
        <v>"jieoklljhhfecfdhgobapbbjlpkdlmli",</v>
      </c>
    </row>
    <row r="6099">
      <c r="A6099" s="4" t="s">
        <v>25278</v>
      </c>
      <c r="B6099" s="4" t="s">
        <v>12136</v>
      </c>
      <c r="C6099" s="16" t="str">
        <f>IFERROR(__xludf.DUMMYFUNCTION(""""""""" &amp; REGEXEXTRACT(B6099, ""/detail/([^/?]+)"") &amp; """""","""),"""jifnokgbglfegkimjdociknefoaapfpe"",")</f>
        <v>"jifnokgbglfegkimjdociknefoaapfpe",</v>
      </c>
    </row>
    <row r="6100">
      <c r="A6100" s="4" t="s">
        <v>25279</v>
      </c>
      <c r="B6100" s="4" t="s">
        <v>12138</v>
      </c>
      <c r="C6100" s="16" t="str">
        <f>IFERROR(__xludf.DUMMYFUNCTION(""""""""" &amp; REGEXEXTRACT(B6100, ""/detail/([^/?]+)"") &amp; """""","""),"""jinpkmfakkbmiimemppkhgjeogbdbnid"",")</f>
        <v>"jinpkmfakkbmiimemppkhgjeogbdbnid",</v>
      </c>
    </row>
    <row r="6101">
      <c r="A6101" s="4" t="s">
        <v>25280</v>
      </c>
      <c r="B6101" s="4" t="s">
        <v>12140</v>
      </c>
      <c r="C6101" s="16" t="str">
        <f>IFERROR(__xludf.DUMMYFUNCTION(""""""""" &amp; REGEXEXTRACT(B6101, ""/detail/([^/?]+)"") &amp; """""","""),"""jioeflccmbeaeelfklklmbdjcbdeccnh"",")</f>
        <v>"jioeflccmbeaeelfklklmbdjcbdeccnh",</v>
      </c>
    </row>
    <row r="6102">
      <c r="A6102" s="4" t="s">
        <v>25281</v>
      </c>
      <c r="B6102" s="4" t="s">
        <v>12142</v>
      </c>
      <c r="C6102" s="16" t="str">
        <f>IFERROR(__xludf.DUMMYFUNCTION(""""""""" &amp; REGEXEXTRACT(B6102, ""/detail/([^/?]+)"") &amp; """""","""),"""jiopicfpmajlonjbckpdejadefhgmakc"",")</f>
        <v>"jiopicfpmajlonjbckpdejadefhgmakc",</v>
      </c>
    </row>
    <row r="6103">
      <c r="A6103" s="4" t="s">
        <v>25282</v>
      </c>
      <c r="B6103" s="4" t="s">
        <v>12144</v>
      </c>
      <c r="C6103" s="16" t="str">
        <f>IFERROR(__xludf.DUMMYFUNCTION(""""""""" &amp; REGEXEXTRACT(B6103, ""/detail/([^/?]+)"") &amp; """""","""),"""jjacckjcdoeapengmjdmkdehpbjgndhd"",")</f>
        <v>"jjacckjcdoeapengmjdmkdehpbjgndhd",</v>
      </c>
    </row>
    <row r="6104">
      <c r="A6104" s="4" t="s">
        <v>25283</v>
      </c>
      <c r="B6104" s="4" t="s">
        <v>12146</v>
      </c>
      <c r="C6104" s="16" t="str">
        <f>IFERROR(__xludf.DUMMYFUNCTION(""""""""" &amp; REGEXEXTRACT(B6104, ""/detail/([^/?]+)"") &amp; """""","""),"""jjaeodeafkbbimejiboehejbdgpebjcd"",")</f>
        <v>"jjaeodeafkbbimejiboehejbdgpebjcd",</v>
      </c>
    </row>
    <row r="6105">
      <c r="A6105" s="4" t="s">
        <v>25284</v>
      </c>
      <c r="B6105" s="4" t="s">
        <v>12148</v>
      </c>
      <c r="C6105" s="16" t="str">
        <f>IFERROR(__xludf.DUMMYFUNCTION(""""""""" &amp; REGEXEXTRACT(B6105, ""/detail/([^/?]+)"") &amp; """""","""),"""jjahknhonoemjpjjccbmljjmjggidpoa"",")</f>
        <v>"jjahknhonoemjpjjccbmljjmjggidpoa",</v>
      </c>
    </row>
    <row r="6106">
      <c r="A6106" s="4" t="s">
        <v>25285</v>
      </c>
      <c r="B6106" s="4" t="s">
        <v>12150</v>
      </c>
      <c r="C6106" s="16" t="str">
        <f>IFERROR(__xludf.DUMMYFUNCTION(""""""""" &amp; REGEXEXTRACT(B6106, ""/detail/([^/?]+)"") &amp; """""","""),"""jjbabalpgmamghijhepnkdimbpomefbo"",")</f>
        <v>"jjbabalpgmamghijhepnkdimbpomefbo",</v>
      </c>
    </row>
    <row r="6107">
      <c r="A6107" s="4" t="s">
        <v>25286</v>
      </c>
      <c r="B6107" s="4" t="s">
        <v>12152</v>
      </c>
      <c r="C6107" s="16" t="str">
        <f>IFERROR(__xludf.DUMMYFUNCTION(""""""""" &amp; REGEXEXTRACT(B6107, ""/detail/([^/?]+)"") &amp; """""","""),"""jjdjccppehnjdennppcnlnaadcdlffdf"",")</f>
        <v>"jjdjccppehnjdennppcnlnaadcdlffdf",</v>
      </c>
    </row>
    <row r="6108">
      <c r="A6108" s="4" t="s">
        <v>25287</v>
      </c>
      <c r="B6108" s="4" t="s">
        <v>12154</v>
      </c>
      <c r="C6108" s="16" t="str">
        <f>IFERROR(__xludf.DUMMYFUNCTION(""""""""" &amp; REGEXEXTRACT(B6108, ""/detail/([^/?]+)"") &amp; """""","""),"""jjealpfmifpaeoakfjbafddkhmkbnkmg"",")</f>
        <v>"jjealpfmifpaeoakfjbafddkhmkbnkmg",</v>
      </c>
    </row>
    <row r="6109">
      <c r="A6109" s="4" t="s">
        <v>25288</v>
      </c>
      <c r="B6109" s="4" t="s">
        <v>12156</v>
      </c>
      <c r="C6109" s="16" t="str">
        <f>IFERROR(__xludf.DUMMYFUNCTION(""""""""" &amp; REGEXEXTRACT(B6109, ""/detail/([^/?]+)"") &amp; """""","""),"""jjelffefampmaekfacjlhkacbnggbceg"",")</f>
        <v>"jjelffefampmaekfacjlhkacbnggbceg",</v>
      </c>
    </row>
    <row r="6110">
      <c r="A6110" s="4" t="s">
        <v>25289</v>
      </c>
      <c r="B6110" s="4" t="s">
        <v>12158</v>
      </c>
      <c r="C6110" s="16" t="str">
        <f>IFERROR(__xludf.DUMMYFUNCTION(""""""""" &amp; REGEXEXTRACT(B6110, ""/detail/([^/?]+)"") &amp; """""","""),"""jjepabgdfhnikhbpfkbaahaioeheigdc"",")</f>
        <v>"jjepabgdfhnikhbpfkbaahaioeheigdc",</v>
      </c>
    </row>
    <row r="6111">
      <c r="A6111" s="4" t="s">
        <v>25290</v>
      </c>
      <c r="B6111" s="4" t="s">
        <v>12160</v>
      </c>
      <c r="C6111" s="16" t="str">
        <f>IFERROR(__xludf.DUMMYFUNCTION(""""""""" &amp; REGEXEXTRACT(B6111, ""/detail/([^/?]+)"") &amp; """""","""),"""jjfgpjihgigboplilbcehdbacklfgjlp"",")</f>
        <v>"jjfgpjihgigboplilbcehdbacklfgjlp",</v>
      </c>
    </row>
    <row r="6112">
      <c r="A6112" s="4" t="s">
        <v>25291</v>
      </c>
      <c r="B6112" s="4" t="s">
        <v>12162</v>
      </c>
      <c r="C6112" s="16" t="str">
        <f>IFERROR(__xludf.DUMMYFUNCTION(""""""""" &amp; REGEXEXTRACT(B6112, ""/detail/([^/?]+)"") &amp; """""","""),"""jjjmjikebpnpehpgebjibjdkdkpmbcgn"",")</f>
        <v>"jjjmjikebpnpehpgebjibjdkdkpmbcgn",</v>
      </c>
    </row>
    <row r="6113">
      <c r="A6113" s="4" t="s">
        <v>25292</v>
      </c>
      <c r="B6113" s="4" t="s">
        <v>12164</v>
      </c>
      <c r="C6113" s="16" t="str">
        <f>IFERROR(__xludf.DUMMYFUNCTION(""""""""" &amp; REGEXEXTRACT(B6113, ""/detail/([^/?]+)"") &amp; """""","""),"""jjmdjpaemngddcgfgpbcijjcannbigoh"",")</f>
        <v>"jjmdjpaemngddcgfgpbcijjcannbigoh",</v>
      </c>
    </row>
    <row r="6114">
      <c r="A6114" s="4" t="s">
        <v>25293</v>
      </c>
      <c r="B6114" s="4" t="s">
        <v>12166</v>
      </c>
      <c r="C6114" s="16" t="str">
        <f>IFERROR(__xludf.DUMMYFUNCTION(""""""""" &amp; REGEXEXTRACT(B6114, ""/detail/([^/?]+)"") &amp; """""","""),"""jjmfhjhfkipdojpiohplpfoliolcemlp"",")</f>
        <v>"jjmfhjhfkipdojpiohplpfoliolcemlp",</v>
      </c>
    </row>
    <row r="6115">
      <c r="A6115" s="4" t="s">
        <v>25294</v>
      </c>
      <c r="B6115" s="4" t="s">
        <v>12168</v>
      </c>
      <c r="C6115" s="16" t="str">
        <f>IFERROR(__xludf.DUMMYFUNCTION(""""""""" &amp; REGEXEXTRACT(B6115, ""/detail/([^/?]+)"") &amp; """""","""),"""jkboihlnedihckbjohaeiollighbpddo"",")</f>
        <v>"jkboihlnedihckbjohaeiollighbpddo",</v>
      </c>
    </row>
    <row r="6116">
      <c r="A6116" s="4" t="s">
        <v>25295</v>
      </c>
      <c r="B6116" s="4" t="s">
        <v>12170</v>
      </c>
      <c r="C6116" s="16" t="str">
        <f>IFERROR(__xludf.DUMMYFUNCTION(""""""""" &amp; REGEXEXTRACT(B6116, ""/detail/([^/?]+)"") &amp; """""","""),"""jkccfahhcjiggkgakkinjdipljallmkf"",")</f>
        <v>"jkccfahhcjiggkgakkinjdipljallmkf",</v>
      </c>
    </row>
    <row r="6117">
      <c r="A6117" s="4" t="s">
        <v>25296</v>
      </c>
      <c r="B6117" s="4" t="s">
        <v>12172</v>
      </c>
      <c r="C6117" s="16" t="str">
        <f>IFERROR(__xludf.DUMMYFUNCTION(""""""""" &amp; REGEXEXTRACT(B6117, ""/detail/([^/?]+)"") &amp; """""","""),"""jkdhmahpbiogkhmkeiekiogogkbnkmln"",")</f>
        <v>"jkdhmahpbiogkhmkeiekiogogkbnkmln",</v>
      </c>
    </row>
    <row r="6118">
      <c r="A6118" s="4" t="s">
        <v>25297</v>
      </c>
      <c r="B6118" s="4" t="s">
        <v>12174</v>
      </c>
      <c r="C6118" s="16" t="str">
        <f>IFERROR(__xludf.DUMMYFUNCTION(""""""""" &amp; REGEXEXTRACT(B6118, ""/detail/([^/?]+)"") &amp; """""","""),"""jkfkkhnehbgnaenppohbjehflonfhefb"",")</f>
        <v>"jkfkkhnehbgnaenppohbjehflonfhefb",</v>
      </c>
    </row>
    <row r="6119">
      <c r="A6119" s="4" t="s">
        <v>25298</v>
      </c>
      <c r="B6119" s="4" t="s">
        <v>12176</v>
      </c>
      <c r="C6119" s="16" t="str">
        <f>IFERROR(__xludf.DUMMYFUNCTION(""""""""" &amp; REGEXEXTRACT(B6119, ""/detail/([^/?]+)"") &amp; """""","""),"""jkhcdncinkkdajmcgapnpnjegcgonmkb"",")</f>
        <v>"jkhcdncinkkdajmcgapnpnjegcgonmkb",</v>
      </c>
    </row>
    <row r="6120">
      <c r="A6120" s="4" t="s">
        <v>25299</v>
      </c>
      <c r="B6120" s="4" t="s">
        <v>12178</v>
      </c>
      <c r="C6120" s="16" t="str">
        <f>IFERROR(__xludf.DUMMYFUNCTION(""""""""" &amp; REGEXEXTRACT(B6120, ""/detail/([^/?]+)"") &amp; """""","""),"""jkkkccnaigkmkjljjldddhhjjfjbdiga"",")</f>
        <v>"jkkkccnaigkmkjljjldddhhjjfjbdiga",</v>
      </c>
    </row>
    <row r="6121">
      <c r="A6121" s="4" t="s">
        <v>25300</v>
      </c>
      <c r="B6121" s="4" t="s">
        <v>12180</v>
      </c>
      <c r="C6121" s="16" t="str">
        <f>IFERROR(__xludf.DUMMYFUNCTION(""""""""" &amp; REGEXEXTRACT(B6121, ""/detail/([^/?]+)"") &amp; """""","""),"""jkmnfhflkgcekodgohnkcmecndbghigp"",")</f>
        <v>"jkmnfhflkgcekodgohnkcmecndbghigp",</v>
      </c>
    </row>
    <row r="6122">
      <c r="A6122" s="4" t="s">
        <v>25301</v>
      </c>
      <c r="B6122" s="4" t="s">
        <v>12182</v>
      </c>
      <c r="C6122" s="16" t="str">
        <f>IFERROR(__xludf.DUMMYFUNCTION(""""""""" &amp; REGEXEXTRACT(B6122, ""/detail/([^/?]+)"") &amp; """""","""),"""jlbdldmegomhlplbfkinpkfffdhcpdmm"",")</f>
        <v>"jlbdldmegomhlplbfkinpkfffdhcpdmm",</v>
      </c>
    </row>
    <row r="6123">
      <c r="A6123" s="4" t="s">
        <v>25302</v>
      </c>
      <c r="B6123" s="4" t="s">
        <v>12184</v>
      </c>
      <c r="C6123" s="16" t="str">
        <f>IFERROR(__xludf.DUMMYFUNCTION(""""""""" &amp; REGEXEXTRACT(B6123, ""/detail/([^/?]+)"") &amp; """""","""),"""jldomlpgobfdlloikpngnjbdidonfjhj"",")</f>
        <v>"jldomlpgobfdlloikpngnjbdidonfjhj",</v>
      </c>
    </row>
    <row r="6124">
      <c r="A6124" s="4" t="s">
        <v>25303</v>
      </c>
      <c r="B6124" s="4" t="s">
        <v>12186</v>
      </c>
      <c r="C6124" s="16" t="str">
        <f>IFERROR(__xludf.DUMMYFUNCTION(""""""""" &amp; REGEXEXTRACT(B6124, ""/detail/([^/?]+)"") &amp; """""","""),"""jleaiaokbancbkmpebmgfafnodjfhngd"",")</f>
        <v>"jleaiaokbancbkmpebmgfafnodjfhngd",</v>
      </c>
    </row>
    <row r="6125">
      <c r="A6125" s="4" t="s">
        <v>25304</v>
      </c>
      <c r="B6125" s="4" t="s">
        <v>12188</v>
      </c>
      <c r="C6125" s="16" t="str">
        <f>IFERROR(__xludf.DUMMYFUNCTION(""""""""" &amp; REGEXEXTRACT(B6125, ""/detail/([^/?]+)"") &amp; """""","""),"""jlhijknhcoghgfkokndpffmfmoebficg"",")</f>
        <v>"jlhijknhcoghgfkokndpffmfmoebficg",</v>
      </c>
    </row>
    <row r="6126">
      <c r="A6126" s="4" t="s">
        <v>25305</v>
      </c>
      <c r="B6126" s="4" t="s">
        <v>12190</v>
      </c>
      <c r="C6126" s="16" t="str">
        <f>IFERROR(__xludf.DUMMYFUNCTION(""""""""" &amp; REGEXEXTRACT(B6126, ""/detail/([^/?]+)"") &amp; """""","""),"""jlkgkebpphmaiemciejnmgccejccnpha"",")</f>
        <v>"jlkgkebpphmaiemciejnmgccejccnpha",</v>
      </c>
    </row>
    <row r="6127">
      <c r="A6127" s="4" t="s">
        <v>25306</v>
      </c>
      <c r="B6127" s="4" t="s">
        <v>12192</v>
      </c>
      <c r="C6127" s="16" t="str">
        <f>IFERROR(__xludf.DUMMYFUNCTION(""""""""" &amp; REGEXEXTRACT(B6127, ""/detail/([^/?]+)"") &amp; """""","""),"""jlmdkcaiejonohbmkgickmkgbpceokmn"",")</f>
        <v>"jlmdkcaiejonohbmkgickmkgbpceokmn",</v>
      </c>
    </row>
    <row r="6128">
      <c r="A6128" s="4" t="s">
        <v>25307</v>
      </c>
      <c r="B6128" s="4" t="s">
        <v>12194</v>
      </c>
      <c r="C6128" s="16" t="str">
        <f>IFERROR(__xludf.DUMMYFUNCTION(""""""""" &amp; REGEXEXTRACT(B6128, ""/detail/([^/?]+)"") &amp; """""","""),"""jlphgahloknbjaldldejcjmmknhgpfpm"",")</f>
        <v>"jlphgahloknbjaldldejcjmmknhgpfpm",</v>
      </c>
    </row>
    <row r="6129">
      <c r="A6129" s="4" t="s">
        <v>25308</v>
      </c>
      <c r="B6129" s="4" t="s">
        <v>12196</v>
      </c>
      <c r="C6129" s="16" t="str">
        <f>IFERROR(__xludf.DUMMYFUNCTION(""""""""" &amp; REGEXEXTRACT(B6129, ""/detail/([^/?]+)"") &amp; """""","""),"""jlpncnjcpiellaedjhhclogeppnophbo"",")</f>
        <v>"jlpncnjcpiellaedjhhclogeppnophbo",</v>
      </c>
    </row>
    <row r="6130">
      <c r="A6130" s="4" t="s">
        <v>25309</v>
      </c>
      <c r="B6130" s="4" t="s">
        <v>12198</v>
      </c>
      <c r="C6130" s="16" t="str">
        <f>IFERROR(__xludf.DUMMYFUNCTION(""""""""" &amp; REGEXEXTRACT(B6130, ""/detail/([^/?]+)"") &amp; """""","""),"""jmadehfbknkdlbhiajnmpodahfloajgk"",")</f>
        <v>"jmadehfbknkdlbhiajnmpodahfloajgk",</v>
      </c>
    </row>
    <row r="6131">
      <c r="A6131" s="4" t="s">
        <v>25310</v>
      </c>
      <c r="B6131" s="4" t="s">
        <v>12200</v>
      </c>
      <c r="C6131" s="16" t="str">
        <f>IFERROR(__xludf.DUMMYFUNCTION(""""""""" &amp; REGEXEXTRACT(B6131, ""/detail/([^/?]+)"") &amp; """""","""),"""jmakiemlndlphoffgdjmhlghbcnionmc"",")</f>
        <v>"jmakiemlndlphoffgdjmhlghbcnionmc",</v>
      </c>
    </row>
    <row r="6132">
      <c r="A6132" s="4" t="s">
        <v>25311</v>
      </c>
      <c r="B6132" s="4" t="s">
        <v>12202</v>
      </c>
      <c r="C6132" s="16" t="str">
        <f>IFERROR(__xludf.DUMMYFUNCTION(""""""""" &amp; REGEXEXTRACT(B6132, ""/detail/([^/?]+)"") &amp; """""","""),"""jmfopcggkdciofgckgnhcoacjjipopjc"",")</f>
        <v>"jmfopcggkdciofgckgnhcoacjjipopjc",</v>
      </c>
    </row>
    <row r="6133">
      <c r="A6133" s="4" t="s">
        <v>25312</v>
      </c>
      <c r="B6133" s="4" t="s">
        <v>12204</v>
      </c>
      <c r="C6133" s="16" t="str">
        <f>IFERROR(__xludf.DUMMYFUNCTION(""""""""" &amp; REGEXEXTRACT(B6133, ""/detail/([^/?]+)"") &amp; """""","""),"""jmibaelpbeoflbmehlelmhgfpongfnke"",")</f>
        <v>"jmibaelpbeoflbmehlelmhgfpongfnke",</v>
      </c>
    </row>
    <row r="6134">
      <c r="A6134" s="4" t="s">
        <v>25313</v>
      </c>
      <c r="B6134" s="4" t="s">
        <v>12206</v>
      </c>
      <c r="C6134" s="16" t="str">
        <f>IFERROR(__xludf.DUMMYFUNCTION(""""""""" &amp; REGEXEXTRACT(B6134, ""/detail/([^/?]+)"") &amp; """""","""),"""jmpaeglcabhpohgbfcehemlgophfjikk"",")</f>
        <v>"jmpaeglcabhpohgbfcehemlgophfjikk",</v>
      </c>
    </row>
    <row r="6135">
      <c r="A6135" s="4" t="s">
        <v>25314</v>
      </c>
      <c r="B6135" s="4" t="s">
        <v>12208</v>
      </c>
      <c r="C6135" s="16" t="str">
        <f>IFERROR(__xludf.DUMMYFUNCTION(""""""""" &amp; REGEXEXTRACT(B6135, ""/detail/([^/?]+)"") &amp; """""","""),"""jncleaahefkafljcnbdcfafidhhgkcjc"",")</f>
        <v>"jncleaahefkafljcnbdcfafidhhgkcjc",</v>
      </c>
    </row>
    <row r="6136">
      <c r="A6136" s="4" t="s">
        <v>25315</v>
      </c>
      <c r="B6136" s="4" t="s">
        <v>12210</v>
      </c>
      <c r="C6136" s="16" t="str">
        <f>IFERROR(__xludf.DUMMYFUNCTION(""""""""" &amp; REGEXEXTRACT(B6136, ""/detail/([^/?]+)"") &amp; """""","""),"""jngjmljecflgeoiagcladdhcpalcdfpm"",")</f>
        <v>"jngjmljecflgeoiagcladdhcpalcdfpm",</v>
      </c>
    </row>
    <row r="6137">
      <c r="A6137" s="4" t="s">
        <v>25316</v>
      </c>
      <c r="B6137" s="4" t="s">
        <v>12212</v>
      </c>
      <c r="C6137" s="16" t="str">
        <f>IFERROR(__xludf.DUMMYFUNCTION(""""""""" &amp; REGEXEXTRACT(B6137, ""/detail/([^/?]+)"") &amp; """""","""),"""jngmmiaolbliepfphdnelgfcclpnkoja"",")</f>
        <v>"jngmmiaolbliepfphdnelgfcclpnkoja",</v>
      </c>
    </row>
    <row r="6138">
      <c r="A6138" s="4" t="s">
        <v>25317</v>
      </c>
      <c r="B6138" s="4" t="s">
        <v>12214</v>
      </c>
      <c r="C6138" s="16" t="str">
        <f>IFERROR(__xludf.DUMMYFUNCTION(""""""""" &amp; REGEXEXTRACT(B6138, ""/detail/([^/?]+)"") &amp; """""","""),"""jnnfgjmkpfdbkibfgemojefdmjalnaal"",")</f>
        <v>"jnnfgjmkpfdbkibfgemojefdmjalnaal",</v>
      </c>
    </row>
    <row r="6139">
      <c r="A6139" s="4" t="s">
        <v>25318</v>
      </c>
      <c r="B6139" s="4" t="s">
        <v>12216</v>
      </c>
      <c r="C6139" s="16" t="str">
        <f>IFERROR(__xludf.DUMMYFUNCTION(""""""""" &amp; REGEXEXTRACT(B6139, ""/detail/([^/?]+)"") &amp; """""","""),"""joahjeghhofndcnokdadmgjnoleckonf"",")</f>
        <v>"joahjeghhofndcnokdadmgjnoleckonf",</v>
      </c>
    </row>
    <row r="6140">
      <c r="A6140" s="4" t="s">
        <v>25319</v>
      </c>
      <c r="B6140" s="4" t="s">
        <v>12217</v>
      </c>
      <c r="C6140" s="16" t="str">
        <f>IFERROR(__xludf.DUMMYFUNCTION(""""""""" &amp; REGEXEXTRACT(B6140, ""/detail/([^/?]+)"") &amp; """""","""),"""jofcbndmnngbfjhflkaaaiobdjcpbpki"",")</f>
        <v>"jofcbndmnngbfjhflkaaaiobdjcpbpki",</v>
      </c>
    </row>
    <row r="6141">
      <c r="A6141" s="4" t="s">
        <v>25320</v>
      </c>
      <c r="B6141" s="4" t="s">
        <v>12219</v>
      </c>
      <c r="C6141" s="16" t="str">
        <f>IFERROR(__xludf.DUMMYFUNCTION(""""""""" &amp; REGEXEXTRACT(B6141, ""/detail/([^/?]+)"") &amp; """""","""),"""jofikieipejiceaccabdhlbedbfhogkm"",")</f>
        <v>"jofikieipejiceaccabdhlbedbfhogkm",</v>
      </c>
    </row>
    <row r="6142">
      <c r="A6142" s="4" t="s">
        <v>25321</v>
      </c>
      <c r="B6142" s="4" t="s">
        <v>12221</v>
      </c>
      <c r="C6142" s="16" t="str">
        <f>IFERROR(__xludf.DUMMYFUNCTION(""""""""" &amp; REGEXEXTRACT(B6142, ""/detail/([^/?]+)"") &amp; """""","""),"""jofipiopohkiomefophlddhgflnmjclo"",")</f>
        <v>"jofipiopohkiomefophlddhgflnmjclo",</v>
      </c>
    </row>
    <row r="6143">
      <c r="A6143" s="4" t="s">
        <v>25322</v>
      </c>
      <c r="B6143" s="4" t="s">
        <v>12222</v>
      </c>
      <c r="C6143" s="16" t="str">
        <f>IFERROR(__xludf.DUMMYFUNCTION(""""""""" &amp; REGEXEXTRACT(B6143, ""/detail/([^/?]+)"") &amp; """""","""),"""jogajkcgclkfedbhdcopmpmeeophkkji"",")</f>
        <v>"jogajkcgclkfedbhdcopmpmeeophkkji",</v>
      </c>
    </row>
    <row r="6144">
      <c r="A6144" s="4" t="s">
        <v>25323</v>
      </c>
      <c r="B6144" s="4" t="s">
        <v>12224</v>
      </c>
      <c r="C6144" s="16" t="str">
        <f>IFERROR(__xludf.DUMMYFUNCTION(""""""""" &amp; REGEXEXTRACT(B6144, ""/detail/([^/?]+)"") &amp; """""","""),"""jompciojchdhmgenaegbgnlghlcmmpok"",")</f>
        <v>"jompciojchdhmgenaegbgnlghlcmmpok",</v>
      </c>
    </row>
    <row r="6145">
      <c r="A6145" s="4" t="s">
        <v>25324</v>
      </c>
      <c r="B6145" s="4" t="s">
        <v>12226</v>
      </c>
      <c r="C6145" s="16" t="str">
        <f>IFERROR(__xludf.DUMMYFUNCTION(""""""""" &amp; REGEXEXTRACT(B6145, ""/detail/([^/?]+)"") &amp; """""","""),"""jopdhoinfcaefobmlekemdaikoaaojln"",")</f>
        <v>"jopdhoinfcaefobmlekemdaikoaaojln",</v>
      </c>
    </row>
    <row r="6146">
      <c r="A6146" s="4" t="s">
        <v>25325</v>
      </c>
      <c r="B6146" s="4" t="s">
        <v>12228</v>
      </c>
      <c r="C6146" s="16" t="str">
        <f>IFERROR(__xludf.DUMMYFUNCTION(""""""""" &amp; REGEXEXTRACT(B6146, ""/detail/([^/?]+)"") &amp; """""","""),"""jpbbdgndcngomphbmplabjginoihkdph"",")</f>
        <v>"jpbbdgndcngomphbmplabjginoihkdph",</v>
      </c>
    </row>
    <row r="6147">
      <c r="A6147" s="10" t="s">
        <v>25326</v>
      </c>
      <c r="B6147" s="4" t="s">
        <v>12230</v>
      </c>
      <c r="C6147" s="16" t="str">
        <f>IFERROR(__xludf.DUMMYFUNCTION(""""""""" &amp; REGEXEXTRACT(B6147, ""/detail/([^/?]+)"") &amp; """""","""),"""jpeknkphnajdkmmliodephcdklgjlhli"",")</f>
        <v>"jpeknkphnajdkmmliodephcdklgjlhli",</v>
      </c>
    </row>
    <row r="6148">
      <c r="A6148" s="4" t="s">
        <v>25327</v>
      </c>
      <c r="B6148" s="4" t="s">
        <v>12232</v>
      </c>
      <c r="C6148" s="16" t="str">
        <f>IFERROR(__xludf.DUMMYFUNCTION(""""""""" &amp; REGEXEXTRACT(B6148, ""/detail/([^/?]+)"") &amp; """""","""),"""jphkmoanbilmnmcjnigbmddfceodnlcf"",")</f>
        <v>"jphkmoanbilmnmcjnigbmddfceodnlcf",</v>
      </c>
    </row>
    <row r="6149">
      <c r="A6149" s="4" t="s">
        <v>25328</v>
      </c>
      <c r="B6149" s="4" t="s">
        <v>12234</v>
      </c>
      <c r="C6149" s="16" t="str">
        <f>IFERROR(__xludf.DUMMYFUNCTION(""""""""" &amp; REGEXEXTRACT(B6149, ""/detail/([^/?]+)"") &amp; """""","""),"""jplkkkfinccdllaoobmiojlocpmpeipb"",")</f>
        <v>"jplkkkfinccdllaoobmiojlocpmpeipb",</v>
      </c>
    </row>
    <row r="6150">
      <c r="A6150" s="4" t="s">
        <v>25329</v>
      </c>
      <c r="B6150" s="4" t="s">
        <v>12236</v>
      </c>
      <c r="C6150" s="16" t="str">
        <f>IFERROR(__xludf.DUMMYFUNCTION(""""""""" &amp; REGEXEXTRACT(B6150, ""/detail/([^/?]+)"") &amp; """""","""),"""kaacflffkmlaiebklgemhmlfbhificko"",")</f>
        <v>"kaacflffkmlaiebklgemhmlfbhificko",</v>
      </c>
    </row>
    <row r="6151">
      <c r="A6151" s="4" t="s">
        <v>25330</v>
      </c>
      <c r="B6151" s="4" t="s">
        <v>12238</v>
      </c>
      <c r="C6151" s="16" t="str">
        <f>IFERROR(__xludf.DUMMYFUNCTION(""""""""" &amp; REGEXEXTRACT(B6151, ""/detail/([^/?]+)"") &amp; """""","""),"""kaccbbiokomdcofdediakkkfhkbddehl"",")</f>
        <v>"kaccbbiokomdcofdediakkkfhkbddehl",</v>
      </c>
    </row>
    <row r="6152">
      <c r="A6152" s="4" t="s">
        <v>25331</v>
      </c>
      <c r="B6152" s="4" t="s">
        <v>12240</v>
      </c>
      <c r="C6152" s="16" t="str">
        <f>IFERROR(__xludf.DUMMYFUNCTION(""""""""" &amp; REGEXEXTRACT(B6152, ""/detail/([^/?]+)"") &amp; """""","""),"""kaelcgjdiogcpjapcncdgoknbakjfooo"",")</f>
        <v>"kaelcgjdiogcpjapcncdgoknbakjfooo",</v>
      </c>
    </row>
    <row r="6153">
      <c r="A6153" s="4" t="s">
        <v>25332</v>
      </c>
      <c r="B6153" s="4" t="s">
        <v>12242</v>
      </c>
      <c r="C6153" s="16" t="str">
        <f>IFERROR(__xludf.DUMMYFUNCTION(""""""""" &amp; REGEXEXTRACT(B6153, ""/detail/([^/?]+)"") &amp; """""","""),"""kaipekgdjopphabpimakjkienfckcknp"",")</f>
        <v>"kaipekgdjopphabpimakjkienfckcknp",</v>
      </c>
    </row>
    <row r="6154">
      <c r="A6154" s="4" t="s">
        <v>25333</v>
      </c>
      <c r="B6154" s="4" t="s">
        <v>12244</v>
      </c>
      <c r="C6154" s="16" t="str">
        <f>IFERROR(__xludf.DUMMYFUNCTION(""""""""" &amp; REGEXEXTRACT(B6154, ""/detail/([^/?]+)"") &amp; """""","""),"""kaklalnjjcbnacalpghdfokeohelpbnf"",")</f>
        <v>"kaklalnjjcbnacalpghdfokeohelpbnf",</v>
      </c>
    </row>
    <row r="6155">
      <c r="A6155" s="4" t="s">
        <v>25334</v>
      </c>
      <c r="B6155" s="4" t="s">
        <v>12246</v>
      </c>
      <c r="C6155" s="16" t="str">
        <f>IFERROR(__xludf.DUMMYFUNCTION(""""""""" &amp; REGEXEXTRACT(B6155, ""/detail/([^/?]+)"") &amp; """""","""),"""kalmlbhhgndofalfencmggfncedfajgj"",")</f>
        <v>"kalmlbhhgndofalfencmggfncedfajgj",</v>
      </c>
    </row>
    <row r="6156">
      <c r="A6156" s="4" t="s">
        <v>25335</v>
      </c>
      <c r="B6156" s="4" t="s">
        <v>12248</v>
      </c>
      <c r="C6156" s="16" t="str">
        <f>IFERROR(__xludf.DUMMYFUNCTION(""""""""" &amp; REGEXEXTRACT(B6156, ""/detail/([^/?]+)"") &amp; """""","""),"""kamcahcpkdbdhphbnhblmcgemhbhbohm"",")</f>
        <v>"kamcahcpkdbdhphbnhblmcgemhbhbohm",</v>
      </c>
    </row>
    <row r="6157">
      <c r="A6157" s="4" t="s">
        <v>25336</v>
      </c>
      <c r="B6157" s="4" t="s">
        <v>12250</v>
      </c>
      <c r="C6157" s="16" t="str">
        <f>IFERROR(__xludf.DUMMYFUNCTION(""""""""" &amp; REGEXEXTRACT(B6157, ""/detail/([^/?]+)"") &amp; """""","""),"""kapcngknfepfobkbinmkdakbjobieoam"",")</f>
        <v>"kapcngknfepfobkbinmkdakbjobieoam",</v>
      </c>
    </row>
    <row r="6158">
      <c r="A6158" s="4" t="s">
        <v>25337</v>
      </c>
      <c r="B6158" s="4" t="s">
        <v>12252</v>
      </c>
      <c r="C6158" s="16" t="str">
        <f>IFERROR(__xludf.DUMMYFUNCTION(""""""""" &amp; REGEXEXTRACT(B6158, ""/detail/([^/?]+)"") &amp; """""","""),"""kbchmfoeolkghjeapilfdamdnieedlkp"",")</f>
        <v>"kbchmfoeolkghjeapilfdamdnieedlkp",</v>
      </c>
    </row>
    <row r="6159">
      <c r="A6159" s="4" t="s">
        <v>25338</v>
      </c>
      <c r="B6159" s="4" t="s">
        <v>12254</v>
      </c>
      <c r="C6159" s="16" t="str">
        <f>IFERROR(__xludf.DUMMYFUNCTION(""""""""" &amp; REGEXEXTRACT(B6159, ""/detail/([^/?]+)"") &amp; """""","""),"""kbdcjepncmkhgflbmmikjahojomfcina"",")</f>
        <v>"kbdcjepncmkhgflbmmikjahojomfcina",</v>
      </c>
    </row>
    <row r="6160">
      <c r="A6160" s="4" t="s">
        <v>25339</v>
      </c>
      <c r="B6160" s="4" t="s">
        <v>12256</v>
      </c>
      <c r="C6160" s="16" t="str">
        <f>IFERROR(__xludf.DUMMYFUNCTION(""""""""" &amp; REGEXEXTRACT(B6160, ""/detail/([^/?]+)"") &amp; """""","""),"""kbfhngekhdipgofmnofbeanadlaakmja"",")</f>
        <v>"kbfhngekhdipgofmnofbeanadlaakmja",</v>
      </c>
    </row>
    <row r="6161">
      <c r="A6161" s="4" t="s">
        <v>25340</v>
      </c>
      <c r="B6161" s="4" t="s">
        <v>12258</v>
      </c>
      <c r="C6161" s="16" t="str">
        <f>IFERROR(__xludf.DUMMYFUNCTION(""""""""" &amp; REGEXEXTRACT(B6161, ""/detail/([^/?]+)"") &amp; """""","""),"""kbkfjhdphkidpjcgpkjbdjoipkcjccjf"",")</f>
        <v>"kbkfjhdphkidpjcgpkjbdjoipkcjccjf",</v>
      </c>
    </row>
    <row r="6162">
      <c r="A6162" s="4" t="s">
        <v>25341</v>
      </c>
      <c r="B6162" s="4" t="s">
        <v>12260</v>
      </c>
      <c r="C6162" s="16" t="str">
        <f>IFERROR(__xludf.DUMMYFUNCTION(""""""""" &amp; REGEXEXTRACT(B6162, ""/detail/([^/?]+)"") &amp; """""","""),"""kblnaaogehadfaelemdemldbkpojknml"",")</f>
        <v>"kblnaaogehadfaelemdemldbkpojknml",</v>
      </c>
    </row>
    <row r="6163">
      <c r="A6163" s="4" t="s">
        <v>25342</v>
      </c>
      <c r="B6163" s="4" t="s">
        <v>12262</v>
      </c>
      <c r="C6163" s="16" t="str">
        <f>IFERROR(__xludf.DUMMYFUNCTION(""""""""" &amp; REGEXEXTRACT(B6163, ""/detail/([^/?]+)"") &amp; """""","""),"""kbmlldlmbfcejlgflijfedcbncnpbbjj"",")</f>
        <v>"kbmlldlmbfcejlgflijfedcbncnpbbjj",</v>
      </c>
    </row>
    <row r="6164">
      <c r="A6164" s="4" t="s">
        <v>25343</v>
      </c>
      <c r="B6164" s="4" t="s">
        <v>12264</v>
      </c>
      <c r="C6164" s="16" t="str">
        <f>IFERROR(__xludf.DUMMYFUNCTION(""""""""" &amp; REGEXEXTRACT(B6164, ""/detail/([^/?]+)"") &amp; """""","""),"""kbnbkogeeackdjiibllebnpdccbmepil"",")</f>
        <v>"kbnbkogeeackdjiibllebnpdccbmepil",</v>
      </c>
    </row>
    <row r="6165">
      <c r="A6165" s="4" t="s">
        <v>25344</v>
      </c>
      <c r="B6165" s="4" t="s">
        <v>12266</v>
      </c>
      <c r="C6165" s="16" t="str">
        <f>IFERROR(__xludf.DUMMYFUNCTION(""""""""" &amp; REGEXEXTRACT(B6165, ""/detail/([^/?]+)"") &amp; """""","""),"""kbobnagbmjmpcpioklajkgafggfdcafe"",")</f>
        <v>"kbobnagbmjmpcpioklajkgafggfdcafe",</v>
      </c>
    </row>
    <row r="6166">
      <c r="A6166" s="4" t="s">
        <v>25345</v>
      </c>
      <c r="B6166" s="4" t="s">
        <v>12268</v>
      </c>
      <c r="C6166" s="16" t="str">
        <f>IFERROR(__xludf.DUMMYFUNCTION(""""""""" &amp; REGEXEXTRACT(B6166, ""/detail/([^/?]+)"") &amp; """""","""),"""kbomichpahnfklembajcficjediaphpm"",")</f>
        <v>"kbomichpahnfklembajcficjediaphpm",</v>
      </c>
    </row>
    <row r="6167">
      <c r="A6167" s="4" t="s">
        <v>25346</v>
      </c>
      <c r="B6167" s="4" t="s">
        <v>12270</v>
      </c>
      <c r="C6167" s="16" t="str">
        <f>IFERROR(__xludf.DUMMYFUNCTION(""""""""" &amp; REGEXEXTRACT(B6167, ""/detail/([^/?]+)"") &amp; """""","""),"""kbpjikgngikhhpbjddnenemoonpbfikm"",")</f>
        <v>"kbpjikgngikhhpbjddnenemoonpbfikm",</v>
      </c>
    </row>
    <row r="6168">
      <c r="A6168" s="4" t="s">
        <v>25347</v>
      </c>
      <c r="B6168" s="4" t="s">
        <v>12272</v>
      </c>
      <c r="C6168" s="16" t="str">
        <f>IFERROR(__xludf.DUMMYFUNCTION(""""""""" &amp; REGEXEXTRACT(B6168, ""/detail/([^/?]+)"") &amp; """""","""),"""kcacgelamniaacjfbmekoagkkmdjlfib"",")</f>
        <v>"kcacgelamniaacjfbmekoagkkmdjlfib",</v>
      </c>
    </row>
    <row r="6169">
      <c r="A6169" s="4" t="s">
        <v>25348</v>
      </c>
      <c r="B6169" s="4" t="s">
        <v>12274</v>
      </c>
      <c r="C6169" s="16" t="str">
        <f>IFERROR(__xludf.DUMMYFUNCTION(""""""""" &amp; REGEXEXTRACT(B6169, ""/detail/([^/?]+)"") &amp; """""","""),"""kcameajjpbgnncnadcilkmfocpabkihh"",")</f>
        <v>"kcameajjpbgnncnadcilkmfocpabkihh",</v>
      </c>
    </row>
    <row r="6170">
      <c r="A6170" s="4" t="s">
        <v>25349</v>
      </c>
      <c r="B6170" s="4" t="s">
        <v>12276</v>
      </c>
      <c r="C6170" s="16" t="str">
        <f>IFERROR(__xludf.DUMMYFUNCTION(""""""""" &amp; REGEXEXTRACT(B6170, ""/detail/([^/?]+)"") &amp; """""","""),"""kcamgdjiikgoglpfomjikmdonhfaplod"",")</f>
        <v>"kcamgdjiikgoglpfomjikmdonhfaplod",</v>
      </c>
    </row>
    <row r="6171">
      <c r="A6171" s="4" t="s">
        <v>25350</v>
      </c>
      <c r="B6171" s="4" t="s">
        <v>12278</v>
      </c>
      <c r="C6171" s="16" t="str">
        <f>IFERROR(__xludf.DUMMYFUNCTION(""""""""" &amp; REGEXEXTRACT(B6171, ""/detail/([^/?]+)"") &amp; """""","""),"""kcdfmdmdogpfcmbdgafnphllmkloopkd"",")</f>
        <v>"kcdfmdmdogpfcmbdgafnphllmkloopkd",</v>
      </c>
    </row>
    <row r="6172">
      <c r="A6172" s="4" t="s">
        <v>25351</v>
      </c>
      <c r="B6172" s="4" t="s">
        <v>12280</v>
      </c>
      <c r="C6172" s="16" t="str">
        <f>IFERROR(__xludf.DUMMYFUNCTION(""""""""" &amp; REGEXEXTRACT(B6172, ""/detail/([^/?]+)"") &amp; """""","""),"""kcdolhjbipnfgefpjaopfbjbannphidh"",")</f>
        <v>"kcdolhjbipnfgefpjaopfbjbannphidh",</v>
      </c>
    </row>
    <row r="6173">
      <c r="A6173" s="4" t="s">
        <v>25352</v>
      </c>
      <c r="B6173" s="4" t="s">
        <v>12282</v>
      </c>
      <c r="C6173" s="16" t="str">
        <f>IFERROR(__xludf.DUMMYFUNCTION(""""""""" &amp; REGEXEXTRACT(B6173, ""/detail/([^/?]+)"") &amp; """""","""),"""kcgjbeioogggiicmjanbjnejedppncnn"",")</f>
        <v>"kcgjbeioogggiicmjanbjnejedppncnn",</v>
      </c>
    </row>
    <row r="6174">
      <c r="A6174" s="4" t="s">
        <v>25353</v>
      </c>
      <c r="B6174" s="4" t="s">
        <v>12284</v>
      </c>
      <c r="C6174" s="16" t="str">
        <f>IFERROR(__xludf.DUMMYFUNCTION(""""""""" &amp; REGEXEXTRACT(B6174, ""/detail/([^/?]+)"") &amp; """""","""),"""kchhfcpcokkcenicaepbnnilldheogni"",")</f>
        <v>"kchhfcpcokkcenicaepbnnilldheogni",</v>
      </c>
    </row>
    <row r="6175">
      <c r="A6175" s="4" t="s">
        <v>25354</v>
      </c>
      <c r="B6175" s="4" t="s">
        <v>12286</v>
      </c>
      <c r="C6175" s="16" t="str">
        <f>IFERROR(__xludf.DUMMYFUNCTION(""""""""" &amp; REGEXEXTRACT(B6175, ""/detail/([^/?]+)"") &amp; """""","""),"""kchpoagchdfclplfdofdapfggbcpplda"",")</f>
        <v>"kchpoagchdfclplfdofdapfggbcpplda",</v>
      </c>
    </row>
    <row r="6176">
      <c r="A6176" s="4" t="s">
        <v>25355</v>
      </c>
      <c r="B6176" s="4" t="s">
        <v>12288</v>
      </c>
      <c r="C6176" s="16" t="str">
        <f>IFERROR(__xludf.DUMMYFUNCTION(""""""""" &amp; REGEXEXTRACT(B6176, ""/detail/([^/?]+)"") &amp; """""","""),"""kckodmjikeoncekpplppkkcjolofmacc"",")</f>
        <v>"kckodmjikeoncekpplppkkcjolofmacc",</v>
      </c>
    </row>
    <row r="6177">
      <c r="A6177" s="4" t="s">
        <v>25356</v>
      </c>
      <c r="B6177" s="4" t="s">
        <v>12290</v>
      </c>
      <c r="C6177" s="16" t="str">
        <f>IFERROR(__xludf.DUMMYFUNCTION(""""""""" &amp; REGEXEXTRACT(B6177, ""/detail/([^/?]+)"") &amp; """""","""),"""kcmegnpfeomalodkclmmaihphoekfhgi"",")</f>
        <v>"kcmegnpfeomalodkclmmaihphoekfhgi",</v>
      </c>
    </row>
    <row r="6178">
      <c r="A6178" s="4" t="s">
        <v>25357</v>
      </c>
      <c r="B6178" s="4" t="s">
        <v>12292</v>
      </c>
      <c r="C6178" s="16" t="str">
        <f>IFERROR(__xludf.DUMMYFUNCTION(""""""""" &amp; REGEXEXTRACT(B6178, ""/detail/([^/?]+)"") &amp; """""","""),"""kcmipkbnmndcdhmlhpdampbfkdbkdjib"",")</f>
        <v>"kcmipkbnmndcdhmlhpdampbfkdbkdjib",</v>
      </c>
    </row>
    <row r="6179">
      <c r="A6179" s="4" t="s">
        <v>25358</v>
      </c>
      <c r="B6179" s="4" t="s">
        <v>12294</v>
      </c>
      <c r="C6179" s="16" t="str">
        <f>IFERROR(__xludf.DUMMYFUNCTION(""""""""" &amp; REGEXEXTRACT(B6179, ""/detail/([^/?]+)"") &amp; """""","""),"""kdailohlmkahclogmhefpbhfhdgodafa"",")</f>
        <v>"kdailohlmkahclogmhefpbhfhdgodafa",</v>
      </c>
    </row>
    <row r="6180">
      <c r="A6180" s="4" t="s">
        <v>25359</v>
      </c>
      <c r="B6180" s="4" t="s">
        <v>12296</v>
      </c>
      <c r="C6180" s="16" t="str">
        <f>IFERROR(__xludf.DUMMYFUNCTION(""""""""" &amp; REGEXEXTRACT(B6180, ""/detail/([^/?]+)"") &amp; """""","""),"""kdbibdpnfpcddocjlollcjkblilhkkno"",")</f>
        <v>"kdbibdpnfpcddocjlollcjkblilhkkno",</v>
      </c>
    </row>
    <row r="6181">
      <c r="A6181" s="4" t="s">
        <v>25360</v>
      </c>
      <c r="B6181" s="4" t="s">
        <v>12298</v>
      </c>
      <c r="C6181" s="16" t="str">
        <f>IFERROR(__xludf.DUMMYFUNCTION(""""""""" &amp; REGEXEXTRACT(B6181, ""/detail/([^/?]+)"") &amp; """""","""),"""kdfndclcljglfldoackkhjncbkcpjchb"",")</f>
        <v>"kdfndclcljglfldoackkhjncbkcpjchb",</v>
      </c>
    </row>
    <row r="6182">
      <c r="A6182" s="4" t="s">
        <v>25361</v>
      </c>
      <c r="B6182" s="4" t="s">
        <v>12300</v>
      </c>
      <c r="C6182" s="16" t="str">
        <f>IFERROR(__xludf.DUMMYFUNCTION(""""""""" &amp; REGEXEXTRACT(B6182, ""/detail/([^/?]+)"") &amp; """""","""),"""kdhlaeknchfnilfnkhlbbjenjealmome"",")</f>
        <v>"kdhlaeknchfnilfnkhlbbjenjealmome",</v>
      </c>
    </row>
    <row r="6183">
      <c r="A6183" s="4" t="s">
        <v>25362</v>
      </c>
      <c r="B6183" s="4" t="s">
        <v>12302</v>
      </c>
      <c r="C6183" s="16" t="str">
        <f>IFERROR(__xludf.DUMMYFUNCTION(""""""""" &amp; REGEXEXTRACT(B6183, ""/detail/([^/?]+)"") &amp; """""","""),"""kdkdfjfadjdgonjjkkfjimiachohndeb"",")</f>
        <v>"kdkdfjfadjdgonjjkkfjimiachohndeb",</v>
      </c>
    </row>
    <row r="6184">
      <c r="A6184" s="4" t="s">
        <v>25363</v>
      </c>
      <c r="B6184" s="4" t="s">
        <v>12304</v>
      </c>
      <c r="C6184" s="16" t="str">
        <f>IFERROR(__xludf.DUMMYFUNCTION(""""""""" &amp; REGEXEXTRACT(B6184, ""/detail/([^/?]+)"") &amp; """""","""),"""kdmdbahkimnclcmnppaagnnnpdjfggbb"",")</f>
        <v>"kdmdbahkimnclcmnppaagnnnpdjfggbb",</v>
      </c>
    </row>
    <row r="6185">
      <c r="A6185" s="4" t="s">
        <v>25364</v>
      </c>
      <c r="B6185" s="4" t="s">
        <v>12306</v>
      </c>
      <c r="C6185" s="16" t="str">
        <f>IFERROR(__xludf.DUMMYFUNCTION(""""""""" &amp; REGEXEXTRACT(B6185, ""/detail/([^/?]+)"") &amp; """""","""),"""kdmokpidjlppgcpeeojhpaknidhehkle"",")</f>
        <v>"kdmokpidjlppgcpeeojhpaknidhehkle",</v>
      </c>
    </row>
    <row r="6186">
      <c r="A6186" s="4" t="s">
        <v>25365</v>
      </c>
      <c r="B6186" s="4" t="s">
        <v>12308</v>
      </c>
      <c r="C6186" s="16" t="str">
        <f>IFERROR(__xludf.DUMMYFUNCTION(""""""""" &amp; REGEXEXTRACT(B6186, ""/detail/([^/?]+)"") &amp; """""","""),"""kdnnjmhhabnalhbpppkocnplmmebmobh"",")</f>
        <v>"kdnnjmhhabnalhbpppkocnplmmebmobh",</v>
      </c>
    </row>
    <row r="6187">
      <c r="A6187" s="4" t="s">
        <v>25366</v>
      </c>
      <c r="B6187" s="4" t="s">
        <v>12310</v>
      </c>
      <c r="C6187" s="16" t="str">
        <f>IFERROR(__xludf.DUMMYFUNCTION(""""""""" &amp; REGEXEXTRACT(B6187, ""/detail/([^/?]+)"") &amp; """""","""),"""kedfgkphpfhibddhgnehpaoibogdklfa"",")</f>
        <v>"kedfgkphpfhibddhgnehpaoibogdklfa",</v>
      </c>
    </row>
    <row r="6188">
      <c r="A6188" s="4" t="s">
        <v>25367</v>
      </c>
      <c r="B6188" s="4" t="s">
        <v>12312</v>
      </c>
      <c r="C6188" s="16" t="str">
        <f>IFERROR(__xludf.DUMMYFUNCTION(""""""""" &amp; REGEXEXTRACT(B6188, ""/detail/([^/?]+)"") &amp; """""","""),"""keempgcbhfoekmolbpdkcoimnnejjaeh"",")</f>
        <v>"keempgcbhfoekmolbpdkcoimnnejjaeh",</v>
      </c>
    </row>
    <row r="6189">
      <c r="A6189" s="4" t="s">
        <v>25368</v>
      </c>
      <c r="B6189" s="4" t="s">
        <v>12314</v>
      </c>
      <c r="C6189" s="16" t="str">
        <f>IFERROR(__xludf.DUMMYFUNCTION(""""""""" &amp; REGEXEXTRACT(B6189, ""/detail/([^/?]+)"") &amp; """""","""),"""keimggighiknpiiloncafdmhopgccbbk"",")</f>
        <v>"keimggighiknpiiloncafdmhopgccbbk",</v>
      </c>
    </row>
    <row r="6190">
      <c r="A6190" s="4" t="s">
        <v>25369</v>
      </c>
      <c r="B6190" s="4" t="s">
        <v>12316</v>
      </c>
      <c r="C6190" s="16" t="str">
        <f>IFERROR(__xludf.DUMMYFUNCTION(""""""""" &amp; REGEXEXTRACT(B6190, ""/detail/([^/?]+)"") &amp; """""","""),"""kemhkjedapfedmoaliehjgdllceafeng"",")</f>
        <v>"kemhkjedapfedmoaliehjgdllceafeng",</v>
      </c>
    </row>
    <row r="6191">
      <c r="A6191" s="4" t="s">
        <v>25370</v>
      </c>
      <c r="B6191" s="4" t="s">
        <v>12318</v>
      </c>
      <c r="C6191" s="16" t="str">
        <f>IFERROR(__xludf.DUMMYFUNCTION(""""""""" &amp; REGEXEXTRACT(B6191, ""/detail/([^/?]+)"") &amp; """""","""),"""kenncghfghgolcbmckhiljgaabnpcaaa"",")</f>
        <v>"kenncghfghgolcbmckhiljgaabnpcaaa",</v>
      </c>
    </row>
    <row r="6192">
      <c r="A6192" s="4" t="s">
        <v>25371</v>
      </c>
      <c r="B6192" s="4" t="s">
        <v>12320</v>
      </c>
      <c r="C6192" s="16" t="str">
        <f>IFERROR(__xludf.DUMMYFUNCTION(""""""""" &amp; REGEXEXTRACT(B6192, ""/detail/([^/?]+)"") &amp; """""","""),"""kfaknphcidikmjhmmfmphghhlcoknflj"",")</f>
        <v>"kfaknphcidikmjhmmfmphghhlcoknflj",</v>
      </c>
    </row>
    <row r="6193">
      <c r="A6193" s="4" t="s">
        <v>25372</v>
      </c>
      <c r="B6193" s="4" t="s">
        <v>12322</v>
      </c>
      <c r="C6193" s="16" t="str">
        <f>IFERROR(__xludf.DUMMYFUNCTION(""""""""" &amp; REGEXEXTRACT(B6193, ""/detail/([^/?]+)"") &amp; """""","""),"""kfaocdjigbgfjbmbbodglgoomooblail"",")</f>
        <v>"kfaocdjigbgfjbmbbodglgoomooblail",</v>
      </c>
    </row>
    <row r="6194">
      <c r="A6194" s="4" t="s">
        <v>25373</v>
      </c>
      <c r="B6194" s="4" t="s">
        <v>12324</v>
      </c>
      <c r="C6194" s="16" t="str">
        <f>IFERROR(__xludf.DUMMYFUNCTION(""""""""" &amp; REGEXEXTRACT(B6194, ""/detail/([^/?]+)"") &amp; """""","""),"""kfbkjmofblefhdbabmjfecidcglggoaa"",")</f>
        <v>"kfbkjmofblefhdbabmjfecidcglggoaa",</v>
      </c>
    </row>
    <row r="6195">
      <c r="A6195" s="4" t="s">
        <v>25374</v>
      </c>
      <c r="B6195" s="4" t="s">
        <v>12326</v>
      </c>
      <c r="C6195" s="16" t="str">
        <f>IFERROR(__xludf.DUMMYFUNCTION(""""""""" &amp; REGEXEXTRACT(B6195, ""/detail/([^/?]+)"") &amp; """""","""),"""kfehlfaeeefnnbponboooacmenececcb"",")</f>
        <v>"kfehlfaeeefnnbponboooacmenececcb",</v>
      </c>
    </row>
    <row r="6196">
      <c r="A6196" s="4" t="s">
        <v>25375</v>
      </c>
      <c r="B6196" s="4" t="s">
        <v>12328</v>
      </c>
      <c r="C6196" s="16" t="str">
        <f>IFERROR(__xludf.DUMMYFUNCTION(""""""""" &amp; REGEXEXTRACT(B6196, ""/detail/([^/?]+)"") &amp; """""","""),"""kffhfpfmcgbogjmmhcogadccojfcaofk"",")</f>
        <v>"kffhfpfmcgbogjmmhcogadccojfcaofk",</v>
      </c>
    </row>
    <row r="6197">
      <c r="A6197" s="4" t="s">
        <v>25376</v>
      </c>
      <c r="B6197" s="4" t="s">
        <v>12330</v>
      </c>
      <c r="C6197" s="16" t="str">
        <f>IFERROR(__xludf.DUMMYFUNCTION(""""""""" &amp; REGEXEXTRACT(B6197, ""/detail/([^/?]+)"") &amp; """""","""),"""kfjldbhohfkdglbnlahhnalakilgjije"",")</f>
        <v>"kfjldbhohfkdglbnlahhnalakilgjije",</v>
      </c>
    </row>
    <row r="6198">
      <c r="A6198" s="4" t="s">
        <v>25377</v>
      </c>
      <c r="B6198" s="4" t="s">
        <v>12332</v>
      </c>
      <c r="C6198" s="16" t="str">
        <f>IFERROR(__xludf.DUMMYFUNCTION(""""""""" &amp; REGEXEXTRACT(B6198, ""/detail/([^/?]+)"") &amp; """""","""),"""kfmecbejcnepbfdcdbbhfcjmdmmcmoah"",")</f>
        <v>"kfmecbejcnepbfdcdbbhfcjmdmmcmoah",</v>
      </c>
    </row>
    <row r="6199">
      <c r="A6199" s="4" t="s">
        <v>25378</v>
      </c>
      <c r="B6199" s="4" t="s">
        <v>12334</v>
      </c>
      <c r="C6199" s="16" t="str">
        <f>IFERROR(__xludf.DUMMYFUNCTION(""""""""" &amp; REGEXEXTRACT(B6199, ""/detail/([^/?]+)"") &amp; """""","""),"""kgghjfabpkpodeancnenkndklnomjpbf"",")</f>
        <v>"kgghjfabpkpodeancnenkndklnomjpbf",</v>
      </c>
    </row>
    <row r="6200">
      <c r="A6200" s="4" t="s">
        <v>25379</v>
      </c>
      <c r="B6200" s="4" t="s">
        <v>12336</v>
      </c>
      <c r="C6200" s="16" t="str">
        <f>IFERROR(__xludf.DUMMYFUNCTION(""""""""" &amp; REGEXEXTRACT(B6200, ""/detail/([^/?]+)"") &amp; """""","""),"""kgicdngjllamjgijagdkoalhkpplipnd"",")</f>
        <v>"kgicdngjllamjgijagdkoalhkpplipnd",</v>
      </c>
    </row>
    <row r="6201">
      <c r="A6201" s="4" t="s">
        <v>25380</v>
      </c>
      <c r="B6201" s="4" t="s">
        <v>12338</v>
      </c>
      <c r="C6201" s="16" t="str">
        <f>IFERROR(__xludf.DUMMYFUNCTION(""""""""" &amp; REGEXEXTRACT(B6201, ""/detail/([^/?]+)"") &amp; """""","""),"""kgkjmljnaneinhnbbdhigejjffonhffb"",")</f>
        <v>"kgkjmljnaneinhnbbdhigejjffonhffb",</v>
      </c>
    </row>
    <row r="6202">
      <c r="A6202" s="4" t="s">
        <v>25381</v>
      </c>
      <c r="B6202" s="4" t="s">
        <v>12340</v>
      </c>
      <c r="C6202" s="16" t="str">
        <f>IFERROR(__xludf.DUMMYFUNCTION(""""""""" &amp; REGEXEXTRACT(B6202, ""/detail/([^/?]+)"") &amp; """""","""),"""kgkmjbhbdakcdfkkgmmihcceekcdmefe"",")</f>
        <v>"kgkmjbhbdakcdfkkgmmihcceekcdmefe",</v>
      </c>
    </row>
    <row r="6203">
      <c r="A6203" s="4" t="s">
        <v>25382</v>
      </c>
      <c r="B6203" s="4" t="s">
        <v>12342</v>
      </c>
      <c r="C6203" s="16" t="str">
        <f>IFERROR(__xludf.DUMMYFUNCTION(""""""""" &amp; REGEXEXTRACT(B6203, ""/detail/([^/?]+)"") &amp; """""","""),"""kgllgjbdbkempofinoadnlleigmgppfm"",")</f>
        <v>"kgllgjbdbkempofinoadnlleigmgppfm",</v>
      </c>
    </row>
    <row r="6204">
      <c r="A6204" s="4" t="s">
        <v>25383</v>
      </c>
      <c r="B6204" s="4" t="s">
        <v>12344</v>
      </c>
      <c r="C6204" s="16" t="str">
        <f>IFERROR(__xludf.DUMMYFUNCTION(""""""""" &amp; REGEXEXTRACT(B6204, ""/detail/([^/?]+)"") &amp; """""","""),"""kgmboamhkokidammpgdilgpnonibiipa"",")</f>
        <v>"kgmboamhkokidammpgdilgpnonibiipa",</v>
      </c>
    </row>
    <row r="6205">
      <c r="A6205" s="4" t="s">
        <v>25384</v>
      </c>
      <c r="B6205" s="4" t="s">
        <v>12346</v>
      </c>
      <c r="C6205" s="16" t="str">
        <f>IFERROR(__xludf.DUMMYFUNCTION(""""""""" &amp; REGEXEXTRACT(B6205, ""/detail/([^/?]+)"") &amp; """""","""),"""kgoaldgnannoebilojgnheicbkfbebjg"",")</f>
        <v>"kgoaldgnannoebilojgnheicbkfbebjg",</v>
      </c>
    </row>
    <row r="6206">
      <c r="A6206" s="4" t="s">
        <v>25385</v>
      </c>
      <c r="B6206" s="4" t="s">
        <v>12348</v>
      </c>
      <c r="C6206" s="16" t="str">
        <f>IFERROR(__xludf.DUMMYFUNCTION(""""""""" &amp; REGEXEXTRACT(B6206, ""/detail/([^/?]+)"") &amp; """""","""),"""khaaaofbfbkijpiepkfcamahnafeljem"",")</f>
        <v>"khaaaofbfbkijpiepkfcamahnafeljem",</v>
      </c>
    </row>
    <row r="6207">
      <c r="A6207" s="4" t="s">
        <v>25386</v>
      </c>
      <c r="B6207" s="4" t="s">
        <v>12350</v>
      </c>
      <c r="C6207" s="16" t="str">
        <f>IFERROR(__xludf.DUMMYFUNCTION(""""""""" &amp; REGEXEXTRACT(B6207, ""/detail/([^/?]+)"") &amp; """""","""),"""khcenbpnhbeplojhaolbpldmoppicold"",")</f>
        <v>"khcenbpnhbeplojhaolbpldmoppicold",</v>
      </c>
    </row>
    <row r="6208">
      <c r="A6208" s="4" t="s">
        <v>25387</v>
      </c>
      <c r="B6208" s="4" t="s">
        <v>12352</v>
      </c>
      <c r="C6208" s="16" t="str">
        <f>IFERROR(__xludf.DUMMYFUNCTION(""""""""" &amp; REGEXEXTRACT(B6208, ""/detail/([^/?]+)"") &amp; """""","""),"""khdkihdjbcgglfdjpbamhoahejlddkdj"",")</f>
        <v>"khdkihdjbcgglfdjpbamhoahejlddkdj",</v>
      </c>
    </row>
    <row r="6209">
      <c r="A6209" s="4" t="s">
        <v>25388</v>
      </c>
      <c r="B6209" s="4" t="s">
        <v>12354</v>
      </c>
      <c r="C6209" s="16" t="str">
        <f>IFERROR(__xludf.DUMMYFUNCTION(""""""""" &amp; REGEXEXTRACT(B6209, ""/detail/([^/?]+)"") &amp; """""","""),"""khgmenamfnkjenlfaijkjhhdaehemhhf"",")</f>
        <v>"khgmenamfnkjenlfaijkjhhdaehemhhf",</v>
      </c>
    </row>
    <row r="6210">
      <c r="A6210" s="4" t="s">
        <v>25389</v>
      </c>
      <c r="B6210" s="4" t="s">
        <v>12356</v>
      </c>
      <c r="C6210" s="16" t="str">
        <f>IFERROR(__xludf.DUMMYFUNCTION(""""""""" &amp; REGEXEXTRACT(B6210, ""/detail/([^/?]+)"") &amp; """""","""),"""khjidjdpidalladedmkjibjkklanhcnc"",")</f>
        <v>"khjidjdpidalladedmkjibjkklanhcnc",</v>
      </c>
    </row>
    <row r="6211">
      <c r="A6211" s="4" t="s">
        <v>25390</v>
      </c>
      <c r="B6211" s="4" t="s">
        <v>12358</v>
      </c>
      <c r="C6211" s="16" t="str">
        <f>IFERROR(__xludf.DUMMYFUNCTION(""""""""" &amp; REGEXEXTRACT(B6211, ""/detail/([^/?]+)"") &amp; """""","""),"""khkbfocobajjjkojjgpmnhdgbmlnlnef"",")</f>
        <v>"khkbfocobajjjkojjgpmnhdgbmlnlnef",</v>
      </c>
    </row>
    <row r="6212">
      <c r="A6212" s="4" t="s">
        <v>25391</v>
      </c>
      <c r="B6212" s="4" t="s">
        <v>12360</v>
      </c>
      <c r="C6212" s="16" t="str">
        <f>IFERROR(__xludf.DUMMYFUNCTION(""""""""" &amp; REGEXEXTRACT(B6212, ""/detail/([^/?]+)"") &amp; """""","""),"""khnhpkjhoogpgnbhagabcnamppfohhjd"",")</f>
        <v>"khnhpkjhoogpgnbhagabcnamppfohhjd",</v>
      </c>
    </row>
    <row r="6213">
      <c r="A6213" s="4" t="s">
        <v>25392</v>
      </c>
      <c r="B6213" s="4" t="s">
        <v>12362</v>
      </c>
      <c r="C6213" s="16" t="str">
        <f>IFERROR(__xludf.DUMMYFUNCTION(""""""""" &amp; REGEXEXTRACT(B6213, ""/detail/([^/?]+)"") &amp; """""","""),"""khobgoemenoleeedfbilehnpoelmkbko"",")</f>
        <v>"khobgoemenoleeedfbilehnpoelmkbko",</v>
      </c>
    </row>
    <row r="6214">
      <c r="A6214" s="4" t="s">
        <v>25393</v>
      </c>
      <c r="B6214" s="4" t="s">
        <v>12364</v>
      </c>
      <c r="C6214" s="16" t="str">
        <f>IFERROR(__xludf.DUMMYFUNCTION(""""""""" &amp; REGEXEXTRACT(B6214, ""/detail/([^/?]+)"") &amp; """""","""),"""khpcbjppaikkkfnpgbbkjgnbponddmbe"",")</f>
        <v>"khpcbjppaikkkfnpgbbkjgnbponddmbe",</v>
      </c>
    </row>
    <row r="6215">
      <c r="A6215" s="4" t="s">
        <v>25394</v>
      </c>
      <c r="B6215" s="4" t="s">
        <v>12366</v>
      </c>
      <c r="C6215" s="16" t="str">
        <f>IFERROR(__xludf.DUMMYFUNCTION(""""""""" &amp; REGEXEXTRACT(B6215, ""/detail/([^/?]+)"") &amp; """""","""),"""kiaflfdgfekdlghbhkimfmgdkmccoekm"",")</f>
        <v>"kiaflfdgfekdlghbhkimfmgdkmccoekm",</v>
      </c>
    </row>
    <row r="6216">
      <c r="A6216" s="4" t="s">
        <v>25395</v>
      </c>
      <c r="B6216" s="4" t="s">
        <v>12368</v>
      </c>
      <c r="C6216" s="16" t="str">
        <f>IFERROR(__xludf.DUMMYFUNCTION(""""""""" &amp; REGEXEXTRACT(B6216, ""/detail/([^/?]+)"") &amp; """""","""),"""kibhmcdemphikjllndhmdjfailnllbjo"",")</f>
        <v>"kibhmcdemphikjllndhmdjfailnllbjo",</v>
      </c>
    </row>
    <row r="6217">
      <c r="A6217" s="4" t="s">
        <v>25396</v>
      </c>
      <c r="B6217" s="4" t="s">
        <v>12370</v>
      </c>
      <c r="C6217" s="16" t="str">
        <f>IFERROR(__xludf.DUMMYFUNCTION(""""""""" &amp; REGEXEXTRACT(B6217, ""/detail/([^/?]+)"") &amp; """""","""),"""kibiiafandkfafennedegfppdgdacedj"",")</f>
        <v>"kibiiafandkfafennedegfppdgdacedj",</v>
      </c>
    </row>
    <row r="6218">
      <c r="A6218" s="4" t="s">
        <v>25397</v>
      </c>
      <c r="B6218" s="4" t="s">
        <v>12372</v>
      </c>
      <c r="C6218" s="16" t="str">
        <f>IFERROR(__xludf.DUMMYFUNCTION(""""""""" &amp; REGEXEXTRACT(B6218, ""/detail/([^/?]+)"") &amp; """""","""),"""kicncbplfjgjlliddogifpohdhkbjogm"",")</f>
        <v>"kicncbplfjgjlliddogifpohdhkbjogm",</v>
      </c>
    </row>
    <row r="6219">
      <c r="A6219" s="4" t="s">
        <v>25398</v>
      </c>
      <c r="B6219" s="4" t="s">
        <v>12374</v>
      </c>
      <c r="C6219" s="16" t="str">
        <f>IFERROR(__xludf.DUMMYFUNCTION(""""""""" &amp; REGEXEXTRACT(B6219, ""/detail/([^/?]+)"") &amp; """""","""),"""kieamojhioogghoffgonpaggajnnbffd"",")</f>
        <v>"kieamojhioogghoffgonpaggajnnbffd",</v>
      </c>
    </row>
    <row r="6220">
      <c r="A6220" s="4" t="s">
        <v>25399</v>
      </c>
      <c r="B6220" s="4" t="s">
        <v>12376</v>
      </c>
      <c r="C6220" s="16" t="str">
        <f>IFERROR(__xludf.DUMMYFUNCTION(""""""""" &amp; REGEXEXTRACT(B6220, ""/detail/([^/?]+)"") &amp; """""","""),"""kifnljdeoikhjhjbkkjhoaehfbaldbmb"",")</f>
        <v>"kifnljdeoikhjhjbkkjhoaehfbaldbmb",</v>
      </c>
    </row>
    <row r="6221">
      <c r="A6221" s="4" t="s">
        <v>25400</v>
      </c>
      <c r="B6221" s="4" t="s">
        <v>12378</v>
      </c>
      <c r="C6221" s="16" t="str">
        <f>IFERROR(__xludf.DUMMYFUNCTION(""""""""" &amp; REGEXEXTRACT(B6221, ""/detail/([^/?]+)"") &amp; """""","""),"""kighofmokniilkbmlpapdlheiecbmccg"",")</f>
        <v>"kighofmokniilkbmlpapdlheiecbmccg",</v>
      </c>
    </row>
    <row r="6222">
      <c r="A6222" s="4" t="s">
        <v>25401</v>
      </c>
      <c r="B6222" s="4" t="s">
        <v>12379</v>
      </c>
      <c r="C6222" s="16" t="str">
        <f>IFERROR(__xludf.DUMMYFUNCTION(""""""""" &amp; REGEXEXTRACT(B6222, ""/detail/([^/?]+)"") &amp; """""","""),"""kiiegggcednbhfjegeipfllkihlobdhn"",")</f>
        <v>"kiiegggcednbhfjegeipfllkihlobdhn",</v>
      </c>
    </row>
    <row r="6223">
      <c r="A6223" s="4" t="s">
        <v>25402</v>
      </c>
      <c r="B6223" s="4" t="s">
        <v>12381</v>
      </c>
      <c r="C6223" s="16" t="str">
        <f>IFERROR(__xludf.DUMMYFUNCTION(""""""""" &amp; REGEXEXTRACT(B6223, ""/detail/([^/?]+)"") &amp; """""","""),"""kiiiimadnhijggeambdbmdckeigicmfd"",")</f>
        <v>"kiiiimadnhijggeambdbmdckeigicmfd",</v>
      </c>
    </row>
    <row r="6224">
      <c r="A6224" s="4" t="s">
        <v>25403</v>
      </c>
      <c r="B6224" s="4" t="s">
        <v>12383</v>
      </c>
      <c r="C6224" s="16" t="str">
        <f>IFERROR(__xludf.DUMMYFUNCTION(""""""""" &amp; REGEXEXTRACT(B6224, ""/detail/([^/?]+)"") &amp; """""","""),"""kilgdoafhhpkloidoajmlfienjndfbfo"",")</f>
        <v>"kilgdoafhhpkloidoajmlfienjndfbfo",</v>
      </c>
    </row>
    <row r="6225">
      <c r="A6225" s="4" t="s">
        <v>25404</v>
      </c>
      <c r="B6225" s="4" t="s">
        <v>12385</v>
      </c>
      <c r="C6225" s="16" t="str">
        <f>IFERROR(__xludf.DUMMYFUNCTION(""""""""" &amp; REGEXEXTRACT(B6225, ""/detail/([^/?]+)"") &amp; """""","""),"""kiogkahifhldimpknnnhdiemepmebnhe"",")</f>
        <v>"kiogkahifhldimpknnnhdiemepmebnhe",</v>
      </c>
    </row>
    <row r="6226">
      <c r="A6226" s="4" t="s">
        <v>25405</v>
      </c>
      <c r="B6226" s="4" t="s">
        <v>12387</v>
      </c>
      <c r="C6226" s="16" t="str">
        <f>IFERROR(__xludf.DUMMYFUNCTION(""""""""" &amp; REGEXEXTRACT(B6226, ""/detail/([^/?]+)"") &amp; """""","""),"""kiokldggbjmigpcljejjeaemehoeobob"",")</f>
        <v>"kiokldggbjmigpcljejjeaemehoeobob",</v>
      </c>
    </row>
    <row r="6227">
      <c r="A6227" s="4" t="s">
        <v>25406</v>
      </c>
      <c r="B6227" s="4" t="s">
        <v>12389</v>
      </c>
      <c r="C6227" s="16" t="str">
        <f>IFERROR(__xludf.DUMMYFUNCTION(""""""""" &amp; REGEXEXTRACT(B6227, ""/detail/([^/?]+)"") &amp; """""","""),"""kjahobcipmkpakkhlmdhklemnmccmmll"",")</f>
        <v>"kjahobcipmkpakkhlmdhklemnmccmmll",</v>
      </c>
    </row>
    <row r="6228">
      <c r="A6228" s="4" t="s">
        <v>25407</v>
      </c>
      <c r="B6228" s="4" t="s">
        <v>12391</v>
      </c>
      <c r="C6228" s="16" t="str">
        <f>IFERROR(__xludf.DUMMYFUNCTION(""""""""" &amp; REGEXEXTRACT(B6228, ""/detail/([^/?]+)"") &amp; """""","""),"""kjeacdeffkhbcaoobelkgnnlfpaifaoc"",")</f>
        <v>"kjeacdeffkhbcaoobelkgnnlfpaifaoc",</v>
      </c>
    </row>
    <row r="6229">
      <c r="A6229" s="4" t="s">
        <v>25408</v>
      </c>
      <c r="B6229" s="4" t="s">
        <v>12393</v>
      </c>
      <c r="C6229" s="16" t="str">
        <f>IFERROR(__xludf.DUMMYFUNCTION(""""""""" &amp; REGEXEXTRACT(B6229, ""/detail/([^/?]+)"") &amp; """""","""),"""kjiappjpfpaekdfeioanaphpihpojemc"",")</f>
        <v>"kjiappjpfpaekdfeioanaphpihpojemc",</v>
      </c>
    </row>
    <row r="6230">
      <c r="A6230" s="4" t="s">
        <v>25409</v>
      </c>
      <c r="B6230" s="4" t="s">
        <v>12395</v>
      </c>
      <c r="C6230" s="16" t="str">
        <f>IFERROR(__xludf.DUMMYFUNCTION(""""""""" &amp; REGEXEXTRACT(B6230, ""/detail/([^/?]+)"") &amp; """""","""),"""kjjgifdfplpegljdfnpmbjmkngdilmkd"",")</f>
        <v>"kjjgifdfplpegljdfnpmbjmkngdilmkd",</v>
      </c>
    </row>
    <row r="6231">
      <c r="A6231" s="4" t="s">
        <v>25410</v>
      </c>
      <c r="B6231" s="4" t="s">
        <v>12397</v>
      </c>
      <c r="C6231" s="16" t="str">
        <f>IFERROR(__xludf.DUMMYFUNCTION(""""""""" &amp; REGEXEXTRACT(B6231, ""/detail/([^/?]+)"") &amp; """""","""),"""kjlmmjnmmlfamgddfglhaoklpjjplbhc"",")</f>
        <v>"kjlmmjnmmlfamgddfglhaoklpjjplbhc",</v>
      </c>
    </row>
    <row r="6232">
      <c r="A6232" s="4" t="s">
        <v>25411</v>
      </c>
      <c r="B6232" s="4" t="s">
        <v>12399</v>
      </c>
      <c r="C6232" s="16" t="str">
        <f>IFERROR(__xludf.DUMMYFUNCTION(""""""""" &amp; REGEXEXTRACT(B6232, ""/detail/([^/?]+)"") &amp; """""","""),"""kjmjbefknmdpnikmlmcimdpnhlopbjac"",")</f>
        <v>"kjmjbefknmdpnikmlmcimdpnhlopbjac",</v>
      </c>
    </row>
    <row r="6233">
      <c r="A6233" s="4" t="s">
        <v>25412</v>
      </c>
      <c r="B6233" s="4" t="s">
        <v>12401</v>
      </c>
      <c r="C6233" s="16" t="str">
        <f>IFERROR(__xludf.DUMMYFUNCTION(""""""""" &amp; REGEXEXTRACT(B6233, ""/detail/([^/?]+)"") &amp; """""","""),"""kjncpaiejgkgpgiiibmnjnkahokdgfap"",")</f>
        <v>"kjncpaiejgkgpgiiibmnjnkahokdgfap",</v>
      </c>
    </row>
    <row r="6234">
      <c r="A6234" s="4" t="s">
        <v>25413</v>
      </c>
      <c r="B6234" s="4" t="s">
        <v>12403</v>
      </c>
      <c r="C6234" s="16" t="str">
        <f>IFERROR(__xludf.DUMMYFUNCTION(""""""""" &amp; REGEXEXTRACT(B6234, ""/detail/([^/?]+)"") &amp; """""","""),"""kjofnodheplpcpbognpfnbaopmjgbfdg"",")</f>
        <v>"kjofnodheplpcpbognpfnbaopmjgbfdg",</v>
      </c>
    </row>
    <row r="6235">
      <c r="A6235" s="4" t="s">
        <v>25414</v>
      </c>
      <c r="B6235" s="4" t="s">
        <v>12405</v>
      </c>
      <c r="C6235" s="16" t="str">
        <f>IFERROR(__xludf.DUMMYFUNCTION(""""""""" &amp; REGEXEXTRACT(B6235, ""/detail/([^/?]+)"") &amp; """""","""),"""kkaegklhgkhfdhanhalpjhfbpmlomlhc"",")</f>
        <v>"kkaegklhgkhfdhanhalpjhfbpmlomlhc",</v>
      </c>
    </row>
    <row r="6236">
      <c r="A6236" s="4" t="s">
        <v>25415</v>
      </c>
      <c r="B6236" s="4" t="s">
        <v>12407</v>
      </c>
      <c r="C6236" s="16" t="str">
        <f>IFERROR(__xludf.DUMMYFUNCTION(""""""""" &amp; REGEXEXTRACT(B6236, ""/detail/([^/?]+)"") &amp; """""","""),"""kkblboamlobgcnhgfbjpfmomcdceagjf"",")</f>
        <v>"kkblboamlobgcnhgfbjpfmomcdceagjf",</v>
      </c>
    </row>
    <row r="6237">
      <c r="A6237" s="4" t="s">
        <v>25416</v>
      </c>
      <c r="B6237" s="4" t="s">
        <v>12409</v>
      </c>
      <c r="C6237" s="16" t="str">
        <f>IFERROR(__xludf.DUMMYFUNCTION(""""""""" &amp; REGEXEXTRACT(B6237, ""/detail/([^/?]+)"") &amp; """""","""),"""kkbmcejbjlhkmljcafiaofajcbgkobcd"",")</f>
        <v>"kkbmcejbjlhkmljcafiaofajcbgkobcd",</v>
      </c>
    </row>
    <row r="6238">
      <c r="A6238" s="4" t="s">
        <v>25417</v>
      </c>
      <c r="B6238" s="4" t="s">
        <v>12411</v>
      </c>
      <c r="C6238" s="16" t="str">
        <f>IFERROR(__xludf.DUMMYFUNCTION(""""""""" &amp; REGEXEXTRACT(B6238, ""/detail/([^/?]+)"") &amp; """""","""),"""kkcgngoblmeffmdfpkgolbcmlimhlini"",")</f>
        <v>"kkcgngoblmeffmdfpkgolbcmlimhlini",</v>
      </c>
    </row>
    <row r="6239">
      <c r="A6239" s="4" t="s">
        <v>25418</v>
      </c>
      <c r="B6239" s="4" t="s">
        <v>12413</v>
      </c>
      <c r="C6239" s="16" t="str">
        <f>IFERROR(__xludf.DUMMYFUNCTION(""""""""" &amp; REGEXEXTRACT(B6239, ""/detail/([^/?]+)"") &amp; """""","""),"""kkkjlfejijcjgjllecmnejhogpbcigdc"",")</f>
        <v>"kkkjlfejijcjgjllecmnejhogpbcigdc",</v>
      </c>
    </row>
    <row r="6240">
      <c r="A6240" s="4" t="s">
        <v>25419</v>
      </c>
      <c r="B6240" s="4" t="s">
        <v>12415</v>
      </c>
      <c r="C6240" s="16" t="str">
        <f>IFERROR(__xludf.DUMMYFUNCTION(""""""""" &amp; REGEXEXTRACT(B6240, ""/detail/([^/?]+)"") &amp; """""","""),"""kklllkcmelfeigbckbcmfpbdcnhifbec"",")</f>
        <v>"kklllkcmelfeigbckbcmfpbdcnhifbec",</v>
      </c>
    </row>
    <row r="6241">
      <c r="A6241" s="4" t="s">
        <v>25420</v>
      </c>
      <c r="B6241" s="4" t="s">
        <v>12417</v>
      </c>
      <c r="C6241" s="16" t="str">
        <f>IFERROR(__xludf.DUMMYFUNCTION(""""""""" &amp; REGEXEXTRACT(B6241, ""/detail/([^/?]+)"") &amp; """""","""),"""kkmbdnidlbkkhhdgchkagbdicfbfjahe"",")</f>
        <v>"kkmbdnidlbkkhhdgchkagbdicfbfjahe",</v>
      </c>
    </row>
    <row r="6242">
      <c r="A6242" s="4" t="s">
        <v>25421</v>
      </c>
      <c r="B6242" s="4" t="s">
        <v>12419</v>
      </c>
      <c r="C6242" s="16" t="str">
        <f>IFERROR(__xludf.DUMMYFUNCTION(""""""""" &amp; REGEXEXTRACT(B6242, ""/detail/([^/?]+)"") &amp; """""","""),"""kknifeoedmemmngpjcdbpnmebnhgodcl"",")</f>
        <v>"kknifeoedmemmngpjcdbpnmebnhgodcl",</v>
      </c>
    </row>
    <row r="6243">
      <c r="A6243" s="4" t="s">
        <v>25422</v>
      </c>
      <c r="B6243" s="4" t="s">
        <v>12421</v>
      </c>
      <c r="C6243" s="16" t="str">
        <f>IFERROR(__xludf.DUMMYFUNCTION(""""""""" &amp; REGEXEXTRACT(B6243, ""/detail/([^/?]+)"") &amp; """""","""),"""kknnkgpbclaljhfcknhbebhppmkmoaml"",")</f>
        <v>"kknnkgpbclaljhfcknhbebhppmkmoaml",</v>
      </c>
    </row>
    <row r="6244">
      <c r="A6244" s="4" t="s">
        <v>25423</v>
      </c>
      <c r="B6244" s="4" t="s">
        <v>12423</v>
      </c>
      <c r="C6244" s="16" t="str">
        <f>IFERROR(__xludf.DUMMYFUNCTION(""""""""" &amp; REGEXEXTRACT(B6244, ""/detail/([^/?]+)"") &amp; """""","""),"""kkppmdakhdcgoidhmoegcnbmboljojom"",")</f>
        <v>"kkppmdakhdcgoidhmoegcnbmboljojom",</v>
      </c>
    </row>
    <row r="6245">
      <c r="A6245" s="4" t="s">
        <v>25424</v>
      </c>
      <c r="B6245" s="4" t="s">
        <v>12425</v>
      </c>
      <c r="C6245" s="16" t="str">
        <f>IFERROR(__xludf.DUMMYFUNCTION(""""""""" &amp; REGEXEXTRACT(B6245, ""/detail/([^/?]+)"") &amp; """""","""),"""klbfleninpbmppkdafkdclidomgphcde"",")</f>
        <v>"klbfleninpbmppkdafkdclidomgphcde",</v>
      </c>
    </row>
    <row r="6246">
      <c r="A6246" s="4" t="s">
        <v>25425</v>
      </c>
      <c r="B6246" s="4" t="s">
        <v>12427</v>
      </c>
      <c r="C6246" s="16" t="str">
        <f>IFERROR(__xludf.DUMMYFUNCTION(""""""""" &amp; REGEXEXTRACT(B6246, ""/detail/([^/?]+)"") &amp; """""","""),"""klhlhobihlonchbicbgkjdapbbolmmaj"",")</f>
        <v>"klhlhobihlonchbicbgkjdapbbolmmaj",</v>
      </c>
    </row>
    <row r="6247">
      <c r="A6247" s="4" t="s">
        <v>25426</v>
      </c>
      <c r="B6247" s="4" t="s">
        <v>12429</v>
      </c>
      <c r="C6247" s="16" t="str">
        <f>IFERROR(__xludf.DUMMYFUNCTION(""""""""" &amp; REGEXEXTRACT(B6247, ""/detail/([^/?]+)"") &amp; """""","""),"""klimjjoolmemiionkhfgaligdiioehkg"",")</f>
        <v>"klimjjoolmemiionkhfgaligdiioehkg",</v>
      </c>
    </row>
    <row r="6248">
      <c r="A6248" s="4" t="s">
        <v>25427</v>
      </c>
      <c r="B6248" s="4" t="s">
        <v>12431</v>
      </c>
      <c r="C6248" s="16" t="str">
        <f>IFERROR(__xludf.DUMMYFUNCTION(""""""""" &amp; REGEXEXTRACT(B6248, ""/detail/([^/?]+)"") &amp; """""","""),"""klioagabdlbmbhomedhkfkjggelmfclg"",")</f>
        <v>"klioagabdlbmbhomedhkfkjggelmfclg",</v>
      </c>
    </row>
    <row r="6249">
      <c r="A6249" s="4" t="s">
        <v>25428</v>
      </c>
      <c r="B6249" s="4" t="s">
        <v>12433</v>
      </c>
      <c r="C6249" s="16" t="str">
        <f>IFERROR(__xludf.DUMMYFUNCTION(""""""""" &amp; REGEXEXTRACT(B6249, ""/detail/([^/?]+)"") &amp; """""","""),"""kljnlapeephekihcbjnphhfjlipefbld"",")</f>
        <v>"kljnlapeephekihcbjnphhfjlipefbld",</v>
      </c>
    </row>
    <row r="6250">
      <c r="A6250" s="4" t="s">
        <v>25429</v>
      </c>
      <c r="B6250" s="4" t="s">
        <v>12435</v>
      </c>
      <c r="C6250" s="16" t="str">
        <f>IFERROR(__xludf.DUMMYFUNCTION(""""""""" &amp; REGEXEXTRACT(B6250, ""/detail/([^/?]+)"") &amp; """""","""),"""klkanhjnfcfokmmlgjfhkblhjgfaefal"",")</f>
        <v>"klkanhjnfcfokmmlgjfhkblhjgfaefal",</v>
      </c>
    </row>
    <row r="6251">
      <c r="A6251" s="4" t="s">
        <v>25430</v>
      </c>
      <c r="B6251" s="4" t="s">
        <v>12437</v>
      </c>
      <c r="C6251" s="16" t="str">
        <f>IFERROR(__xludf.DUMMYFUNCTION(""""""""" &amp; REGEXEXTRACT(B6251, ""/detail/([^/?]+)"") &amp; """""","""),"""klmapenfmenbohghcdlilacfhckhcbnn"",")</f>
        <v>"klmapenfmenbohghcdlilacfhckhcbnn",</v>
      </c>
    </row>
    <row r="6252">
      <c r="A6252" s="4" t="s">
        <v>25431</v>
      </c>
      <c r="B6252" s="4" t="s">
        <v>12439</v>
      </c>
      <c r="C6252" s="16" t="str">
        <f>IFERROR(__xludf.DUMMYFUNCTION(""""""""" &amp; REGEXEXTRACT(B6252, ""/detail/([^/?]+)"") &amp; """""","""),"""klmjgkkbknbcllohenhldfgbbkjafmgc"",")</f>
        <v>"klmjgkkbknbcllohenhldfgbbkjafmgc",</v>
      </c>
    </row>
    <row r="6253">
      <c r="A6253" s="4" t="s">
        <v>25432</v>
      </c>
      <c r="B6253" s="4" t="s">
        <v>12441</v>
      </c>
      <c r="C6253" s="16" t="str">
        <f>IFERROR(__xludf.DUMMYFUNCTION(""""""""" &amp; REGEXEXTRACT(B6253, ""/detail/([^/?]+)"") &amp; """""","""),"""klmjhmebmifmdombbdecdeeannafjofd"",")</f>
        <v>"klmjhmebmifmdombbdecdeeannafjofd",</v>
      </c>
    </row>
    <row r="6254">
      <c r="A6254" s="4" t="s">
        <v>25433</v>
      </c>
      <c r="B6254" s="4" t="s">
        <v>12443</v>
      </c>
      <c r="C6254" s="16" t="str">
        <f>IFERROR(__xludf.DUMMYFUNCTION(""""""""" &amp; REGEXEXTRACT(B6254, ""/detail/([^/?]+)"") &amp; """""","""),"""klnimjpfkfcfdllnbmmhjjomcmciepkk"",")</f>
        <v>"klnimjpfkfcfdllnbmmhjjomcmciepkk",</v>
      </c>
    </row>
    <row r="6255">
      <c r="A6255" s="4" t="s">
        <v>25434</v>
      </c>
      <c r="B6255" s="4" t="s">
        <v>12445</v>
      </c>
      <c r="C6255" s="16" t="str">
        <f>IFERROR(__xludf.DUMMYFUNCTION(""""""""" &amp; REGEXEXTRACT(B6255, ""/detail/([^/?]+)"") &amp; """""","""),"""klomjfcgakppceibbbgkbdklmhiiidkl"",")</f>
        <v>"klomjfcgakppceibbbgkbdklmhiiidkl",</v>
      </c>
    </row>
    <row r="6256">
      <c r="A6256" s="4" t="s">
        <v>25435</v>
      </c>
      <c r="B6256" s="4" t="s">
        <v>12447</v>
      </c>
      <c r="C6256" s="16" t="str">
        <f>IFERROR(__xludf.DUMMYFUNCTION(""""""""" &amp; REGEXEXTRACT(B6256, ""/detail/([^/?]+)"") &amp; """""","""),"""kmblidjbanodooeajaadfhknhmliklpm"",")</f>
        <v>"kmblidjbanodooeajaadfhknhmliklpm",</v>
      </c>
    </row>
    <row r="6257">
      <c r="A6257" s="4" t="s">
        <v>25436</v>
      </c>
      <c r="B6257" s="4" t="s">
        <v>12449</v>
      </c>
      <c r="C6257" s="16" t="str">
        <f>IFERROR(__xludf.DUMMYFUNCTION(""""""""" &amp; REGEXEXTRACT(B6257, ""/detail/([^/?]+)"") &amp; """""","""),"""kmclnkpagjmledigbephoecmpihidbla"",")</f>
        <v>"kmclnkpagjmledigbephoecmpihidbla",</v>
      </c>
    </row>
    <row r="6258">
      <c r="A6258" s="4" t="s">
        <v>25437</v>
      </c>
      <c r="B6258" s="4" t="s">
        <v>12451</v>
      </c>
      <c r="C6258" s="16" t="str">
        <f>IFERROR(__xludf.DUMMYFUNCTION(""""""""" &amp; REGEXEXTRACT(B6258, ""/detail/([^/?]+)"") &amp; """""","""),"""kmgakknaioncidlchblnmelihakjeald"",")</f>
        <v>"kmgakknaioncidlchblnmelihakjeald",</v>
      </c>
    </row>
    <row r="6259">
      <c r="A6259" s="4" t="s">
        <v>25438</v>
      </c>
      <c r="B6259" s="4" t="s">
        <v>12453</v>
      </c>
      <c r="C6259" s="16" t="str">
        <f>IFERROR(__xludf.DUMMYFUNCTION(""""""""" &amp; REGEXEXTRACT(B6259, ""/detail/([^/?]+)"") &amp; """""","""),"""kmjljfbdjnjbjhfadcnmldhnkklbldng"",")</f>
        <v>"kmjljfbdjnjbjhfadcnmldhnkklbldng",</v>
      </c>
    </row>
    <row r="6260">
      <c r="A6260" s="4" t="s">
        <v>25439</v>
      </c>
      <c r="B6260" s="4" t="s">
        <v>12455</v>
      </c>
      <c r="C6260" s="16" t="str">
        <f>IFERROR(__xludf.DUMMYFUNCTION(""""""""" &amp; REGEXEXTRACT(B6260, ""/detail/([^/?]+)"") &amp; """""","""),"""kmonkhbnghcmlhgbmlpagpapfomioidg"",")</f>
        <v>"kmonkhbnghcmlhgbmlpagpapfomioidg",</v>
      </c>
    </row>
    <row r="6261">
      <c r="A6261" s="4" t="s">
        <v>25440</v>
      </c>
      <c r="B6261" s="4" t="s">
        <v>12457</v>
      </c>
      <c r="C6261" s="16" t="str">
        <f>IFERROR(__xludf.DUMMYFUNCTION(""""""""" &amp; REGEXEXTRACT(B6261, ""/detail/([^/?]+)"") &amp; """""","""),"""knambdkfjgjcfnnackejjepjnilcpeeh"",")</f>
        <v>"knambdkfjgjcfnnackejjepjnilcpeeh",</v>
      </c>
    </row>
    <row r="6262">
      <c r="A6262" s="4" t="s">
        <v>25441</v>
      </c>
      <c r="B6262" s="4" t="s">
        <v>12459</v>
      </c>
      <c r="C6262" s="16" t="str">
        <f>IFERROR(__xludf.DUMMYFUNCTION(""""""""" &amp; REGEXEXTRACT(B6262, ""/detail/([^/?]+)"") &amp; """""","""),"""knbllidkibplcobilanhbpldlioffbak"",")</f>
        <v>"knbllidkibplcobilanhbpldlioffbak",</v>
      </c>
    </row>
    <row r="6263">
      <c r="A6263" s="4" t="s">
        <v>25442</v>
      </c>
      <c r="B6263" s="4" t="s">
        <v>12461</v>
      </c>
      <c r="C6263" s="16" t="str">
        <f>IFERROR(__xludf.DUMMYFUNCTION(""""""""" &amp; REGEXEXTRACT(B6263, ""/detail/([^/?]+)"") &amp; """""","""),"""knfpmclhohfhanmiilcahnlcndejlldk"",")</f>
        <v>"knfpmclhohfhanmiilcahnlcndejlldk",</v>
      </c>
    </row>
    <row r="6264">
      <c r="A6264" s="4" t="s">
        <v>25443</v>
      </c>
      <c r="B6264" s="4" t="s">
        <v>12463</v>
      </c>
      <c r="C6264" s="16" t="str">
        <f>IFERROR(__xludf.DUMMYFUNCTION(""""""""" &amp; REGEXEXTRACT(B6264, ""/detail/([^/?]+)"") &amp; """""","""),"""kngfclmodcalgnlafnjgplnoamboaala"",")</f>
        <v>"kngfclmodcalgnlafnjgplnoamboaala",</v>
      </c>
    </row>
    <row r="6265">
      <c r="A6265" s="4" t="s">
        <v>25444</v>
      </c>
      <c r="B6265" s="4" t="s">
        <v>12465</v>
      </c>
      <c r="C6265" s="16" t="str">
        <f>IFERROR(__xludf.DUMMYFUNCTION(""""""""" &amp; REGEXEXTRACT(B6265, ""/detail/([^/?]+)"") &amp; """""","""),"""knkkmemihnkkehhkkdonlnfgajbjpadc"",")</f>
        <v>"knkkmemihnkkehhkkdonlnfgajbjpadc",</v>
      </c>
    </row>
    <row r="6266">
      <c r="A6266" s="4" t="s">
        <v>25445</v>
      </c>
      <c r="B6266" s="4" t="s">
        <v>12467</v>
      </c>
      <c r="C6266" s="16" t="str">
        <f>IFERROR(__xludf.DUMMYFUNCTION(""""""""" &amp; REGEXEXTRACT(B6266, ""/detail/([^/?]+)"") &amp; """""","""),"""knmkalnmhkhjpojmnlfkmfbdagpcommg"",")</f>
        <v>"knmkalnmhkhjpojmnlfkmfbdagpcommg",</v>
      </c>
    </row>
    <row r="6267">
      <c r="A6267" s="4" t="s">
        <v>25446</v>
      </c>
      <c r="B6267" s="4" t="s">
        <v>12469</v>
      </c>
      <c r="C6267" s="16" t="str">
        <f>IFERROR(__xludf.DUMMYFUNCTION(""""""""" &amp; REGEXEXTRACT(B6267, ""/detail/([^/?]+)"") &amp; """""","""),"""knmnaaoafogkenfjbgmhkjpiabopnibg"",")</f>
        <v>"knmnaaoafogkenfjbgmhkjpiabopnibg",</v>
      </c>
    </row>
    <row r="6268">
      <c r="A6268" s="4" t="s">
        <v>25447</v>
      </c>
      <c r="B6268" s="4" t="s">
        <v>12471</v>
      </c>
      <c r="C6268" s="16" t="str">
        <f>IFERROR(__xludf.DUMMYFUNCTION(""""""""" &amp; REGEXEXTRACT(B6268, ""/detail/([^/?]+)"") &amp; """""","""),"""knmpiompbjhokccdbgpbhpkafjkdlkbl"",")</f>
        <v>"knmpiompbjhokccdbgpbhpkafjkdlkbl",</v>
      </c>
    </row>
    <row r="6269">
      <c r="A6269" s="4" t="s">
        <v>25448</v>
      </c>
      <c r="B6269" s="4" t="s">
        <v>12473</v>
      </c>
      <c r="C6269" s="16" t="str">
        <f>IFERROR(__xludf.DUMMYFUNCTION(""""""""" &amp; REGEXEXTRACT(B6269, ""/detail/([^/?]+)"") &amp; """""","""),"""knoccgahmcfhngbjhdbcodajdioedgdo"",")</f>
        <v>"knoccgahmcfhngbjhdbcodajdioedgdo",</v>
      </c>
    </row>
    <row r="6270">
      <c r="A6270" s="4" t="s">
        <v>25449</v>
      </c>
      <c r="B6270" s="4" t="s">
        <v>12475</v>
      </c>
      <c r="C6270" s="16" t="str">
        <f>IFERROR(__xludf.DUMMYFUNCTION(""""""""" &amp; REGEXEXTRACT(B6270, ""/detail/([^/?]+)"") &amp; """""","""),"""kobehciphdhcbmhcpklcphbaomcjhojo"",")</f>
        <v>"kobehciphdhcbmhcpklcphbaomcjhojo",</v>
      </c>
    </row>
    <row r="6271">
      <c r="A6271" s="4" t="s">
        <v>25450</v>
      </c>
      <c r="B6271" s="4" t="s">
        <v>12477</v>
      </c>
      <c r="C6271" s="16" t="str">
        <f>IFERROR(__xludf.DUMMYFUNCTION(""""""""" &amp; REGEXEXTRACT(B6271, ""/detail/([^/?]+)"") &amp; """""","""),"""kofepkkfbdobmjpjighopoggdjiehfop"",")</f>
        <v>"kofepkkfbdobmjpjighopoggdjiehfop",</v>
      </c>
    </row>
    <row r="6272">
      <c r="A6272" s="4" t="s">
        <v>25451</v>
      </c>
      <c r="B6272" s="4" t="s">
        <v>12479</v>
      </c>
      <c r="C6272" s="16" t="str">
        <f>IFERROR(__xludf.DUMMYFUNCTION(""""""""" &amp; REGEXEXTRACT(B6272, ""/detail/([^/?]+)"") &amp; """""","""),"""kofhipaohlfniimaglmhoimcjlgbokmh"",")</f>
        <v>"kofhipaohlfniimaglmhoimcjlgbokmh",</v>
      </c>
    </row>
    <row r="6273">
      <c r="A6273" s="4" t="s">
        <v>25452</v>
      </c>
      <c r="B6273" s="4" t="s">
        <v>12481</v>
      </c>
      <c r="C6273" s="16" t="str">
        <f>IFERROR(__xludf.DUMMYFUNCTION(""""""""" &amp; REGEXEXTRACT(B6273, ""/detail/([^/?]+)"") &amp; """""","""),"""kohbgdkncdbkjnnaobcndbghiaggepfa"",")</f>
        <v>"kohbgdkncdbkjnnaobcndbghiaggepfa",</v>
      </c>
    </row>
    <row r="6274">
      <c r="A6274" s="4" t="s">
        <v>25453</v>
      </c>
      <c r="B6274" s="4" t="s">
        <v>12483</v>
      </c>
      <c r="C6274" s="16" t="str">
        <f>IFERROR(__xludf.DUMMYFUNCTION(""""""""" &amp; REGEXEXTRACT(B6274, ""/detail/([^/?]+)"") &amp; """""","""),"""kohddgnpofoogkkjejnmcgleamcfbhhc"",")</f>
        <v>"kohddgnpofoogkkjejnmcgleamcfbhhc",</v>
      </c>
    </row>
    <row r="6275">
      <c r="A6275" s="4" t="s">
        <v>25454</v>
      </c>
      <c r="B6275" s="4" t="s">
        <v>12485</v>
      </c>
      <c r="C6275" s="16" t="str">
        <f>IFERROR(__xludf.DUMMYFUNCTION(""""""""" &amp; REGEXEXTRACT(B6275, ""/detail/([^/?]+)"") &amp; """""","""),"""koiiicglkbcomcplnggedapdhafigbje"",")</f>
        <v>"koiiicglkbcomcplnggedapdhafigbje",</v>
      </c>
    </row>
    <row r="6276">
      <c r="A6276" s="4" t="s">
        <v>25455</v>
      </c>
      <c r="B6276" s="4" t="s">
        <v>12487</v>
      </c>
      <c r="C6276" s="16" t="str">
        <f>IFERROR(__xludf.DUMMYFUNCTION(""""""""" &amp; REGEXEXTRACT(B6276, ""/detail/([^/?]+)"") &amp; """""","""),"""kojjjjdojafbbpmhlmknbglempljhlke"",")</f>
        <v>"kojjjjdojafbbpmhlmknbglempljhlke",</v>
      </c>
    </row>
    <row r="6277">
      <c r="A6277" s="4" t="s">
        <v>25456</v>
      </c>
      <c r="B6277" s="4" t="s">
        <v>12489</v>
      </c>
      <c r="C6277" s="16" t="str">
        <f>IFERROR(__xludf.DUMMYFUNCTION(""""""""" &amp; REGEXEXTRACT(B6277, ""/detail/([^/?]+)"") &amp; """""","""),"""kojnadkkdladdokoildmmkncmakbkioh"",")</f>
        <v>"kojnadkkdladdokoildmmkncmakbkioh",</v>
      </c>
    </row>
    <row r="6278">
      <c r="A6278" s="4" t="s">
        <v>25457</v>
      </c>
      <c r="B6278" s="4" t="s">
        <v>12491</v>
      </c>
      <c r="C6278" s="16" t="str">
        <f>IFERROR(__xludf.DUMMYFUNCTION(""""""""" &amp; REGEXEXTRACT(B6278, ""/detail/([^/?]+)"") &amp; """""","""),"""kojpdadnbbicdfgfadonheclfpcjpiah"",")</f>
        <v>"kojpdadnbbicdfgfadonheclfpcjpiah",</v>
      </c>
    </row>
    <row r="6279">
      <c r="A6279" s="4" t="s">
        <v>25458</v>
      </c>
      <c r="B6279" s="4" t="s">
        <v>12493</v>
      </c>
      <c r="C6279" s="16" t="str">
        <f>IFERROR(__xludf.DUMMYFUNCTION(""""""""" &amp; REGEXEXTRACT(B6279, ""/detail/([^/?]+)"") &amp; """""","""),"""kokkcakjpobjcccjgkfjdhhnlieppmje"",")</f>
        <v>"kokkcakjpobjcccjgkfjdhhnlieppmje",</v>
      </c>
    </row>
    <row r="6280">
      <c r="A6280" s="4" t="s">
        <v>25459</v>
      </c>
      <c r="B6280" s="4" t="s">
        <v>12495</v>
      </c>
      <c r="C6280" s="16" t="str">
        <f>IFERROR(__xludf.DUMMYFUNCTION(""""""""" &amp; REGEXEXTRACT(B6280, ""/detail/([^/?]+)"") &amp; """""","""),"""kokpckgbhcmeobdddflajfcpmmfhkekn"",")</f>
        <v>"kokpckgbhcmeobdddflajfcpmmfhkekn",</v>
      </c>
    </row>
    <row r="6281">
      <c r="A6281" s="4" t="s">
        <v>25460</v>
      </c>
      <c r="B6281" s="4" t="s">
        <v>12497</v>
      </c>
      <c r="C6281" s="16" t="str">
        <f>IFERROR(__xludf.DUMMYFUNCTION(""""""""" &amp; REGEXEXTRACT(B6281, ""/detail/([^/?]+)"") &amp; """""","""),"""komagngbpbibhkndkibpgjdfbgeeodlh"",")</f>
        <v>"komagngbpbibhkndkibpgjdfbgeeodlh",</v>
      </c>
    </row>
    <row r="6282">
      <c r="A6282" s="4" t="s">
        <v>25461</v>
      </c>
      <c r="B6282" s="4" t="s">
        <v>12499</v>
      </c>
      <c r="C6282" s="16" t="str">
        <f>IFERROR(__xludf.DUMMYFUNCTION(""""""""" &amp; REGEXEXTRACT(B6282, ""/detail/([^/?]+)"") &amp; """""","""),"""konhnfjdepjkihlnodbnphpplfjgofki"",")</f>
        <v>"konhnfjdepjkihlnodbnphpplfjgofki",</v>
      </c>
    </row>
    <row r="6283">
      <c r="A6283" s="4" t="s">
        <v>25462</v>
      </c>
      <c r="B6283" s="4" t="s">
        <v>12501</v>
      </c>
      <c r="C6283" s="16" t="str">
        <f>IFERROR(__xludf.DUMMYFUNCTION(""""""""" &amp; REGEXEXTRACT(B6283, ""/detail/([^/?]+)"") &amp; """""","""),"""koompliecfdggdekbckngldibgmgehkn"",")</f>
        <v>"koompliecfdggdekbckngldibgmgehkn",</v>
      </c>
    </row>
    <row r="6284">
      <c r="A6284" s="4" t="s">
        <v>25463</v>
      </c>
      <c r="B6284" s="4" t="s">
        <v>12503</v>
      </c>
      <c r="C6284" s="16" t="str">
        <f>IFERROR(__xludf.DUMMYFUNCTION(""""""""" &amp; REGEXEXTRACT(B6284, ""/detail/([^/?]+)"") &amp; """""","""),"""kopedjkmmeahidobhhkboollaabepmmb"",")</f>
        <v>"kopedjkmmeahidobhhkboollaabepmmb",</v>
      </c>
    </row>
    <row r="6285">
      <c r="A6285" s="4" t="s">
        <v>25464</v>
      </c>
      <c r="B6285" s="4" t="s">
        <v>12505</v>
      </c>
      <c r="C6285" s="16" t="str">
        <f>IFERROR(__xludf.DUMMYFUNCTION(""""""""" &amp; REGEXEXTRACT(B6285, ""/detail/([^/?]+)"") &amp; """""","""),"""kpcelfaheoikimakaonbfipkijodnmmd"",")</f>
        <v>"kpcelfaheoikimakaonbfipkijodnmmd",</v>
      </c>
    </row>
    <row r="6286">
      <c r="A6286" s="4" t="s">
        <v>25465</v>
      </c>
      <c r="B6286" s="4" t="s">
        <v>12507</v>
      </c>
      <c r="C6286" s="16" t="str">
        <f>IFERROR(__xludf.DUMMYFUNCTION(""""""""" &amp; REGEXEXTRACT(B6286, ""/detail/([^/?]+)"") &amp; """""","""),"""kpfmidcdnfpaamdaobjiiamaihdigaoj"",")</f>
        <v>"kpfmidcdnfpaamdaobjiiamaihdigaoj",</v>
      </c>
    </row>
    <row r="6287">
      <c r="A6287" s="4" t="s">
        <v>25466</v>
      </c>
      <c r="B6287" s="4" t="s">
        <v>12509</v>
      </c>
      <c r="C6287" s="16" t="str">
        <f>IFERROR(__xludf.DUMMYFUNCTION(""""""""" &amp; REGEXEXTRACT(B6287, ""/detail/([^/?]+)"") &amp; """""","""),"""kpgbjmdhihjamofekoagnilikhbekpoc"",")</f>
        <v>"kpgbjmdhihjamofekoagnilikhbekpoc",</v>
      </c>
    </row>
    <row r="6288">
      <c r="A6288" s="4" t="s">
        <v>25467</v>
      </c>
      <c r="B6288" s="4" t="s">
        <v>12511</v>
      </c>
      <c r="C6288" s="16" t="str">
        <f>IFERROR(__xludf.DUMMYFUNCTION(""""""""" &amp; REGEXEXTRACT(B6288, ""/detail/([^/?]+)"") &amp; """""","""),"""kpheonghihdcmoolfckjjjnelppbfbhj"",")</f>
        <v>"kpheonghihdcmoolfckjjjnelppbfbhj",</v>
      </c>
    </row>
    <row r="6289">
      <c r="A6289" s="4" t="s">
        <v>25468</v>
      </c>
      <c r="B6289" s="4" t="s">
        <v>12513</v>
      </c>
      <c r="C6289" s="16" t="str">
        <f>IFERROR(__xludf.DUMMYFUNCTION(""""""""" &amp; REGEXEXTRACT(B6289, ""/detail/([^/?]+)"") &amp; """""","""),"""kpjdlhnmjhjnbeigfilbaiklikbopbca"",")</f>
        <v>"kpjdlhnmjhjnbeigfilbaiklikbopbca",</v>
      </c>
    </row>
    <row r="6290">
      <c r="A6290" s="4" t="s">
        <v>25469</v>
      </c>
      <c r="B6290" s="4" t="s">
        <v>12515</v>
      </c>
      <c r="C6290" s="16" t="str">
        <f>IFERROR(__xludf.DUMMYFUNCTION(""""""""" &amp; REGEXEXTRACT(B6290, ""/detail/([^/?]+)"") &amp; """""","""),"""kpogandfndblomniegfaeakkjchmiedi"",")</f>
        <v>"kpogandfndblomniegfaeakkjchmiedi",</v>
      </c>
    </row>
    <row r="6291">
      <c r="A6291" s="4" t="s">
        <v>25470</v>
      </c>
      <c r="B6291" s="4" t="s">
        <v>12517</v>
      </c>
      <c r="C6291" s="16" t="str">
        <f>IFERROR(__xludf.DUMMYFUNCTION(""""""""" &amp; REGEXEXTRACT(B6291, ""/detail/([^/?]+)"") &amp; """""","""),"""kppjocagmdpaankmegehmdkcchkhcjil"",")</f>
        <v>"kppjocagmdpaankmegehmdkcchkhcjil",</v>
      </c>
    </row>
    <row r="6292">
      <c r="A6292" s="4" t="s">
        <v>25471</v>
      </c>
      <c r="B6292" s="4" t="s">
        <v>12519</v>
      </c>
      <c r="C6292" s="16" t="str">
        <f>IFERROR(__xludf.DUMMYFUNCTION(""""""""" &amp; REGEXEXTRACT(B6292, ""/detail/([^/?]+)"") &amp; """""","""),"""laafmimmfoigfibljpeaohdehdnlbddg"",")</f>
        <v>"laafmimmfoigfibljpeaohdehdnlbddg",</v>
      </c>
    </row>
    <row r="6293">
      <c r="A6293" s="4" t="s">
        <v>25472</v>
      </c>
      <c r="B6293" s="4" t="s">
        <v>12521</v>
      </c>
      <c r="C6293" s="16" t="str">
        <f>IFERROR(__xludf.DUMMYFUNCTION(""""""""" &amp; REGEXEXTRACT(B6293, ""/detail/([^/?]+)"") &amp; """""","""),"""labcnlicceloglidikcjbfglhnjibcbd"",")</f>
        <v>"labcnlicceloglidikcjbfglhnjibcbd",</v>
      </c>
    </row>
    <row r="6294">
      <c r="A6294" s="4" t="s">
        <v>25473</v>
      </c>
      <c r="B6294" s="4" t="s">
        <v>12523</v>
      </c>
      <c r="C6294" s="16" t="str">
        <f>IFERROR(__xludf.DUMMYFUNCTION(""""""""" &amp; REGEXEXTRACT(B6294, ""/detail/([^/?]+)"") &amp; """""","""),"""labnmfcoccnijgoofjgonodfklfcgiik"",")</f>
        <v>"labnmfcoccnijgoofjgonodfklfcgiik",</v>
      </c>
    </row>
    <row r="6295">
      <c r="A6295" s="4" t="s">
        <v>25474</v>
      </c>
      <c r="B6295" s="4" t="s">
        <v>12525</v>
      </c>
      <c r="C6295" s="16" t="str">
        <f>IFERROR(__xludf.DUMMYFUNCTION(""""""""" &amp; REGEXEXTRACT(B6295, ""/detail/([^/?]+)"") &amp; """""","""),"""ladmledjhealdebhgmioccepgopekgii"",")</f>
        <v>"ladmledjhealdebhgmioccepgopekgii",</v>
      </c>
    </row>
    <row r="6296">
      <c r="A6296" s="4" t="s">
        <v>25475</v>
      </c>
      <c r="B6296" s="4" t="s">
        <v>12527</v>
      </c>
      <c r="C6296" s="16" t="str">
        <f>IFERROR(__xludf.DUMMYFUNCTION(""""""""" &amp; REGEXEXTRACT(B6296, ""/detail/([^/?]+)"") &amp; """""","""),"""ladodfifhhcaabnbbcfnaejkjincffke"",")</f>
        <v>"ladodfifhhcaabnbbcfnaejkjincffke",</v>
      </c>
    </row>
    <row r="6297">
      <c r="A6297" s="4" t="s">
        <v>25476</v>
      </c>
      <c r="B6297" s="4" t="s">
        <v>12529</v>
      </c>
      <c r="C6297" s="16" t="str">
        <f>IFERROR(__xludf.DUMMYFUNCTION(""""""""" &amp; REGEXEXTRACT(B6297, ""/detail/([^/?]+)"") &amp; """""","""),"""lafejnfjocpobabckpeeikppdmmfckld"",")</f>
        <v>"lafejnfjocpobabckpeeikppdmmfckld",</v>
      </c>
    </row>
    <row r="6298">
      <c r="A6298" s="4" t="s">
        <v>25477</v>
      </c>
      <c r="B6298" s="4" t="s">
        <v>12531</v>
      </c>
      <c r="C6298" s="16" t="str">
        <f>IFERROR(__xludf.DUMMYFUNCTION(""""""""" &amp; REGEXEXTRACT(B6298, ""/detail/([^/?]+)"") &amp; """""","""),"""lafmglpipgongjmbbjngmboifpaodemk"",")</f>
        <v>"lafmglpipgongjmbbjngmboifpaodemk",</v>
      </c>
    </row>
    <row r="6299">
      <c r="A6299" s="4" t="s">
        <v>25478</v>
      </c>
      <c r="B6299" s="4" t="s">
        <v>12533</v>
      </c>
      <c r="C6299" s="16" t="str">
        <f>IFERROR(__xludf.DUMMYFUNCTION(""""""""" &amp; REGEXEXTRACT(B6299, ""/detail/([^/?]+)"") &amp; """""","""),"""laljmhioiddblffiklfmfaohahagloej"",")</f>
        <v>"laljmhioiddblffiklfmfaohahagloej",</v>
      </c>
    </row>
    <row r="6300">
      <c r="A6300" s="4" t="s">
        <v>25479</v>
      </c>
      <c r="B6300" s="4" t="s">
        <v>12535</v>
      </c>
      <c r="C6300" s="16" t="str">
        <f>IFERROR(__xludf.DUMMYFUNCTION(""""""""" &amp; REGEXEXTRACT(B6300, ""/detail/([^/?]+)"") &amp; """""","""),"""lalmcicfakajjbjcafbfgldckpgodclf"",")</f>
        <v>"lalmcicfakajjbjcafbfgldckpgodclf",</v>
      </c>
    </row>
    <row r="6301">
      <c r="A6301" s="4" t="s">
        <v>25480</v>
      </c>
      <c r="B6301" s="4" t="s">
        <v>12537</v>
      </c>
      <c r="C6301" s="16" t="str">
        <f>IFERROR(__xludf.DUMMYFUNCTION(""""""""" &amp; REGEXEXTRACT(B6301, ""/detail/([^/?]+)"") &amp; """""","""),"""lalnbaaeaipofapafgocoakbhlpbnocl"",")</f>
        <v>"lalnbaaeaipofapafgocoakbhlpbnocl",</v>
      </c>
    </row>
    <row r="6302">
      <c r="A6302" s="4" t="s">
        <v>25481</v>
      </c>
      <c r="B6302" s="4" t="s">
        <v>12539</v>
      </c>
      <c r="C6302" s="16" t="str">
        <f>IFERROR(__xludf.DUMMYFUNCTION(""""""""" &amp; REGEXEXTRACT(B6302, ""/detail/([^/?]+)"") &amp; """""","""),"""lanmkhlbcjehkkgpbplhijiggoilhnpl"",")</f>
        <v>"lanmkhlbcjehkkgpbplhijiggoilhnpl",</v>
      </c>
    </row>
    <row r="6303">
      <c r="A6303" s="4" t="s">
        <v>25482</v>
      </c>
      <c r="B6303" s="4" t="s">
        <v>12541</v>
      </c>
      <c r="C6303" s="16" t="str">
        <f>IFERROR(__xludf.DUMMYFUNCTION(""""""""" &amp; REGEXEXTRACT(B6303, ""/detail/([^/?]+)"") &amp; """""","""),"""lapkjkaafhlddmpbjpeenaafgmndaaap"",")</f>
        <v>"lapkjkaafhlddmpbjpeenaafgmndaaap",</v>
      </c>
    </row>
    <row r="6304">
      <c r="A6304" s="4" t="s">
        <v>25483</v>
      </c>
      <c r="B6304" s="4" t="s">
        <v>12543</v>
      </c>
      <c r="C6304" s="16" t="str">
        <f>IFERROR(__xludf.DUMMYFUNCTION(""""""""" &amp; REGEXEXTRACT(B6304, ""/detail/([^/?]+)"") &amp; """""","""),"""lbbbhedjbckmeifebijaidgiccifohfd"",")</f>
        <v>"lbbbhedjbckmeifebijaidgiccifohfd",</v>
      </c>
    </row>
    <row r="6305">
      <c r="A6305" s="4" t="s">
        <v>25484</v>
      </c>
      <c r="B6305" s="4" t="s">
        <v>12545</v>
      </c>
      <c r="C6305" s="16" t="str">
        <f>IFERROR(__xludf.DUMMYFUNCTION(""""""""" &amp; REGEXEXTRACT(B6305, ""/detail/([^/?]+)"") &amp; """""","""),"""lbbkdcdfpgdbgfceieeicbpfhpcemppn"",")</f>
        <v>"lbbkdcdfpgdbgfceieeicbpfhpcemppn",</v>
      </c>
    </row>
    <row r="6306">
      <c r="A6306" s="4" t="s">
        <v>25485</v>
      </c>
      <c r="B6306" s="4" t="s">
        <v>12547</v>
      </c>
      <c r="C6306" s="16" t="str">
        <f>IFERROR(__xludf.DUMMYFUNCTION(""""""""" &amp; REGEXEXTRACT(B6306, ""/detail/([^/?]+)"") &amp; """""","""),"""lbdbhhafhkdkmhicidaofeojoahjjgio"",")</f>
        <v>"lbdbhhafhkdkmhicidaofeojoahjjgio",</v>
      </c>
    </row>
    <row r="6307">
      <c r="A6307" s="4" t="s">
        <v>25486</v>
      </c>
      <c r="B6307" s="4" t="s">
        <v>12549</v>
      </c>
      <c r="C6307" s="16" t="str">
        <f>IFERROR(__xludf.DUMMYFUNCTION(""""""""" &amp; REGEXEXTRACT(B6307, ""/detail/([^/?]+)"") &amp; """""","""),"""lbdmdckajccnmklminnmlcabkilmhfel"",")</f>
        <v>"lbdmdckajccnmklminnmlcabkilmhfel",</v>
      </c>
    </row>
    <row r="6308">
      <c r="A6308" s="4" t="s">
        <v>25487</v>
      </c>
      <c r="B6308" s="4" t="s">
        <v>12551</v>
      </c>
      <c r="C6308" s="16" t="str">
        <f>IFERROR(__xludf.DUMMYFUNCTION(""""""""" &amp; REGEXEXTRACT(B6308, ""/detail/([^/?]+)"") &amp; """""","""),"""lbepbkiknibiobnbanhggglkmpkbdiim"",")</f>
        <v>"lbepbkiknibiobnbanhggglkmpkbdiim",</v>
      </c>
    </row>
    <row r="6309">
      <c r="A6309" s="4" t="s">
        <v>25488</v>
      </c>
      <c r="B6309" s="4" t="s">
        <v>12553</v>
      </c>
      <c r="C6309" s="16" t="str">
        <f>IFERROR(__xludf.DUMMYFUNCTION(""""""""" &amp; REGEXEXTRACT(B6309, ""/detail/([^/?]+)"") &amp; """""","""),"""lbhdjpmomigdcfkidmimojhnoacaffcg"",")</f>
        <v>"lbhdjpmomigdcfkidmimojhnoacaffcg",</v>
      </c>
    </row>
    <row r="6310">
      <c r="A6310" s="4" t="s">
        <v>25489</v>
      </c>
      <c r="B6310" s="4" t="s">
        <v>12555</v>
      </c>
      <c r="C6310" s="16" t="str">
        <f>IFERROR(__xludf.DUMMYFUNCTION(""""""""" &amp; REGEXEXTRACT(B6310, ""/detail/([^/?]+)"") &amp; """""","""),"""lbifpcpomdegljfpfhgfcjdabbeallhk"",")</f>
        <v>"lbifpcpomdegljfpfhgfcjdabbeallhk",</v>
      </c>
    </row>
    <row r="6311">
      <c r="A6311" s="4" t="s">
        <v>25490</v>
      </c>
      <c r="B6311" s="4" t="s">
        <v>12557</v>
      </c>
      <c r="C6311" s="16" t="str">
        <f>IFERROR(__xludf.DUMMYFUNCTION(""""""""" &amp; REGEXEXTRACT(B6311, ""/detail/([^/?]+)"") &amp; """""","""),"""lbjpcnebnhkjdiniplihldngdbdmgici"",")</f>
        <v>"lbjpcnebnhkjdiniplihldngdbdmgici",</v>
      </c>
    </row>
    <row r="6312">
      <c r="A6312" s="4" t="s">
        <v>25491</v>
      </c>
      <c r="B6312" s="4" t="s">
        <v>12559</v>
      </c>
      <c r="C6312" s="16" t="str">
        <f>IFERROR(__xludf.DUMMYFUNCTION(""""""""" &amp; REGEXEXTRACT(B6312, ""/detail/([^/?]+)"") &amp; """""","""),"""lbnaaiagjdnialejpejfbiofmdceakjd"",")</f>
        <v>"lbnaaiagjdnialejpejfbiofmdceakjd",</v>
      </c>
    </row>
    <row r="6313">
      <c r="A6313" s="4" t="s">
        <v>25492</v>
      </c>
      <c r="B6313" s="4" t="s">
        <v>12561</v>
      </c>
      <c r="C6313" s="16" t="str">
        <f>IFERROR(__xludf.DUMMYFUNCTION(""""""""" &amp; REGEXEXTRACT(B6313, ""/detail/([^/?]+)"") &amp; """""","""),"""lcceflmmgfbjffkiihpmnjjkgklonbmj"",")</f>
        <v>"lcceflmmgfbjffkiihpmnjjkgklonbmj",</v>
      </c>
    </row>
    <row r="6314">
      <c r="A6314" s="4" t="s">
        <v>25493</v>
      </c>
      <c r="B6314" s="4" t="s">
        <v>12563</v>
      </c>
      <c r="C6314" s="16" t="str">
        <f>IFERROR(__xludf.DUMMYFUNCTION(""""""""" &amp; REGEXEXTRACT(B6314, ""/detail/([^/?]+)"") &amp; """""","""),"""lcekjafcocnndfjnomgjjaajpkbcigfa"",")</f>
        <v>"lcekjafcocnndfjnomgjjaajpkbcigfa",</v>
      </c>
    </row>
    <row r="6315">
      <c r="A6315" s="4" t="s">
        <v>25494</v>
      </c>
      <c r="B6315" s="4" t="s">
        <v>12565</v>
      </c>
      <c r="C6315" s="16" t="str">
        <f>IFERROR(__xludf.DUMMYFUNCTION(""""""""" &amp; REGEXEXTRACT(B6315, ""/detail/([^/?]+)"") &amp; """""","""),"""lcgmpehgdiaghhhhkaljhamggnbdgdig"",")</f>
        <v>"lcgmpehgdiaghhhhkaljhamggnbdgdig",</v>
      </c>
    </row>
    <row r="6316">
      <c r="A6316" s="4" t="s">
        <v>25495</v>
      </c>
      <c r="B6316" s="4" t="s">
        <v>12567</v>
      </c>
      <c r="C6316" s="16" t="str">
        <f>IFERROR(__xludf.DUMMYFUNCTION(""""""""" &amp; REGEXEXTRACT(B6316, ""/detail/([^/?]+)"") &amp; """""","""),"""lchlicjgphiemnihicjkgfjddjmlgcdl"",")</f>
        <v>"lchlicjgphiemnihicjkgfjddjmlgcdl",</v>
      </c>
    </row>
    <row r="6317">
      <c r="A6317" s="4" t="s">
        <v>25496</v>
      </c>
      <c r="B6317" s="4" t="s">
        <v>12569</v>
      </c>
      <c r="C6317" s="16" t="str">
        <f>IFERROR(__xludf.DUMMYFUNCTION(""""""""" &amp; REGEXEXTRACT(B6317, ""/detail/([^/?]+)"") &amp; """""","""),"""lchnjmjklognlfocknklbbmpdbfidahj"",")</f>
        <v>"lchnjmjklognlfocknklbbmpdbfidahj",</v>
      </c>
    </row>
    <row r="6318">
      <c r="A6318" s="4" t="s">
        <v>25497</v>
      </c>
      <c r="B6318" s="4" t="s">
        <v>12571</v>
      </c>
      <c r="C6318" s="16" t="str">
        <f>IFERROR(__xludf.DUMMYFUNCTION(""""""""" &amp; REGEXEXTRACT(B6318, ""/detail/([^/?]+)"") &amp; """""","""),"""lclghadialdhbgaglccgbaipohilhbph"",")</f>
        <v>"lclghadialdhbgaglccgbaipohilhbph",</v>
      </c>
    </row>
    <row r="6319">
      <c r="A6319" s="4" t="s">
        <v>25498</v>
      </c>
      <c r="B6319" s="4" t="s">
        <v>12573</v>
      </c>
      <c r="C6319" s="16" t="str">
        <f>IFERROR(__xludf.DUMMYFUNCTION(""""""""" &amp; REGEXEXTRACT(B6319, ""/detail/([^/?]+)"") &amp; """""","""),"""lcljfjceikhjcnkfneencpmcpkcknabm"",")</f>
        <v>"lcljfjceikhjcnkfneencpmcpkcknabm",</v>
      </c>
    </row>
    <row r="6320">
      <c r="A6320" s="4" t="s">
        <v>25499</v>
      </c>
      <c r="B6320" s="4" t="s">
        <v>12575</v>
      </c>
      <c r="C6320" s="16" t="str">
        <f>IFERROR(__xludf.DUMMYFUNCTION(""""""""" &amp; REGEXEXTRACT(B6320, ""/detail/([^/?]+)"") &amp; """""","""),"""ldaliobcgcbdpfhmdpcbighahcmpaebm"",")</f>
        <v>"ldaliobcgcbdpfhmdpcbighahcmpaebm",</v>
      </c>
    </row>
    <row r="6321">
      <c r="A6321" s="4" t="s">
        <v>25500</v>
      </c>
      <c r="B6321" s="4" t="s">
        <v>12577</v>
      </c>
      <c r="C6321" s="16" t="str">
        <f>IFERROR(__xludf.DUMMYFUNCTION(""""""""" &amp; REGEXEXTRACT(B6321, ""/detail/([^/?]+)"") &amp; """""","""),"""ldbflapfegfcoipoeophhjbgfcllmjip"",")</f>
        <v>"ldbflapfegfcoipoeophhjbgfcllmjip",</v>
      </c>
    </row>
    <row r="6322">
      <c r="A6322" s="4" t="s">
        <v>25501</v>
      </c>
      <c r="B6322" s="4" t="s">
        <v>12579</v>
      </c>
      <c r="C6322" s="16" t="str">
        <f>IFERROR(__xludf.DUMMYFUNCTION(""""""""" &amp; REGEXEXTRACT(B6322, ""/detail/([^/?]+)"") &amp; """""","""),"""ldfahoabcdgljodjddijjiknleolbcmh"",")</f>
        <v>"ldfahoabcdgljodjddijjiknleolbcmh",</v>
      </c>
    </row>
    <row r="6323">
      <c r="A6323" s="4" t="s">
        <v>25502</v>
      </c>
      <c r="B6323" s="4" t="s">
        <v>12581</v>
      </c>
      <c r="C6323" s="16" t="str">
        <f>IFERROR(__xludf.DUMMYFUNCTION(""""""""" &amp; REGEXEXTRACT(B6323, ""/detail/([^/?]+)"") &amp; """""","""),"""ldfiakhikkhfamppgkcdhihdpfcelold"",")</f>
        <v>"ldfiakhikkhfamppgkcdhihdpfcelold",</v>
      </c>
    </row>
    <row r="6324">
      <c r="A6324" s="4" t="s">
        <v>25503</v>
      </c>
      <c r="B6324" s="4" t="s">
        <v>12583</v>
      </c>
      <c r="C6324" s="16" t="str">
        <f>IFERROR(__xludf.DUMMYFUNCTION(""""""""" &amp; REGEXEXTRACT(B6324, ""/detail/([^/?]+)"") &amp; """""","""),"""ldhhhikjpbplhjfblngcbpdlhkgehifl"",")</f>
        <v>"ldhhhikjpbplhjfblngcbpdlhkgehifl",</v>
      </c>
    </row>
    <row r="6325">
      <c r="A6325" s="4" t="s">
        <v>25504</v>
      </c>
      <c r="B6325" s="4" t="s">
        <v>12585</v>
      </c>
      <c r="C6325" s="16" t="str">
        <f>IFERROR(__xludf.DUMMYFUNCTION(""""""""" &amp; REGEXEXTRACT(B6325, ""/detail/([^/?]+)"") &amp; """""","""),"""ldicakfacemocnhjhpaoandheikdpcap"",")</f>
        <v>"ldicakfacemocnhjhpaoandheikdpcap",</v>
      </c>
    </row>
    <row r="6326">
      <c r="A6326" s="4" t="s">
        <v>25505</v>
      </c>
      <c r="B6326" s="4" t="s">
        <v>12587</v>
      </c>
      <c r="C6326" s="16" t="str">
        <f>IFERROR(__xludf.DUMMYFUNCTION(""""""""" &amp; REGEXEXTRACT(B6326, ""/detail/([^/?]+)"") &amp; """""","""),"""ldoiggfbcanafkogpeclahfbdfdgedfe"",")</f>
        <v>"ldoiggfbcanafkogpeclahfbdfdgedfe",</v>
      </c>
    </row>
    <row r="6327">
      <c r="A6327" s="4" t="s">
        <v>25506</v>
      </c>
      <c r="B6327" s="4" t="s">
        <v>12589</v>
      </c>
      <c r="C6327" s="16" t="str">
        <f>IFERROR(__xludf.DUMMYFUNCTION(""""""""" &amp; REGEXEXTRACT(B6327, ""/detail/([^/?]+)"") &amp; """""","""),"""ledpaehpcpagpfagafnmdjededjcdccl"",")</f>
        <v>"ledpaehpcpagpfagafnmdjededjcdccl",</v>
      </c>
    </row>
    <row r="6328">
      <c r="A6328" s="4" t="s">
        <v>25507</v>
      </c>
      <c r="B6328" s="4" t="s">
        <v>12591</v>
      </c>
      <c r="C6328" s="16" t="str">
        <f>IFERROR(__xludf.DUMMYFUNCTION(""""""""" &amp; REGEXEXTRACT(B6328, ""/detail/([^/?]+)"") &amp; """""","""),"""leebgfjiljadmconbpkhlfambnlcchai"",")</f>
        <v>"leebgfjiljadmconbpkhlfambnlcchai",</v>
      </c>
    </row>
    <row r="6329">
      <c r="A6329" s="4" t="s">
        <v>25508</v>
      </c>
      <c r="B6329" s="4" t="s">
        <v>12593</v>
      </c>
      <c r="C6329" s="16" t="str">
        <f>IFERROR(__xludf.DUMMYFUNCTION(""""""""" &amp; REGEXEXTRACT(B6329, ""/detail/([^/?]+)"") &amp; """""","""),"""leehlkhnniaiaaophmaadjkagedefbag"",")</f>
        <v>"leehlkhnniaiaaophmaadjkagedefbag",</v>
      </c>
    </row>
    <row r="6330">
      <c r="A6330" s="4" t="s">
        <v>25509</v>
      </c>
      <c r="B6330" s="4" t="s">
        <v>12595</v>
      </c>
      <c r="C6330" s="16" t="str">
        <f>IFERROR(__xludf.DUMMYFUNCTION(""""""""" &amp; REGEXEXTRACT(B6330, ""/detail/([^/?]+)"") &amp; """""","""),"""lekjlgffkaencjnlcmbgibodhechofdb"",")</f>
        <v>"lekjlgffkaencjnlcmbgibodhechofdb",</v>
      </c>
    </row>
    <row r="6331">
      <c r="A6331" s="4" t="s">
        <v>25510</v>
      </c>
      <c r="B6331" s="4" t="s">
        <v>12597</v>
      </c>
      <c r="C6331" s="16" t="str">
        <f>IFERROR(__xludf.DUMMYFUNCTION(""""""""" &amp; REGEXEXTRACT(B6331, ""/detail/([^/?]+)"") &amp; """""","""),"""lemgijjifkaldmklohlmjaplmfobgich"",")</f>
        <v>"lemgijjifkaldmklohlmjaplmfobgich",</v>
      </c>
    </row>
    <row r="6332">
      <c r="A6332" s="4" t="s">
        <v>25511</v>
      </c>
      <c r="B6332" s="4" t="s">
        <v>12599</v>
      </c>
      <c r="C6332" s="16" t="str">
        <f>IFERROR(__xludf.DUMMYFUNCTION(""""""""" &amp; REGEXEXTRACT(B6332, ""/detail/([^/?]+)"") &amp; """""","""),"""lemhigfdmamodohbdpedpbbjjblijabg"",")</f>
        <v>"lemhigfdmamodohbdpedpbbjjblijabg",</v>
      </c>
    </row>
    <row r="6333">
      <c r="A6333" s="4" t="s">
        <v>25512</v>
      </c>
      <c r="B6333" s="4" t="s">
        <v>12601</v>
      </c>
      <c r="C6333" s="16" t="str">
        <f>IFERROR(__xludf.DUMMYFUNCTION(""""""""" &amp; REGEXEXTRACT(B6333, ""/detail/([^/?]+)"") &amp; """""","""),"""leojoakcmcfpoaojibhkepbglljbjjjp"",")</f>
        <v>"leojoakcmcfpoaojibhkepbglljbjjjp",</v>
      </c>
    </row>
    <row r="6334">
      <c r="A6334" s="4" t="s">
        <v>25513</v>
      </c>
      <c r="B6334" s="4" t="s">
        <v>12603</v>
      </c>
      <c r="C6334" s="16" t="str">
        <f>IFERROR(__xludf.DUMMYFUNCTION(""""""""" &amp; REGEXEXTRACT(B6334, ""/detail/([^/?]+)"") &amp; """""","""),"""lfckfngaeoheoppemkocjjebloiamfdc"",")</f>
        <v>"lfckfngaeoheoppemkocjjebloiamfdc",</v>
      </c>
    </row>
    <row r="6335">
      <c r="A6335" s="4" t="s">
        <v>25514</v>
      </c>
      <c r="B6335" s="4" t="s">
        <v>12605</v>
      </c>
      <c r="C6335" s="16" t="str">
        <f>IFERROR(__xludf.DUMMYFUNCTION(""""""""" &amp; REGEXEXTRACT(B6335, ""/detail/([^/?]+)"") &amp; """""","""),"""lfekjajdgncmkajdpiadkkhhpblngnlc"",")</f>
        <v>"lfekjajdgncmkajdpiadkkhhpblngnlc",</v>
      </c>
    </row>
    <row r="6336">
      <c r="A6336" s="4" t="s">
        <v>25515</v>
      </c>
      <c r="B6336" s="4" t="s">
        <v>12607</v>
      </c>
      <c r="C6336" s="16" t="str">
        <f>IFERROR(__xludf.DUMMYFUNCTION(""""""""" &amp; REGEXEXTRACT(B6336, ""/detail/([^/?]+)"") &amp; """""","""),"""lfgnadfkaiepombekpbccllpbkiealal"",")</f>
        <v>"lfgnadfkaiepombekpbccllpbkiealal",</v>
      </c>
    </row>
    <row r="6337">
      <c r="A6337" s="4" t="s">
        <v>25516</v>
      </c>
      <c r="B6337" s="4" t="s">
        <v>12609</v>
      </c>
      <c r="C6337" s="16" t="str">
        <f>IFERROR(__xludf.DUMMYFUNCTION(""""""""" &amp; REGEXEXTRACT(B6337, ""/detail/([^/?]+)"") &amp; """""","""),"""lfhnennfegaileldmoghidoondeealai"",")</f>
        <v>"lfhnennfegaileldmoghidoondeealai",</v>
      </c>
    </row>
    <row r="6338">
      <c r="A6338" s="4" t="s">
        <v>25517</v>
      </c>
      <c r="B6338" s="4" t="s">
        <v>12611</v>
      </c>
      <c r="C6338" s="16" t="str">
        <f>IFERROR(__xludf.DUMMYFUNCTION(""""""""" &amp; REGEXEXTRACT(B6338, ""/detail/([^/?]+)"") &amp; """""","""),"""lfkaepdpjgnonpodbgalgkbcbmahegap"",")</f>
        <v>"lfkaepdpjgnonpodbgalgkbcbmahegap",</v>
      </c>
    </row>
    <row r="6339">
      <c r="A6339" s="4" t="s">
        <v>25518</v>
      </c>
      <c r="B6339" s="4" t="s">
        <v>12613</v>
      </c>
      <c r="C6339" s="16" t="str">
        <f>IFERROR(__xludf.DUMMYFUNCTION(""""""""" &amp; REGEXEXTRACT(B6339, ""/detail/([^/?]+)"") &amp; """""","""),"""lgajamomkbjmlfajpfhahdocjkcpienh"",")</f>
        <v>"lgajamomkbjmlfajpfhahdocjkcpienh",</v>
      </c>
    </row>
    <row r="6340">
      <c r="A6340" s="4" t="s">
        <v>25519</v>
      </c>
      <c r="B6340" s="4" t="s">
        <v>12615</v>
      </c>
      <c r="C6340" s="16" t="str">
        <f>IFERROR(__xludf.DUMMYFUNCTION(""""""""" &amp; REGEXEXTRACT(B6340, ""/detail/([^/?]+)"") &amp; """""","""),"""lgbokmfkipeecaegndnhbdpdkmiobnfj"",")</f>
        <v>"lgbokmfkipeecaegndnhbdpdkmiobnfj",</v>
      </c>
    </row>
    <row r="6341">
      <c r="A6341" s="4" t="s">
        <v>25520</v>
      </c>
      <c r="B6341" s="4" t="s">
        <v>12617</v>
      </c>
      <c r="C6341" s="16" t="str">
        <f>IFERROR(__xludf.DUMMYFUNCTION(""""""""" &amp; REGEXEXTRACT(B6341, ""/detail/([^/?]+)"") &amp; """""","""),"""lgccchgfobnafomjndanbkhjgkgocdob"",")</f>
        <v>"lgccchgfobnafomjndanbkhjgkgocdob",</v>
      </c>
    </row>
    <row r="6342">
      <c r="A6342" s="4" t="s">
        <v>25521</v>
      </c>
      <c r="B6342" s="4" t="s">
        <v>12619</v>
      </c>
      <c r="C6342" s="16" t="str">
        <f>IFERROR(__xludf.DUMMYFUNCTION(""""""""" &amp; REGEXEXTRACT(B6342, ""/detail/([^/?]+)"") &amp; """""","""),"""lgdgnbneilgfnleamjohjimadmjgjfdg"",")</f>
        <v>"lgdgnbneilgfnleamjohjimadmjgjfdg",</v>
      </c>
    </row>
    <row r="6343">
      <c r="A6343" s="4" t="s">
        <v>25522</v>
      </c>
      <c r="B6343" s="4" t="s">
        <v>12621</v>
      </c>
      <c r="C6343" s="16" t="str">
        <f>IFERROR(__xludf.DUMMYFUNCTION(""""""""" &amp; REGEXEXTRACT(B6343, ""/detail/([^/?]+)"") &amp; """""","""),"""lgffjphcglhjodndldapdedaemkkkcbo"",")</f>
        <v>"lgffjphcglhjodndldapdedaemkkkcbo",</v>
      </c>
    </row>
    <row r="6344">
      <c r="A6344" s="4" t="s">
        <v>25523</v>
      </c>
      <c r="B6344" s="4" t="s">
        <v>12623</v>
      </c>
      <c r="C6344" s="16" t="str">
        <f>IFERROR(__xludf.DUMMYFUNCTION(""""""""" &amp; REGEXEXTRACT(B6344, ""/detail/([^/?]+)"") &amp; """""","""),"""lgfnpmbjnooaonfkdendjpkgcmgfjcgc"",")</f>
        <v>"lgfnpmbjnooaonfkdendjpkgcmgfjcgc",</v>
      </c>
    </row>
    <row r="6345">
      <c r="A6345" s="4" t="s">
        <v>25524</v>
      </c>
      <c r="B6345" s="4" t="s">
        <v>12625</v>
      </c>
      <c r="C6345" s="16" t="str">
        <f>IFERROR(__xludf.DUMMYFUNCTION(""""""""" &amp; REGEXEXTRACT(B6345, ""/detail/([^/?]+)"") &amp; """""","""),"""lgiheljjcjhcndglbbgonfcichelpejp"",")</f>
        <v>"lgiheljjcjhcndglbbgonfcichelpejp",</v>
      </c>
    </row>
    <row r="6346">
      <c r="A6346" s="4" t="s">
        <v>25525</v>
      </c>
      <c r="B6346" s="4" t="s">
        <v>12627</v>
      </c>
      <c r="C6346" s="16" t="str">
        <f>IFERROR(__xludf.DUMMYFUNCTION(""""""""" &amp; REGEXEXTRACT(B6346, ""/detail/([^/?]+)"") &amp; """""","""),"""lgldclhgkdgddiopgbjkiememjlhjlng"",")</f>
        <v>"lgldclhgkdgddiopgbjkiememjlhjlng",</v>
      </c>
    </row>
    <row r="6347">
      <c r="A6347" s="4" t="s">
        <v>25526</v>
      </c>
      <c r="B6347" s="4" t="s">
        <v>12629</v>
      </c>
      <c r="C6347" s="16" t="str">
        <f>IFERROR(__xludf.DUMMYFUNCTION(""""""""" &amp; REGEXEXTRACT(B6347, ""/detail/([^/?]+)"") &amp; """""","""),"""lglnebacjkielbdldlkppfdcmfpbgofo"",")</f>
        <v>"lglnebacjkielbdldlkppfdcmfpbgofo",</v>
      </c>
    </row>
    <row r="6348">
      <c r="A6348" s="4" t="s">
        <v>25527</v>
      </c>
      <c r="B6348" s="4" t="s">
        <v>12631</v>
      </c>
      <c r="C6348" s="16" t="str">
        <f>IFERROR(__xludf.DUMMYFUNCTION(""""""""" &amp; REGEXEXTRACT(B6348, ""/detail/([^/?]+)"") &amp; """""","""),"""lgmojgokdalobakogpaililfoboigkal"",")</f>
        <v>"lgmojgokdalobakogpaililfoboigkal",</v>
      </c>
    </row>
    <row r="6349">
      <c r="A6349" s="4" t="s">
        <v>25528</v>
      </c>
      <c r="B6349" s="4" t="s">
        <v>12633</v>
      </c>
      <c r="C6349" s="16" t="str">
        <f>IFERROR(__xludf.DUMMYFUNCTION(""""""""" &amp; REGEXEXTRACT(B6349, ""/detail/([^/?]+)"") &amp; """""","""),"""lgoghlndihpmbbgmbpjohilcphbfhddd"",")</f>
        <v>"lgoghlndihpmbbgmbpjohilcphbfhddd",</v>
      </c>
    </row>
    <row r="6350">
      <c r="A6350" s="4" t="s">
        <v>25529</v>
      </c>
      <c r="B6350" s="4" t="s">
        <v>12635</v>
      </c>
      <c r="C6350" s="16" t="str">
        <f>IFERROR(__xludf.DUMMYFUNCTION(""""""""" &amp; REGEXEXTRACT(B6350, ""/detail/([^/?]+)"") &amp; """""","""),"""lhdccommkdbadfgjhlccfmcpdhmepjik"",")</f>
        <v>"lhdccommkdbadfgjhlccfmcpdhmepjik",</v>
      </c>
    </row>
    <row r="6351">
      <c r="A6351" s="4" t="s">
        <v>25530</v>
      </c>
      <c r="B6351" s="4" t="s">
        <v>12637</v>
      </c>
      <c r="C6351" s="16" t="str">
        <f>IFERROR(__xludf.DUMMYFUNCTION(""""""""" &amp; REGEXEXTRACT(B6351, ""/detail/([^/?]+)"") &amp; """""","""),"""lhdifindchogekmjooeiolmjdlheilae"",")</f>
        <v>"lhdifindchogekmjooeiolmjdlheilae",</v>
      </c>
    </row>
    <row r="6352">
      <c r="A6352" s="4" t="s">
        <v>25531</v>
      </c>
      <c r="B6352" s="4" t="s">
        <v>12639</v>
      </c>
      <c r="C6352" s="16" t="str">
        <f>IFERROR(__xludf.DUMMYFUNCTION(""""""""" &amp; REGEXEXTRACT(B6352, ""/detail/([^/?]+)"") &amp; """""","""),"""lhgkahejgiidfalcmnpbgfmpkepmpdlf"",")</f>
        <v>"lhgkahejgiidfalcmnpbgfmpkepmpdlf",</v>
      </c>
    </row>
    <row r="6353">
      <c r="A6353" s="4" t="s">
        <v>25532</v>
      </c>
      <c r="B6353" s="4" t="s">
        <v>12641</v>
      </c>
      <c r="C6353" s="16" t="str">
        <f>IFERROR(__xludf.DUMMYFUNCTION(""""""""" &amp; REGEXEXTRACT(B6353, ""/detail/([^/?]+)"") &amp; """""","""),"""lhiklbgjcblimmjjflobpncgihagcmbj"",")</f>
        <v>"lhiklbgjcblimmjjflobpncgihagcmbj",</v>
      </c>
    </row>
    <row r="6354">
      <c r="A6354" s="4" t="s">
        <v>25533</v>
      </c>
      <c r="B6354" s="4" t="s">
        <v>12643</v>
      </c>
      <c r="C6354" s="16" t="str">
        <f>IFERROR(__xludf.DUMMYFUNCTION(""""""""" &amp; REGEXEXTRACT(B6354, ""/detail/([^/?]+)"") &amp; """""","""),"""lhlomndaijcefbhdohcdmnobkliikklh"",")</f>
        <v>"lhlomndaijcefbhdohcdmnobkliikklh",</v>
      </c>
    </row>
    <row r="6355">
      <c r="A6355" s="4" t="s">
        <v>25534</v>
      </c>
      <c r="B6355" s="4" t="s">
        <v>12645</v>
      </c>
      <c r="C6355" s="16" t="str">
        <f>IFERROR(__xludf.DUMMYFUNCTION(""""""""" &amp; REGEXEXTRACT(B6355, ""/detail/([^/?]+)"") &amp; """""","""),"""lhnilmmbjipfingcjmghmdnenpcnaece"",")</f>
        <v>"lhnilmmbjipfingcjmghmdnenpcnaece",</v>
      </c>
    </row>
    <row r="6356">
      <c r="A6356" s="4" t="s">
        <v>25535</v>
      </c>
      <c r="B6356" s="4" t="s">
        <v>12647</v>
      </c>
      <c r="C6356" s="16" t="str">
        <f>IFERROR(__xludf.DUMMYFUNCTION(""""""""" &amp; REGEXEXTRACT(B6356, ""/detail/([^/?]+)"") &amp; """""","""),"""lhpjnkehoohajalccbikeheodknofokd"",")</f>
        <v>"lhpjnkehoohajalccbikeheodknofokd",</v>
      </c>
    </row>
    <row r="6357">
      <c r="A6357" s="4" t="s">
        <v>25536</v>
      </c>
      <c r="B6357" s="4" t="s">
        <v>12649</v>
      </c>
      <c r="C6357" s="16" t="str">
        <f>IFERROR(__xludf.DUMMYFUNCTION(""""""""" &amp; REGEXEXTRACT(B6357, ""/detail/([^/?]+)"") &amp; """""","""),"""lhpooekbhchbjkodlebdmapmmjpoophn"",")</f>
        <v>"lhpooekbhchbjkodlebdmapmmjpoophn",</v>
      </c>
    </row>
    <row r="6358">
      <c r="A6358" s="4" t="s">
        <v>25537</v>
      </c>
      <c r="B6358" s="4" t="s">
        <v>12651</v>
      </c>
      <c r="C6358" s="16" t="str">
        <f>IFERROR(__xludf.DUMMYFUNCTION(""""""""" &amp; REGEXEXTRACT(B6358, ""/detail/([^/?]+)"") &amp; """""","""),"""licmmkfmcfjcclhdhkehlceggfjfanen"",")</f>
        <v>"licmmkfmcfjcclhdhkehlceggfjfanen",</v>
      </c>
    </row>
    <row r="6359">
      <c r="A6359" s="4" t="s">
        <v>25538</v>
      </c>
      <c r="B6359" s="4" t="s">
        <v>12653</v>
      </c>
      <c r="C6359" s="16" t="str">
        <f>IFERROR(__xludf.DUMMYFUNCTION(""""""""" &amp; REGEXEXTRACT(B6359, ""/detail/([^/?]+)"") &amp; """""","""),"""lijmhhnjbcpfldhmdacjdmhhgfinmfib"",")</f>
        <v>"lijmhhnjbcpfldhmdacjdmhhgfinmfib",</v>
      </c>
    </row>
    <row r="6360">
      <c r="A6360" s="4" t="s">
        <v>25539</v>
      </c>
      <c r="B6360" s="4" t="s">
        <v>12655</v>
      </c>
      <c r="C6360" s="16" t="str">
        <f>IFERROR(__xludf.DUMMYFUNCTION(""""""""" &amp; REGEXEXTRACT(B6360, ""/detail/([^/?]+)"") &amp; """""","""),"""linpadcckihaambejadlidhkmnjipfnd"",")</f>
        <v>"linpadcckihaambejadlidhkmnjipfnd",</v>
      </c>
    </row>
    <row r="6361">
      <c r="A6361" s="4" t="s">
        <v>25540</v>
      </c>
      <c r="B6361" s="4" t="s">
        <v>12657</v>
      </c>
      <c r="C6361" s="16" t="str">
        <f>IFERROR(__xludf.DUMMYFUNCTION(""""""""" &amp; REGEXEXTRACT(B6361, ""/detail/([^/?]+)"") &amp; """""","""),"""liodijdhpofhickfkapkdifofgkeppad"",")</f>
        <v>"liodijdhpofhickfkapkdifofgkeppad",</v>
      </c>
    </row>
    <row r="6362">
      <c r="A6362" s="4" t="s">
        <v>25541</v>
      </c>
      <c r="B6362" s="4" t="s">
        <v>12659</v>
      </c>
      <c r="C6362" s="16" t="str">
        <f>IFERROR(__xludf.DUMMYFUNCTION(""""""""" &amp; REGEXEXTRACT(B6362, ""/detail/([^/?]+)"") &amp; """""","""),"""ljbjgmahddhnccggldafiaemkgacmmld"",")</f>
        <v>"ljbjgmahddhnccggldafiaemkgacmmld",</v>
      </c>
    </row>
    <row r="6363">
      <c r="A6363" s="4" t="s">
        <v>25542</v>
      </c>
      <c r="B6363" s="4" t="s">
        <v>12661</v>
      </c>
      <c r="C6363" s="16" t="str">
        <f>IFERROR(__xludf.DUMMYFUNCTION(""""""""" &amp; REGEXEXTRACT(B6363, ""/detail/([^/?]+)"") &amp; """""","""),"""ljgkplokbilfifgcadbobkfecincmbmk"",")</f>
        <v>"ljgkplokbilfifgcadbobkfecincmbmk",</v>
      </c>
    </row>
    <row r="6364">
      <c r="A6364" s="4" t="s">
        <v>25543</v>
      </c>
      <c r="B6364" s="4" t="s">
        <v>12663</v>
      </c>
      <c r="C6364" s="16" t="str">
        <f>IFERROR(__xludf.DUMMYFUNCTION(""""""""" &amp; REGEXEXTRACT(B6364, ""/detail/([^/?]+)"") &amp; """""","""),"""ljicmmknmiapobjgphhogonlfeegmlcl"",")</f>
        <v>"ljicmmknmiapobjgphhogonlfeegmlcl",</v>
      </c>
    </row>
    <row r="6365">
      <c r="A6365" s="4" t="s">
        <v>25544</v>
      </c>
      <c r="B6365" s="4" t="s">
        <v>12665</v>
      </c>
      <c r="C6365" s="16" t="str">
        <f>IFERROR(__xludf.DUMMYFUNCTION(""""""""" &amp; REGEXEXTRACT(B6365, ""/detail/([^/?]+)"") &amp; """""","""),"""ljmkgjilkcmdokbgofbmjnkobejhhapc"",")</f>
        <v>"ljmkgjilkcmdokbgofbmjnkobejhhapc",</v>
      </c>
    </row>
    <row r="6366">
      <c r="A6366" s="4" t="s">
        <v>25545</v>
      </c>
      <c r="B6366" s="4" t="s">
        <v>12667</v>
      </c>
      <c r="C6366" s="16" t="str">
        <f>IFERROR(__xludf.DUMMYFUNCTION(""""""""" &amp; REGEXEXTRACT(B6366, ""/detail/([^/?]+)"") &amp; """""","""),"""ljnjpkadhhcdniohpfilddnhahoigdec"",")</f>
        <v>"ljnjpkadhhcdniohpfilddnhahoigdec",</v>
      </c>
    </row>
    <row r="6367">
      <c r="A6367" s="4" t="s">
        <v>25546</v>
      </c>
      <c r="B6367" s="4" t="s">
        <v>12668</v>
      </c>
      <c r="C6367" s="16" t="str">
        <f>IFERROR(__xludf.DUMMYFUNCTION(""""""""" &amp; REGEXEXTRACT(B6367, ""/detail/([^/?]+)"") &amp; """""","""),"""ljodbneopalmjfonmeojldpmnikphhdo"",")</f>
        <v>"ljodbneopalmjfonmeojldpmnikphhdo",</v>
      </c>
    </row>
    <row r="6368">
      <c r="A6368" s="4" t="s">
        <v>25547</v>
      </c>
      <c r="B6368" s="4" t="s">
        <v>12670</v>
      </c>
      <c r="C6368" s="16" t="str">
        <f>IFERROR(__xludf.DUMMYFUNCTION(""""""""" &amp; REGEXEXTRACT(B6368, ""/detail/([^/?]+)"") &amp; """""","""),"""lkfdimhcljajjmnamlgccibalmhcmilm"",")</f>
        <v>"lkfdimhcljajjmnamlgccibalmhcmilm",</v>
      </c>
    </row>
    <row r="6369">
      <c r="A6369" s="4" t="s">
        <v>25548</v>
      </c>
      <c r="B6369" s="4" t="s">
        <v>12672</v>
      </c>
      <c r="C6369" s="16" t="str">
        <f>IFERROR(__xludf.DUMMYFUNCTION(""""""""" &amp; REGEXEXTRACT(B6369, ""/detail/([^/?]+)"") &amp; """""","""),"""lkhdogaoijoelmmhacccdhbpfpnhghhm"",")</f>
        <v>"lkhdogaoijoelmmhacccdhbpfpnhghhm",</v>
      </c>
    </row>
    <row r="6370">
      <c r="A6370" s="4" t="s">
        <v>25549</v>
      </c>
      <c r="B6370" s="4" t="s">
        <v>12674</v>
      </c>
      <c r="C6370" s="16" t="str">
        <f>IFERROR(__xludf.DUMMYFUNCTION(""""""""" &amp; REGEXEXTRACT(B6370, ""/detail/([^/?]+)"") &amp; """""","""),"""lkjkhomjgdhefemghlimjkjdaibnnocg"",")</f>
        <v>"lkjkhomjgdhefemghlimjkjdaibnnocg",</v>
      </c>
    </row>
    <row r="6371">
      <c r="A6371" s="4" t="s">
        <v>25550</v>
      </c>
      <c r="B6371" s="4" t="s">
        <v>12676</v>
      </c>
      <c r="C6371" s="16" t="str">
        <f>IFERROR(__xludf.DUMMYFUNCTION(""""""""" &amp; REGEXEXTRACT(B6371, ""/detail/([^/?]+)"") &amp; """""","""),"""lkmfokajfoplgdkdifijpffkjeejainc"",")</f>
        <v>"lkmfokajfoplgdkdifijpffkjeejainc",</v>
      </c>
    </row>
    <row r="6372">
      <c r="A6372" s="4" t="s">
        <v>25551</v>
      </c>
      <c r="B6372" s="4" t="s">
        <v>12678</v>
      </c>
      <c r="C6372" s="16" t="str">
        <f>IFERROR(__xludf.DUMMYFUNCTION(""""""""" &amp; REGEXEXTRACT(B6372, ""/detail/([^/?]+)"") &amp; """""","""),"""lkmjoinoblkjegaifoampignjiagmnca"",")</f>
        <v>"lkmjoinoblkjegaifoampignjiagmnca",</v>
      </c>
    </row>
    <row r="6373">
      <c r="A6373" s="4" t="s">
        <v>25552</v>
      </c>
      <c r="B6373" s="4" t="s">
        <v>12680</v>
      </c>
      <c r="C6373" s="16" t="str">
        <f>IFERROR(__xludf.DUMMYFUNCTION(""""""""" &amp; REGEXEXTRACT(B6373, ""/detail/([^/?]+)"") &amp; """""","""),"""lkpfenhnbjcjekjihacpcoekgdclobdn"",")</f>
        <v>"lkpfenhnbjcjekjihacpcoekgdclobdn",</v>
      </c>
    </row>
    <row r="6374">
      <c r="A6374" s="4" t="s">
        <v>25553</v>
      </c>
      <c r="B6374" s="4" t="s">
        <v>12682</v>
      </c>
      <c r="C6374" s="16" t="str">
        <f>IFERROR(__xludf.DUMMYFUNCTION(""""""""" &amp; REGEXEXTRACT(B6374, ""/detail/([^/?]+)"") &amp; """""","""),"""llebpckeffoilhileclionlofjgnhbdp"",")</f>
        <v>"llebpckeffoilhileclionlofjgnhbdp",</v>
      </c>
    </row>
    <row r="6375">
      <c r="A6375" s="4" t="s">
        <v>25554</v>
      </c>
      <c r="B6375" s="4" t="s">
        <v>12684</v>
      </c>
      <c r="C6375" s="16" t="str">
        <f>IFERROR(__xludf.DUMMYFUNCTION(""""""""" &amp; REGEXEXTRACT(B6375, ""/detail/([^/?]+)"") &amp; """""","""),"""llehaacbdplmcjlkggcobgehlbochdeb"",")</f>
        <v>"llehaacbdplmcjlkggcobgehlbochdeb",</v>
      </c>
    </row>
    <row r="6376">
      <c r="A6376" s="4" t="s">
        <v>25555</v>
      </c>
      <c r="B6376" s="4" t="s">
        <v>12686</v>
      </c>
      <c r="C6376" s="16" t="str">
        <f>IFERROR(__xludf.DUMMYFUNCTION(""""""""" &amp; REGEXEXTRACT(B6376, ""/detail/([^/?]+)"") &amp; """""","""),"""llhljceoapbodnkbmpeahmbphilblllh"",")</f>
        <v>"llhljceoapbodnkbmpeahmbphilblllh",</v>
      </c>
    </row>
    <row r="6377">
      <c r="A6377" s="4" t="s">
        <v>25556</v>
      </c>
      <c r="B6377" s="4" t="s">
        <v>12688</v>
      </c>
      <c r="C6377" s="16" t="str">
        <f>IFERROR(__xludf.DUMMYFUNCTION(""""""""" &amp; REGEXEXTRACT(B6377, ""/detail/([^/?]+)"") &amp; """""","""),"""lljnnlncjhfpjjgmoickipmefdkfpnpf"",")</f>
        <v>"lljnnlncjhfpjjgmoickipmefdkfpnpf",</v>
      </c>
    </row>
    <row r="6378">
      <c r="A6378" s="4" t="s">
        <v>25557</v>
      </c>
      <c r="B6378" s="4" t="s">
        <v>12690</v>
      </c>
      <c r="C6378" s="16" t="str">
        <f>IFERROR(__xludf.DUMMYFUNCTION(""""""""" &amp; REGEXEXTRACT(B6378, ""/detail/([^/?]+)"") &amp; """""","""),"""llkakibmhkbdigjjjbgipijjdnlefpai"",")</f>
        <v>"llkakibmhkbdigjjjbgipijjdnlefpai",</v>
      </c>
    </row>
    <row r="6379">
      <c r="A6379" s="4" t="s">
        <v>25558</v>
      </c>
      <c r="B6379" s="4" t="s">
        <v>12692</v>
      </c>
      <c r="C6379" s="16" t="str">
        <f>IFERROR(__xludf.DUMMYFUNCTION(""""""""" &amp; REGEXEXTRACT(B6379, ""/detail/([^/?]+)"") &amp; """""","""),"""llofhnpelgfcleglkkgfmpfohmlmkofe"",")</f>
        <v>"llofhnpelgfcleglkkgfmpfohmlmkofe",</v>
      </c>
    </row>
    <row r="6380">
      <c r="A6380" s="4" t="s">
        <v>25559</v>
      </c>
      <c r="B6380" s="4" t="s">
        <v>12694</v>
      </c>
      <c r="C6380" s="16" t="str">
        <f>IFERROR(__xludf.DUMMYFUNCTION(""""""""" &amp; REGEXEXTRACT(B6380, ""/detail/([^/?]+)"") &amp; """""","""),"""llpmceedcmcimdoejmfiifnlbjfnhlck"",")</f>
        <v>"llpmceedcmcimdoejmfiifnlbjfnhlck",</v>
      </c>
    </row>
    <row r="6381">
      <c r="A6381" s="4" t="s">
        <v>25560</v>
      </c>
      <c r="B6381" s="4" t="s">
        <v>12696</v>
      </c>
      <c r="C6381" s="16" t="str">
        <f>IFERROR(__xludf.DUMMYFUNCTION(""""""""" &amp; REGEXEXTRACT(B6381, ""/detail/([^/?]+)"") &amp; """""","""),"""lmglffpnjekeloehgkamfdkhjonohblj"",")</f>
        <v>"lmglffpnjekeloehgkamfdkhjonohblj",</v>
      </c>
    </row>
    <row r="6382">
      <c r="A6382" s="4" t="s">
        <v>25561</v>
      </c>
      <c r="B6382" s="4" t="s">
        <v>12698</v>
      </c>
      <c r="C6382" s="16" t="str">
        <f>IFERROR(__xludf.DUMMYFUNCTION(""""""""" &amp; REGEXEXTRACT(B6382, ""/detail/([^/?]+)"") &amp; """""","""),"""lnafpiakeojhhfeelcipophjckaceccn"",")</f>
        <v>"lnafpiakeojhhfeelcipophjckaceccn",</v>
      </c>
    </row>
    <row r="6383">
      <c r="A6383" s="4" t="s">
        <v>25562</v>
      </c>
      <c r="B6383" s="4" t="s">
        <v>12700</v>
      </c>
      <c r="C6383" s="16" t="str">
        <f>IFERROR(__xludf.DUMMYFUNCTION(""""""""" &amp; REGEXEXTRACT(B6383, ""/detail/([^/?]+)"") &amp; """""","""),"""lndddploiofhfpdcoclegenegblkhlfk"",")</f>
        <v>"lndddploiofhfpdcoclegenegblkhlfk",</v>
      </c>
    </row>
    <row r="6384">
      <c r="A6384" s="4" t="s">
        <v>25563</v>
      </c>
      <c r="B6384" s="4" t="s">
        <v>12702</v>
      </c>
      <c r="C6384" s="16" t="str">
        <f>IFERROR(__xludf.DUMMYFUNCTION(""""""""" &amp; REGEXEXTRACT(B6384, ""/detail/([^/?]+)"") &amp; """""","""),"""lnmpfngofkohjhmgpnjmcmkgkgjajdii"",")</f>
        <v>"lnmpfngofkohjhmgpnjmcmkgkgjajdii",</v>
      </c>
    </row>
    <row r="6385">
      <c r="A6385" s="4" t="s">
        <v>25564</v>
      </c>
      <c r="B6385" s="4" t="s">
        <v>12704</v>
      </c>
      <c r="C6385" s="16" t="str">
        <f>IFERROR(__xludf.DUMMYFUNCTION(""""""""" &amp; REGEXEXTRACT(B6385, ""/detail/([^/?]+)"") &amp; """""","""),"""loaljdkanlgipgdlmgijfodcaggiikjo"",")</f>
        <v>"loaljdkanlgipgdlmgijfodcaggiikjo",</v>
      </c>
    </row>
    <row r="6386">
      <c r="A6386" s="4" t="s">
        <v>25565</v>
      </c>
      <c r="B6386" s="4" t="s">
        <v>12706</v>
      </c>
      <c r="C6386" s="16" t="str">
        <f>IFERROR(__xludf.DUMMYFUNCTION(""""""""" &amp; REGEXEXTRACT(B6386, ""/detail/([^/?]+)"") &amp; """""","""),"""loaocbojmkjpcjabkcghbcdggjemhkpe"",")</f>
        <v>"loaocbojmkjpcjabkcghbcdggjemhkpe",</v>
      </c>
    </row>
    <row r="6387">
      <c r="A6387" s="4" t="s">
        <v>25566</v>
      </c>
      <c r="B6387" s="4" t="s">
        <v>12708</v>
      </c>
      <c r="C6387" s="16" t="str">
        <f>IFERROR(__xludf.DUMMYFUNCTION(""""""""" &amp; REGEXEXTRACT(B6387, ""/detail/([^/?]+)"") &amp; """""","""),"""loeegjlniabmjhoalobfbpjmkabgapbb"",")</f>
        <v>"loeegjlniabmjhoalobfbpjmkabgapbb",</v>
      </c>
    </row>
    <row r="6388">
      <c r="A6388" s="4" t="s">
        <v>25567</v>
      </c>
      <c r="B6388" s="4" t="s">
        <v>12710</v>
      </c>
      <c r="C6388" s="16" t="str">
        <f>IFERROR(__xludf.DUMMYFUNCTION(""""""""" &amp; REGEXEXTRACT(B6388, ""/detail/([^/?]+)"") &amp; """""","""),"""lofkbkbhpmeihoaogggfbhmjdekjihlf"",")</f>
        <v>"lofkbkbhpmeihoaogggfbhmjdekjihlf",</v>
      </c>
    </row>
    <row r="6389">
      <c r="A6389" s="4" t="s">
        <v>25568</v>
      </c>
      <c r="B6389" s="4" t="s">
        <v>12712</v>
      </c>
      <c r="C6389" s="16" t="str">
        <f>IFERROR(__xludf.DUMMYFUNCTION(""""""""" &amp; REGEXEXTRACT(B6389, ""/detail/([^/?]+)"") &amp; """""","""),"""lpabkopddkdmiffngjlmniicmedigbec"",")</f>
        <v>"lpabkopddkdmiffngjlmniicmedigbec",</v>
      </c>
    </row>
    <row r="6390">
      <c r="A6390" s="4" t="s">
        <v>25569</v>
      </c>
      <c r="B6390" s="4" t="s">
        <v>12714</v>
      </c>
      <c r="C6390" s="16" t="str">
        <f>IFERROR(__xludf.DUMMYFUNCTION(""""""""" &amp; REGEXEXTRACT(B6390, ""/detail/([^/?]+)"") &amp; """""","""),"""lpcmnnmdomoebdjefdhjbkjnbgjfbgfd"",")</f>
        <v>"lpcmnnmdomoebdjefdhjbkjnbgjfbgfd",</v>
      </c>
    </row>
    <row r="6391">
      <c r="A6391" s="4" t="s">
        <v>25570</v>
      </c>
      <c r="B6391" s="4" t="s">
        <v>12716</v>
      </c>
      <c r="C6391" s="16" t="str">
        <f>IFERROR(__xludf.DUMMYFUNCTION(""""""""" &amp; REGEXEXTRACT(B6391, ""/detail/([^/?]+)"") &amp; """""","""),"""lpicnjjpdgpciojopdmdchgbflhheiol"",")</f>
        <v>"lpicnjjpdgpciojopdmdchgbflhheiol",</v>
      </c>
    </row>
    <row r="6392">
      <c r="A6392" s="4" t="s">
        <v>25571</v>
      </c>
      <c r="B6392" s="4" t="s">
        <v>12718</v>
      </c>
      <c r="C6392" s="16" t="str">
        <f>IFERROR(__xludf.DUMMYFUNCTION(""""""""" &amp; REGEXEXTRACT(B6392, ""/detail/([^/?]+)"") &amp; """""","""),"""lpiiagpmclichfogjjjholploniicfgi"",")</f>
        <v>"lpiiagpmclichfogjjjholploniicfgi",</v>
      </c>
    </row>
    <row r="6393">
      <c r="A6393" s="4" t="s">
        <v>25572</v>
      </c>
      <c r="B6393" s="4" t="s">
        <v>12720</v>
      </c>
      <c r="C6393" s="16" t="str">
        <f>IFERROR(__xludf.DUMMYFUNCTION(""""""""" &amp; REGEXEXTRACT(B6393, ""/detail/([^/?]+)"") &amp; """""","""),"""lpjfkobpnfgddkikflgejdgclhpmagha"",")</f>
        <v>"lpjfkobpnfgddkikflgejdgclhpmagha",</v>
      </c>
    </row>
    <row r="6394">
      <c r="A6394" s="4" t="s">
        <v>25573</v>
      </c>
      <c r="B6394" s="4" t="s">
        <v>12722</v>
      </c>
      <c r="C6394" s="16" t="str">
        <f>IFERROR(__xludf.DUMMYFUNCTION(""""""""" &amp; REGEXEXTRACT(B6394, ""/detail/([^/?]+)"") &amp; """""","""),"""lpkjpgooekekpccbcgcckgofnkbfpjlo"",")</f>
        <v>"lpkjpgooekekpccbcgcckgofnkbfpjlo",</v>
      </c>
    </row>
    <row r="6395">
      <c r="A6395" s="4" t="s">
        <v>25574</v>
      </c>
      <c r="B6395" s="4" t="s">
        <v>12724</v>
      </c>
      <c r="C6395" s="16" t="str">
        <f>IFERROR(__xludf.DUMMYFUNCTION(""""""""" &amp; REGEXEXTRACT(B6395, ""/detail/([^/?]+)"") &amp; """""","""),"""lpmnmgdfmeebgdgpnjmekojjhnjbighh"",")</f>
        <v>"lpmnmgdfmeebgdgpnjmekojjhnjbighh",</v>
      </c>
    </row>
    <row r="6396">
      <c r="A6396" s="4" t="s">
        <v>25575</v>
      </c>
      <c r="B6396" s="4" t="s">
        <v>12726</v>
      </c>
      <c r="C6396" s="16" t="str">
        <f>IFERROR(__xludf.DUMMYFUNCTION(""""""""" &amp; REGEXEXTRACT(B6396, ""/detail/([^/?]+)"") &amp; """""","""),"""lppcgkhgnfalmlnhkjgdfmkhhgdilfdd"",")</f>
        <v>"lppcgkhgnfalmlnhkjgdfmkhhgdilfdd",</v>
      </c>
    </row>
    <row r="6397">
      <c r="A6397" s="4" t="s">
        <v>25576</v>
      </c>
      <c r="B6397" s="4" t="s">
        <v>12728</v>
      </c>
      <c r="C6397" s="16" t="str">
        <f>IFERROR(__xludf.DUMMYFUNCTION(""""""""" &amp; REGEXEXTRACT(B6397, ""/detail/([^/?]+)"") &amp; """""","""),"""lppedmgppdjcmcomnecmhclomnleknnh"",")</f>
        <v>"lppedmgppdjcmcomnecmhclomnleknnh",</v>
      </c>
    </row>
    <row r="6398">
      <c r="A6398" s="4" t="s">
        <v>25577</v>
      </c>
      <c r="B6398" s="4" t="s">
        <v>12730</v>
      </c>
      <c r="C6398" s="16" t="str">
        <f>IFERROR(__xludf.DUMMYFUNCTION(""""""""" &amp; REGEXEXTRACT(B6398, ""/detail/([^/?]+)"") &amp; """""","""),"""maakalpbnpehpkjfhihilhfjhllekkeh"",")</f>
        <v>"maakalpbnpehpkjfhihilhfjhllekkeh",</v>
      </c>
    </row>
    <row r="6399">
      <c r="A6399" s="4" t="s">
        <v>25578</v>
      </c>
      <c r="B6399" s="4" t="s">
        <v>12732</v>
      </c>
      <c r="C6399" s="16" t="str">
        <f>IFERROR(__xludf.DUMMYFUNCTION(""""""""" &amp; REGEXEXTRACT(B6399, ""/detail/([^/?]+)"") &amp; """""","""),"""mabegaogknpjdomagkfdbhkodcmehlac"",")</f>
        <v>"mabegaogknpjdomagkfdbhkodcmehlac",</v>
      </c>
    </row>
    <row r="6400">
      <c r="A6400" s="4" t="s">
        <v>25579</v>
      </c>
      <c r="B6400" s="4" t="s">
        <v>12734</v>
      </c>
      <c r="C6400" s="16" t="str">
        <f>IFERROR(__xludf.DUMMYFUNCTION(""""""""" &amp; REGEXEXTRACT(B6400, ""/detail/([^/?]+)"") &amp; """""","""),"""macbajceaocbnbkkhglhppkihhhffddb"",")</f>
        <v>"macbajceaocbnbkkhglhppkihhhffddb",</v>
      </c>
    </row>
    <row r="6401">
      <c r="A6401" s="4" t="s">
        <v>25580</v>
      </c>
      <c r="B6401" s="4" t="s">
        <v>12736</v>
      </c>
      <c r="C6401" s="16" t="str">
        <f>IFERROR(__xludf.DUMMYFUNCTION(""""""""" &amp; REGEXEXTRACT(B6401, ""/detail/([^/?]+)"") &amp; """""","""),"""mafppflamlapefplgjmcneiopocjlfmp"",")</f>
        <v>"mafppflamlapefplgjmcneiopocjlfmp",</v>
      </c>
    </row>
    <row r="6402">
      <c r="A6402" s="4" t="s">
        <v>25581</v>
      </c>
      <c r="B6402" s="4" t="s">
        <v>12738</v>
      </c>
      <c r="C6402" s="16" t="str">
        <f>IFERROR(__xludf.DUMMYFUNCTION(""""""""" &amp; REGEXEXTRACT(B6402, ""/detail/([^/?]+)"") &amp; """""","""),"""maibekeljflfnaknpgkahjkjhgoefmgg"",")</f>
        <v>"maibekeljflfnaknpgkahjkjhgoefmgg",</v>
      </c>
    </row>
    <row r="6403">
      <c r="A6403" s="4" t="s">
        <v>25582</v>
      </c>
      <c r="B6403" s="4" t="s">
        <v>12740</v>
      </c>
      <c r="C6403" s="16" t="str">
        <f>IFERROR(__xludf.DUMMYFUNCTION(""""""""" &amp; REGEXEXTRACT(B6403, ""/detail/([^/?]+)"") &amp; """""","""),"""majmoinlepbjapaaljlhlfhlmbblaeip"",")</f>
        <v>"majmoinlepbjapaaljlhlfhlmbblaeip",</v>
      </c>
    </row>
    <row r="6404">
      <c r="A6404" s="4" t="s">
        <v>25583</v>
      </c>
      <c r="B6404" s="4" t="s">
        <v>12742</v>
      </c>
      <c r="C6404" s="16" t="str">
        <f>IFERROR(__xludf.DUMMYFUNCTION(""""""""" &amp; REGEXEXTRACT(B6404, ""/detail/([^/?]+)"") &amp; """""","""),"""makakhdegdcmmbbhepafcghpdkbemach"",")</f>
        <v>"makakhdegdcmmbbhepafcghpdkbemach",</v>
      </c>
    </row>
    <row r="6405">
      <c r="A6405" s="4" t="s">
        <v>25584</v>
      </c>
      <c r="B6405" s="4" t="s">
        <v>12744</v>
      </c>
      <c r="C6405" s="16" t="str">
        <f>IFERROR(__xludf.DUMMYFUNCTION(""""""""" &amp; REGEXEXTRACT(B6405, ""/detail/([^/?]+)"") &amp; """""","""),"""manpojdmhgfekbmjkialfcdgajnacbhd"",")</f>
        <v>"manpojdmhgfekbmjkialfcdgajnacbhd",</v>
      </c>
    </row>
    <row r="6406">
      <c r="A6406" s="4" t="s">
        <v>25585</v>
      </c>
      <c r="B6406" s="4" t="s">
        <v>12746</v>
      </c>
      <c r="C6406" s="16" t="str">
        <f>IFERROR(__xludf.DUMMYFUNCTION(""""""""" &amp; REGEXEXTRACT(B6406, ""/detail/([^/?]+)"") &amp; """""","""),"""maobjpeecihknhbfnggoipopipfegmik"",")</f>
        <v>"maobjpeecihknhbfnggoipopipfegmik",</v>
      </c>
    </row>
    <row r="6407">
      <c r="A6407" s="4" t="s">
        <v>25586</v>
      </c>
      <c r="B6407" s="4" t="s">
        <v>12748</v>
      </c>
      <c r="C6407" s="16" t="str">
        <f>IFERROR(__xludf.DUMMYFUNCTION(""""""""" &amp; REGEXEXTRACT(B6407, ""/detail/([^/?]+)"") &amp; """""","""),"""mapokfhmebdhgjjoedphffgphmhjbhdl"",")</f>
        <v>"mapokfhmebdhgjjoedphffgphmhjbhdl",</v>
      </c>
    </row>
    <row r="6408">
      <c r="A6408" s="4" t="s">
        <v>25587</v>
      </c>
      <c r="B6408" s="4" t="s">
        <v>12750</v>
      </c>
      <c r="C6408" s="16" t="str">
        <f>IFERROR(__xludf.DUMMYFUNCTION(""""""""" &amp; REGEXEXTRACT(B6408, ""/detail/([^/?]+)"") &amp; """""","""),"""mbaoeplepikmnbdckjflkaphjlccccnj"",")</f>
        <v>"mbaoeplepikmnbdckjflkaphjlccccnj",</v>
      </c>
    </row>
    <row r="6409">
      <c r="A6409" s="4" t="s">
        <v>25588</v>
      </c>
      <c r="B6409" s="4" t="s">
        <v>12752</v>
      </c>
      <c r="C6409" s="16" t="str">
        <f>IFERROR(__xludf.DUMMYFUNCTION(""""""""" &amp; REGEXEXTRACT(B6409, ""/detail/([^/?]+)"") &amp; """""","""),"""mbbfdipmmlbkfdkeklpioafmdcodhfli"",")</f>
        <v>"mbbfdipmmlbkfdkeklpioafmdcodhfli",</v>
      </c>
    </row>
    <row r="6410">
      <c r="A6410" s="4" t="s">
        <v>25589</v>
      </c>
      <c r="B6410" s="4" t="s">
        <v>12754</v>
      </c>
      <c r="C6410" s="16" t="str">
        <f>IFERROR(__xludf.DUMMYFUNCTION(""""""""" &amp; REGEXEXTRACT(B6410, ""/detail/([^/?]+)"") &amp; """""","""),"""mbbnlbimlnfachlfnjnolpehiimhbjjm"",")</f>
        <v>"mbbnlbimlnfachlfnjnolpehiimhbjjm",</v>
      </c>
    </row>
    <row r="6411">
      <c r="A6411" s="4" t="s">
        <v>25590</v>
      </c>
      <c r="B6411" s="4" t="s">
        <v>12756</v>
      </c>
      <c r="C6411" s="16" t="str">
        <f>IFERROR(__xludf.DUMMYFUNCTION(""""""""" &amp; REGEXEXTRACT(B6411, ""/detail/([^/?]+)"") &amp; """""","""),"""mbbojbjgfaekcegpbbfifclofmpdpkad"",")</f>
        <v>"mbbojbjgfaekcegpbbfifclofmpdpkad",</v>
      </c>
    </row>
    <row r="6412">
      <c r="A6412" s="4" t="s">
        <v>25591</v>
      </c>
      <c r="B6412" s="4" t="s">
        <v>12758</v>
      </c>
      <c r="C6412" s="16" t="str">
        <f>IFERROR(__xludf.DUMMYFUNCTION(""""""""" &amp; REGEXEXTRACT(B6412, ""/detail/([^/?]+)"") &amp; """""","""),"""mbgenamkihplkffggckaplhnancbojbk"",")</f>
        <v>"mbgenamkihplkffggckaplhnancbojbk",</v>
      </c>
    </row>
    <row r="6413">
      <c r="A6413" s="4" t="s">
        <v>25592</v>
      </c>
      <c r="B6413" s="4" t="s">
        <v>12760</v>
      </c>
      <c r="C6413" s="16" t="str">
        <f>IFERROR(__xludf.DUMMYFUNCTION(""""""""" &amp; REGEXEXTRACT(B6413, ""/detail/([^/?]+)"") &amp; """""","""),"""mbgjmmmhonnpfcflohnpogdfafelogkj"",")</f>
        <v>"mbgjmmmhonnpfcflohnpogdfafelogkj",</v>
      </c>
    </row>
    <row r="6414">
      <c r="A6414" s="4" t="s">
        <v>25593</v>
      </c>
      <c r="B6414" s="4" t="s">
        <v>12762</v>
      </c>
      <c r="C6414" s="16" t="str">
        <f>IFERROR(__xludf.DUMMYFUNCTION(""""""""" &amp; REGEXEXTRACT(B6414, ""/detail/([^/?]+)"") &amp; """""","""),"""mbimichnnpdkniapbjenpkdenmmaokcd"",")</f>
        <v>"mbimichnnpdkniapbjenpkdenmmaokcd",</v>
      </c>
    </row>
    <row r="6415">
      <c r="A6415" s="4" t="s">
        <v>25594</v>
      </c>
      <c r="B6415" s="4" t="s">
        <v>12764</v>
      </c>
      <c r="C6415" s="16" t="str">
        <f>IFERROR(__xludf.DUMMYFUNCTION(""""""""" &amp; REGEXEXTRACT(B6415, ""/detail/([^/?]+)"") &amp; """""","""),"""mbkbehfkfnieoodajnnfcmfbmocbhmki"",")</f>
        <v>"mbkbehfkfnieoodajnnfcmfbmocbhmki",</v>
      </c>
    </row>
    <row r="6416">
      <c r="A6416" s="4" t="s">
        <v>25595</v>
      </c>
      <c r="B6416" s="4" t="s">
        <v>12766</v>
      </c>
      <c r="C6416" s="16" t="str">
        <f>IFERROR(__xludf.DUMMYFUNCTION(""""""""" &amp; REGEXEXTRACT(B6416, ""/detail/([^/?]+)"") &amp; """""","""),"""mbkeinklkdfiodfhojbpikpikmbidmgb"",")</f>
        <v>"mbkeinklkdfiodfhojbpikpikmbidmgb",</v>
      </c>
    </row>
    <row r="6417">
      <c r="A6417" s="4" t="s">
        <v>25596</v>
      </c>
      <c r="B6417" s="4" t="s">
        <v>12768</v>
      </c>
      <c r="C6417" s="16" t="str">
        <f>IFERROR(__xludf.DUMMYFUNCTION(""""""""" &amp; REGEXEXTRACT(B6417, ""/detail/([^/?]+)"") &amp; """""","""),"""mbkenkpbobncoehadfogibjlhnaopcpb"",")</f>
        <v>"mbkenkpbobncoehadfogibjlhnaopcpb",</v>
      </c>
    </row>
    <row r="6418">
      <c r="A6418" s="4" t="s">
        <v>25597</v>
      </c>
      <c r="B6418" s="4" t="s">
        <v>12770</v>
      </c>
      <c r="C6418" s="16" t="str">
        <f>IFERROR(__xludf.DUMMYFUNCTION(""""""""" &amp; REGEXEXTRACT(B6418, ""/detail/([^/?]+)"") &amp; """""","""),"""mbldmpdimcodkhimlehfhhfecnngmipp"",")</f>
        <v>"mbldmpdimcodkhimlehfhhfecnngmipp",</v>
      </c>
    </row>
    <row r="6419">
      <c r="A6419" s="4" t="s">
        <v>25598</v>
      </c>
      <c r="B6419" s="4" t="s">
        <v>12772</v>
      </c>
      <c r="C6419" s="16" t="str">
        <f>IFERROR(__xludf.DUMMYFUNCTION(""""""""" &amp; REGEXEXTRACT(B6419, ""/detail/([^/?]+)"") &amp; """""","""),"""mbljfmmoibffcpcjimimcpobkonkgdbp"",")</f>
        <v>"mbljfmmoibffcpcjimimcpobkonkgdbp",</v>
      </c>
    </row>
    <row r="6420">
      <c r="A6420" s="4" t="s">
        <v>25599</v>
      </c>
      <c r="B6420" s="4" t="s">
        <v>12774</v>
      </c>
      <c r="C6420" s="16" t="str">
        <f>IFERROR(__xludf.DUMMYFUNCTION(""""""""" &amp; REGEXEXTRACT(B6420, ""/detail/([^/?]+)"") &amp; """""","""),"""mbmhdciokdfmafnlcechbnopmbfgbegl"",")</f>
        <v>"mbmhdciokdfmafnlcechbnopmbfgbegl",</v>
      </c>
    </row>
    <row r="6421">
      <c r="A6421" s="4" t="s">
        <v>25600</v>
      </c>
      <c r="B6421" s="4" t="s">
        <v>12776</v>
      </c>
      <c r="C6421" s="16" t="str">
        <f>IFERROR(__xludf.DUMMYFUNCTION(""""""""" &amp; REGEXEXTRACT(B6421, ""/detail/([^/?]+)"") &amp; """""","""),"""mbpkbeacgamdiajpgbblpcgpkidaobob"",")</f>
        <v>"mbpkbeacgamdiajpgbblpcgpkidaobob",</v>
      </c>
    </row>
    <row r="6422">
      <c r="A6422" s="4" t="s">
        <v>25601</v>
      </c>
      <c r="B6422" s="4" t="s">
        <v>12778</v>
      </c>
      <c r="C6422" s="16" t="str">
        <f>IFERROR(__xludf.DUMMYFUNCTION(""""""""" &amp; REGEXEXTRACT(B6422, ""/detail/([^/?]+)"") &amp; """""","""),"""mcbfdonlkfpbfdpimkjilhdneikhfklp"",")</f>
        <v>"mcbfdonlkfpbfdpimkjilhdneikhfklp",</v>
      </c>
    </row>
    <row r="6423">
      <c r="A6423" s="4" t="s">
        <v>25602</v>
      </c>
      <c r="B6423" s="4" t="s">
        <v>12780</v>
      </c>
      <c r="C6423" s="16" t="str">
        <f>IFERROR(__xludf.DUMMYFUNCTION(""""""""" &amp; REGEXEXTRACT(B6423, ""/detail/([^/?]+)"") &amp; """""","""),"""mccgeoiagpeckpkenegmjjoaeeppdjld"",")</f>
        <v>"mccgeoiagpeckpkenegmjjoaeeppdjld",</v>
      </c>
    </row>
    <row r="6424">
      <c r="A6424" s="4" t="s">
        <v>25603</v>
      </c>
      <c r="B6424" s="4" t="s">
        <v>12782</v>
      </c>
      <c r="C6424" s="16" t="str">
        <f>IFERROR(__xludf.DUMMYFUNCTION(""""""""" &amp; REGEXEXTRACT(B6424, ""/detail/([^/?]+)"") &amp; """""","""),"""mcdnomobjmikcgndcgpagnbkhgnaclmb"",")</f>
        <v>"mcdnomobjmikcgndcgpagnbkhgnaclmb",</v>
      </c>
    </row>
    <row r="6425">
      <c r="A6425" s="4" t="s">
        <v>25604</v>
      </c>
      <c r="B6425" s="4" t="s">
        <v>12784</v>
      </c>
      <c r="C6425" s="16" t="str">
        <f>IFERROR(__xludf.DUMMYFUNCTION(""""""""" &amp; REGEXEXTRACT(B6425, ""/detail/([^/?]+)"") &amp; """""","""),"""mcecmabeaehiihgjcchlnobiahaadmdg"",")</f>
        <v>"mcecmabeaehiihgjcchlnobiahaadmdg",</v>
      </c>
    </row>
    <row r="6426">
      <c r="A6426" s="4" t="s">
        <v>25605</v>
      </c>
      <c r="B6426" s="4" t="s">
        <v>12786</v>
      </c>
      <c r="C6426" s="16" t="str">
        <f>IFERROR(__xludf.DUMMYFUNCTION(""""""""" &amp; REGEXEXTRACT(B6426, ""/detail/([^/?]+)"") &amp; """""","""),"""mcefknoiablejellmicpmokcaelpdaec"",")</f>
        <v>"mcefknoiablejellmicpmokcaelpdaec",</v>
      </c>
    </row>
    <row r="6427">
      <c r="A6427" s="4" t="s">
        <v>25606</v>
      </c>
      <c r="B6427" s="4" t="s">
        <v>12788</v>
      </c>
      <c r="C6427" s="16" t="str">
        <f>IFERROR(__xludf.DUMMYFUNCTION(""""""""" &amp; REGEXEXTRACT(B6427, ""/detail/([^/?]+)"") &amp; """""","""),"""mcglhmpnpongdigcmccjallgoinlklnj"",")</f>
        <v>"mcglhmpnpongdigcmccjallgoinlklnj",</v>
      </c>
    </row>
    <row r="6428">
      <c r="A6428" s="4" t="s">
        <v>25607</v>
      </c>
      <c r="B6428" s="4" t="s">
        <v>12789</v>
      </c>
      <c r="C6428" s="16" t="str">
        <f>IFERROR(__xludf.DUMMYFUNCTION(""""""""" &amp; REGEXEXTRACT(B6428, ""/detail/([^/?]+)"") &amp; """""","""),"""mcidendbndlekegaphipeeoaemckemhm"",")</f>
        <v>"mcidendbndlekegaphipeeoaemckemhm",</v>
      </c>
    </row>
    <row r="6429">
      <c r="A6429" s="4" t="s">
        <v>25608</v>
      </c>
      <c r="B6429" s="4" t="s">
        <v>12791</v>
      </c>
      <c r="C6429" s="16" t="str">
        <f>IFERROR(__xludf.DUMMYFUNCTION(""""""""" &amp; REGEXEXTRACT(B6429, ""/detail/([^/?]+)"") &amp; """""","""),"""mclkhhjiaalhoegfjddlbcjooapkphpn"",")</f>
        <v>"mclkhhjiaalhoegfjddlbcjooapkphpn",</v>
      </c>
    </row>
    <row r="6430">
      <c r="A6430" s="4" t="s">
        <v>25609</v>
      </c>
      <c r="B6430" s="4" t="s">
        <v>12793</v>
      </c>
      <c r="C6430" s="16" t="str">
        <f>IFERROR(__xludf.DUMMYFUNCTION(""""""""" &amp; REGEXEXTRACT(B6430, ""/detail/([^/?]+)"") &amp; """""","""),"""mcolhhemfacpoaghjidhliecpianpnjn"",")</f>
        <v>"mcolhhemfacpoaghjidhliecpianpnjn",</v>
      </c>
    </row>
    <row r="6431">
      <c r="A6431" s="4" t="s">
        <v>25610</v>
      </c>
      <c r="B6431" s="4" t="s">
        <v>12795</v>
      </c>
      <c r="C6431" s="16" t="str">
        <f>IFERROR(__xludf.DUMMYFUNCTION(""""""""" &amp; REGEXEXTRACT(B6431, ""/detail/([^/?]+)"") &amp; """""","""),"""mcpaohflldejneeahigainahjenkgmef"",")</f>
        <v>"mcpaohflldejneeahigainahjenkgmef",</v>
      </c>
    </row>
    <row r="6432">
      <c r="A6432" s="4" t="s">
        <v>25611</v>
      </c>
      <c r="B6432" s="4" t="s">
        <v>12797</v>
      </c>
      <c r="C6432" s="16" t="str">
        <f>IFERROR(__xludf.DUMMYFUNCTION(""""""""" &amp; REGEXEXTRACT(B6432, ""/detail/([^/?]+)"") &amp; """""","""),"""mcpcaclpgijhadcflgcipmfmohmpbinp"",")</f>
        <v>"mcpcaclpgijhadcflgcipmfmohmpbinp",</v>
      </c>
    </row>
    <row r="6433">
      <c r="A6433" s="4" t="s">
        <v>25612</v>
      </c>
      <c r="B6433" s="4" t="s">
        <v>12799</v>
      </c>
      <c r="C6433" s="16" t="str">
        <f>IFERROR(__xludf.DUMMYFUNCTION(""""""""" &amp; REGEXEXTRACT(B6433, ""/detail/([^/?]+)"") &amp; """""","""),"""mcphipnepdffmgaklcgcogpfbiffmooe"",")</f>
        <v>"mcphipnepdffmgaklcgcogpfbiffmooe",</v>
      </c>
    </row>
    <row r="6434">
      <c r="A6434" s="4" t="s">
        <v>25613</v>
      </c>
      <c r="B6434" s="4" t="s">
        <v>12801</v>
      </c>
      <c r="C6434" s="16" t="str">
        <f>IFERROR(__xludf.DUMMYFUNCTION(""""""""" &amp; REGEXEXTRACT(B6434, ""/detail/([^/?]+)"") &amp; """""","""),"""mdafemlphdjnhbdglfnankciemdngach"",")</f>
        <v>"mdafemlphdjnhbdglfnankciemdngach",</v>
      </c>
    </row>
    <row r="6435">
      <c r="A6435" s="4" t="s">
        <v>25614</v>
      </c>
      <c r="B6435" s="4" t="s">
        <v>12803</v>
      </c>
      <c r="C6435" s="16" t="str">
        <f>IFERROR(__xludf.DUMMYFUNCTION(""""""""" &amp; REGEXEXTRACT(B6435, ""/detail/([^/?]+)"") &amp; """""","""),"""mdbdmamjjcfammbjlnkkhmmbljfjhgee"",")</f>
        <v>"mdbdmamjjcfammbjlnkkhmmbljfjhgee",</v>
      </c>
    </row>
    <row r="6436">
      <c r="A6436" s="4" t="s">
        <v>25615</v>
      </c>
      <c r="B6436" s="4" t="s">
        <v>12805</v>
      </c>
      <c r="C6436" s="16" t="str">
        <f>IFERROR(__xludf.DUMMYFUNCTION(""""""""" &amp; REGEXEXTRACT(B6436, ""/detail/([^/?]+)"") &amp; """""","""),"""mdbffnnpjhnfmnenfkffjohdgjfeiodn"",")</f>
        <v>"mdbffnnpjhnfmnenfkffjohdgjfeiodn",</v>
      </c>
    </row>
    <row r="6437">
      <c r="A6437" s="4" t="s">
        <v>25616</v>
      </c>
      <c r="B6437" s="4" t="s">
        <v>12807</v>
      </c>
      <c r="C6437" s="16" t="str">
        <f>IFERROR(__xludf.DUMMYFUNCTION(""""""""" &amp; REGEXEXTRACT(B6437, ""/detail/([^/?]+)"") &amp; """""","""),"""mdbippokgmfmdhhjchjpakgiamkcaofd"",")</f>
        <v>"mdbippokgmfmdhhjchjpakgiamkcaofd",</v>
      </c>
    </row>
    <row r="6438">
      <c r="A6438" s="4" t="s">
        <v>25617</v>
      </c>
      <c r="B6438" s="4" t="s">
        <v>12809</v>
      </c>
      <c r="C6438" s="16" t="str">
        <f>IFERROR(__xludf.DUMMYFUNCTION(""""""""" &amp; REGEXEXTRACT(B6438, ""/detail/([^/?]+)"") &amp; """""","""),"""mdfgfkplamgcjdoelfkobgdoopbflloc"",")</f>
        <v>"mdfgfkplamgcjdoelfkobgdoopbflloc",</v>
      </c>
    </row>
    <row r="6439">
      <c r="A6439" s="4" t="s">
        <v>25618</v>
      </c>
      <c r="B6439" s="4" t="s">
        <v>12811</v>
      </c>
      <c r="C6439" s="16" t="str">
        <f>IFERROR(__xludf.DUMMYFUNCTION(""""""""" &amp; REGEXEXTRACT(B6439, ""/detail/([^/?]+)"") &amp; """""","""),"""mdmaafdifiaafdfoefdbleojealnbkfc"",")</f>
        <v>"mdmaafdifiaafdfoefdbleojealnbkfc",</v>
      </c>
    </row>
    <row r="6440">
      <c r="A6440" s="4" t="s">
        <v>25619</v>
      </c>
      <c r="B6440" s="4" t="s">
        <v>12813</v>
      </c>
      <c r="C6440" s="16" t="str">
        <f>IFERROR(__xludf.DUMMYFUNCTION(""""""""" &amp; REGEXEXTRACT(B6440, ""/detail/([^/?]+)"") &amp; """""","""),"""mehmaliahkgafbndneaaajceobkgkebo"",")</f>
        <v>"mehmaliahkgafbndneaaajceobkgkebo",</v>
      </c>
    </row>
    <row r="6441">
      <c r="A6441" s="4" t="s">
        <v>25620</v>
      </c>
      <c r="B6441" s="4" t="s">
        <v>12815</v>
      </c>
      <c r="C6441" s="16" t="str">
        <f>IFERROR(__xludf.DUMMYFUNCTION(""""""""" &amp; REGEXEXTRACT(B6441, ""/detail/([^/?]+)"") &amp; """""","""),"""mejiokiilelmecdbhebjicllikigfgde"",")</f>
        <v>"mejiokiilelmecdbhebjicllikigfgde",</v>
      </c>
    </row>
    <row r="6442">
      <c r="A6442" s="4" t="s">
        <v>25621</v>
      </c>
      <c r="B6442" s="4" t="s">
        <v>12817</v>
      </c>
      <c r="C6442" s="16" t="str">
        <f>IFERROR(__xludf.DUMMYFUNCTION(""""""""" &amp; REGEXEXTRACT(B6442, ""/detail/([^/?]+)"") &amp; """""","""),"""melhpmkjaiifbaeocekhicgfofhcbiea"",")</f>
        <v>"melhpmkjaiifbaeocekhicgfofhcbiea",</v>
      </c>
    </row>
    <row r="6443">
      <c r="A6443" s="4" t="s">
        <v>25622</v>
      </c>
      <c r="B6443" s="4" t="s">
        <v>12819</v>
      </c>
      <c r="C6443" s="16" t="str">
        <f>IFERROR(__xludf.DUMMYFUNCTION(""""""""" &amp; REGEXEXTRACT(B6443, ""/detail/([^/?]+)"") &amp; """""","""),"""mfcpcmfdckoedbnlebbocchokkapdoce"",")</f>
        <v>"mfcpcmfdckoedbnlebbocchokkapdoce",</v>
      </c>
    </row>
    <row r="6444">
      <c r="A6444" s="4" t="s">
        <v>25623</v>
      </c>
      <c r="B6444" s="4" t="s">
        <v>12821</v>
      </c>
      <c r="C6444" s="16" t="str">
        <f>IFERROR(__xludf.DUMMYFUNCTION(""""""""" &amp; REGEXEXTRACT(B6444, ""/detail/([^/?]+)"") &amp; """""","""),"""mfdldalpkidgnbelciicnadolplfjglc"",")</f>
        <v>"mfdldalpkidgnbelciicnadolplfjglc",</v>
      </c>
    </row>
    <row r="6445">
      <c r="A6445" s="4" t="s">
        <v>25624</v>
      </c>
      <c r="B6445" s="4" t="s">
        <v>12823</v>
      </c>
      <c r="C6445" s="16" t="str">
        <f>IFERROR(__xludf.DUMMYFUNCTION(""""""""" &amp; REGEXEXTRACT(B6445, ""/detail/([^/?]+)"") &amp; """""","""),"""mfgoieafikaldiglpkfgifoeigjcifmk"",")</f>
        <v>"mfgoieafikaldiglpkfgifoeigjcifmk",</v>
      </c>
    </row>
    <row r="6446">
      <c r="A6446" s="4" t="s">
        <v>25625</v>
      </c>
      <c r="B6446" s="4" t="s">
        <v>12825</v>
      </c>
      <c r="C6446" s="16" t="str">
        <f>IFERROR(__xludf.DUMMYFUNCTION(""""""""" &amp; REGEXEXTRACT(B6446, ""/detail/([^/?]+)"") &amp; """""","""),"""mfigcepdniddlllniijbmmekgfdcddel"",")</f>
        <v>"mfigcepdniddlllniijbmmekgfdcddel",</v>
      </c>
    </row>
    <row r="6447">
      <c r="A6447" s="4" t="s">
        <v>25626</v>
      </c>
      <c r="B6447" s="4" t="s">
        <v>12827</v>
      </c>
      <c r="C6447" s="16" t="str">
        <f>IFERROR(__xludf.DUMMYFUNCTION(""""""""" &amp; REGEXEXTRACT(B6447, ""/detail/([^/?]+)"") &amp; """""","""),"""mfkpfijgjhpmpfmnicccpglcekdjgenh"",")</f>
        <v>"mfkpfijgjhpmpfmnicccpglcekdjgenh",</v>
      </c>
    </row>
    <row r="6448">
      <c r="A6448" s="4" t="s">
        <v>25627</v>
      </c>
      <c r="B6448" s="4" t="s">
        <v>12829</v>
      </c>
      <c r="C6448" s="16" t="str">
        <f>IFERROR(__xludf.DUMMYFUNCTION(""""""""" &amp; REGEXEXTRACT(B6448, ""/detail/([^/?]+)"") &amp; """""","""),"""mflmgpdkgbihgojplljecakngbcokfme"",")</f>
        <v>"mflmgpdkgbihgojplljecakngbcokfme",</v>
      </c>
    </row>
    <row r="6449">
      <c r="A6449" s="4" t="s">
        <v>25628</v>
      </c>
      <c r="B6449" s="4" t="s">
        <v>12831</v>
      </c>
      <c r="C6449" s="16" t="str">
        <f>IFERROR(__xludf.DUMMYFUNCTION(""""""""" &amp; REGEXEXTRACT(B6449, ""/detail/([^/?]+)"") &amp; """""","""),"""mfmgafeloljkhohdgfahfegkkhjakkpl"",")</f>
        <v>"mfmgafeloljkhohdgfahfegkkhjakkpl",</v>
      </c>
    </row>
    <row r="6450">
      <c r="A6450" s="4" t="s">
        <v>25629</v>
      </c>
      <c r="B6450" s="4" t="s">
        <v>12833</v>
      </c>
      <c r="C6450" s="16" t="str">
        <f>IFERROR(__xludf.DUMMYFUNCTION(""""""""" &amp; REGEXEXTRACT(B6450, ""/detail/([^/?]+)"") &amp; """""","""),"""mfpkcemkhiohpefelbnldmgcnkejjkfi"",")</f>
        <v>"mfpkcemkhiohpefelbnldmgcnkejjkfi",</v>
      </c>
    </row>
    <row r="6451">
      <c r="A6451" s="4" t="s">
        <v>25630</v>
      </c>
      <c r="B6451" s="4" t="s">
        <v>12835</v>
      </c>
      <c r="C6451" s="16" t="str">
        <f>IFERROR(__xludf.DUMMYFUNCTION(""""""""" &amp; REGEXEXTRACT(B6451, ""/detail/([^/?]+)"") &amp; """""","""),"""mfppjcknhlobfhlikhlilfpojadjbmnj"",")</f>
        <v>"mfppjcknhlobfhlikhlilfpojadjbmnj",</v>
      </c>
    </row>
    <row r="6452">
      <c r="A6452" s="4" t="s">
        <v>25631</v>
      </c>
      <c r="B6452" s="4" t="s">
        <v>12837</v>
      </c>
      <c r="C6452" s="16" t="str">
        <f>IFERROR(__xludf.DUMMYFUNCTION(""""""""" &amp; REGEXEXTRACT(B6452, ""/detail/([^/?]+)"") &amp; """""","""),"""mgcgamijlgoeedbigpjlffkbomkjkdnc"",")</f>
        <v>"mgcgamijlgoeedbigpjlffkbomkjkdnc",</v>
      </c>
    </row>
    <row r="6453">
      <c r="A6453" s="4" t="s">
        <v>25632</v>
      </c>
      <c r="B6453" s="4" t="s">
        <v>12839</v>
      </c>
      <c r="C6453" s="16" t="str">
        <f>IFERROR(__xludf.DUMMYFUNCTION(""""""""" &amp; REGEXEXTRACT(B6453, ""/detail/([^/?]+)"") &amp; """""","""),"""mgehijmpijagbigfgckjidhkpbckmegc"",")</f>
        <v>"mgehijmpijagbigfgckjidhkpbckmegc",</v>
      </c>
    </row>
    <row r="6454">
      <c r="A6454" s="4" t="s">
        <v>25633</v>
      </c>
      <c r="B6454" s="4" t="s">
        <v>12841</v>
      </c>
      <c r="C6454" s="16" t="str">
        <f>IFERROR(__xludf.DUMMYFUNCTION(""""""""" &amp; REGEXEXTRACT(B6454, ""/detail/([^/?]+)"") &amp; """""","""),"""mgjhmbdcblaeiplecddckgalpiceoiaj"",")</f>
        <v>"mgjhmbdcblaeiplecddckgalpiceoiaj",</v>
      </c>
    </row>
    <row r="6455">
      <c r="A6455" s="4" t="s">
        <v>25634</v>
      </c>
      <c r="B6455" s="4" t="s">
        <v>12843</v>
      </c>
      <c r="C6455" s="16" t="str">
        <f>IFERROR(__xludf.DUMMYFUNCTION(""""""""" &amp; REGEXEXTRACT(B6455, ""/detail/([^/?]+)"") &amp; """""","""),"""mgmcokpgponhgkbnhfbdiddookjadenf"",")</f>
        <v>"mgmcokpgponhgkbnhfbdiddookjadenf",</v>
      </c>
    </row>
    <row r="6456">
      <c r="A6456" s="4" t="s">
        <v>25635</v>
      </c>
      <c r="B6456" s="4" t="s">
        <v>12845</v>
      </c>
      <c r="C6456" s="16" t="str">
        <f>IFERROR(__xludf.DUMMYFUNCTION(""""""""" &amp; REGEXEXTRACT(B6456, ""/detail/([^/?]+)"") &amp; """""","""),"""mgnblnbdmneollbncamkogcpgpjgekpf"",")</f>
        <v>"mgnblnbdmneollbncamkogcpgpjgekpf",</v>
      </c>
    </row>
    <row r="6457">
      <c r="A6457" s="4" t="s">
        <v>25636</v>
      </c>
      <c r="B6457" s="4" t="s">
        <v>12847</v>
      </c>
      <c r="C6457" s="16" t="str">
        <f>IFERROR(__xludf.DUMMYFUNCTION(""""""""" &amp; REGEXEXTRACT(B6457, ""/detail/([^/?]+)"") &amp; """""","""),"""mgolfcfjhnhjonkafcenenhipplamfdo"",")</f>
        <v>"mgolfcfjhnhjonkafcenenhipplamfdo",</v>
      </c>
    </row>
    <row r="6458">
      <c r="A6458" s="4" t="s">
        <v>25637</v>
      </c>
      <c r="B6458" s="4" t="s">
        <v>12849</v>
      </c>
      <c r="C6458" s="16" t="str">
        <f>IFERROR(__xludf.DUMMYFUNCTION(""""""""" &amp; REGEXEXTRACT(B6458, ""/detail/([^/?]+)"") &amp; """""","""),"""mhbdadbnkbnpmfcmpkfdkjhlahgibbfi"",")</f>
        <v>"mhbdadbnkbnpmfcmpkfdkjhlahgibbfi",</v>
      </c>
    </row>
    <row r="6459">
      <c r="A6459" s="4" t="s">
        <v>25638</v>
      </c>
      <c r="B6459" s="4" t="s">
        <v>12851</v>
      </c>
      <c r="C6459" s="16" t="str">
        <f>IFERROR(__xludf.DUMMYFUNCTION(""""""""" &amp; REGEXEXTRACT(B6459, ""/detail/([^/?]+)"") &amp; """""","""),"""mhfedeapmfofjbbmgiangfhnadgloemk"",")</f>
        <v>"mhfedeapmfofjbbmgiangfhnadgloemk",</v>
      </c>
    </row>
    <row r="6460">
      <c r="A6460" s="4" t="s">
        <v>25639</v>
      </c>
      <c r="B6460" s="4" t="s">
        <v>12853</v>
      </c>
      <c r="C6460" s="16" t="str">
        <f>IFERROR(__xludf.DUMMYFUNCTION(""""""""" &amp; REGEXEXTRACT(B6460, ""/detail/([^/?]+)"") &amp; """""","""),"""mhfnbdpkbjjidncjoapecfbedblplacn"",")</f>
        <v>"mhfnbdpkbjjidncjoapecfbedblplacn",</v>
      </c>
    </row>
    <row r="6461">
      <c r="A6461" s="4" t="s">
        <v>25640</v>
      </c>
      <c r="B6461" s="4" t="s">
        <v>12855</v>
      </c>
      <c r="C6461" s="16" t="str">
        <f>IFERROR(__xludf.DUMMYFUNCTION(""""""""" &amp; REGEXEXTRACT(B6461, ""/detail/([^/?]+)"") &amp; """""","""),"""mhglgbabaleaegjhdcmfffkaaklpmjog"",")</f>
        <v>"mhglgbabaleaegjhdcmfffkaaklpmjog",</v>
      </c>
    </row>
    <row r="6462">
      <c r="A6462" s="4" t="s">
        <v>25641</v>
      </c>
      <c r="B6462" s="4" t="s">
        <v>12857</v>
      </c>
      <c r="C6462" s="16" t="str">
        <f>IFERROR(__xludf.DUMMYFUNCTION(""""""""" &amp; REGEXEXTRACT(B6462, ""/detail/([^/?]+)"") &amp; """""","""),"""mhikceoaalnjmimabofghliacpmljocb"",")</f>
        <v>"mhikceoaalnjmimabofghliacpmljocb",</v>
      </c>
    </row>
    <row r="6463">
      <c r="A6463" s="4" t="s">
        <v>25642</v>
      </c>
      <c r="B6463" s="4" t="s">
        <v>12859</v>
      </c>
      <c r="C6463" s="16" t="str">
        <f>IFERROR(__xludf.DUMMYFUNCTION(""""""""" &amp; REGEXEXTRACT(B6463, ""/detail/([^/?]+)"") &amp; """""","""),"""mhipgnhbifdhmkabcfkamcomlnkcfbbp"",")</f>
        <v>"mhipgnhbifdhmkabcfkamcomlnkcfbbp",</v>
      </c>
    </row>
    <row r="6464">
      <c r="A6464" s="4" t="s">
        <v>25643</v>
      </c>
      <c r="B6464" s="4" t="s">
        <v>12861</v>
      </c>
      <c r="C6464" s="16" t="str">
        <f>IFERROR(__xludf.DUMMYFUNCTION(""""""""" &amp; REGEXEXTRACT(B6464, ""/detail/([^/?]+)"") &amp; """""","""),"""mhjpdgjkmckidkfehlmlnpoilmhmjdbb"",")</f>
        <v>"mhjpdgjkmckidkfehlmlnpoilmhmjdbb",</v>
      </c>
    </row>
    <row r="6465">
      <c r="A6465" s="4" t="s">
        <v>25644</v>
      </c>
      <c r="B6465" s="4" t="s">
        <v>12863</v>
      </c>
      <c r="C6465" s="16" t="str">
        <f>IFERROR(__xludf.DUMMYFUNCTION(""""""""" &amp; REGEXEXTRACT(B6465, ""/detail/([^/?]+)"") &amp; """""","""),"""mhlljjolmpcabhalkmdmjkmnnhegkblo"",")</f>
        <v>"mhlljjolmpcabhalkmdmjkmnnhegkblo",</v>
      </c>
    </row>
    <row r="6466">
      <c r="A6466" s="4" t="s">
        <v>25645</v>
      </c>
      <c r="B6466" s="4" t="s">
        <v>12865</v>
      </c>
      <c r="C6466" s="16" t="str">
        <f>IFERROR(__xludf.DUMMYFUNCTION(""""""""" &amp; REGEXEXTRACT(B6466, ""/detail/([^/?]+)"") &amp; """""","""),"""mhnghnbgphnoifbgfimejdmjcdibppio"",")</f>
        <v>"mhnghnbgphnoifbgfimejdmjcdibppio",</v>
      </c>
    </row>
    <row r="6467">
      <c r="A6467" s="4" t="s">
        <v>25646</v>
      </c>
      <c r="B6467" s="4" t="s">
        <v>12867</v>
      </c>
      <c r="C6467" s="16" t="str">
        <f>IFERROR(__xludf.DUMMYFUNCTION(""""""""" &amp; REGEXEXTRACT(B6467, ""/detail/([^/?]+)"") &amp; """""","""),"""mhnppmochppgeilojkicdoghhgfnaaig"",")</f>
        <v>"mhnppmochppgeilojkicdoghhgfnaaig",</v>
      </c>
    </row>
    <row r="6468">
      <c r="A6468" s="4" t="s">
        <v>25647</v>
      </c>
      <c r="B6468" s="4" t="s">
        <v>12869</v>
      </c>
      <c r="C6468" s="16" t="str">
        <f>IFERROR(__xludf.DUMMYFUNCTION(""""""""" &amp; REGEXEXTRACT(B6468, ""/detail/([^/?]+)"") &amp; """""","""),"""mhocdmcpgbfbodcdmgfppdicjaechnna"",")</f>
        <v>"mhocdmcpgbfbodcdmgfppdicjaechnna",</v>
      </c>
    </row>
    <row r="6469">
      <c r="A6469" s="4" t="s">
        <v>25648</v>
      </c>
      <c r="B6469" s="4" t="s">
        <v>12871</v>
      </c>
      <c r="C6469" s="16" t="str">
        <f>IFERROR(__xludf.DUMMYFUNCTION(""""""""" &amp; REGEXEXTRACT(B6469, ""/detail/([^/?]+)"") &amp; """""","""),"""mhpapeindnojoecpmkpbmdhgclalkkck"",")</f>
        <v>"mhpapeindnojoecpmkpbmdhgclalkkck",</v>
      </c>
    </row>
    <row r="6470">
      <c r="A6470" s="4" t="s">
        <v>25649</v>
      </c>
      <c r="B6470" s="4" t="s">
        <v>12873</v>
      </c>
      <c r="C6470" s="16" t="str">
        <f>IFERROR(__xludf.DUMMYFUNCTION(""""""""" &amp; REGEXEXTRACT(B6470, ""/detail/([^/?]+)"") &amp; """""","""),"""miadadakooofkfpdajkmicldifahmlck"",")</f>
        <v>"miadadakooofkfpdajkmicldifahmlck",</v>
      </c>
    </row>
    <row r="6471">
      <c r="A6471" s="4" t="s">
        <v>25650</v>
      </c>
      <c r="B6471" s="4" t="s">
        <v>12875</v>
      </c>
      <c r="C6471" s="16" t="str">
        <f>IFERROR(__xludf.DUMMYFUNCTION(""""""""" &amp; REGEXEXTRACT(B6471, ""/detail/([^/?]+)"") &amp; """""","""),"""micgklgohpdofbfhnjgbkngheaimenci"",")</f>
        <v>"micgklgohpdofbfhnjgbkngheaimenci",</v>
      </c>
    </row>
    <row r="6472">
      <c r="A6472" s="4" t="s">
        <v>25651</v>
      </c>
      <c r="B6472" s="4" t="s">
        <v>12877</v>
      </c>
      <c r="C6472" s="16" t="str">
        <f>IFERROR(__xludf.DUMMYFUNCTION(""""""""" &amp; REGEXEXTRACT(B6472, ""/detail/([^/?]+)"") &amp; """""","""),"""midlhemfifegochppdagaidbknfpljfa"",")</f>
        <v>"midlhemfifegochppdagaidbknfpljfa",</v>
      </c>
    </row>
    <row r="6473">
      <c r="A6473" s="4" t="s">
        <v>25652</v>
      </c>
      <c r="B6473" s="4" t="s">
        <v>12879</v>
      </c>
      <c r="C6473" s="16" t="str">
        <f>IFERROR(__xludf.DUMMYFUNCTION(""""""""" &amp; REGEXEXTRACT(B6473, ""/detail/([^/?]+)"") &amp; """""","""),"""midmkncnhpphmdjlnfcoinhcekapmkic"",")</f>
        <v>"midmkncnhpphmdjlnfcoinhcekapmkic",</v>
      </c>
    </row>
    <row r="6474">
      <c r="A6474" s="10" t="s">
        <v>25653</v>
      </c>
      <c r="B6474" s="4" t="s">
        <v>12881</v>
      </c>
      <c r="C6474" s="16" t="str">
        <f>IFERROR(__xludf.DUMMYFUNCTION(""""""""" &amp; REGEXEXTRACT(B6474, ""/detail/([^/?]+)"") &amp; """""","""),"""miebhgackamojjpabecgnijnjdkdcnab"",")</f>
        <v>"miebhgackamojjpabecgnijnjdkdcnab",</v>
      </c>
    </row>
    <row r="6475">
      <c r="A6475" s="4" t="s">
        <v>25654</v>
      </c>
      <c r="B6475" s="4" t="s">
        <v>12883</v>
      </c>
      <c r="C6475" s="16" t="str">
        <f>IFERROR(__xludf.DUMMYFUNCTION(""""""""" &amp; REGEXEXTRACT(B6475, ""/detail/([^/?]+)"") &amp; """""","""),"""migaaphlbncgmebbnllebpfobmemcoao"",")</f>
        <v>"migaaphlbncgmebbnllebpfobmemcoao",</v>
      </c>
    </row>
    <row r="6476">
      <c r="A6476" s="4" t="s">
        <v>25655</v>
      </c>
      <c r="B6476" s="4" t="s">
        <v>12885</v>
      </c>
      <c r="C6476" s="16" t="str">
        <f>IFERROR(__xludf.DUMMYFUNCTION(""""""""" &amp; REGEXEXTRACT(B6476, ""/detail/([^/?]+)"") &amp; """""","""),"""migbdolpkobiafpigleooabjcbpkcdpd"",")</f>
        <v>"migbdolpkobiafpigleooabjcbpkcdpd",</v>
      </c>
    </row>
    <row r="6477">
      <c r="A6477" s="4" t="s">
        <v>25656</v>
      </c>
      <c r="B6477" s="4" t="s">
        <v>12887</v>
      </c>
      <c r="C6477" s="16" t="str">
        <f>IFERROR(__xludf.DUMMYFUNCTION(""""""""" &amp; REGEXEXTRACT(B6477, ""/detail/([^/?]+)"") &amp; """""","""),"""miopldoofdhmipepmnclnoangcdffmlk"",")</f>
        <v>"miopldoofdhmipepmnclnoangcdffmlk",</v>
      </c>
    </row>
    <row r="6478">
      <c r="A6478" s="4" t="s">
        <v>25657</v>
      </c>
      <c r="B6478" s="4" t="s">
        <v>12889</v>
      </c>
      <c r="C6478" s="16" t="str">
        <f>IFERROR(__xludf.DUMMYFUNCTION(""""""""" &amp; REGEXEXTRACT(B6478, ""/detail/([^/?]+)"") &amp; """""","""),"""mipdcbiknojmmjlimgiclopcmlkiiebd"",")</f>
        <v>"mipdcbiknojmmjlimgiclopcmlkiiebd",</v>
      </c>
    </row>
    <row r="6479">
      <c r="A6479" s="4" t="s">
        <v>25658</v>
      </c>
      <c r="B6479" s="4" t="s">
        <v>12891</v>
      </c>
      <c r="C6479" s="16" t="str">
        <f>IFERROR(__xludf.DUMMYFUNCTION(""""""""" &amp; REGEXEXTRACT(B6479, ""/detail/([^/?]+)"") &amp; """""","""),"""mipjggdmdaagfmpnomakdcgchdcgfbdg"",")</f>
        <v>"mipjggdmdaagfmpnomakdcgchdcgfbdg",</v>
      </c>
    </row>
    <row r="6480">
      <c r="A6480" s="4" t="s">
        <v>25659</v>
      </c>
      <c r="B6480" s="4" t="s">
        <v>12893</v>
      </c>
      <c r="C6480" s="16" t="str">
        <f>IFERROR(__xludf.DUMMYFUNCTION(""""""""" &amp; REGEXEXTRACT(B6480, ""/detail/([^/?]+)"") &amp; """""","""),"""mipjmapcmcampplhheoaaedaibdojgdj"",")</f>
        <v>"mipjmapcmcampplhheoaaedaibdojgdj",</v>
      </c>
    </row>
    <row r="6481">
      <c r="A6481" s="4" t="s">
        <v>25660</v>
      </c>
      <c r="B6481" s="4" t="s">
        <v>12895</v>
      </c>
      <c r="C6481" s="16" t="str">
        <f>IFERROR(__xludf.DUMMYFUNCTION(""""""""" &amp; REGEXEXTRACT(B6481, ""/detail/([^/?]+)"") &amp; """""","""),"""mjbfbknmcdpofdfkeencgjaolgcddglh"",")</f>
        <v>"mjbfbknmcdpofdfkeencgjaolgcddglh",</v>
      </c>
    </row>
    <row r="6482">
      <c r="A6482" s="4" t="s">
        <v>25661</v>
      </c>
      <c r="B6482" s="4" t="s">
        <v>12897</v>
      </c>
      <c r="C6482" s="16" t="str">
        <f>IFERROR(__xludf.DUMMYFUNCTION(""""""""" &amp; REGEXEXTRACT(B6482, ""/detail/([^/?]+)"") &amp; """""","""),"""mjbofijjejpdldklldknobfegdjmmlbc"",")</f>
        <v>"mjbofijjejpdldklldknobfegdjmmlbc",</v>
      </c>
    </row>
    <row r="6483">
      <c r="A6483" s="4" t="s">
        <v>25662</v>
      </c>
      <c r="B6483" s="4" t="s">
        <v>12899</v>
      </c>
      <c r="C6483" s="16" t="str">
        <f>IFERROR(__xludf.DUMMYFUNCTION(""""""""" &amp; REGEXEXTRACT(B6483, ""/detail/([^/?]+)"") &amp; """""","""),"""mjcajbgmgplmelmnafihhbfhiecioaic"",")</f>
        <v>"mjcajbgmgplmelmnafihhbfhiecioaic",</v>
      </c>
    </row>
    <row r="6484">
      <c r="A6484" s="4" t="s">
        <v>25663</v>
      </c>
      <c r="B6484" s="4" t="s">
        <v>12901</v>
      </c>
      <c r="C6484" s="16" t="str">
        <f>IFERROR(__xludf.DUMMYFUNCTION(""""""""" &amp; REGEXEXTRACT(B6484, ""/detail/([^/?]+)"") &amp; """""","""),"""mjcdmlibiooblijamnolhajjigcmhglp"",")</f>
        <v>"mjcdmlibiooblijamnolhajjigcmhglp",</v>
      </c>
    </row>
    <row r="6485">
      <c r="A6485" s="4" t="s">
        <v>25664</v>
      </c>
      <c r="B6485" s="4" t="s">
        <v>12903</v>
      </c>
      <c r="C6485" s="16" t="str">
        <f>IFERROR(__xludf.DUMMYFUNCTION(""""""""" &amp; REGEXEXTRACT(B6485, ""/detail/([^/?]+)"") &amp; """""","""),"""mjfjiglcnojlicbkomcoohndhpceflbp"",")</f>
        <v>"mjfjiglcnojlicbkomcoohndhpceflbp",</v>
      </c>
    </row>
    <row r="6486">
      <c r="A6486" s="4" t="s">
        <v>25665</v>
      </c>
      <c r="B6486" s="4" t="s">
        <v>12905</v>
      </c>
      <c r="C6486" s="16" t="str">
        <f>IFERROR(__xludf.DUMMYFUNCTION(""""""""" &amp; REGEXEXTRACT(B6486, ""/detail/([^/?]+)"") &amp; """""","""),"""mjfkgjokgmfejicpkmnklhfnfpkppaaa"",")</f>
        <v>"mjfkgjokgmfejicpkmnklhfnfpkppaaa",</v>
      </c>
    </row>
    <row r="6487">
      <c r="A6487" s="4" t="s">
        <v>25666</v>
      </c>
      <c r="B6487" s="4" t="s">
        <v>12907</v>
      </c>
      <c r="C6487" s="16" t="str">
        <f>IFERROR(__xludf.DUMMYFUNCTION(""""""""" &amp; REGEXEXTRACT(B6487, ""/detail/([^/?]+)"") &amp; """""","""),"""mjglinopkdofebaamonijiemkndjaopd"",")</f>
        <v>"mjglinopkdofebaamonijiemkndjaopd",</v>
      </c>
    </row>
    <row r="6488">
      <c r="A6488" s="4" t="s">
        <v>25667</v>
      </c>
      <c r="B6488" s="4" t="s">
        <v>12909</v>
      </c>
      <c r="C6488" s="16" t="str">
        <f>IFERROR(__xludf.DUMMYFUNCTION(""""""""" &amp; REGEXEXTRACT(B6488, ""/detail/([^/?]+)"") &amp; """""","""),"""mjhdfipdhjicefeklelaoeboghggaigc"",")</f>
        <v>"mjhdfipdhjicefeklelaoeboghggaigc",</v>
      </c>
    </row>
    <row r="6489">
      <c r="A6489" s="4" t="s">
        <v>25668</v>
      </c>
      <c r="B6489" s="4" t="s">
        <v>12911</v>
      </c>
      <c r="C6489" s="16" t="str">
        <f>IFERROR(__xludf.DUMMYFUNCTION(""""""""" &amp; REGEXEXTRACT(B6489, ""/detail/([^/?]+)"") &amp; """""","""),"""mjkioojopjemgkhdncehnfbanlikfeej"",")</f>
        <v>"mjkioojopjemgkhdncehnfbanlikfeej",</v>
      </c>
    </row>
    <row r="6490">
      <c r="A6490" s="4" t="s">
        <v>25669</v>
      </c>
      <c r="B6490" s="4" t="s">
        <v>12913</v>
      </c>
      <c r="C6490" s="16" t="str">
        <f>IFERROR(__xludf.DUMMYFUNCTION(""""""""" &amp; REGEXEXTRACT(B6490, ""/detail/([^/?]+)"") &amp; """""","""),"""mjklaaodihaohclhbebonimanionolac"",")</f>
        <v>"mjklaaodihaohclhbebonimanionolac",</v>
      </c>
    </row>
    <row r="6491">
      <c r="A6491" s="4" t="s">
        <v>25670</v>
      </c>
      <c r="B6491" s="4" t="s">
        <v>12915</v>
      </c>
      <c r="C6491" s="16" t="str">
        <f>IFERROR(__xludf.DUMMYFUNCTION(""""""""" &amp; REGEXEXTRACT(B6491, ""/detail/([^/?]+)"") &amp; """""","""),"""mjmgfnhinkdnieleomgojemahjekgmkn"",")</f>
        <v>"mjmgfnhinkdnieleomgojemahjekgmkn",</v>
      </c>
    </row>
    <row r="6492">
      <c r="A6492" s="4" t="s">
        <v>25671</v>
      </c>
      <c r="B6492" s="4" t="s">
        <v>12917</v>
      </c>
      <c r="C6492" s="16" t="str">
        <f>IFERROR(__xludf.DUMMYFUNCTION(""""""""" &amp; REGEXEXTRACT(B6492, ""/detail/([^/?]+)"") &amp; """""","""),"""mjopklofkenogbkhgmfgklaekaljdhhb"",")</f>
        <v>"mjopklofkenogbkhgmfgklaekaljdhhb",</v>
      </c>
    </row>
    <row r="6493">
      <c r="A6493" s="4" t="s">
        <v>25672</v>
      </c>
      <c r="B6493" s="4" t="s">
        <v>12919</v>
      </c>
      <c r="C6493" s="16" t="str">
        <f>IFERROR(__xludf.DUMMYFUNCTION(""""""""" &amp; REGEXEXTRACT(B6493, ""/detail/([^/?]+)"") &amp; """""","""),"""mjpenmgnpoppgkpdoomfkanahfljlhjc"",")</f>
        <v>"mjpenmgnpoppgkpdoomfkanahfljlhjc",</v>
      </c>
    </row>
    <row r="6494">
      <c r="A6494" s="4" t="s">
        <v>25673</v>
      </c>
      <c r="B6494" s="4" t="s">
        <v>12921</v>
      </c>
      <c r="C6494" s="16" t="str">
        <f>IFERROR(__xludf.DUMMYFUNCTION(""""""""" &amp; REGEXEXTRACT(B6494, ""/detail/([^/?]+)"") &amp; """""","""),"""mjppjlnifgocniaodibloehjeggcmkid"",")</f>
        <v>"mjppjlnifgocniaodibloehjeggcmkid",</v>
      </c>
    </row>
    <row r="6495">
      <c r="A6495" s="4" t="s">
        <v>25674</v>
      </c>
      <c r="B6495" s="4" t="s">
        <v>12923</v>
      </c>
      <c r="C6495" s="16" t="str">
        <f>IFERROR(__xludf.DUMMYFUNCTION(""""""""" &amp; REGEXEXTRACT(B6495, ""/detail/([^/?]+)"") &amp; """""","""),"""mkeclhaiiffmeeokkomoameekkpiiecf"",")</f>
        <v>"mkeclhaiiffmeeokkomoameekkpiiecf",</v>
      </c>
    </row>
    <row r="6496">
      <c r="A6496" s="4" t="s">
        <v>25675</v>
      </c>
      <c r="B6496" s="4" t="s">
        <v>12925</v>
      </c>
      <c r="C6496" s="16" t="str">
        <f>IFERROR(__xludf.DUMMYFUNCTION(""""""""" &amp; REGEXEXTRACT(B6496, ""/detail/([^/?]+)"") &amp; """""","""),"""mkehgjplmdhnbochbdmdlghjpdhlamnd"",")</f>
        <v>"mkehgjplmdhnbochbdmdlghjpdhlamnd",</v>
      </c>
    </row>
    <row r="6497">
      <c r="A6497" s="4" t="s">
        <v>25676</v>
      </c>
      <c r="B6497" s="4" t="s">
        <v>12927</v>
      </c>
      <c r="C6497" s="16" t="str">
        <f>IFERROR(__xludf.DUMMYFUNCTION(""""""""" &amp; REGEXEXTRACT(B6497, ""/detail/([^/?]+)"") &amp; """""","""),"""mkfaibcieogbhcneiohnhggglkdmncmo"",")</f>
        <v>"mkfaibcieogbhcneiohnhggglkdmncmo",</v>
      </c>
    </row>
    <row r="6498">
      <c r="A6498" s="4" t="s">
        <v>25677</v>
      </c>
      <c r="B6498" s="4" t="s">
        <v>12929</v>
      </c>
      <c r="C6498" s="16" t="str">
        <f>IFERROR(__xludf.DUMMYFUNCTION(""""""""" &amp; REGEXEXTRACT(B6498, ""/detail/([^/?]+)"") &amp; """""","""),"""mkhgdehlebdhbdmjgclbkcamaicfgjne"",")</f>
        <v>"mkhgdehlebdhbdmjgclbkcamaicfgjne",</v>
      </c>
    </row>
    <row r="6499">
      <c r="A6499" s="4" t="s">
        <v>25678</v>
      </c>
      <c r="B6499" s="4" t="s">
        <v>12931</v>
      </c>
      <c r="C6499" s="16" t="str">
        <f>IFERROR(__xludf.DUMMYFUNCTION(""""""""" &amp; REGEXEXTRACT(B6499, ""/detail/([^/?]+)"") &amp; """""","""),"""mkhmjimpmgfjejbemjbimepeifijlagc"",")</f>
        <v>"mkhmjimpmgfjejbemjbimepeifijlagc",</v>
      </c>
    </row>
    <row r="6500">
      <c r="A6500" s="4" t="s">
        <v>25679</v>
      </c>
      <c r="B6500" s="4" t="s">
        <v>12933</v>
      </c>
      <c r="C6500" s="16" t="str">
        <f>IFERROR(__xludf.DUMMYFUNCTION(""""""""" &amp; REGEXEXTRACT(B6500, ""/detail/([^/?]+)"") &amp; """""","""),"""mklkemobgbjfgpnhfbdbainmenjanpbe"",")</f>
        <v>"mklkemobgbjfgpnhfbdbainmenjanpbe",</v>
      </c>
    </row>
    <row r="6501">
      <c r="A6501" s="4" t="s">
        <v>25680</v>
      </c>
      <c r="B6501" s="4" t="s">
        <v>12935</v>
      </c>
      <c r="C6501" s="16" t="str">
        <f>IFERROR(__xludf.DUMMYFUNCTION(""""""""" &amp; REGEXEXTRACT(B6501, ""/detail/([^/?]+)"") &amp; """""","""),"""mkobobmncbbieloopnpflkicoaoihcle"",")</f>
        <v>"mkobobmncbbieloopnpflkicoaoihcle",</v>
      </c>
    </row>
    <row r="6502">
      <c r="A6502" s="4" t="s">
        <v>25681</v>
      </c>
      <c r="B6502" s="4" t="s">
        <v>12937</v>
      </c>
      <c r="C6502" s="16" t="str">
        <f>IFERROR(__xludf.DUMMYFUNCTION(""""""""" &amp; REGEXEXTRACT(B6502, ""/detail/([^/?]+)"") &amp; """""","""),"""mkpfodpjhekjdhkchalfflggeoamfajh"",")</f>
        <v>"mkpfodpjhekjdhkchalfflggeoamfajh",</v>
      </c>
    </row>
    <row r="6503">
      <c r="A6503" s="4" t="s">
        <v>25682</v>
      </c>
      <c r="B6503" s="4" t="s">
        <v>12939</v>
      </c>
      <c r="C6503" s="16" t="str">
        <f>IFERROR(__xludf.DUMMYFUNCTION(""""""""" &amp; REGEXEXTRACT(B6503, ""/detail/([^/?]+)"") &amp; """""","""),"""mldkoedmkpceicjeobmilbdeebdeljgc"",")</f>
        <v>"mldkoedmkpceicjeobmilbdeebdeljgc",</v>
      </c>
    </row>
    <row r="6504">
      <c r="A6504" s="4" t="s">
        <v>25683</v>
      </c>
      <c r="B6504" s="4" t="s">
        <v>12941</v>
      </c>
      <c r="C6504" s="16" t="str">
        <f>IFERROR(__xludf.DUMMYFUNCTION(""""""""" &amp; REGEXEXTRACT(B6504, ""/detail/([^/?]+)"") &amp; """""","""),"""mlgeajkpagegaanjcffndokbmifddcdn"",")</f>
        <v>"mlgeajkpagegaanjcffndokbmifddcdn",</v>
      </c>
    </row>
    <row r="6505">
      <c r="A6505" s="4" t="s">
        <v>25684</v>
      </c>
      <c r="B6505" s="4" t="s">
        <v>12943</v>
      </c>
      <c r="C6505" s="16" t="str">
        <f>IFERROR(__xludf.DUMMYFUNCTION(""""""""" &amp; REGEXEXTRACT(B6505, ""/detail/([^/?]+)"") &amp; """""","""),"""mlinmlldlfpiioajgllnnnkhhhiakdmi"",")</f>
        <v>"mlinmlldlfpiioajgllnnnkhhhiakdmi",</v>
      </c>
    </row>
    <row r="6506">
      <c r="A6506" s="4" t="s">
        <v>25685</v>
      </c>
      <c r="B6506" s="4" t="s">
        <v>12945</v>
      </c>
      <c r="C6506" s="16" t="str">
        <f>IFERROR(__xludf.DUMMYFUNCTION(""""""""" &amp; REGEXEXTRACT(B6506, ""/detail/([^/?]+)"") &amp; """""","""),"""mlipaappcpbepmoeighdkkcfmjeijhdl"",")</f>
        <v>"mlipaappcpbepmoeighdkkcfmjeijhdl",</v>
      </c>
    </row>
    <row r="6507">
      <c r="A6507" s="4" t="s">
        <v>25686</v>
      </c>
      <c r="B6507" s="4" t="s">
        <v>12947</v>
      </c>
      <c r="C6507" s="16" t="str">
        <f>IFERROR(__xludf.DUMMYFUNCTION(""""""""" &amp; REGEXEXTRACT(B6507, ""/detail/([^/?]+)"") &amp; """""","""),"""mlmlfmdmhdplgecgmiihhfjodokajeel"",")</f>
        <v>"mlmlfmdmhdplgecgmiihhfjodokajeel",</v>
      </c>
    </row>
    <row r="6508">
      <c r="A6508" s="4" t="s">
        <v>25687</v>
      </c>
      <c r="B6508" s="4" t="s">
        <v>12949</v>
      </c>
      <c r="C6508" s="16" t="str">
        <f>IFERROR(__xludf.DUMMYFUNCTION(""""""""" &amp; REGEXEXTRACT(B6508, ""/detail/([^/?]+)"") &amp; """""","""),"""mlmlhipeonlflbcclinpbmcjdnpnmkpf"",")</f>
        <v>"mlmlhipeonlflbcclinpbmcjdnpnmkpf",</v>
      </c>
    </row>
    <row r="6509">
      <c r="A6509" s="4" t="s">
        <v>25688</v>
      </c>
      <c r="B6509" s="4" t="s">
        <v>12951</v>
      </c>
      <c r="C6509" s="16" t="str">
        <f>IFERROR(__xludf.DUMMYFUNCTION(""""""""" &amp; REGEXEXTRACT(B6509, ""/detail/([^/?]+)"") &amp; """""","""),"""mlmmahhmlolgeigpchjnolpdjhcihmod"",")</f>
        <v>"mlmmahhmlolgeigpchjnolpdjhcihmod",</v>
      </c>
    </row>
    <row r="6510">
      <c r="A6510" s="4" t="s">
        <v>25689</v>
      </c>
      <c r="B6510" s="4" t="s">
        <v>12953</v>
      </c>
      <c r="C6510" s="16" t="str">
        <f>IFERROR(__xludf.DUMMYFUNCTION(""""""""" &amp; REGEXEXTRACT(B6510, ""/detail/([^/?]+)"") &amp; """""","""),"""mlnmjnpboajjjlmmaojnghbanpmceebh"",")</f>
        <v>"mlnmjnpboajjjlmmaojnghbanpmceebh",</v>
      </c>
    </row>
    <row r="6511">
      <c r="A6511" s="4" t="s">
        <v>25690</v>
      </c>
      <c r="B6511" s="4" t="s">
        <v>12955</v>
      </c>
      <c r="C6511" s="16" t="str">
        <f>IFERROR(__xludf.DUMMYFUNCTION(""""""""" &amp; REGEXEXTRACT(B6511, ""/detail/([^/?]+)"") &amp; """""","""),"""mlodcjhgnkhibanidjdgcjekbmifgjle"",")</f>
        <v>"mlodcjhgnkhibanidjdgcjekbmifgjle",</v>
      </c>
    </row>
    <row r="6512">
      <c r="A6512" s="4" t="s">
        <v>25691</v>
      </c>
      <c r="B6512" s="4" t="s">
        <v>12957</v>
      </c>
      <c r="C6512" s="16" t="str">
        <f>IFERROR(__xludf.DUMMYFUNCTION(""""""""" &amp; REGEXEXTRACT(B6512, ""/detail/([^/?]+)"") &amp; """""","""),"""mlpdnndckcidofffnhlhnemchamjbkbi"",")</f>
        <v>"mlpdnndckcidofffnhlhnemchamjbkbi",</v>
      </c>
    </row>
    <row r="6513">
      <c r="A6513" s="4" t="s">
        <v>25692</v>
      </c>
      <c r="B6513" s="4" t="s">
        <v>12959</v>
      </c>
      <c r="C6513" s="16" t="str">
        <f>IFERROR(__xludf.DUMMYFUNCTION(""""""""" &amp; REGEXEXTRACT(B6513, ""/detail/([^/?]+)"") &amp; """""","""),"""mmdmdndlbdblbjdphkpfbcpfmfjlcfjk"",")</f>
        <v>"mmdmdndlbdblbjdphkpfbcpfmfjlcfjk",</v>
      </c>
    </row>
    <row r="6514">
      <c r="A6514" s="4" t="s">
        <v>25693</v>
      </c>
      <c r="B6514" s="4" t="s">
        <v>12961</v>
      </c>
      <c r="C6514" s="16" t="str">
        <f>IFERROR(__xludf.DUMMYFUNCTION(""""""""" &amp; REGEXEXTRACT(B6514, ""/detail/([^/?]+)"") &amp; """""","""),"""mmfllkanpneonkgdnpbgeojbolpjchjb"",")</f>
        <v>"mmfllkanpneonkgdnpbgeojbolpjchjb",</v>
      </c>
    </row>
    <row r="6515">
      <c r="A6515" s="4" t="s">
        <v>25694</v>
      </c>
      <c r="B6515" s="4" t="s">
        <v>12963</v>
      </c>
      <c r="C6515" s="16" t="str">
        <f>IFERROR(__xludf.DUMMYFUNCTION(""""""""" &amp; REGEXEXTRACT(B6515, ""/detail/([^/?]+)"") &amp; """""","""),"""mmhippoadkhcflebgghophicgldbahdb"",")</f>
        <v>"mmhippoadkhcflebgghophicgldbahdb",</v>
      </c>
    </row>
    <row r="6516">
      <c r="A6516" s="4" t="s">
        <v>25695</v>
      </c>
      <c r="B6516" s="4" t="s">
        <v>12965</v>
      </c>
      <c r="C6516" s="16" t="str">
        <f>IFERROR(__xludf.DUMMYFUNCTION(""""""""" &amp; REGEXEXTRACT(B6516, ""/detail/([^/?]+)"") &amp; """""","""),"""mmjginkjeljiaiafplppfkfdindcjkfi"",")</f>
        <v>"mmjginkjeljiaiafplppfkfdindcjkfi",</v>
      </c>
    </row>
    <row r="6517">
      <c r="A6517" s="4" t="s">
        <v>25696</v>
      </c>
      <c r="B6517" s="4" t="s">
        <v>12967</v>
      </c>
      <c r="C6517" s="16" t="str">
        <f>IFERROR(__xludf.DUMMYFUNCTION(""""""""" &amp; REGEXEXTRACT(B6517, ""/detail/([^/?]+)"") &amp; """""","""),"""mmjiklhkmelmcndgghbkfknilhidphdb"",")</f>
        <v>"mmjiklhkmelmcndgghbkfknilhidphdb",</v>
      </c>
    </row>
    <row r="6518">
      <c r="A6518" s="4" t="s">
        <v>25697</v>
      </c>
      <c r="B6518" s="4" t="s">
        <v>12969</v>
      </c>
      <c r="C6518" s="16" t="str">
        <f>IFERROR(__xludf.DUMMYFUNCTION(""""""""" &amp; REGEXEXTRACT(B6518, ""/detail/([^/?]+)"") &amp; """""","""),"""mmlhdonlemejhcakmibfddphfigagfnn"",")</f>
        <v>"mmlhdonlemejhcakmibfddphfigagfnn",</v>
      </c>
    </row>
    <row r="6519">
      <c r="A6519" s="4" t="s">
        <v>25698</v>
      </c>
      <c r="B6519" s="4" t="s">
        <v>12971</v>
      </c>
      <c r="C6519" s="16" t="str">
        <f>IFERROR(__xludf.DUMMYFUNCTION(""""""""" &amp; REGEXEXTRACT(B6519, ""/detail/([^/?]+)"") &amp; """""","""),"""mmlkhkccadgochofbhcjnpgcfokbickl"",")</f>
        <v>"mmlkhkccadgochofbhcjnpgcfokbickl",</v>
      </c>
    </row>
    <row r="6520">
      <c r="A6520" s="4" t="s">
        <v>25699</v>
      </c>
      <c r="B6520" s="4" t="s">
        <v>12973</v>
      </c>
      <c r="C6520" s="16" t="str">
        <f>IFERROR(__xludf.DUMMYFUNCTION(""""""""" &amp; REGEXEXTRACT(B6520, ""/detail/([^/?]+)"") &amp; """""","""),"""mmllilpdpplbmjdjhlkagmimpgdflphb"",")</f>
        <v>"mmllilpdpplbmjdjhlkagmimpgdflphb",</v>
      </c>
    </row>
    <row r="6521">
      <c r="A6521" s="4" t="s">
        <v>25700</v>
      </c>
      <c r="B6521" s="4" t="s">
        <v>12975</v>
      </c>
      <c r="C6521" s="16" t="str">
        <f>IFERROR(__xludf.DUMMYFUNCTION(""""""""" &amp; REGEXEXTRACT(B6521, ""/detail/([^/?]+)"") &amp; """""","""),"""mmoofdchnhgamecafaceoidojbdoikof"",")</f>
        <v>"mmoofdchnhgamecafaceoidojbdoikof",</v>
      </c>
    </row>
    <row r="6522">
      <c r="A6522" s="4" t="s">
        <v>25701</v>
      </c>
      <c r="B6522" s="4" t="s">
        <v>12977</v>
      </c>
      <c r="C6522" s="16" t="str">
        <f>IFERROR(__xludf.DUMMYFUNCTION(""""""""" &amp; REGEXEXTRACT(B6522, ""/detail/([^/?]+)"") &amp; """""","""),"""mmpbdjdnmhgkpligeniippcgfmkgkpnf"",")</f>
        <v>"mmpbdjdnmhgkpligeniippcgfmkgkpnf",</v>
      </c>
    </row>
    <row r="6523">
      <c r="A6523" s="4" t="s">
        <v>25702</v>
      </c>
      <c r="B6523" s="4" t="s">
        <v>12979</v>
      </c>
      <c r="C6523" s="16" t="str">
        <f>IFERROR(__xludf.DUMMYFUNCTION(""""""""" &amp; REGEXEXTRACT(B6523, ""/detail/([^/?]+)"") &amp; """""","""),"""mmpgmlkppbckeoeeehdbhjnnmocdmkpp"",")</f>
        <v>"mmpgmlkppbckeoeeehdbhjnnmocdmkpp",</v>
      </c>
    </row>
    <row r="6524">
      <c r="A6524" s="4" t="s">
        <v>25703</v>
      </c>
      <c r="B6524" s="4" t="s">
        <v>12981</v>
      </c>
      <c r="C6524" s="16" t="str">
        <f>IFERROR(__xludf.DUMMYFUNCTION(""""""""" &amp; REGEXEXTRACT(B6524, ""/detail/([^/?]+)"") &amp; """""","""),"""mncdedgmeogkaeicgbgpbnnejjebphof"",")</f>
        <v>"mncdedgmeogkaeicgbgpbnnejjebphof",</v>
      </c>
    </row>
    <row r="6525">
      <c r="A6525" s="4" t="s">
        <v>25704</v>
      </c>
      <c r="B6525" s="4" t="s">
        <v>12983</v>
      </c>
      <c r="C6525" s="16" t="str">
        <f>IFERROR(__xludf.DUMMYFUNCTION(""""""""" &amp; REGEXEXTRACT(B6525, ""/detail/([^/?]+)"") &amp; """""","""),"""mncmlbggmdcmddddanjcgabpajadljhm"",")</f>
        <v>"mncmlbggmdcmddddanjcgabpajadljhm",</v>
      </c>
    </row>
    <row r="6526">
      <c r="A6526" s="4" t="s">
        <v>25705</v>
      </c>
      <c r="B6526" s="4" t="s">
        <v>12985</v>
      </c>
      <c r="C6526" s="16" t="str">
        <f>IFERROR(__xludf.DUMMYFUNCTION(""""""""" &amp; REGEXEXTRACT(B6526, ""/detail/([^/?]+)"") &amp; """""","""),"""mncmonbagpafmiodljjellhckpgdebjc"",")</f>
        <v>"mncmonbagpafmiodljjellhckpgdebjc",</v>
      </c>
    </row>
    <row r="6527">
      <c r="A6527" s="4" t="s">
        <v>25706</v>
      </c>
      <c r="B6527" s="4" t="s">
        <v>12987</v>
      </c>
      <c r="C6527" s="16" t="str">
        <f>IFERROR(__xludf.DUMMYFUNCTION(""""""""" &amp; REGEXEXTRACT(B6527, ""/detail/([^/?]+)"") &amp; """""","""),"""mncocmgajjjpnfkobgdelegiogknodfn"",")</f>
        <v>"mncocmgajjjpnfkobgdelegiogknodfn",</v>
      </c>
    </row>
    <row r="6528">
      <c r="A6528" s="4" t="s">
        <v>25707</v>
      </c>
      <c r="B6528" s="4" t="s">
        <v>12989</v>
      </c>
      <c r="C6528" s="16" t="str">
        <f>IFERROR(__xludf.DUMMYFUNCTION(""""""""" &amp; REGEXEXTRACT(B6528, ""/detail/([^/?]+)"") &amp; """""","""),"""mnebjincbemnakfbiefcipmbjijgaimp"",")</f>
        <v>"mnebjincbemnakfbiefcipmbjijgaimp",</v>
      </c>
    </row>
    <row r="6529">
      <c r="A6529" s="4" t="s">
        <v>25708</v>
      </c>
      <c r="B6529" s="4" t="s">
        <v>12991</v>
      </c>
      <c r="C6529" s="16" t="str">
        <f>IFERROR(__xludf.DUMMYFUNCTION(""""""""" &amp; REGEXEXTRACT(B6529, ""/detail/([^/?]+)"") &amp; """""","""),"""mnehfgekclfdgfbmcmnpoebllplcgede"",")</f>
        <v>"mnehfgekclfdgfbmcmnpoebllplcgede",</v>
      </c>
    </row>
    <row r="6530">
      <c r="A6530" s="4" t="s">
        <v>25709</v>
      </c>
      <c r="B6530" s="4" t="s">
        <v>12993</v>
      </c>
      <c r="C6530" s="16" t="str">
        <f>IFERROR(__xludf.DUMMYFUNCTION(""""""""" &amp; REGEXEXTRACT(B6530, ""/detail/([^/?]+)"") &amp; """""","""),"""mnfpcejjhjokaijgbjpfmhcbjmkbeaab"",")</f>
        <v>"mnfpcejjhjokaijgbjpfmhcbjmkbeaab",</v>
      </c>
    </row>
    <row r="6531">
      <c r="A6531" s="4" t="s">
        <v>25710</v>
      </c>
      <c r="B6531" s="4" t="s">
        <v>12995</v>
      </c>
      <c r="C6531" s="16" t="str">
        <f>IFERROR(__xludf.DUMMYFUNCTION(""""""""" &amp; REGEXEXTRACT(B6531, ""/detail/([^/?]+)"") &amp; """""","""),"""mnhapiceipfpmbbibcijkfecpehjjodm"",")</f>
        <v>"mnhapiceipfpmbbibcijkfecpehjjodm",</v>
      </c>
    </row>
    <row r="6532">
      <c r="A6532" s="4" t="s">
        <v>25711</v>
      </c>
      <c r="B6532" s="4" t="s">
        <v>12997</v>
      </c>
      <c r="C6532" s="16" t="str">
        <f>IFERROR(__xludf.DUMMYFUNCTION(""""""""" &amp; REGEXEXTRACT(B6532, ""/detail/([^/?]+)"") &amp; """""","""),"""mnhhapcdfkbdcgondmfoegkmblnlpham"",")</f>
        <v>"mnhhapcdfkbdcgondmfoegkmblnlpham",</v>
      </c>
    </row>
    <row r="6533">
      <c r="A6533" s="4" t="s">
        <v>25712</v>
      </c>
      <c r="B6533" s="4" t="s">
        <v>12999</v>
      </c>
      <c r="C6533" s="16" t="str">
        <f>IFERROR(__xludf.DUMMYFUNCTION(""""""""" &amp; REGEXEXTRACT(B6533, ""/detail/([^/?]+)"") &amp; """""","""),"""mnjnpamhicgfdemmnppjgiphagochaki"",")</f>
        <v>"mnjnpamhicgfdemmnppjgiphagochaki",</v>
      </c>
    </row>
    <row r="6534">
      <c r="A6534" s="4" t="s">
        <v>25713</v>
      </c>
      <c r="B6534" s="4" t="s">
        <v>13001</v>
      </c>
      <c r="C6534" s="16" t="str">
        <f>IFERROR(__xludf.DUMMYFUNCTION(""""""""" &amp; REGEXEXTRACT(B6534, ""/detail/([^/?]+)"") &amp; """""","""),"""mnlklkicnffnilllmamogcaimdhaooom"",")</f>
        <v>"mnlklkicnffnilllmamogcaimdhaooom",</v>
      </c>
    </row>
    <row r="6535">
      <c r="A6535" s="4" t="s">
        <v>25714</v>
      </c>
      <c r="B6535" s="4" t="s">
        <v>13003</v>
      </c>
      <c r="C6535" s="16" t="str">
        <f>IFERROR(__xludf.DUMMYFUNCTION(""""""""" &amp; REGEXEXTRACT(B6535, ""/detail/([^/?]+)"") &amp; """""","""),"""moaokcjghnjifeeahifofckbmhofjdbi"",")</f>
        <v>"moaokcjghnjifeeahifofckbmhofjdbi",</v>
      </c>
    </row>
    <row r="6536">
      <c r="A6536" s="4" t="s">
        <v>25715</v>
      </c>
      <c r="B6536" s="4" t="s">
        <v>13005</v>
      </c>
      <c r="C6536" s="16" t="str">
        <f>IFERROR(__xludf.DUMMYFUNCTION(""""""""" &amp; REGEXEXTRACT(B6536, ""/detail/([^/?]+)"") &amp; """""","""),"""mobibinbefmieblpnhabghboblgamkbj"",")</f>
        <v>"mobibinbefmieblpnhabghboblgamkbj",</v>
      </c>
    </row>
    <row r="6537">
      <c r="A6537" s="4" t="s">
        <v>25716</v>
      </c>
      <c r="B6537" s="4" t="s">
        <v>13007</v>
      </c>
      <c r="C6537" s="16" t="str">
        <f>IFERROR(__xludf.DUMMYFUNCTION(""""""""" &amp; REGEXEXTRACT(B6537, ""/detail/([^/?]+)"") &amp; """""","""),"""modhnfpkgooaagmmfncaondnlajjjmlf"",")</f>
        <v>"modhnfpkgooaagmmfncaondnlajjjmlf",</v>
      </c>
    </row>
    <row r="6538">
      <c r="A6538" s="4" t="s">
        <v>25717</v>
      </c>
      <c r="B6538" s="4" t="s">
        <v>13009</v>
      </c>
      <c r="C6538" s="16" t="str">
        <f>IFERROR(__xludf.DUMMYFUNCTION(""""""""" &amp; REGEXEXTRACT(B6538, ""/detail/([^/?]+)"") &amp; """""","""),"""mofejmdiddbfhcianbflmfeggoimkimi"",")</f>
        <v>"mofejmdiddbfhcianbflmfeggoimkimi",</v>
      </c>
    </row>
    <row r="6539">
      <c r="A6539" s="4" t="s">
        <v>25718</v>
      </c>
      <c r="B6539" s="4" t="s">
        <v>13011</v>
      </c>
      <c r="C6539" s="16" t="str">
        <f>IFERROR(__xludf.DUMMYFUNCTION(""""""""" &amp; REGEXEXTRACT(B6539, ""/detail/([^/?]+)"") &amp; """""","""),"""mohfakfjfcmgflmfgijikdpbllnjjdfn"",")</f>
        <v>"mohfakfjfcmgflmfgijikdpbllnjjdfn",</v>
      </c>
    </row>
    <row r="6540">
      <c r="A6540" s="4" t="s">
        <v>25719</v>
      </c>
      <c r="B6540" s="4" t="s">
        <v>13013</v>
      </c>
      <c r="C6540" s="16" t="str">
        <f>IFERROR(__xludf.DUMMYFUNCTION(""""""""" &amp; REGEXEXTRACT(B6540, ""/detail/([^/?]+)"") &amp; """""","""),"""momgcmdnlbopbcmglainncpclaopfkje"",")</f>
        <v>"momgcmdnlbopbcmglainncpclaopfkje",</v>
      </c>
    </row>
    <row r="6541">
      <c r="A6541" s="4" t="s">
        <v>25720</v>
      </c>
      <c r="B6541" s="4" t="s">
        <v>13014</v>
      </c>
      <c r="C6541" s="16" t="str">
        <f>IFERROR(__xludf.DUMMYFUNCTION(""""""""" &amp; REGEXEXTRACT(B6541, ""/detail/([^/?]+)"") &amp; """""","""),"""momjcmgfmcmfchcihnhkonijglcdlpib"",")</f>
        <v>"momjcmgfmcmfchcihnhkonijglcdlpib",</v>
      </c>
    </row>
    <row r="6542">
      <c r="A6542" s="4" t="s">
        <v>25721</v>
      </c>
      <c r="B6542" s="4" t="s">
        <v>13016</v>
      </c>
      <c r="C6542" s="16" t="str">
        <f>IFERROR(__xludf.DUMMYFUNCTION(""""""""" &amp; REGEXEXTRACT(B6542, ""/detail/([^/?]+)"") &amp; """""","""),"""monppnaecmnpofilbadbbmgcdpabcgbo"",")</f>
        <v>"monppnaecmnpofilbadbbmgcdpabcgbo",</v>
      </c>
    </row>
    <row r="6543">
      <c r="A6543" s="4" t="s">
        <v>25722</v>
      </c>
      <c r="B6543" s="4" t="s">
        <v>13018</v>
      </c>
      <c r="C6543" s="16" t="str">
        <f>IFERROR(__xludf.DUMMYFUNCTION(""""""""" &amp; REGEXEXTRACT(B6543, ""/detail/([^/?]+)"") &amp; """""","""),"""mpahgjigomjgbajfljiaaiemdcikhhfm"",")</f>
        <v>"mpahgjigomjgbajfljiaaiemdcikhhfm",</v>
      </c>
    </row>
    <row r="6544">
      <c r="A6544" s="4" t="s">
        <v>25723</v>
      </c>
      <c r="B6544" s="4" t="s">
        <v>13020</v>
      </c>
      <c r="C6544" s="16" t="str">
        <f>IFERROR(__xludf.DUMMYFUNCTION(""""""""" &amp; REGEXEXTRACT(B6544, ""/detail/([^/?]+)"") &amp; """""","""),"""mpaohidlipnfnkbogpmanchjfjpdgcml"",")</f>
        <v>"mpaohidlipnfnkbogpmanchjfjpdgcml",</v>
      </c>
    </row>
    <row r="6545">
      <c r="A6545" s="4" t="s">
        <v>25724</v>
      </c>
      <c r="B6545" s="4" t="s">
        <v>13022</v>
      </c>
      <c r="C6545" s="16" t="str">
        <f>IFERROR(__xludf.DUMMYFUNCTION(""""""""" &amp; REGEXEXTRACT(B6545, ""/detail/([^/?]+)"") &amp; """""","""),"""mpcnoobdnjnpajojombadpfjjcajbgcn"",")</f>
        <v>"mpcnoobdnjnpajojombadpfjjcajbgcn",</v>
      </c>
    </row>
    <row r="6546">
      <c r="A6546" s="4" t="s">
        <v>25725</v>
      </c>
      <c r="B6546" s="4" t="s">
        <v>13024</v>
      </c>
      <c r="C6546" s="16" t="str">
        <f>IFERROR(__xludf.DUMMYFUNCTION(""""""""" &amp; REGEXEXTRACT(B6546, ""/detail/([^/?]+)"") &amp; """""","""),"""mpdkicmbmbljbgncgphonhgjebnapfop"",")</f>
        <v>"mpdkicmbmbljbgncgphonhgjebnapfop",</v>
      </c>
    </row>
    <row r="6547">
      <c r="A6547" s="4" t="s">
        <v>25726</v>
      </c>
      <c r="B6547" s="4" t="s">
        <v>13026</v>
      </c>
      <c r="C6547" s="16" t="str">
        <f>IFERROR(__xludf.DUMMYFUNCTION(""""""""" &amp; REGEXEXTRACT(B6547, ""/detail/([^/?]+)"") &amp; """""","""),"""mpeehkpppbkclkglilbjgmjppobdbcdo"",")</f>
        <v>"mpeehkpppbkclkglilbjgmjppobdbcdo",</v>
      </c>
    </row>
    <row r="6548">
      <c r="A6548" s="4" t="s">
        <v>25727</v>
      </c>
      <c r="B6548" s="4" t="s">
        <v>13028</v>
      </c>
      <c r="C6548" s="16" t="str">
        <f>IFERROR(__xludf.DUMMYFUNCTION(""""""""" &amp; REGEXEXTRACT(B6548, ""/detail/([^/?]+)"") &amp; """""","""),"""mpiocogpenlopnoeibcegpepnoggijck"",")</f>
        <v>"mpiocogpenlopnoeibcegpepnoggijck",</v>
      </c>
    </row>
    <row r="6549">
      <c r="A6549" s="4" t="s">
        <v>25728</v>
      </c>
      <c r="B6549" s="4" t="s">
        <v>13030</v>
      </c>
      <c r="C6549" s="16" t="str">
        <f>IFERROR(__xludf.DUMMYFUNCTION(""""""""" &amp; REGEXEXTRACT(B6549, ""/detail/([^/?]+)"") &amp; """""","""),"""mpkdmnddeijnncnnbmoilipjadjhnidd"",")</f>
        <v>"mpkdmnddeijnncnnbmoilipjadjhnidd",</v>
      </c>
    </row>
    <row r="6550">
      <c r="A6550" s="4" t="s">
        <v>25729</v>
      </c>
      <c r="B6550" s="4" t="s">
        <v>13032</v>
      </c>
      <c r="C6550" s="16" t="str">
        <f>IFERROR(__xludf.DUMMYFUNCTION(""""""""" &amp; REGEXEXTRACT(B6550, ""/detail/([^/?]+)"") &amp; """""","""),"""mpokflehdipnmpolojghihncoafbadbk"",")</f>
        <v>"mpokflehdipnmpolojghihncoafbadbk",</v>
      </c>
    </row>
    <row r="6551">
      <c r="A6551" s="4" t="s">
        <v>25730</v>
      </c>
      <c r="B6551" s="4" t="s">
        <v>13034</v>
      </c>
      <c r="C6551" s="16" t="str">
        <f>IFERROR(__xludf.DUMMYFUNCTION(""""""""" &amp; REGEXEXTRACT(B6551, ""/detail/([^/?]+)"") &amp; """""","""),"""nacjdocenajmlomcagpkmhpikhcdligg"",")</f>
        <v>"nacjdocenajmlomcagpkmhpikhcdligg",</v>
      </c>
    </row>
    <row r="6552">
      <c r="A6552" s="4" t="s">
        <v>25731</v>
      </c>
      <c r="B6552" s="4" t="s">
        <v>13036</v>
      </c>
      <c r="C6552" s="16" t="str">
        <f>IFERROR(__xludf.DUMMYFUNCTION(""""""""" &amp; REGEXEXTRACT(B6552, ""/detail/([^/?]+)"") &amp; """""","""),"""nafdnbcpapcfogchnakjflabidjkpenp"",")</f>
        <v>"nafdnbcpapcfogchnakjflabidjkpenp",</v>
      </c>
    </row>
    <row r="6553">
      <c r="A6553" s="4" t="s">
        <v>25732</v>
      </c>
      <c r="B6553" s="4" t="s">
        <v>13038</v>
      </c>
      <c r="C6553" s="16" t="str">
        <f>IFERROR(__xludf.DUMMYFUNCTION(""""""""" &amp; REGEXEXTRACT(B6553, ""/detail/([^/?]+)"") &amp; """""","""),"""nagdmbckkknilkfndjaadheldefdkfdb"",")</f>
        <v>"nagdmbckkknilkfndjaadheldefdkfdb",</v>
      </c>
    </row>
    <row r="6554">
      <c r="A6554" s="4" t="s">
        <v>25733</v>
      </c>
      <c r="B6554" s="4" t="s">
        <v>13040</v>
      </c>
      <c r="C6554" s="16" t="str">
        <f>IFERROR(__xludf.DUMMYFUNCTION(""""""""" &amp; REGEXEXTRACT(B6554, ""/detail/([^/?]+)"") &amp; """""","""),"""naggokfijmbenljcdlajbaccepmihagc"",")</f>
        <v>"naggokfijmbenljcdlajbaccepmihagc",</v>
      </c>
    </row>
    <row r="6555">
      <c r="A6555" s="4" t="s">
        <v>25734</v>
      </c>
      <c r="B6555" s="4" t="s">
        <v>13042</v>
      </c>
      <c r="C6555" s="16" t="str">
        <f>IFERROR(__xludf.DUMMYFUNCTION(""""""""" &amp; REGEXEXTRACT(B6555, ""/detail/([^/?]+)"") &amp; """""","""),"""nagkhplkbmnpanjfjpoepjmikmegcihp"",")</f>
        <v>"nagkhplkbmnpanjfjpoepjmikmegcihp",</v>
      </c>
    </row>
    <row r="6556">
      <c r="A6556" s="4" t="s">
        <v>25735</v>
      </c>
      <c r="B6556" s="4" t="s">
        <v>13044</v>
      </c>
      <c r="C6556" s="16" t="str">
        <f>IFERROR(__xludf.DUMMYFUNCTION(""""""""" &amp; REGEXEXTRACT(B6556, ""/detail/([^/?]+)"") &amp; """""","""),"""naldpfikfgfkciolocmfdjbcdjdhfghi"",")</f>
        <v>"naldpfikfgfkciolocmfdjbcdjdhfghi",</v>
      </c>
    </row>
    <row r="6557">
      <c r="A6557" s="4" t="s">
        <v>25736</v>
      </c>
      <c r="B6557" s="4" t="s">
        <v>13046</v>
      </c>
      <c r="C6557" s="16" t="str">
        <f>IFERROR(__xludf.DUMMYFUNCTION(""""""""" &amp; REGEXEXTRACT(B6557, ""/detail/([^/?]+)"") &amp; """""","""),"""naogknojdhkjjkbcjndmpkoleijgabdj"",")</f>
        <v>"naogknojdhkjjkbcjndmpkoleijgabdj",</v>
      </c>
    </row>
    <row r="6558">
      <c r="A6558" s="4" t="s">
        <v>25737</v>
      </c>
      <c r="B6558" s="4" t="s">
        <v>13048</v>
      </c>
      <c r="C6558" s="16" t="str">
        <f>IFERROR(__xludf.DUMMYFUNCTION(""""""""" &amp; REGEXEXTRACT(B6558, ""/detail/([^/?]+)"") &amp; """""","""),"""nbdfpcokndmapcollfpjdpjlabnibjdi"",")</f>
        <v>"nbdfpcokndmapcollfpjdpjlabnibjdi",</v>
      </c>
    </row>
    <row r="6559">
      <c r="A6559" s="4" t="s">
        <v>25738</v>
      </c>
      <c r="B6559" s="4" t="s">
        <v>13050</v>
      </c>
      <c r="C6559" s="16" t="str">
        <f>IFERROR(__xludf.DUMMYFUNCTION(""""""""" &amp; REGEXEXTRACT(B6559, ""/detail/([^/?]+)"") &amp; """""","""),"""nbhdcdolapnpbccipdpagdlgbhgpkjpd"",")</f>
        <v>"nbhdcdolapnpbccipdpagdlgbhgpkjpd",</v>
      </c>
    </row>
    <row r="6560">
      <c r="A6560" s="4" t="s">
        <v>25739</v>
      </c>
      <c r="B6560" s="4" t="s">
        <v>13052</v>
      </c>
      <c r="C6560" s="16" t="str">
        <f>IFERROR(__xludf.DUMMYFUNCTION(""""""""" &amp; REGEXEXTRACT(B6560, ""/detail/([^/?]+)"") &amp; """""","""),"""nbojhgkmkpakgfljijgnfofliafnbbfk"",")</f>
        <v>"nbojhgkmkpakgfljijgnfofliafnbbfk",</v>
      </c>
    </row>
    <row r="6561">
      <c r="A6561" s="4" t="s">
        <v>25740</v>
      </c>
      <c r="B6561" s="4" t="s">
        <v>13054</v>
      </c>
      <c r="C6561" s="16" t="str">
        <f>IFERROR(__xludf.DUMMYFUNCTION(""""""""" &amp; REGEXEXTRACT(B6561, ""/detail/([^/?]+)"") &amp; """""","""),"""nbokdicbgbjogapngakgpbfgalomlnik"",")</f>
        <v>"nbokdicbgbjogapngakgpbfgalomlnik",</v>
      </c>
    </row>
    <row r="6562">
      <c r="A6562" s="4" t="s">
        <v>25741</v>
      </c>
      <c r="B6562" s="4" t="s">
        <v>13056</v>
      </c>
      <c r="C6562" s="16" t="str">
        <f>IFERROR(__xludf.DUMMYFUNCTION(""""""""" &amp; REGEXEXTRACT(B6562, ""/detail/([^/?]+)"") &amp; """""","""),"""ncehhheihcpdimfjbdlaogjebmlpgdan"",")</f>
        <v>"ncehhheihcpdimfjbdlaogjebmlpgdan",</v>
      </c>
    </row>
    <row r="6563">
      <c r="A6563" s="4" t="s">
        <v>25742</v>
      </c>
      <c r="B6563" s="4" t="s">
        <v>13058</v>
      </c>
      <c r="C6563" s="16" t="str">
        <f>IFERROR(__xludf.DUMMYFUNCTION(""""""""" &amp; REGEXEXTRACT(B6563, ""/detail/([^/?]+)"") &amp; """""","""),"""ncfklglegjceemdfaiblepihhlkoafge"",")</f>
        <v>"ncfklglegjceemdfaiblepihhlkoafge",</v>
      </c>
    </row>
    <row r="6564">
      <c r="A6564" s="4" t="s">
        <v>25743</v>
      </c>
      <c r="B6564" s="4" t="s">
        <v>13060</v>
      </c>
      <c r="C6564" s="16" t="str">
        <f>IFERROR(__xludf.DUMMYFUNCTION(""""""""" &amp; REGEXEXTRACT(B6564, ""/detail/([^/?]+)"") &amp; """""","""),"""ncgkmddibppebiomiicdfehogjkdegdk"",")</f>
        <v>"ncgkmddibppebiomiicdfehogjkdegdk",</v>
      </c>
    </row>
    <row r="6565">
      <c r="A6565" s="4" t="s">
        <v>25744</v>
      </c>
      <c r="B6565" s="4" t="s">
        <v>13062</v>
      </c>
      <c r="C6565" s="16" t="str">
        <f>IFERROR(__xludf.DUMMYFUNCTION(""""""""" &amp; REGEXEXTRACT(B6565, ""/detail/([^/?]+)"") &amp; """""","""),"""nckbbjfepomllinhkmnnmhklpfiomahc"",")</f>
        <v>"nckbbjfepomllinhkmnnmhklpfiomahc",</v>
      </c>
    </row>
    <row r="6566">
      <c r="A6566" s="4" t="s">
        <v>25745</v>
      </c>
      <c r="B6566" s="4" t="s">
        <v>13064</v>
      </c>
      <c r="C6566" s="16" t="str">
        <f>IFERROR(__xludf.DUMMYFUNCTION(""""""""" &amp; REGEXEXTRACT(B6566, ""/detail/([^/?]+)"") &amp; """""","""),"""nclocjlblghhcfkfgkjamjcghamkmomc"",")</f>
        <v>"nclocjlblghhcfkfgkjamjcghamkmomc",</v>
      </c>
    </row>
    <row r="6567">
      <c r="A6567" s="4" t="s">
        <v>25746</v>
      </c>
      <c r="B6567" s="4" t="s">
        <v>13066</v>
      </c>
      <c r="C6567" s="16" t="str">
        <f>IFERROR(__xludf.DUMMYFUNCTION(""""""""" &amp; REGEXEXTRACT(B6567, ""/detail/([^/?]+)"") &amp; """""","""),"""ncoghbpbhlmmoajjnhienleaanmaagaj"",")</f>
        <v>"ncoghbpbhlmmoajjnhienleaanmaagaj",</v>
      </c>
    </row>
    <row r="6568">
      <c r="A6568" s="4" t="s">
        <v>25747</v>
      </c>
      <c r="B6568" s="4" t="s">
        <v>13068</v>
      </c>
      <c r="C6568" s="16" t="str">
        <f>IFERROR(__xludf.DUMMYFUNCTION(""""""""" &amp; REGEXEXTRACT(B6568, ""/detail/([^/?]+)"") &amp; """""","""),"""ncopefcmfgoggbajoelmainelilpcamf"",")</f>
        <v>"ncopefcmfgoggbajoelmainelilpcamf",</v>
      </c>
    </row>
    <row r="6569">
      <c r="A6569" s="4" t="s">
        <v>25748</v>
      </c>
      <c r="B6569" s="4" t="s">
        <v>13070</v>
      </c>
      <c r="C6569" s="16" t="str">
        <f>IFERROR(__xludf.DUMMYFUNCTION(""""""""" &amp; REGEXEXTRACT(B6569, ""/detail/([^/?]+)"") &amp; """""","""),"""ndamkiaclbnglafnkemaomabalakdmmm"",")</f>
        <v>"ndamkiaclbnglafnkemaomabalakdmmm",</v>
      </c>
    </row>
    <row r="6570">
      <c r="A6570" s="4" t="s">
        <v>25749</v>
      </c>
      <c r="B6570" s="4" t="s">
        <v>13072</v>
      </c>
      <c r="C6570" s="16" t="str">
        <f>IFERROR(__xludf.DUMMYFUNCTION(""""""""" &amp; REGEXEXTRACT(B6570, ""/detail/([^/?]+)"") &amp; """""","""),"""ndbjoeefbingjamocfemomacijgakilg"",")</f>
        <v>"ndbjoeefbingjamocfemomacijgakilg",</v>
      </c>
    </row>
    <row r="6571">
      <c r="A6571" s="4" t="s">
        <v>25750</v>
      </c>
      <c r="B6571" s="4" t="s">
        <v>13074</v>
      </c>
      <c r="C6571" s="16" t="str">
        <f>IFERROR(__xludf.DUMMYFUNCTION(""""""""" &amp; REGEXEXTRACT(B6571, ""/detail/([^/?]+)"") &amp; """""","""),"""ndbpgappknhobbikhmjenceoklpaalam"",")</f>
        <v>"ndbpgappknhobbikhmjenceoklpaalam",</v>
      </c>
    </row>
    <row r="6572">
      <c r="A6572" s="4" t="s">
        <v>25751</v>
      </c>
      <c r="B6572" s="4" t="s">
        <v>13076</v>
      </c>
      <c r="C6572" s="16" t="str">
        <f>IFERROR(__xludf.DUMMYFUNCTION(""""""""" &amp; REGEXEXTRACT(B6572, ""/detail/([^/?]+)"") &amp; """""","""),"""ndgbicpfghmemekeffmkomimpppafagk"",")</f>
        <v>"ndgbicpfghmemekeffmkomimpppafagk",</v>
      </c>
    </row>
    <row r="6573">
      <c r="A6573" s="4" t="s">
        <v>25752</v>
      </c>
      <c r="B6573" s="4" t="s">
        <v>13078</v>
      </c>
      <c r="C6573" s="16" t="str">
        <f>IFERROR(__xludf.DUMMYFUNCTION(""""""""" &amp; REGEXEXTRACT(B6573, ""/detail/([^/?]+)"") &amp; """""","""),"""ndlmhflffabhofkhngpnhgbfaodijmpb"",")</f>
        <v>"ndlmhflffabhofkhngpnhgbfaodijmpb",</v>
      </c>
    </row>
    <row r="6574">
      <c r="A6574" s="4" t="s">
        <v>25753</v>
      </c>
      <c r="B6574" s="4" t="s">
        <v>13080</v>
      </c>
      <c r="C6574" s="16" t="str">
        <f>IFERROR(__xludf.DUMMYFUNCTION(""""""""" &amp; REGEXEXTRACT(B6574, ""/detail/([^/?]+)"") &amp; """""","""),"""ndlnnojbbcbdpkccfmcgbopalpbmhbhm"",")</f>
        <v>"ndlnnojbbcbdpkccfmcgbopalpbmhbhm",</v>
      </c>
    </row>
    <row r="6575">
      <c r="A6575" s="4" t="s">
        <v>25754</v>
      </c>
      <c r="B6575" s="4" t="s">
        <v>13082</v>
      </c>
      <c r="C6575" s="16" t="str">
        <f>IFERROR(__xludf.DUMMYFUNCTION(""""""""" &amp; REGEXEXTRACT(B6575, ""/detail/([^/?]+)"") &amp; """""","""),"""ndmmdeeodnhgibnmgnnddpokcciejlnj"",")</f>
        <v>"ndmmdeeodnhgibnmgnnddpokcciejlnj",</v>
      </c>
    </row>
    <row r="6576">
      <c r="A6576" s="4" t="s">
        <v>25755</v>
      </c>
      <c r="B6576" s="4" t="s">
        <v>13084</v>
      </c>
      <c r="C6576" s="16" t="str">
        <f>IFERROR(__xludf.DUMMYFUNCTION(""""""""" &amp; REGEXEXTRACT(B6576, ""/detail/([^/?]+)"") &amp; """""","""),"""neaollicfdeidikoaehophbicpkohjof"",")</f>
        <v>"neaollicfdeidikoaehophbicpkohjof",</v>
      </c>
    </row>
    <row r="6577">
      <c r="A6577" s="4" t="s">
        <v>25756</v>
      </c>
      <c r="B6577" s="4" t="s">
        <v>13086</v>
      </c>
      <c r="C6577" s="16" t="str">
        <f>IFERROR(__xludf.DUMMYFUNCTION(""""""""" &amp; REGEXEXTRACT(B6577, ""/detail/([^/?]+)"") &amp; """""","""),"""necmgnhmkphmjpddncmklalagjebbbea"",")</f>
        <v>"necmgnhmkphmjpddncmklalagjebbbea",</v>
      </c>
    </row>
    <row r="6578">
      <c r="A6578" s="4" t="s">
        <v>25757</v>
      </c>
      <c r="B6578" s="4" t="s">
        <v>13088</v>
      </c>
      <c r="C6578" s="16" t="str">
        <f>IFERROR(__xludf.DUMMYFUNCTION(""""""""" &amp; REGEXEXTRACT(B6578, ""/detail/([^/?]+)"") &amp; """""","""),"""necnfapmnepbnlclfpdmjfjlglolfiab"",")</f>
        <v>"necnfapmnepbnlclfpdmjfjlglolfiab",</v>
      </c>
    </row>
    <row r="6579">
      <c r="A6579" s="4" t="s">
        <v>25758</v>
      </c>
      <c r="B6579" s="4" t="s">
        <v>13090</v>
      </c>
      <c r="C6579" s="16" t="str">
        <f>IFERROR(__xludf.DUMMYFUNCTION(""""""""" &amp; REGEXEXTRACT(B6579, ""/detail/([^/?]+)"") &amp; """""","""),"""neflkikppleikkghgjheajjpdjaihlch"",")</f>
        <v>"neflkikppleikkghgjheajjpdjaihlch",</v>
      </c>
    </row>
    <row r="6580">
      <c r="A6580" s="4" t="s">
        <v>25759</v>
      </c>
      <c r="B6580" s="4" t="s">
        <v>13092</v>
      </c>
      <c r="C6580" s="16" t="str">
        <f>IFERROR(__xludf.DUMMYFUNCTION(""""""""" &amp; REGEXEXTRACT(B6580, ""/detail/([^/?]+)"") &amp; """""","""),"""nejkphnelblbbhjcohphnabhdpehlogl"",")</f>
        <v>"nejkphnelblbbhjcohphnabhdpehlogl",</v>
      </c>
    </row>
    <row r="6581">
      <c r="A6581" s="4" t="s">
        <v>25760</v>
      </c>
      <c r="B6581" s="4" t="s">
        <v>13094</v>
      </c>
      <c r="C6581" s="16" t="str">
        <f>IFERROR(__xludf.DUMMYFUNCTION(""""""""" &amp; REGEXEXTRACT(B6581, ""/detail/([^/?]+)"") &amp; """""","""),"""nelckmdlallhkgniidbfafekeldjnakb"",")</f>
        <v>"nelckmdlallhkgniidbfafekeldjnakb",</v>
      </c>
    </row>
    <row r="6582">
      <c r="A6582" s="4" t="s">
        <v>25761</v>
      </c>
      <c r="B6582" s="4" t="s">
        <v>13096</v>
      </c>
      <c r="C6582" s="16" t="str">
        <f>IFERROR(__xludf.DUMMYFUNCTION(""""""""" &amp; REGEXEXTRACT(B6582, ""/detail/([^/?]+)"") &amp; """""","""),"""nemmogdonmhbihhbljpeodejdnnbcjji"",")</f>
        <v>"nemmogdonmhbihhbljpeodejdnnbcjji",</v>
      </c>
    </row>
    <row r="6583">
      <c r="A6583" s="4" t="s">
        <v>25762</v>
      </c>
      <c r="B6583" s="4" t="s">
        <v>13098</v>
      </c>
      <c r="C6583" s="16" t="str">
        <f>IFERROR(__xludf.DUMMYFUNCTION(""""""""" &amp; REGEXEXTRACT(B6583, ""/detail/([^/?]+)"") &amp; """""","""),"""nenchifcjkmfahicbjgpinmklenpfiih"",")</f>
        <v>"nenchifcjkmfahicbjgpinmklenpfiih",</v>
      </c>
    </row>
    <row r="6584">
      <c r="A6584" s="4" t="s">
        <v>25763</v>
      </c>
      <c r="B6584" s="4" t="s">
        <v>13100</v>
      </c>
      <c r="C6584" s="16" t="str">
        <f>IFERROR(__xludf.DUMMYFUNCTION(""""""""" &amp; REGEXEXTRACT(B6584, ""/detail/([^/?]+)"") &amp; """""","""),"""neoliedjbjgleonmlpddjkgoedbdhdbe"",")</f>
        <v>"neoliedjbjgleonmlpddjkgoedbdhdbe",</v>
      </c>
    </row>
    <row r="6585">
      <c r="A6585" s="4" t="s">
        <v>25764</v>
      </c>
      <c r="B6585" s="4" t="s">
        <v>13102</v>
      </c>
      <c r="C6585" s="16" t="str">
        <f>IFERROR(__xludf.DUMMYFUNCTION(""""""""" &amp; REGEXEXTRACT(B6585, ""/detail/([^/?]+)"") &amp; """""","""),"""neplhlhcpnlgjfhncjbekljcpcpmmnld"",")</f>
        <v>"neplhlhcpnlgjfhncjbekljcpcpmmnld",</v>
      </c>
    </row>
    <row r="6586">
      <c r="A6586" s="4" t="s">
        <v>25765</v>
      </c>
      <c r="B6586" s="4" t="s">
        <v>13104</v>
      </c>
      <c r="C6586" s="16" t="str">
        <f>IFERROR(__xludf.DUMMYFUNCTION(""""""""" &amp; REGEXEXTRACT(B6586, ""/detail/([^/?]+)"") &amp; """""","""),"""nfempnnehcbjgepmchnbciegaefgbdfb"",")</f>
        <v>"nfempnnehcbjgepmchnbciegaefgbdfb",</v>
      </c>
    </row>
    <row r="6587">
      <c r="A6587" s="4" t="s">
        <v>25766</v>
      </c>
      <c r="B6587" s="4" t="s">
        <v>13106</v>
      </c>
      <c r="C6587" s="16" t="str">
        <f>IFERROR(__xludf.DUMMYFUNCTION(""""""""" &amp; REGEXEXTRACT(B6587, ""/detail/([^/?]+)"") &amp; """""","""),"""nffopkpgkajdjjdbgkeailemblmflpko"",")</f>
        <v>"nffopkpgkajdjjdbgkeailemblmflpko",</v>
      </c>
    </row>
    <row r="6588">
      <c r="A6588" s="4" t="s">
        <v>25767</v>
      </c>
      <c r="B6588" s="4" t="s">
        <v>13108</v>
      </c>
      <c r="C6588" s="16" t="str">
        <f>IFERROR(__xludf.DUMMYFUNCTION(""""""""" &amp; REGEXEXTRACT(B6588, ""/detail/([^/?]+)"") &amp; """""","""),"""nfhpoheacedogfbhmkpnljlkodfgmale"",")</f>
        <v>"nfhpoheacedogfbhmkpnljlkodfgmale",</v>
      </c>
    </row>
    <row r="6589">
      <c r="A6589" s="4" t="s">
        <v>25768</v>
      </c>
      <c r="B6589" s="4" t="s">
        <v>13110</v>
      </c>
      <c r="C6589" s="16" t="str">
        <f>IFERROR(__xludf.DUMMYFUNCTION(""""""""" &amp; REGEXEXTRACT(B6589, ""/detail/([^/?]+)"") &amp; """""","""),"""nfibbjnhkbjlgjaojglmmibdjicidini"",")</f>
        <v>"nfibbjnhkbjlgjaojglmmibdjicidini",</v>
      </c>
    </row>
    <row r="6590">
      <c r="A6590" s="4" t="s">
        <v>25769</v>
      </c>
      <c r="B6590" s="4" t="s">
        <v>13112</v>
      </c>
      <c r="C6590" s="16" t="str">
        <f>IFERROR(__xludf.DUMMYFUNCTION(""""""""" &amp; REGEXEXTRACT(B6590, ""/detail/([^/?]+)"") &amp; """""","""),"""nfidmhafkijgbeohmgglakglgokeciil"",")</f>
        <v>"nfidmhafkijgbeohmgglakglgokeciil",</v>
      </c>
    </row>
    <row r="6591">
      <c r="A6591" s="4" t="s">
        <v>25770</v>
      </c>
      <c r="B6591" s="4" t="s">
        <v>13114</v>
      </c>
      <c r="C6591" s="16" t="str">
        <f>IFERROR(__xludf.DUMMYFUNCTION(""""""""" &amp; REGEXEXTRACT(B6591, ""/detail/([^/?]+)"") &amp; """""","""),"""nfijbakmigddoodbhooklbcanfkmgcfk"",")</f>
        <v>"nfijbakmigddoodbhooklbcanfkmgcfk",</v>
      </c>
    </row>
    <row r="6592">
      <c r="A6592" s="4" t="s">
        <v>25771</v>
      </c>
      <c r="B6592" s="4" t="s">
        <v>13116</v>
      </c>
      <c r="C6592" s="16" t="str">
        <f>IFERROR(__xludf.DUMMYFUNCTION(""""""""" &amp; REGEXEXTRACT(B6592, ""/detail/([^/?]+)"") &amp; """""","""),"""nfjaddknccljfohoaekkibpcceeenkah"",")</f>
        <v>"nfjaddknccljfohoaekkibpcceeenkah",</v>
      </c>
    </row>
    <row r="6593">
      <c r="A6593" s="4" t="s">
        <v>25772</v>
      </c>
      <c r="B6593" s="4" t="s">
        <v>13118</v>
      </c>
      <c r="C6593" s="16" t="str">
        <f>IFERROR(__xludf.DUMMYFUNCTION(""""""""" &amp; REGEXEXTRACT(B6593, ""/detail/([^/?]+)"") &amp; """""","""),"""nfnpeneopnjggmcfdkhpjefammeonpjk"",")</f>
        <v>"nfnpeneopnjggmcfdkhpjefammeonpjk",</v>
      </c>
    </row>
    <row r="6594">
      <c r="A6594" s="4" t="s">
        <v>25773</v>
      </c>
      <c r="B6594" s="4" t="s">
        <v>13120</v>
      </c>
      <c r="C6594" s="16" t="str">
        <f>IFERROR(__xludf.DUMMYFUNCTION(""""""""" &amp; REGEXEXTRACT(B6594, ""/detail/([^/?]+)"") &amp; """""","""),"""nfobeapoafofgmfaggcajmnfdjemfpno"",")</f>
        <v>"nfobeapoafofgmfaggcajmnfdjemfpno",</v>
      </c>
    </row>
    <row r="6595">
      <c r="A6595" s="4" t="s">
        <v>25774</v>
      </c>
      <c r="B6595" s="4" t="s">
        <v>13122</v>
      </c>
      <c r="C6595" s="16" t="str">
        <f>IFERROR(__xludf.DUMMYFUNCTION(""""""""" &amp; REGEXEXTRACT(B6595, ""/detail/([^/?]+)"") &amp; """""","""),"""nfobgnbegdmblmlicigodlmaicopjmjb"",")</f>
        <v>"nfobgnbegdmblmlicigodlmaicopjmjb",</v>
      </c>
    </row>
    <row r="6596">
      <c r="A6596" s="4" t="s">
        <v>25775</v>
      </c>
      <c r="B6596" s="4" t="s">
        <v>13124</v>
      </c>
      <c r="C6596" s="16" t="str">
        <f>IFERROR(__xludf.DUMMYFUNCTION(""""""""" &amp; REGEXEXTRACT(B6596, ""/detail/([^/?]+)"") &amp; """""","""),"""ngdfnokoifnihnknoibnbhfhnkmlfocb"",")</f>
        <v>"ngdfnokoifnihnknoibnbhfhnkmlfocb",</v>
      </c>
    </row>
    <row r="6597">
      <c r="A6597" s="4" t="s">
        <v>25776</v>
      </c>
      <c r="B6597" s="4" t="s">
        <v>13126</v>
      </c>
      <c r="C6597" s="16" t="str">
        <f>IFERROR(__xludf.DUMMYFUNCTION(""""""""" &amp; REGEXEXTRACT(B6597, ""/detail/([^/?]+)"") &amp; """""","""),"""ngednhgpggnkpgeajmaijmmlghmbfiep"",")</f>
        <v>"ngednhgpggnkpgeajmaijmmlghmbfiep",</v>
      </c>
    </row>
    <row r="6598">
      <c r="A6598" s="4" t="s">
        <v>25777</v>
      </c>
      <c r="B6598" s="4" t="s">
        <v>13128</v>
      </c>
      <c r="C6598" s="16" t="str">
        <f>IFERROR(__xludf.DUMMYFUNCTION(""""""""" &amp; REGEXEXTRACT(B6598, ""/detail/([^/?]+)"") &amp; """""","""),"""ngkckoececbjandmkgdcedfkgdbaomfl"",")</f>
        <v>"ngkckoececbjandmkgdcedfkgdbaomfl",</v>
      </c>
    </row>
    <row r="6599">
      <c r="A6599" s="4" t="s">
        <v>25778</v>
      </c>
      <c r="B6599" s="4" t="s">
        <v>13130</v>
      </c>
      <c r="C6599" s="16" t="str">
        <f>IFERROR(__xludf.DUMMYFUNCTION(""""""""" &amp; REGEXEXTRACT(B6599, ""/detail/([^/?]+)"") &amp; """""","""),"""ngkfilameneoanpmgjjjmlgaokpimipp"",")</f>
        <v>"ngkfilameneoanpmgjjjmlgaokpimipp",</v>
      </c>
    </row>
    <row r="6600">
      <c r="A6600" s="4" t="s">
        <v>25779</v>
      </c>
      <c r="B6600" s="4" t="s">
        <v>13132</v>
      </c>
      <c r="C6600" s="16" t="str">
        <f>IFERROR(__xludf.DUMMYFUNCTION(""""""""" &amp; REGEXEXTRACT(B6600, ""/detail/([^/?]+)"") &amp; """""","""),"""ngmeehoammklkokkbgakeadianldjbaj"",")</f>
        <v>"ngmeehoammklkokkbgakeadianldjbaj",</v>
      </c>
    </row>
    <row r="6601">
      <c r="A6601" s="4" t="s">
        <v>25780</v>
      </c>
      <c r="B6601" s="4" t="s">
        <v>13134</v>
      </c>
      <c r="C6601" s="16" t="str">
        <f>IFERROR(__xludf.DUMMYFUNCTION(""""""""" &amp; REGEXEXTRACT(B6601, ""/detail/([^/?]+)"") &amp; """""","""),"""ngncegjbgnfpifehgmcjgniphmcjjipc"",")</f>
        <v>"ngncegjbgnfpifehgmcjgniphmcjjipc",</v>
      </c>
    </row>
    <row r="6602">
      <c r="A6602" s="4" t="s">
        <v>25781</v>
      </c>
      <c r="B6602" s="4" t="s">
        <v>13136</v>
      </c>
      <c r="C6602" s="16" t="str">
        <f>IFERROR(__xludf.DUMMYFUNCTION(""""""""" &amp; REGEXEXTRACT(B6602, ""/detail/([^/?]+)"") &amp; """""","""),"""nhaniflhedjjeomiajkheofdaeeabfgg"",")</f>
        <v>"nhaniflhedjjeomiajkheofdaeeabfgg",</v>
      </c>
    </row>
    <row r="6603">
      <c r="A6603" s="4" t="s">
        <v>25782</v>
      </c>
      <c r="B6603" s="4" t="s">
        <v>13138</v>
      </c>
      <c r="C6603" s="16" t="str">
        <f>IFERROR(__xludf.DUMMYFUNCTION(""""""""" &amp; REGEXEXTRACT(B6603, ""/detail/([^/?]+)"") &amp; """""","""),"""nhbanailidablloenahajmfjidocdefn"",")</f>
        <v>"nhbanailidablloenahajmfjidocdefn",</v>
      </c>
    </row>
    <row r="6604">
      <c r="A6604" s="4" t="s">
        <v>25783</v>
      </c>
      <c r="B6604" s="4" t="s">
        <v>13140</v>
      </c>
      <c r="C6604" s="16" t="str">
        <f>IFERROR(__xludf.DUMMYFUNCTION(""""""""" &amp; REGEXEXTRACT(B6604, ""/detail/([^/?]+)"") &amp; """""","""),"""nhcgejenbogeimhladggplmkbimcfemb"",")</f>
        <v>"nhcgejenbogeimhladggplmkbimcfemb",</v>
      </c>
    </row>
    <row r="6605">
      <c r="A6605" s="4" t="s">
        <v>25784</v>
      </c>
      <c r="B6605" s="4" t="s">
        <v>13142</v>
      </c>
      <c r="C6605" s="16" t="str">
        <f>IFERROR(__xludf.DUMMYFUNCTION(""""""""" &amp; REGEXEXTRACT(B6605, ""/detail/([^/?]+)"") &amp; """""","""),"""nhdlcoplfdhmdbeleincmcnmgdajohig"",")</f>
        <v>"nhdlcoplfdhmdbeleincmcnmgdajohig",</v>
      </c>
    </row>
    <row r="6606">
      <c r="A6606" s="4" t="s">
        <v>25785</v>
      </c>
      <c r="B6606" s="4" t="s">
        <v>13144</v>
      </c>
      <c r="C6606" s="16" t="str">
        <f>IFERROR(__xludf.DUMMYFUNCTION(""""""""" &amp; REGEXEXTRACT(B6606, ""/detail/([^/?]+)"") &amp; """""","""),"""nhfdmlgglfmcdheoabgklabmgjklgofk"",")</f>
        <v>"nhfdmlgglfmcdheoabgklabmgjklgofk",</v>
      </c>
    </row>
    <row r="6607">
      <c r="A6607" s="4" t="s">
        <v>25786</v>
      </c>
      <c r="B6607" s="4" t="s">
        <v>13146</v>
      </c>
      <c r="C6607" s="16" t="str">
        <f>IFERROR(__xludf.DUMMYFUNCTION(""""""""" &amp; REGEXEXTRACT(B6607, ""/detail/([^/?]+)"") &amp; """""","""),"""nhjpidcaofjfenienakefihbddijonoh"",")</f>
        <v>"nhjpidcaofjfenienakefihbddijonoh",</v>
      </c>
    </row>
    <row r="6608">
      <c r="A6608" s="4" t="s">
        <v>25787</v>
      </c>
      <c r="B6608" s="4" t="s">
        <v>13148</v>
      </c>
      <c r="C6608" s="16" t="str">
        <f>IFERROR(__xludf.DUMMYFUNCTION(""""""""" &amp; REGEXEXTRACT(B6608, ""/detail/([^/?]+)"") &amp; """""","""),"""nhmeoaahigiljjdkoagafdccikgojjoi"",")</f>
        <v>"nhmeoaahigiljjdkoagafdccikgojjoi",</v>
      </c>
    </row>
    <row r="6609">
      <c r="A6609" s="4" t="s">
        <v>25788</v>
      </c>
      <c r="B6609" s="4" t="s">
        <v>13150</v>
      </c>
      <c r="C6609" s="16" t="str">
        <f>IFERROR(__xludf.DUMMYFUNCTION(""""""""" &amp; REGEXEXTRACT(B6609, ""/detail/([^/?]+)"") &amp; """""","""),"""nhppnhnadikeniijclnghjfblnojgige"",")</f>
        <v>"nhppnhnadikeniijclnghjfblnojgige",</v>
      </c>
    </row>
    <row r="6610">
      <c r="A6610" s="4" t="s">
        <v>25789</v>
      </c>
      <c r="B6610" s="4" t="s">
        <v>13152</v>
      </c>
      <c r="C6610" s="16" t="str">
        <f>IFERROR(__xludf.DUMMYFUNCTION(""""""""" &amp; REGEXEXTRACT(B6610, ""/detail/([^/?]+)"") &amp; """""","""),"""niacojggmhhjndikhcdmmijjoepkgjeb"",")</f>
        <v>"niacojggmhhjndikhcdmmijjoepkgjeb",</v>
      </c>
    </row>
    <row r="6611">
      <c r="A6611" s="4" t="s">
        <v>25790</v>
      </c>
      <c r="B6611" s="4" t="s">
        <v>13154</v>
      </c>
      <c r="C6611" s="16" t="str">
        <f>IFERROR(__xludf.DUMMYFUNCTION(""""""""" &amp; REGEXEXTRACT(B6611, ""/detail/([^/?]+)"") &amp; """""","""),"""nibfdabgnekfamcpaghohhhgbbjoflha"",")</f>
        <v>"nibfdabgnekfamcpaghohhhgbbjoflha",</v>
      </c>
    </row>
    <row r="6612">
      <c r="A6612" s="4" t="s">
        <v>25791</v>
      </c>
      <c r="B6612" s="4" t="s">
        <v>13156</v>
      </c>
      <c r="C6612" s="16" t="str">
        <f>IFERROR(__xludf.DUMMYFUNCTION(""""""""" &amp; REGEXEXTRACT(B6612, ""/detail/([^/?]+)"") &amp; """""","""),"""niefphjedpfldilfomglllhcpmghoekp"",")</f>
        <v>"niefphjedpfldilfomglllhcpmghoekp",</v>
      </c>
    </row>
    <row r="6613">
      <c r="A6613" s="4" t="s">
        <v>25792</v>
      </c>
      <c r="B6613" s="4" t="s">
        <v>13158</v>
      </c>
      <c r="C6613" s="16" t="str">
        <f>IFERROR(__xludf.DUMMYFUNCTION(""""""""" &amp; REGEXEXTRACT(B6613, ""/detail/([^/?]+)"") &amp; """""","""),"""nihmfkglncnpheihhidaanekobbdhbck"",")</f>
        <v>"nihmfkglncnpheihhidaanekobbdhbck",</v>
      </c>
    </row>
    <row r="6614">
      <c r="A6614" s="4" t="s">
        <v>25793</v>
      </c>
      <c r="B6614" s="4" t="s">
        <v>13160</v>
      </c>
      <c r="C6614" s="16" t="str">
        <f>IFERROR(__xludf.DUMMYFUNCTION(""""""""" &amp; REGEXEXTRACT(B6614, ""/detail/([^/?]+)"") &amp; """""","""),"""niibkjnjbkgbolkbedmldohdpnijjooe"",")</f>
        <v>"niibkjnjbkgbolkbedmldohdpnijjooe",</v>
      </c>
    </row>
    <row r="6615">
      <c r="A6615" s="4" t="s">
        <v>25794</v>
      </c>
      <c r="B6615" s="4" t="s">
        <v>13162</v>
      </c>
      <c r="C6615" s="16" t="str">
        <f>IFERROR(__xludf.DUMMYFUNCTION(""""""""" &amp; REGEXEXTRACT(B6615, ""/detail/([^/?]+)"") &amp; """""","""),"""njcgdakjdifgccdgnoiphpnihcfopcmj"",")</f>
        <v>"njcgdakjdifgccdgnoiphpnihcfopcmj",</v>
      </c>
    </row>
    <row r="6616">
      <c r="A6616" s="4" t="s">
        <v>25795</v>
      </c>
      <c r="B6616" s="4" t="s">
        <v>13164</v>
      </c>
      <c r="C6616" s="16" t="str">
        <f>IFERROR(__xludf.DUMMYFUNCTION(""""""""" &amp; REGEXEXTRACT(B6616, ""/detail/([^/?]+)"") &amp; """""","""),"""njgpoifkefbbhjohcadcngdomfifcflj"",")</f>
        <v>"njgpoifkefbbhjohcadcngdomfifcflj",</v>
      </c>
    </row>
    <row r="6617">
      <c r="A6617" s="4" t="s">
        <v>25796</v>
      </c>
      <c r="B6617" s="4" t="s">
        <v>13166</v>
      </c>
      <c r="C6617" s="16" t="str">
        <f>IFERROR(__xludf.DUMMYFUNCTION(""""""""" &amp; REGEXEXTRACT(B6617, ""/detail/([^/?]+)"") &amp; """""","""),"""njjefmgmfomkdfkoiimnjbhckbjldihb"",")</f>
        <v>"njjefmgmfomkdfkoiimnjbhckbjldihb",</v>
      </c>
    </row>
    <row r="6618">
      <c r="A6618" s="4" t="s">
        <v>25797</v>
      </c>
      <c r="B6618" s="4" t="s">
        <v>13168</v>
      </c>
      <c r="C6618" s="16" t="str">
        <f>IFERROR(__xludf.DUMMYFUNCTION(""""""""" &amp; REGEXEXTRACT(B6618, ""/detail/([^/?]+)"") &amp; """""","""),"""njjicmmkcgeigdgihdhkjoahiieinmci"",")</f>
        <v>"njjicmmkcgeigdgihdhkjoahiieinmci",</v>
      </c>
    </row>
    <row r="6619">
      <c r="A6619" s="4" t="s">
        <v>25798</v>
      </c>
      <c r="B6619" s="4" t="s">
        <v>13170</v>
      </c>
      <c r="C6619" s="16" t="str">
        <f>IFERROR(__xludf.DUMMYFUNCTION(""""""""" &amp; REGEXEXTRACT(B6619, ""/detail/([^/?]+)"") &amp; """""","""),"""njmimamhjdjmhaanknoammfblbghkkga"",")</f>
        <v>"njmimamhjdjmhaanknoammfblbghkkga",</v>
      </c>
    </row>
    <row r="6620">
      <c r="A6620" s="4" t="s">
        <v>25799</v>
      </c>
      <c r="B6620" s="4" t="s">
        <v>13172</v>
      </c>
      <c r="C6620" s="16" t="str">
        <f>IFERROR(__xludf.DUMMYFUNCTION(""""""""" &amp; REGEXEXTRACT(B6620, ""/detail/([^/?]+)"") &amp; """""","""),"""njojjgfflfhiiajlkdfgofamppiincao"",")</f>
        <v>"njojjgfflfhiiajlkdfgofamppiincao",</v>
      </c>
    </row>
    <row r="6621">
      <c r="A6621" s="4" t="s">
        <v>25800</v>
      </c>
      <c r="B6621" s="4" t="s">
        <v>13174</v>
      </c>
      <c r="C6621" s="16" t="str">
        <f>IFERROR(__xludf.DUMMYFUNCTION(""""""""" &amp; REGEXEXTRACT(B6621, ""/detail/([^/?]+)"") &amp; """""","""),"""njpglomobjcmfhnojgielibggimlmcho"",")</f>
        <v>"njpglomobjcmfhnojgielibggimlmcho",</v>
      </c>
    </row>
    <row r="6622">
      <c r="A6622" s="4" t="s">
        <v>25801</v>
      </c>
      <c r="B6622" s="4" t="s">
        <v>13176</v>
      </c>
      <c r="C6622" s="16" t="str">
        <f>IFERROR(__xludf.DUMMYFUNCTION(""""""""" &amp; REGEXEXTRACT(B6622, ""/detail/([^/?]+)"") &amp; """""","""),"""nkgnlidnlbejbjcnjjbeikmofafmhfkd"",")</f>
        <v>"nkgnlidnlbejbjcnjjbeikmofafmhfkd",</v>
      </c>
    </row>
    <row r="6623">
      <c r="A6623" s="4" t="s">
        <v>25802</v>
      </c>
      <c r="B6623" s="4" t="s">
        <v>13178</v>
      </c>
      <c r="C6623" s="16" t="str">
        <f>IFERROR(__xludf.DUMMYFUNCTION(""""""""" &amp; REGEXEXTRACT(B6623, ""/detail/([^/?]+)"") &amp; """""","""),"""nkgphogbgnehgdfkpiknbdnjaamlbgmo"",")</f>
        <v>"nkgphogbgnehgdfkpiknbdnjaamlbgmo",</v>
      </c>
    </row>
    <row r="6624">
      <c r="A6624" s="4" t="s">
        <v>25803</v>
      </c>
      <c r="B6624" s="4" t="s">
        <v>13180</v>
      </c>
      <c r="C6624" s="16" t="str">
        <f>IFERROR(__xludf.DUMMYFUNCTION(""""""""" &amp; REGEXEXTRACT(B6624, ""/detail/([^/?]+)"") &amp; """""","""),"""nkhfaopgdfgoedlecdnecpiindnkkpai"",")</f>
        <v>"nkhfaopgdfgoedlecdnecpiindnkkpai",</v>
      </c>
    </row>
    <row r="6625">
      <c r="A6625" s="4" t="s">
        <v>25804</v>
      </c>
      <c r="B6625" s="4" t="s">
        <v>13182</v>
      </c>
      <c r="C6625" s="16" t="str">
        <f>IFERROR(__xludf.DUMMYFUNCTION(""""""""" &amp; REGEXEXTRACT(B6625, ""/detail/([^/?]+)"") &amp; """""","""),"""nkhogfcnhgccnigkfnkmdpmcoehofabn"",")</f>
        <v>"nkhogfcnhgccnigkfnkmdpmcoehofabn",</v>
      </c>
    </row>
    <row r="6626">
      <c r="A6626" s="4" t="s">
        <v>25805</v>
      </c>
      <c r="B6626" s="4" t="s">
        <v>13184</v>
      </c>
      <c r="C6626" s="16" t="str">
        <f>IFERROR(__xludf.DUMMYFUNCTION(""""""""" &amp; REGEXEXTRACT(B6626, ""/detail/([^/?]+)"") &amp; """""","""),"""nkkifkipcmcammmabpkpiolikffodefe"",")</f>
        <v>"nkkifkipcmcammmabpkpiolikffodefe",</v>
      </c>
    </row>
    <row r="6627">
      <c r="A6627" s="4" t="s">
        <v>25806</v>
      </c>
      <c r="B6627" s="4" t="s">
        <v>13186</v>
      </c>
      <c r="C6627" s="16" t="str">
        <f>IFERROR(__xludf.DUMMYFUNCTION(""""""""" &amp; REGEXEXTRACT(B6627, ""/detail/([^/?]+)"") &amp; """""","""),"""nkngcebpegephfoiilhkhbphokbpmmah"",")</f>
        <v>"nkngcebpegephfoiilhkhbphokbpmmah",</v>
      </c>
    </row>
    <row r="6628">
      <c r="A6628" s="4" t="s">
        <v>25807</v>
      </c>
      <c r="B6628" s="4" t="s">
        <v>13188</v>
      </c>
      <c r="C6628" s="16" t="str">
        <f>IFERROR(__xludf.DUMMYFUNCTION(""""""""" &amp; REGEXEXTRACT(B6628, ""/detail/([^/?]+)"") &amp; """""","""),"""nlacgjiklmjjejlgoclnjhndjaiempdo"",")</f>
        <v>"nlacgjiklmjjejlgoclnjhndjaiempdo",</v>
      </c>
    </row>
    <row r="6629">
      <c r="A6629" s="4" t="s">
        <v>25808</v>
      </c>
      <c r="B6629" s="4" t="s">
        <v>13190</v>
      </c>
      <c r="C6629" s="16" t="str">
        <f>IFERROR(__xludf.DUMMYFUNCTION(""""""""" &amp; REGEXEXTRACT(B6629, ""/detail/([^/?]+)"") &amp; """""","""),"""nlagochcieefibigciiakkjaopfpnbcp"",")</f>
        <v>"nlagochcieefibigciiakkjaopfpnbcp",</v>
      </c>
    </row>
    <row r="6630">
      <c r="A6630" s="4" t="s">
        <v>25809</v>
      </c>
      <c r="B6630" s="4" t="s">
        <v>13192</v>
      </c>
      <c r="C6630" s="16" t="str">
        <f>IFERROR(__xludf.DUMMYFUNCTION(""""""""" &amp; REGEXEXTRACT(B6630, ""/detail/([^/?]+)"") &amp; """""","""),"""nlajeopfbepekemjhkjcbbnencojpaae"",")</f>
        <v>"nlajeopfbepekemjhkjcbbnencojpaae",</v>
      </c>
    </row>
    <row r="6631">
      <c r="A6631" s="4" t="s">
        <v>25810</v>
      </c>
      <c r="B6631" s="4" t="s">
        <v>13194</v>
      </c>
      <c r="C6631" s="16" t="str">
        <f>IFERROR(__xludf.DUMMYFUNCTION(""""""""" &amp; REGEXEXTRACT(B6631, ""/detail/([^/?]+)"") &amp; """""","""),"""nlbhcphfldljgepbiggpcbdpbhpkfhmi"",")</f>
        <v>"nlbhcphfldljgepbiggpcbdpbhpkfhmi",</v>
      </c>
    </row>
    <row r="6632">
      <c r="A6632" s="4" t="s">
        <v>25811</v>
      </c>
      <c r="B6632" s="4" t="s">
        <v>13196</v>
      </c>
      <c r="C6632" s="16" t="str">
        <f>IFERROR(__xludf.DUMMYFUNCTION(""""""""" &amp; REGEXEXTRACT(B6632, ""/detail/([^/?]+)"") &amp; """""","""),"""nlbikhljcdblhipffkjekingckoolbpm"",")</f>
        <v>"nlbikhljcdblhipffkjekingckoolbpm",</v>
      </c>
    </row>
    <row r="6633">
      <c r="A6633" s="4" t="s">
        <v>25812</v>
      </c>
      <c r="B6633" s="4" t="s">
        <v>13198</v>
      </c>
      <c r="C6633" s="16" t="str">
        <f>IFERROR(__xludf.DUMMYFUNCTION(""""""""" &amp; REGEXEXTRACT(B6633, ""/detail/([^/?]+)"") &amp; """""","""),"""nldfafdiaihciaclfkiljachinoblbko"",")</f>
        <v>"nldfafdiaihciaclfkiljachinoblbko",</v>
      </c>
    </row>
    <row r="6634">
      <c r="A6634" s="4" t="s">
        <v>25813</v>
      </c>
      <c r="B6634" s="4" t="s">
        <v>13200</v>
      </c>
      <c r="C6634" s="16" t="str">
        <f>IFERROR(__xludf.DUMMYFUNCTION(""""""""" &amp; REGEXEXTRACT(B6634, ""/detail/([^/?]+)"") &amp; """""","""),"""nldipdepdfjilejlpeeknodkpiajhfkf"",")</f>
        <v>"nldipdepdfjilejlpeeknodkpiajhfkf",</v>
      </c>
    </row>
    <row r="6635">
      <c r="A6635" s="4" t="s">
        <v>25814</v>
      </c>
      <c r="B6635" s="4" t="s">
        <v>13202</v>
      </c>
      <c r="C6635" s="16" t="str">
        <f>IFERROR(__xludf.DUMMYFUNCTION(""""""""" &amp; REGEXEXTRACT(B6635, ""/detail/([^/?]+)"") &amp; """""","""),"""nlgcgpapdnbojffhkdgekpgceeemohaf"",")</f>
        <v>"nlgcgpapdnbojffhkdgekpgceeemohaf",</v>
      </c>
    </row>
    <row r="6636">
      <c r="A6636" s="4" t="s">
        <v>25815</v>
      </c>
      <c r="B6636" s="4" t="s">
        <v>13204</v>
      </c>
      <c r="C6636" s="16" t="str">
        <f>IFERROR(__xludf.DUMMYFUNCTION(""""""""" &amp; REGEXEXTRACT(B6636, ""/detail/([^/?]+)"") &amp; """""","""),"""nlgohonalakgfgbecdndfjelkmliacfj"",")</f>
        <v>"nlgohonalakgfgbecdndfjelkmliacfj",</v>
      </c>
    </row>
    <row r="6637">
      <c r="A6637" s="4" t="s">
        <v>25816</v>
      </c>
      <c r="B6637" s="4" t="s">
        <v>13206</v>
      </c>
      <c r="C6637" s="16" t="str">
        <f>IFERROR(__xludf.DUMMYFUNCTION(""""""""" &amp; REGEXEXTRACT(B6637, ""/detail/([^/?]+)"") &amp; """""","""),"""nlhklaenccbcnapnpaghliheibnkhdbc"",")</f>
        <v>"nlhklaenccbcnapnpaghliheibnkhdbc",</v>
      </c>
    </row>
    <row r="6638">
      <c r="A6638" s="4" t="s">
        <v>25817</v>
      </c>
      <c r="B6638" s="4" t="s">
        <v>13208</v>
      </c>
      <c r="C6638" s="16" t="str">
        <f>IFERROR(__xludf.DUMMYFUNCTION(""""""""" &amp; REGEXEXTRACT(B6638, ""/detail/([^/?]+)"") &amp; """""","""),"""nlimpnemedlfboocjaimpdkckkmdniga"",")</f>
        <v>"nlimpnemedlfboocjaimpdkckkmdniga",</v>
      </c>
    </row>
    <row r="6639">
      <c r="A6639" s="4" t="s">
        <v>25818</v>
      </c>
      <c r="B6639" s="4" t="s">
        <v>13210</v>
      </c>
      <c r="C6639" s="16" t="str">
        <f>IFERROR(__xludf.DUMMYFUNCTION(""""""""" &amp; REGEXEXTRACT(B6639, ""/detail/([^/?]+)"") &amp; """""","""),"""nljbmjehmemfpnlcohjlijdhdanoilog"",")</f>
        <v>"nljbmjehmemfpnlcohjlijdhdanoilog",</v>
      </c>
    </row>
    <row r="6640">
      <c r="A6640" s="4" t="s">
        <v>25819</v>
      </c>
      <c r="B6640" s="4" t="s">
        <v>13212</v>
      </c>
      <c r="C6640" s="16" t="str">
        <f>IFERROR(__xludf.DUMMYFUNCTION(""""""""" &amp; REGEXEXTRACT(B6640, ""/detail/([^/?]+)"") &amp; """""","""),"""nlkblacjcdilfdjmmlfemoalcbjjopgf"",")</f>
        <v>"nlkblacjcdilfdjmmlfemoalcbjjopgf",</v>
      </c>
    </row>
    <row r="6641">
      <c r="A6641" s="4" t="s">
        <v>25820</v>
      </c>
      <c r="B6641" s="4" t="s">
        <v>13214</v>
      </c>
      <c r="C6641" s="16" t="str">
        <f>IFERROR(__xludf.DUMMYFUNCTION(""""""""" &amp; REGEXEXTRACT(B6641, ""/detail/([^/?]+)"") &amp; """""","""),"""nmbgmlcgfijmpcpphmdndjjchiokjlfb"",")</f>
        <v>"nmbgmlcgfijmpcpphmdndjjchiokjlfb",</v>
      </c>
    </row>
    <row r="6642">
      <c r="A6642" s="4" t="s">
        <v>25821</v>
      </c>
      <c r="B6642" s="4" t="s">
        <v>13216</v>
      </c>
      <c r="C6642" s="16" t="str">
        <f>IFERROR(__xludf.DUMMYFUNCTION(""""""""" &amp; REGEXEXTRACT(B6642, ""/detail/([^/?]+)"") &amp; """""","""),"""nmccamaemgaapokidgbgackjeedocejl"",")</f>
        <v>"nmccamaemgaapokidgbgackjeedocejl",</v>
      </c>
    </row>
    <row r="6643">
      <c r="A6643" s="4" t="s">
        <v>25822</v>
      </c>
      <c r="B6643" s="4" t="s">
        <v>13218</v>
      </c>
      <c r="C6643" s="16" t="str">
        <f>IFERROR(__xludf.DUMMYFUNCTION(""""""""" &amp; REGEXEXTRACT(B6643, ""/detail/([^/?]+)"") &amp; """""","""),"""nmddnckmbnlpdaehblenpajpfeajaejm"",")</f>
        <v>"nmddnckmbnlpdaehblenpajpfeajaejm",</v>
      </c>
    </row>
    <row r="6644">
      <c r="A6644" s="4" t="s">
        <v>25823</v>
      </c>
      <c r="B6644" s="4" t="s">
        <v>13220</v>
      </c>
      <c r="C6644" s="16" t="str">
        <f>IFERROR(__xludf.DUMMYFUNCTION(""""""""" &amp; REGEXEXTRACT(B6644, ""/detail/([^/?]+)"") &amp; """""","""),"""nmdpdgickahiikobclgoolmfgiibegke"",")</f>
        <v>"nmdpdgickahiikobclgoolmfgiibegke",</v>
      </c>
    </row>
    <row r="6645">
      <c r="A6645" s="4" t="s">
        <v>25824</v>
      </c>
      <c r="B6645" s="4" t="s">
        <v>13222</v>
      </c>
      <c r="C6645" s="16" t="str">
        <f>IFERROR(__xludf.DUMMYFUNCTION(""""""""" &amp; REGEXEXTRACT(B6645, ""/detail/([^/?]+)"") &amp; """""","""),"""nmfpagncfehjlnmlcmlbikodahcphfdd"",")</f>
        <v>"nmfpagncfehjlnmlcmlbikodahcphfdd",</v>
      </c>
    </row>
    <row r="6646">
      <c r="A6646" s="4" t="s">
        <v>25825</v>
      </c>
      <c r="B6646" s="4" t="s">
        <v>13224</v>
      </c>
      <c r="C6646" s="16" t="str">
        <f>IFERROR(__xludf.DUMMYFUNCTION(""""""""" &amp; REGEXEXTRACT(B6646, ""/detail/([^/?]+)"") &amp; """""","""),"""nmhlklogcifmkofeafamhdnminbhejho"",")</f>
        <v>"nmhlklogcifmkofeafamhdnminbhejho",</v>
      </c>
    </row>
    <row r="6647">
      <c r="A6647" s="4" t="s">
        <v>25826</v>
      </c>
      <c r="B6647" s="4" t="s">
        <v>13226</v>
      </c>
      <c r="C6647" s="16" t="str">
        <f>IFERROR(__xludf.DUMMYFUNCTION(""""""""" &amp; REGEXEXTRACT(B6647, ""/detail/([^/?]+)"") &amp; """""","""),"""nmjopndfflhddopijkeogfceejkcgdpn"",")</f>
        <v>"nmjopndfflhddopijkeogfceejkcgdpn",</v>
      </c>
    </row>
    <row r="6648">
      <c r="A6648" s="4" t="s">
        <v>25827</v>
      </c>
      <c r="B6648" s="4" t="s">
        <v>13228</v>
      </c>
      <c r="C6648" s="16" t="str">
        <f>IFERROR(__xludf.DUMMYFUNCTION(""""""""" &amp; REGEXEXTRACT(B6648, ""/detail/([^/?]+)"") &amp; """""","""),"""nmoicgikomkhfcfimpldahmfabckjiie"",")</f>
        <v>"nmoicgikomkhfcfimpldahmfabckjiie",</v>
      </c>
    </row>
    <row r="6649">
      <c r="A6649" s="4" t="s">
        <v>25828</v>
      </c>
      <c r="B6649" s="4" t="s">
        <v>13230</v>
      </c>
      <c r="C6649" s="16" t="str">
        <f>IFERROR(__xludf.DUMMYFUNCTION(""""""""" &amp; REGEXEXTRACT(B6649, ""/detail/([^/?]+)"") &amp; """""","""),"""nnahaihpnbhhaklinmkkkpdbeapjdaeg"",")</f>
        <v>"nnahaihpnbhhaklinmkkkpdbeapjdaeg",</v>
      </c>
    </row>
    <row r="6650">
      <c r="A6650" s="4" t="s">
        <v>25829</v>
      </c>
      <c r="B6650" s="4" t="s">
        <v>13232</v>
      </c>
      <c r="C6650" s="16" t="str">
        <f>IFERROR(__xludf.DUMMYFUNCTION(""""""""" &amp; REGEXEXTRACT(B6650, ""/detail/([^/?]+)"") &amp; """""","""),"""nnbidmodmbkejgpldfcoefhpioggghba"",")</f>
        <v>"nnbidmodmbkejgpldfcoefhpioggghba",</v>
      </c>
    </row>
    <row r="6651">
      <c r="A6651" s="4" t="s">
        <v>25830</v>
      </c>
      <c r="B6651" s="4" t="s">
        <v>13234</v>
      </c>
      <c r="C6651" s="16" t="str">
        <f>IFERROR(__xludf.DUMMYFUNCTION(""""""""" &amp; REGEXEXTRACT(B6651, ""/detail/([^/?]+)"") &amp; """""","""),"""nnegbcminlcngpbmooapnpacabaoggfo"",")</f>
        <v>"nnegbcminlcngpbmooapnpacabaoggfo",</v>
      </c>
    </row>
    <row r="6652">
      <c r="A6652" s="4" t="s">
        <v>25831</v>
      </c>
      <c r="B6652" s="4" t="s">
        <v>13236</v>
      </c>
      <c r="C6652" s="16" t="str">
        <f>IFERROR(__xludf.DUMMYFUNCTION(""""""""" &amp; REGEXEXTRACT(B6652, ""/detail/([^/?]+)"") &amp; """""","""),"""nnjbfpapohkckhfpfkdfejgdhlimjffp"",")</f>
        <v>"nnjbfpapohkckhfpfkdfejgdhlimjffp",</v>
      </c>
    </row>
    <row r="6653">
      <c r="A6653" s="4" t="s">
        <v>25832</v>
      </c>
      <c r="B6653" s="4" t="s">
        <v>13238</v>
      </c>
      <c r="C6653" s="16" t="str">
        <f>IFERROR(__xludf.DUMMYFUNCTION(""""""""" &amp; REGEXEXTRACT(B6653, ""/detail/([^/?]+)"") &amp; """""","""),"""nnlnikmkkbpgioojghgojoejgcheilic"",")</f>
        <v>"nnlnikmkkbpgioojghgojoejgcheilic",</v>
      </c>
    </row>
    <row r="6654">
      <c r="A6654" s="4" t="s">
        <v>25833</v>
      </c>
      <c r="B6654" s="4" t="s">
        <v>13240</v>
      </c>
      <c r="C6654" s="16" t="str">
        <f>IFERROR(__xludf.DUMMYFUNCTION(""""""""" &amp; REGEXEXTRACT(B6654, ""/detail/([^/?]+)"") &amp; """""","""),"""nnokmbbdobieckndjabadnfkkcliakja"",")</f>
        <v>"nnokmbbdobieckndjabadnfkkcliakja",</v>
      </c>
    </row>
    <row r="6655">
      <c r="A6655" s="4" t="s">
        <v>25834</v>
      </c>
      <c r="B6655" s="4" t="s">
        <v>13242</v>
      </c>
      <c r="C6655" s="16" t="str">
        <f>IFERROR(__xludf.DUMMYFUNCTION(""""""""" &amp; REGEXEXTRACT(B6655, ""/detail/([^/?]+)"") &amp; """""","""),"""nobfcfkjkjjmojegpibijgpkobgiibbm"",")</f>
        <v>"nobfcfkjkjjmojegpibijgpkobgiibbm",</v>
      </c>
    </row>
    <row r="6656">
      <c r="A6656" s="4" t="s">
        <v>25835</v>
      </c>
      <c r="B6656" s="4" t="s">
        <v>13244</v>
      </c>
      <c r="C6656" s="16" t="str">
        <f>IFERROR(__xludf.DUMMYFUNCTION(""""""""" &amp; REGEXEXTRACT(B6656, ""/detail/([^/?]+)"") &amp; """""","""),"""nobpnmomjlcbohjkogaeobildecocmbh"",")</f>
        <v>"nobpnmomjlcbohjkogaeobildecocmbh",</v>
      </c>
    </row>
    <row r="6657">
      <c r="A6657" s="4" t="s">
        <v>25836</v>
      </c>
      <c r="B6657" s="4" t="s">
        <v>13246</v>
      </c>
      <c r="C6657" s="16" t="str">
        <f>IFERROR(__xludf.DUMMYFUNCTION(""""""""" &amp; REGEXEXTRACT(B6657, ""/detail/([^/?]+)"") &amp; """""","""),"""nocplalmfpldcjddjgabnkpmplmkoaln"",")</f>
        <v>"nocplalmfpldcjddjgabnkpmplmkoaln",</v>
      </c>
    </row>
    <row r="6658">
      <c r="A6658" s="4" t="s">
        <v>25837</v>
      </c>
      <c r="B6658" s="4" t="s">
        <v>13248</v>
      </c>
      <c r="C6658" s="16" t="str">
        <f>IFERROR(__xludf.DUMMYFUNCTION(""""""""" &amp; REGEXEXTRACT(B6658, ""/detail/([^/?]+)"") &amp; """""","""),"""nodbelcjcbpmaoainddnnabbljbffmec"",")</f>
        <v>"nodbelcjcbpmaoainddnnabbljbffmec",</v>
      </c>
    </row>
    <row r="6659">
      <c r="A6659" s="4" t="s">
        <v>25838</v>
      </c>
      <c r="B6659" s="4" t="s">
        <v>13250</v>
      </c>
      <c r="C6659" s="16" t="str">
        <f>IFERROR(__xludf.DUMMYFUNCTION(""""""""" &amp; REGEXEXTRACT(B6659, ""/detail/([^/?]+)"") &amp; """""","""),"""noeghnoecamljdddkjjcnijndkghpjpk"",")</f>
        <v>"noeghnoecamljdddkjjcnijndkghpjpk",</v>
      </c>
    </row>
    <row r="6660">
      <c r="A6660" s="4" t="s">
        <v>25839</v>
      </c>
      <c r="B6660" s="4" t="s">
        <v>13252</v>
      </c>
      <c r="C6660" s="16" t="str">
        <f>IFERROR(__xludf.DUMMYFUNCTION(""""""""" &amp; REGEXEXTRACT(B6660, ""/detail/([^/?]+)"") &amp; """""","""),"""nofmhkiliplhcecdhmfndhjbppbmoegk"",")</f>
        <v>"nofmhkiliplhcecdhmfndhjbppbmoegk",</v>
      </c>
    </row>
    <row r="6661">
      <c r="A6661" s="4" t="s">
        <v>25840</v>
      </c>
      <c r="B6661" s="4" t="s">
        <v>13254</v>
      </c>
      <c r="C6661" s="16" t="str">
        <f>IFERROR(__xludf.DUMMYFUNCTION(""""""""" &amp; REGEXEXTRACT(B6661, ""/detail/([^/?]+)"") &amp; """""","""),"""nojbafgmebkfnkcedljjfdgmjfloocoe"",")</f>
        <v>"nojbafgmebkfnkcedljjfdgmjfloocoe",</v>
      </c>
    </row>
    <row r="6662">
      <c r="A6662" s="4" t="s">
        <v>25841</v>
      </c>
      <c r="B6662" s="4" t="s">
        <v>13256</v>
      </c>
      <c r="C6662" s="16" t="str">
        <f>IFERROR(__xludf.DUMMYFUNCTION(""""""""" &amp; REGEXEXTRACT(B6662, ""/detail/([^/?]+)"") &amp; """""","""),"""npbgaonpknkafgkfkjhkobhnaffmiafl"",")</f>
        <v>"npbgaonpknkafgkfkjhkobhnaffmiafl",</v>
      </c>
    </row>
    <row r="6663">
      <c r="A6663" s="4" t="s">
        <v>25842</v>
      </c>
      <c r="B6663" s="4" t="s">
        <v>13258</v>
      </c>
      <c r="C6663" s="16" t="str">
        <f>IFERROR(__xludf.DUMMYFUNCTION(""""""""" &amp; REGEXEXTRACT(B6663, ""/detail/([^/?]+)"") &amp; """""","""),"""npfembjlphenkaefgeokfciglehfffmj"",")</f>
        <v>"npfembjlphenkaefgeokfciglehfffmj",</v>
      </c>
    </row>
    <row r="6664">
      <c r="A6664" s="4" t="s">
        <v>25843</v>
      </c>
      <c r="B6664" s="4" t="s">
        <v>13260</v>
      </c>
      <c r="C6664" s="16" t="str">
        <f>IFERROR(__xludf.DUMMYFUNCTION(""""""""" &amp; REGEXEXTRACT(B6664, ""/detail/([^/?]+)"") &amp; """""","""),"""npfihoncaeggchfpldnmodmdajngpjib"",")</f>
        <v>"npfihoncaeggchfpldnmodmdajngpjib",</v>
      </c>
    </row>
    <row r="6665">
      <c r="A6665" s="4" t="s">
        <v>25844</v>
      </c>
      <c r="B6665" s="4" t="s">
        <v>13262</v>
      </c>
      <c r="C6665" s="16" t="str">
        <f>IFERROR(__xludf.DUMMYFUNCTION(""""""""" &amp; REGEXEXTRACT(B6665, ""/detail/([^/?]+)"") &amp; """""","""),"""npkedbfekaljhfnfgpefnpcincdjnbpg"",")</f>
        <v>"npkedbfekaljhfnfgpefnpcincdjnbpg",</v>
      </c>
    </row>
    <row r="6666">
      <c r="A6666" s="4" t="s">
        <v>25845</v>
      </c>
      <c r="B6666" s="4" t="s">
        <v>13264</v>
      </c>
      <c r="C6666" s="16" t="str">
        <f>IFERROR(__xludf.DUMMYFUNCTION(""""""""" &amp; REGEXEXTRACT(B6666, ""/detail/([^/?]+)"") &amp; """""","""),"""npljhcbaaldjombimmaodgeakklblcie"",")</f>
        <v>"npljhcbaaldjombimmaodgeakklblcie",</v>
      </c>
    </row>
    <row r="6667">
      <c r="A6667" s="4" t="s">
        <v>25846</v>
      </c>
      <c r="B6667" s="4" t="s">
        <v>13266</v>
      </c>
      <c r="C6667" s="16" t="str">
        <f>IFERROR(__xludf.DUMMYFUNCTION(""""""""" &amp; REGEXEXTRACT(B6667, ""/detail/([^/?]+)"") &amp; """""","""),"""nplpnljodajnjkpbgiflkmmcbpfiljac"",")</f>
        <v>"nplpnljodajnjkpbgiflkmmcbpfiljac",</v>
      </c>
    </row>
    <row r="6668">
      <c r="A6668" s="4" t="s">
        <v>25847</v>
      </c>
      <c r="B6668" s="4" t="s">
        <v>13268</v>
      </c>
      <c r="C6668" s="16" t="str">
        <f>IFERROR(__xludf.DUMMYFUNCTION(""""""""" &amp; REGEXEXTRACT(B6668, ""/detail/([^/?]+)"") &amp; """""","""),"""npohodmlkdednnlbhfegpnhohpgckocf"",")</f>
        <v>"npohodmlkdednnlbhfegpnhohpgckocf",</v>
      </c>
    </row>
    <row r="6669">
      <c r="A6669" s="4" t="s">
        <v>25848</v>
      </c>
      <c r="B6669" s="4" t="s">
        <v>13270</v>
      </c>
      <c r="C6669" s="16" t="str">
        <f>IFERROR(__xludf.DUMMYFUNCTION(""""""""" &amp; REGEXEXTRACT(B6669, ""/detail/([^/?]+)"") &amp; """""","""),"""nppbdeifhmhjlahlcplebmeklianffba"",")</f>
        <v>"nppbdeifhmhjlahlcplebmeklianffba",</v>
      </c>
    </row>
    <row r="6670">
      <c r="A6670" s="4" t="s">
        <v>25849</v>
      </c>
      <c r="B6670" s="4" t="s">
        <v>13272</v>
      </c>
      <c r="C6670" s="16" t="str">
        <f>IFERROR(__xludf.DUMMYFUNCTION(""""""""" &amp; REGEXEXTRACT(B6670, ""/detail/([^/?]+)"") &amp; """""","""),"""npphpmbmpboghpojhghihkheedgjckkb"",")</f>
        <v>"npphpmbmpboghpojhghihkheedgjckkb",</v>
      </c>
    </row>
    <row r="6671">
      <c r="A6671" s="4" t="s">
        <v>25850</v>
      </c>
      <c r="B6671" s="4" t="s">
        <v>13274</v>
      </c>
      <c r="C6671" s="16" t="str">
        <f>IFERROR(__xludf.DUMMYFUNCTION(""""""""" &amp; REGEXEXTRACT(B6671, ""/detail/([^/?]+)"") &amp; """""","""),"""oaahganejodjmecpcmbjhjoclllabgog"",")</f>
        <v>"oaahganejodjmecpcmbjhjoclllabgog",</v>
      </c>
    </row>
    <row r="6672">
      <c r="A6672" s="4" t="s">
        <v>25851</v>
      </c>
      <c r="B6672" s="4" t="s">
        <v>13276</v>
      </c>
      <c r="C6672" s="16" t="str">
        <f>IFERROR(__xludf.DUMMYFUNCTION(""""""""" &amp; REGEXEXTRACT(B6672, ""/detail/([^/?]+)"") &amp; """""","""),"""oabejkcoehheailplgpfogpjlgnkfkdb"",")</f>
        <v>"oabejkcoehheailplgpfogpjlgnkfkdb",</v>
      </c>
    </row>
    <row r="6673">
      <c r="A6673" s="4" t="s">
        <v>25852</v>
      </c>
      <c r="B6673" s="4" t="s">
        <v>13278</v>
      </c>
      <c r="C6673" s="16" t="str">
        <f>IFERROR(__xludf.DUMMYFUNCTION(""""""""" &amp; REGEXEXTRACT(B6673, ""/detail/([^/?]+)"") &amp; """""","""),"""oacgaangchinnhemdcakdmiekopnfckl"",")</f>
        <v>"oacgaangchinnhemdcakdmiekopnfckl",</v>
      </c>
    </row>
    <row r="6674">
      <c r="A6674" s="4" t="s">
        <v>25853</v>
      </c>
      <c r="B6674" s="4" t="s">
        <v>13280</v>
      </c>
      <c r="C6674" s="16" t="str">
        <f>IFERROR(__xludf.DUMMYFUNCTION(""""""""" &amp; REGEXEXTRACT(B6674, ""/detail/([^/?]+)"") &amp; """""","""),"""oadkmgihpeakaanccpjmaekjldceempn"",")</f>
        <v>"oadkmgihpeakaanccpjmaekjldceempn",</v>
      </c>
    </row>
    <row r="6675">
      <c r="A6675" s="4" t="s">
        <v>25854</v>
      </c>
      <c r="B6675" s="4" t="s">
        <v>13282</v>
      </c>
      <c r="C6675" s="16" t="str">
        <f>IFERROR(__xludf.DUMMYFUNCTION(""""""""" &amp; REGEXEXTRACT(B6675, ""/detail/([^/?]+)"") &amp; """""","""),"""oagaeikjnjbjcgelefgmomonfhpidclg"",")</f>
        <v>"oagaeikjnjbjcgelefgmomonfhpidclg",</v>
      </c>
    </row>
    <row r="6676">
      <c r="A6676" s="4" t="s">
        <v>25855</v>
      </c>
      <c r="B6676" s="4" t="s">
        <v>13284</v>
      </c>
      <c r="C6676" s="16" t="str">
        <f>IFERROR(__xludf.DUMMYFUNCTION(""""""""" &amp; REGEXEXTRACT(B6676, ""/detail/([^/?]+)"") &amp; """""","""),"""oagalgodeelgmgamlnladeeicpfccgag"",")</f>
        <v>"oagalgodeelgmgamlnladeeicpfccgag",</v>
      </c>
    </row>
    <row r="6677">
      <c r="A6677" s="4" t="s">
        <v>25856</v>
      </c>
      <c r="B6677" s="4" t="s">
        <v>13286</v>
      </c>
      <c r="C6677" s="16" t="str">
        <f>IFERROR(__xludf.DUMMYFUNCTION(""""""""" &amp; REGEXEXTRACT(B6677, ""/detail/([^/?]+)"") &amp; """""","""),"""oakjdafonfdgbgbcofjpaecngfimohno"",")</f>
        <v>"oakjdafonfdgbgbcofjpaecngfimohno",</v>
      </c>
    </row>
    <row r="6678">
      <c r="A6678" s="4" t="s">
        <v>25857</v>
      </c>
      <c r="B6678" s="4" t="s">
        <v>13288</v>
      </c>
      <c r="C6678" s="16" t="str">
        <f>IFERROR(__xludf.DUMMYFUNCTION(""""""""" &amp; REGEXEXTRACT(B6678, ""/detail/([^/?]+)"") &amp; """""","""),"""oamfkdadogckhpdbhiibkobglkpiligo"",")</f>
        <v>"oamfkdadogckhpdbhiibkobglkpiligo",</v>
      </c>
    </row>
    <row r="6679">
      <c r="A6679" s="4" t="s">
        <v>25858</v>
      </c>
      <c r="B6679" s="4" t="s">
        <v>13290</v>
      </c>
      <c r="C6679" s="16" t="str">
        <f>IFERROR(__xludf.DUMMYFUNCTION(""""""""" &amp; REGEXEXTRACT(B6679, ""/detail/([^/?]+)"") &amp; """""","""),"""oamijhcbhoplikcmmfdhgokglmbngcmj"",")</f>
        <v>"oamijhcbhoplikcmmfdhgokglmbngcmj",</v>
      </c>
    </row>
    <row r="6680">
      <c r="A6680" s="4" t="s">
        <v>25859</v>
      </c>
      <c r="B6680" s="4" t="s">
        <v>13292</v>
      </c>
      <c r="C6680" s="16" t="str">
        <f>IFERROR(__xludf.DUMMYFUNCTION(""""""""" &amp; REGEXEXTRACT(B6680, ""/detail/([^/?]+)"") &amp; """""","""),"""oaoneifognaiapnemgpeifibjijidpne"",")</f>
        <v>"oaoneifognaiapnemgpeifibjijidpne",</v>
      </c>
    </row>
    <row r="6681">
      <c r="A6681" s="4" t="s">
        <v>25860</v>
      </c>
      <c r="B6681" s="4" t="s">
        <v>13294</v>
      </c>
      <c r="C6681" s="16" t="str">
        <f>IFERROR(__xludf.DUMMYFUNCTION(""""""""" &amp; REGEXEXTRACT(B6681, ""/detail/([^/?]+)"") &amp; """""","""),"""obdijnickljedfcojahfkknhcaepmjbb"",")</f>
        <v>"obdijnickljedfcojahfkknhcaepmjbb",</v>
      </c>
    </row>
    <row r="6682">
      <c r="A6682" s="4" t="s">
        <v>25861</v>
      </c>
      <c r="B6682" s="4" t="s">
        <v>13296</v>
      </c>
      <c r="C6682" s="16" t="str">
        <f>IFERROR(__xludf.DUMMYFUNCTION(""""""""" &amp; REGEXEXTRACT(B6682, ""/detail/([^/?]+)"") &amp; """""","""),"""obgghgheidhjlkgolpabbncemnmpkpac"",")</f>
        <v>"obgghgheidhjlkgolpabbncemnmpkpac",</v>
      </c>
    </row>
    <row r="6683">
      <c r="A6683" s="4" t="s">
        <v>25862</v>
      </c>
      <c r="B6683" s="4" t="s">
        <v>13298</v>
      </c>
      <c r="C6683" s="16" t="str">
        <f>IFERROR(__xludf.DUMMYFUNCTION(""""""""" &amp; REGEXEXTRACT(B6683, ""/detail/([^/?]+)"") &amp; """""","""),"""objbdnkdonjhgedbpffkahnoflllbjph"",")</f>
        <v>"objbdnkdonjhgedbpffkahnoflllbjph",</v>
      </c>
    </row>
    <row r="6684">
      <c r="A6684" s="4" t="s">
        <v>25863</v>
      </c>
      <c r="B6684" s="4" t="s">
        <v>13300</v>
      </c>
      <c r="C6684" s="16" t="str">
        <f>IFERROR(__xludf.DUMMYFUNCTION(""""""""" &amp; REGEXEXTRACT(B6684, ""/detail/([^/?]+)"") &amp; """""","""),"""obkfljadgdcionngoklljlmkddgljigk"",")</f>
        <v>"obkfljadgdcionngoklljlmkddgljigk",</v>
      </c>
    </row>
    <row r="6685">
      <c r="A6685" s="4" t="s">
        <v>25864</v>
      </c>
      <c r="B6685" s="4" t="s">
        <v>13302</v>
      </c>
      <c r="C6685" s="16" t="str">
        <f>IFERROR(__xludf.DUMMYFUNCTION(""""""""" &amp; REGEXEXTRACT(B6685, ""/detail/([^/?]+)"") &amp; """""","""),"""obmioinepipfahfhaaebfjomonleiapd"",")</f>
        <v>"obmioinepipfahfhaaebfjomonleiapd",</v>
      </c>
    </row>
    <row r="6686">
      <c r="A6686" s="4" t="s">
        <v>25865</v>
      </c>
      <c r="B6686" s="4" t="s">
        <v>13304</v>
      </c>
      <c r="C6686" s="16" t="str">
        <f>IFERROR(__xludf.DUMMYFUNCTION(""""""""" &amp; REGEXEXTRACT(B6686, ""/detail/([^/?]+)"") &amp; """""","""),"""obmkondomdmdibeoehobeofdnogneecp"",")</f>
        <v>"obmkondomdmdibeoehobeofdnogneecp",</v>
      </c>
    </row>
    <row r="6687">
      <c r="A6687" s="4" t="s">
        <v>25866</v>
      </c>
      <c r="B6687" s="4" t="s">
        <v>13306</v>
      </c>
      <c r="C6687" s="16" t="str">
        <f>IFERROR(__xludf.DUMMYFUNCTION(""""""""" &amp; REGEXEXTRACT(B6687, ""/detail/([^/?]+)"") &amp; """""","""),"""obmlbfmagbgddcnmhnegnljdmhfnfgmc"",")</f>
        <v>"obmlbfmagbgddcnmhnegnljdmhfnfgmc",</v>
      </c>
    </row>
    <row r="6688">
      <c r="A6688" s="4" t="s">
        <v>25867</v>
      </c>
      <c r="B6688" s="4" t="s">
        <v>13308</v>
      </c>
      <c r="C6688" s="16" t="str">
        <f>IFERROR(__xludf.DUMMYFUNCTION(""""""""" &amp; REGEXEXTRACT(B6688, ""/detail/([^/?]+)"") &amp; """""","""),"""ocaooaloaklnkihcmombdnobkipjgile"",")</f>
        <v>"ocaooaloaklnkihcmombdnobkipjgile",</v>
      </c>
    </row>
    <row r="6689">
      <c r="A6689" s="4" t="s">
        <v>25868</v>
      </c>
      <c r="B6689" s="4" t="s">
        <v>13310</v>
      </c>
      <c r="C6689" s="16" t="str">
        <f>IFERROR(__xludf.DUMMYFUNCTION(""""""""" &amp; REGEXEXTRACT(B6689, ""/detail/([^/?]+)"") &amp; """""","""),"""occeejcdjnhnbaejiohmbbdbgnbpemcc"",")</f>
        <v>"occeejcdjnhnbaejiohmbbdbgnbpemcc",</v>
      </c>
    </row>
    <row r="6690">
      <c r="A6690" s="4" t="s">
        <v>25869</v>
      </c>
      <c r="B6690" s="4" t="s">
        <v>13312</v>
      </c>
      <c r="C6690" s="16" t="str">
        <f>IFERROR(__xludf.DUMMYFUNCTION(""""""""" &amp; REGEXEXTRACT(B6690, ""/detail/([^/?]+)"") &amp; """""","""),"""ocejgpkgjakmmkijnjlkdfpnijmjlacf"",")</f>
        <v>"ocejgpkgjakmmkijnjlkdfpnijmjlacf",</v>
      </c>
    </row>
    <row r="6691">
      <c r="A6691" s="4" t="s">
        <v>25870</v>
      </c>
      <c r="B6691" s="4" t="s">
        <v>13314</v>
      </c>
      <c r="C6691" s="16" t="str">
        <f>IFERROR(__xludf.DUMMYFUNCTION(""""""""" &amp; REGEXEXTRACT(B6691, ""/detail/([^/?]+)"") &amp; """""","""),"""ocfgfhicacgipgpiapepehhpidbhijkl"",")</f>
        <v>"ocfgfhicacgipgpiapepehhpidbhijkl",</v>
      </c>
    </row>
    <row r="6692">
      <c r="A6692" s="4" t="s">
        <v>25871</v>
      </c>
      <c r="B6692" s="4" t="s">
        <v>13316</v>
      </c>
      <c r="C6692" s="16" t="str">
        <f>IFERROR(__xludf.DUMMYFUNCTION(""""""""" &amp; REGEXEXTRACT(B6692, ""/detail/([^/?]+)"") &amp; """""","""),"""ocgahpobhhfjgaggafmidogklgiefenj"",")</f>
        <v>"ocgahpobhhfjgaggafmidogklgiefenj",</v>
      </c>
    </row>
    <row r="6693">
      <c r="A6693" s="4" t="s">
        <v>25872</v>
      </c>
      <c r="B6693" s="4" t="s">
        <v>13318</v>
      </c>
      <c r="C6693" s="16" t="str">
        <f>IFERROR(__xludf.DUMMYFUNCTION(""""""""" &amp; REGEXEXTRACT(B6693, ""/detail/([^/?]+)"") &amp; """""","""),"""ocmccklecaalljlflmclidjeclpcpdim"",")</f>
        <v>"ocmccklecaalljlflmclidjeclpcpdim",</v>
      </c>
    </row>
    <row r="6694">
      <c r="A6694" s="4" t="s">
        <v>25873</v>
      </c>
      <c r="B6694" s="4" t="s">
        <v>13320</v>
      </c>
      <c r="C6694" s="16" t="str">
        <f>IFERROR(__xludf.DUMMYFUNCTION(""""""""" &amp; REGEXEXTRACT(B6694, ""/detail/([^/?]+)"") &amp; """""","""),"""ocnilbhlpfhpkgehpeiehkefdjjldefa"",")</f>
        <v>"ocnilbhlpfhpkgehpeiehkefdjjldefa",</v>
      </c>
    </row>
    <row r="6695">
      <c r="A6695" s="4" t="s">
        <v>25874</v>
      </c>
      <c r="B6695" s="4" t="s">
        <v>13322</v>
      </c>
      <c r="C6695" s="16" t="str">
        <f>IFERROR(__xludf.DUMMYFUNCTION(""""""""" &amp; REGEXEXTRACT(B6695, ""/detail/([^/?]+)"") &amp; """""","""),"""ococeakjienklcnckpijkjlejjjbmobk"",")</f>
        <v>"ococeakjienklcnckpijkjlejjjbmobk",</v>
      </c>
    </row>
    <row r="6696">
      <c r="A6696" s="4" t="s">
        <v>25875</v>
      </c>
      <c r="B6696" s="4" t="s">
        <v>13324</v>
      </c>
      <c r="C6696" s="16" t="str">
        <f>IFERROR(__xludf.DUMMYFUNCTION(""""""""" &amp; REGEXEXTRACT(B6696, ""/detail/([^/?]+)"") &amp; """""","""),"""ocojnbhkbjgnlknabhicoodhmlapfodp"",")</f>
        <v>"ocojnbhkbjgnlknabhicoodhmlapfodp",</v>
      </c>
    </row>
    <row r="6697">
      <c r="A6697" s="4" t="s">
        <v>25876</v>
      </c>
      <c r="B6697" s="4" t="s">
        <v>13326</v>
      </c>
      <c r="C6697" s="16" t="str">
        <f>IFERROR(__xludf.DUMMYFUNCTION(""""""""" &amp; REGEXEXTRACT(B6697, ""/detail/([^/?]+)"") &amp; """""","""),"""ocolfhpogcchjfldbmjmigpneldphngf"",")</f>
        <v>"ocolfhpogcchjfldbmjmigpneldphngf",</v>
      </c>
    </row>
    <row r="6698">
      <c r="A6698" s="4" t="s">
        <v>25877</v>
      </c>
      <c r="B6698" s="4" t="s">
        <v>13328</v>
      </c>
      <c r="C6698" s="16" t="str">
        <f>IFERROR(__xludf.DUMMYFUNCTION(""""""""" &amp; REGEXEXTRACT(B6698, ""/detail/([^/?]+)"") &amp; """""","""),"""odamhgdipmfelnoclggflemkjkigdnhe"",")</f>
        <v>"odamhgdipmfelnoclggflemkjkigdnhe",</v>
      </c>
    </row>
    <row r="6699">
      <c r="A6699" s="4" t="s">
        <v>25878</v>
      </c>
      <c r="B6699" s="4" t="s">
        <v>13330</v>
      </c>
      <c r="C6699" s="16" t="str">
        <f>IFERROR(__xludf.DUMMYFUNCTION(""""""""" &amp; REGEXEXTRACT(B6699, ""/detail/([^/?]+)"") &amp; """""","""),"""odekbjpmanmghgfppjdkbnechlkacojc"",")</f>
        <v>"odekbjpmanmghgfppjdkbnechlkacojc",</v>
      </c>
    </row>
    <row r="6700">
      <c r="A6700" s="4" t="s">
        <v>25879</v>
      </c>
      <c r="B6700" s="4" t="s">
        <v>13332</v>
      </c>
      <c r="C6700" s="16" t="str">
        <f>IFERROR(__xludf.DUMMYFUNCTION(""""""""" &amp; REGEXEXTRACT(B6700, ""/detail/([^/?]+)"") &amp; """""","""),"""odeoccmcnfdmnnedeghgedflgahnfmfe"",")</f>
        <v>"odeoccmcnfdmnnedeghgedflgahnfmfe",</v>
      </c>
    </row>
    <row r="6701">
      <c r="A6701" s="4" t="s">
        <v>25880</v>
      </c>
      <c r="B6701" s="4" t="s">
        <v>13334</v>
      </c>
      <c r="C6701" s="16" t="str">
        <f>IFERROR(__xludf.DUMMYFUNCTION(""""""""" &amp; REGEXEXTRACT(B6701, ""/detail/([^/?]+)"") &amp; """""","""),"""odhbnpahcahiihjfkmdnnallndmmibpk"",")</f>
        <v>"odhbnpahcahiihjfkmdnnallndmmibpk",</v>
      </c>
    </row>
    <row r="6702">
      <c r="A6702" s="4" t="s">
        <v>25881</v>
      </c>
      <c r="B6702" s="4" t="s">
        <v>13336</v>
      </c>
      <c r="C6702" s="16" t="str">
        <f>IFERROR(__xludf.DUMMYFUNCTION(""""""""" &amp; REGEXEXTRACT(B6702, ""/detail/([^/?]+)"") &amp; """""","""),"""odhebbkbobbaecpggflnmmljepblbfpo"",")</f>
        <v>"odhebbkbobbaecpggflnmmljepblbfpo",</v>
      </c>
    </row>
    <row r="6703">
      <c r="A6703" s="4" t="s">
        <v>25882</v>
      </c>
      <c r="B6703" s="4" t="s">
        <v>13338</v>
      </c>
      <c r="C6703" s="16" t="str">
        <f>IFERROR(__xludf.DUMMYFUNCTION(""""""""" &amp; REGEXEXTRACT(B6703, ""/detail/([^/?]+)"") &amp; """""","""),"""odigpomejapcceiciliddbcldmcmpmik"",")</f>
        <v>"odigpomejapcceiciliddbcldmcmpmik",</v>
      </c>
    </row>
    <row r="6704">
      <c r="A6704" s="4" t="s">
        <v>25883</v>
      </c>
      <c r="B6704" s="4" t="s">
        <v>13340</v>
      </c>
      <c r="C6704" s="16" t="str">
        <f>IFERROR(__xludf.DUMMYFUNCTION(""""""""" &amp; REGEXEXTRACT(B6704, ""/detail/([^/?]+)"") &amp; """""","""),"""odkejcmkmjeiaiejcghdkdnhbbokolbl"",")</f>
        <v>"odkejcmkmjeiaiejcghdkdnhbbokolbl",</v>
      </c>
    </row>
    <row r="6705">
      <c r="A6705" s="4" t="s">
        <v>25884</v>
      </c>
      <c r="B6705" s="4" t="s">
        <v>13342</v>
      </c>
      <c r="C6705" s="16" t="str">
        <f>IFERROR(__xludf.DUMMYFUNCTION(""""""""" &amp; REGEXEXTRACT(B6705, ""/detail/([^/?]+)"") &amp; """""","""),"""odkfbmljaomnibofnefflonfehhbhnoo"",")</f>
        <v>"odkfbmljaomnibofnefflonfehhbhnoo",</v>
      </c>
    </row>
    <row r="6706">
      <c r="A6706" s="4" t="s">
        <v>25885</v>
      </c>
      <c r="B6706" s="4" t="s">
        <v>13344</v>
      </c>
      <c r="C6706" s="16" t="str">
        <f>IFERROR(__xludf.DUMMYFUNCTION(""""""""" &amp; REGEXEXTRACT(B6706, ""/detail/([^/?]+)"") &amp; """""","""),"""odpadfgphijikfmdaefmhpjdebahnmde"",")</f>
        <v>"odpadfgphijikfmdaefmhpjdebahnmde",</v>
      </c>
    </row>
    <row r="6707">
      <c r="A6707" s="4" t="s">
        <v>25886</v>
      </c>
      <c r="B6707" s="4" t="s">
        <v>13346</v>
      </c>
      <c r="C6707" s="16" t="str">
        <f>IFERROR(__xludf.DUMMYFUNCTION(""""""""" &amp; REGEXEXTRACT(B6707, ""/detail/([^/?]+)"") &amp; """""","""),"""oedcdjekldlejeadaanbbmneokhcnicb"",")</f>
        <v>"oedcdjekldlejeadaanbbmneokhcnicb",</v>
      </c>
    </row>
    <row r="6708">
      <c r="A6708" s="4" t="s">
        <v>25887</v>
      </c>
      <c r="B6708" s="4" t="s">
        <v>13348</v>
      </c>
      <c r="C6708" s="16" t="str">
        <f>IFERROR(__xludf.DUMMYFUNCTION(""""""""" &amp; REGEXEXTRACT(B6708, ""/detail/([^/?]+)"") &amp; """""","""),"""oedfdgfeknhnkpnajphbbkjfmjhgjapg"",")</f>
        <v>"oedfdgfeknhnkpnajphbbkjfmjhgjapg",</v>
      </c>
    </row>
    <row r="6709">
      <c r="A6709" s="4" t="s">
        <v>25888</v>
      </c>
      <c r="B6709" s="4" t="s">
        <v>13350</v>
      </c>
      <c r="C6709" s="16" t="str">
        <f>IFERROR(__xludf.DUMMYFUNCTION(""""""""" &amp; REGEXEXTRACT(B6709, ""/detail/([^/?]+)"") &amp; """""","""),"""oegblnjiajbfeegijlnblepdodmnddbk"",")</f>
        <v>"oegblnjiajbfeegijlnblepdodmnddbk",</v>
      </c>
    </row>
    <row r="6710">
      <c r="A6710" s="4" t="s">
        <v>25889</v>
      </c>
      <c r="B6710" s="4" t="s">
        <v>13352</v>
      </c>
      <c r="C6710" s="16" t="str">
        <f>IFERROR(__xludf.DUMMYFUNCTION(""""""""" &amp; REGEXEXTRACT(B6710, ""/detail/([^/?]+)"") &amp; """""","""),"""oekcldnibfbbhgkmadgjlabcdjefclkm"",")</f>
        <v>"oekcldnibfbbhgkmadgjlabcdjefclkm",</v>
      </c>
    </row>
    <row r="6711">
      <c r="A6711" s="4" t="s">
        <v>25890</v>
      </c>
      <c r="B6711" s="4" t="s">
        <v>13354</v>
      </c>
      <c r="C6711" s="16" t="str">
        <f>IFERROR(__xludf.DUMMYFUNCTION(""""""""" &amp; REGEXEXTRACT(B6711, ""/detail/([^/?]+)"") &amp; """""","""),"""oekdeefnfjmoojcdkmlbplpdnikfmdlc"",")</f>
        <v>"oekdeefnfjmoojcdkmlbplpdnikfmdlc",</v>
      </c>
    </row>
    <row r="6712">
      <c r="A6712" s="4" t="s">
        <v>25891</v>
      </c>
      <c r="B6712" s="4" t="s">
        <v>13356</v>
      </c>
      <c r="C6712" s="16" t="str">
        <f>IFERROR(__xludf.DUMMYFUNCTION(""""""""" &amp; REGEXEXTRACT(B6712, ""/detail/([^/?]+)"") &amp; """""","""),"""oekengelpdnkfopdkkphkmaacfanbnla"",")</f>
        <v>"oekengelpdnkfopdkkphkmaacfanbnla",</v>
      </c>
    </row>
    <row r="6713">
      <c r="A6713" s="4" t="s">
        <v>25892</v>
      </c>
      <c r="B6713" s="4" t="s">
        <v>13358</v>
      </c>
      <c r="C6713" s="16" t="str">
        <f>IFERROR(__xludf.DUMMYFUNCTION(""""""""" &amp; REGEXEXTRACT(B6713, ""/detail/([^/?]+)"") &amp; """""","""),"""oelmadmiblchepiglmkdooododgpeafa"",")</f>
        <v>"oelmadmiblchepiglmkdooododgpeafa",</v>
      </c>
    </row>
    <row r="6714">
      <c r="A6714" s="4" t="s">
        <v>25893</v>
      </c>
      <c r="B6714" s="4" t="s">
        <v>13360</v>
      </c>
      <c r="C6714" s="16" t="str">
        <f>IFERROR(__xludf.DUMMYFUNCTION(""""""""" &amp; REGEXEXTRACT(B6714, ""/detail/([^/?]+)"") &amp; """""","""),"""oemjndhbhfopdmlmjlakgdegemekkibg"",")</f>
        <v>"oemjndhbhfopdmlmjlakgdegemekkibg",</v>
      </c>
    </row>
    <row r="6715">
      <c r="A6715" s="4" t="s">
        <v>25894</v>
      </c>
      <c r="B6715" s="4" t="s">
        <v>13362</v>
      </c>
      <c r="C6715" s="16" t="str">
        <f>IFERROR(__xludf.DUMMYFUNCTION(""""""""" &amp; REGEXEXTRACT(B6715, ""/detail/([^/?]+)"") &amp; """""","""),"""oeolbkmoecehmgmgfghkldlbngokdjhb"",")</f>
        <v>"oeolbkmoecehmgmgfghkldlbngokdjhb",</v>
      </c>
    </row>
    <row r="6716">
      <c r="A6716" s="4" t="s">
        <v>25895</v>
      </c>
      <c r="B6716" s="4" t="s">
        <v>13364</v>
      </c>
      <c r="C6716" s="16" t="str">
        <f>IFERROR(__xludf.DUMMYFUNCTION(""""""""" &amp; REGEXEXTRACT(B6716, ""/detail/([^/?]+)"") &amp; """""","""),"""oeomioifmeadkjdifcijpkfifjifhhhn"",")</f>
        <v>"oeomioifmeadkjdifcijpkfifjifhhhn",</v>
      </c>
    </row>
    <row r="6717">
      <c r="A6717" s="4" t="s">
        <v>25896</v>
      </c>
      <c r="B6717" s="4" t="s">
        <v>13366</v>
      </c>
      <c r="C6717" s="16" t="str">
        <f>IFERROR(__xludf.DUMMYFUNCTION(""""""""" &amp; REGEXEXTRACT(B6717, ""/detail/([^/?]+)"") &amp; """""","""),"""oeommpagcgphojijlogagaejiiahfnmm"",")</f>
        <v>"oeommpagcgphojijlogagaejiiahfnmm",</v>
      </c>
    </row>
    <row r="6718">
      <c r="A6718" s="4" t="s">
        <v>25897</v>
      </c>
      <c r="B6718" s="4" t="s">
        <v>13368</v>
      </c>
      <c r="C6718" s="16" t="str">
        <f>IFERROR(__xludf.DUMMYFUNCTION(""""""""" &amp; REGEXEXTRACT(B6718, ""/detail/([^/?]+)"") &amp; """""","""),"""ofbfdabicijcdjoeemcgabeeapciibbf"",")</f>
        <v>"ofbfdabicijcdjoeemcgabeeapciibbf",</v>
      </c>
    </row>
    <row r="6719">
      <c r="A6719" s="4" t="s">
        <v>25898</v>
      </c>
      <c r="B6719" s="4" t="s">
        <v>13370</v>
      </c>
      <c r="C6719" s="16" t="str">
        <f>IFERROR(__xludf.DUMMYFUNCTION(""""""""" &amp; REGEXEXTRACT(B6719, ""/detail/([^/?]+)"") &amp; """""","""),"""ofdigdofloanabjcaijfidkogmejlmjc"",")</f>
        <v>"ofdigdofloanabjcaijfidkogmejlmjc",</v>
      </c>
    </row>
    <row r="6720">
      <c r="A6720" s="4" t="s">
        <v>25899</v>
      </c>
      <c r="B6720" s="4" t="s">
        <v>13372</v>
      </c>
      <c r="C6720" s="16" t="str">
        <f>IFERROR(__xludf.DUMMYFUNCTION(""""""""" &amp; REGEXEXTRACT(B6720, ""/detail/([^/?]+)"") &amp; """""","""),"""ofglmkdhbegjalppjcpdcbnomkemkojm"",")</f>
        <v>"ofglmkdhbegjalppjcpdcbnomkemkojm",</v>
      </c>
    </row>
    <row r="6721">
      <c r="A6721" s="4" t="s">
        <v>25900</v>
      </c>
      <c r="B6721" s="4" t="s">
        <v>13374</v>
      </c>
      <c r="C6721" s="16" t="str">
        <f>IFERROR(__xludf.DUMMYFUNCTION(""""""""" &amp; REGEXEXTRACT(B6721, ""/detail/([^/?]+)"") &amp; """""","""),"""ofgmfinplabimkfhjnoibldbadjbnanb"",")</f>
        <v>"ofgmfinplabimkfhjnoibldbadjbnanb",</v>
      </c>
    </row>
    <row r="6722">
      <c r="A6722" s="4" t="s">
        <v>25901</v>
      </c>
      <c r="B6722" s="4" t="s">
        <v>13376</v>
      </c>
      <c r="C6722" s="16" t="str">
        <f>IFERROR(__xludf.DUMMYFUNCTION(""""""""" &amp; REGEXEXTRACT(B6722, ""/detail/([^/?]+)"") &amp; """""","""),"""ofhklbffoehlkndkhdhjlfkiobbcoogd"",")</f>
        <v>"ofhklbffoehlkndkhdhjlfkiobbcoogd",</v>
      </c>
    </row>
    <row r="6723">
      <c r="A6723" s="4" t="s">
        <v>25902</v>
      </c>
      <c r="B6723" s="4" t="s">
        <v>13378</v>
      </c>
      <c r="C6723" s="16" t="str">
        <f>IFERROR(__xludf.DUMMYFUNCTION(""""""""" &amp; REGEXEXTRACT(B6723, ""/detail/([^/?]+)"") &amp; """""","""),"""ofinfhfbojcjhgnocfcgoefgnledhddn"",")</f>
        <v>"ofinfhfbojcjhgnocfcgoefgnledhddn",</v>
      </c>
    </row>
    <row r="6724">
      <c r="A6724" s="4" t="s">
        <v>25903</v>
      </c>
      <c r="B6724" s="4" t="s">
        <v>13380</v>
      </c>
      <c r="C6724" s="16" t="str">
        <f>IFERROR(__xludf.DUMMYFUNCTION(""""""""" &amp; REGEXEXTRACT(B6724, ""/detail/([^/?]+)"") &amp; """""","""),"""ofjeanmickkjincopmpbfkciiookidha"",")</f>
        <v>"ofjeanmickkjincopmpbfkciiookidha",</v>
      </c>
    </row>
    <row r="6725">
      <c r="A6725" s="4" t="s">
        <v>25904</v>
      </c>
      <c r="B6725" s="4" t="s">
        <v>13382</v>
      </c>
      <c r="C6725" s="16" t="str">
        <f>IFERROR(__xludf.DUMMYFUNCTION(""""""""" &amp; REGEXEXTRACT(B6725, ""/detail/([^/?]+)"") &amp; """""","""),"""ofkabjnhbcfdpojmpfghkofmfedjhbna"",")</f>
        <v>"ofkabjnhbcfdpojmpfghkofmfedjhbna",</v>
      </c>
    </row>
    <row r="6726">
      <c r="A6726" s="4" t="s">
        <v>25905</v>
      </c>
      <c r="B6726" s="4" t="s">
        <v>13384</v>
      </c>
      <c r="C6726" s="16" t="str">
        <f>IFERROR(__xludf.DUMMYFUNCTION(""""""""" &amp; REGEXEXTRACT(B6726, ""/detail/([^/?]+)"") &amp; """""","""),"""oflokebamamodefnbnaaemefecjhekcg"",")</f>
        <v>"oflokebamamodefnbnaaemefecjhekcg",</v>
      </c>
    </row>
    <row r="6727">
      <c r="A6727" s="4" t="s">
        <v>25906</v>
      </c>
      <c r="B6727" s="4" t="s">
        <v>13386</v>
      </c>
      <c r="C6727" s="16" t="str">
        <f>IFERROR(__xludf.DUMMYFUNCTION(""""""""" &amp; REGEXEXTRACT(B6727, ""/detail/([^/?]+)"") &amp; """""","""),"""ogbhalchfdnpkmmgdpcfepkhnnpbomoi"",")</f>
        <v>"ogbhalchfdnpkmmgdpcfepkhnnpbomoi",</v>
      </c>
    </row>
    <row r="6728">
      <c r="A6728" s="4" t="s">
        <v>25907</v>
      </c>
      <c r="B6728" s="4" t="s">
        <v>13388</v>
      </c>
      <c r="C6728" s="16" t="str">
        <f>IFERROR(__xludf.DUMMYFUNCTION(""""""""" &amp; REGEXEXTRACT(B6728, ""/detail/([^/?]+)"") &amp; """""","""),"""ogbomkfadhhndgccgfknejchfhkcolko"",")</f>
        <v>"ogbomkfadhhndgccgfknejchfhkcolko",</v>
      </c>
    </row>
    <row r="6729">
      <c r="A6729" s="4" t="s">
        <v>25908</v>
      </c>
      <c r="B6729" s="4" t="s">
        <v>13390</v>
      </c>
      <c r="C6729" s="16" t="str">
        <f>IFERROR(__xludf.DUMMYFUNCTION(""""""""" &amp; REGEXEXTRACT(B6729, ""/detail/([^/?]+)"") &amp; """""","""),"""ogcmacogjicbppmlfkaglcloolcgcema"",")</f>
        <v>"ogcmacogjicbppmlfkaglcloolcgcema",</v>
      </c>
    </row>
    <row r="6730">
      <c r="A6730" s="4" t="s">
        <v>25909</v>
      </c>
      <c r="B6730" s="4" t="s">
        <v>13392</v>
      </c>
      <c r="C6730" s="16" t="str">
        <f>IFERROR(__xludf.DUMMYFUNCTION(""""""""" &amp; REGEXEXTRACT(B6730, ""/detail/([^/?]+)"") &amp; """""","""),"""ogebapoedodganeklcnhgabiehndcanl"",")</f>
        <v>"ogebapoedodganeklcnhgabiehndcanl",</v>
      </c>
    </row>
    <row r="6731">
      <c r="A6731" s="4" t="s">
        <v>25910</v>
      </c>
      <c r="B6731" s="4" t="s">
        <v>13394</v>
      </c>
      <c r="C6731" s="16" t="str">
        <f>IFERROR(__xludf.DUMMYFUNCTION(""""""""" &amp; REGEXEXTRACT(B6731, ""/detail/([^/?]+)"") &amp; """""","""),"""ogffaloegjglncjfehdfplabnoondfjo"",")</f>
        <v>"ogffaloegjglncjfehdfplabnoondfjo",</v>
      </c>
    </row>
    <row r="6732">
      <c r="A6732" s="4" t="s">
        <v>25911</v>
      </c>
      <c r="B6732" s="4" t="s">
        <v>13396</v>
      </c>
      <c r="C6732" s="16" t="str">
        <f>IFERROR(__xludf.DUMMYFUNCTION(""""""""" &amp; REGEXEXTRACT(B6732, ""/detail/([^/?]+)"") &amp; """""","""),"""ogiegfgghlangemlggeoogaadkebmibh"",")</f>
        <v>"ogiegfgghlangemlggeoogaadkebmibh",</v>
      </c>
    </row>
    <row r="6733">
      <c r="A6733" s="4" t="s">
        <v>25912</v>
      </c>
      <c r="B6733" s="4" t="s">
        <v>13398</v>
      </c>
      <c r="C6733" s="16" t="str">
        <f>IFERROR(__xludf.DUMMYFUNCTION(""""""""" &amp; REGEXEXTRACT(B6733, ""/detail/([^/?]+)"") &amp; """""","""),"""ogjfcicbofbobbljgbmkbgehfmkmanpa"",")</f>
        <v>"ogjfcicbofbobbljgbmkbgehfmkmanpa",</v>
      </c>
    </row>
    <row r="6734">
      <c r="A6734" s="4" t="s">
        <v>25913</v>
      </c>
      <c r="B6734" s="4" t="s">
        <v>13400</v>
      </c>
      <c r="C6734" s="16" t="str">
        <f>IFERROR(__xludf.DUMMYFUNCTION(""""""""" &amp; REGEXEXTRACT(B6734, ""/detail/([^/?]+)"") &amp; """""","""),"""ogkhchpclioobkplbmkjekalofgddagc"",")</f>
        <v>"ogkhchpclioobkplbmkjekalofgddagc",</v>
      </c>
    </row>
    <row r="6735">
      <c r="A6735" s="4" t="s">
        <v>25914</v>
      </c>
      <c r="B6735" s="4" t="s">
        <v>13402</v>
      </c>
      <c r="C6735" s="16" t="str">
        <f>IFERROR(__xludf.DUMMYFUNCTION(""""""""" &amp; REGEXEXTRACT(B6735, ""/detail/([^/?]+)"") &amp; """""","""),"""ogncjloladfooiimjbdgdkokmlmjpkjd"",")</f>
        <v>"ogncjloladfooiimjbdgdkokmlmjpkjd",</v>
      </c>
    </row>
    <row r="6736">
      <c r="A6736" s="4" t="s">
        <v>25915</v>
      </c>
      <c r="B6736" s="4" t="s">
        <v>13404</v>
      </c>
      <c r="C6736" s="16" t="str">
        <f>IFERROR(__xludf.DUMMYFUNCTION(""""""""" &amp; REGEXEXTRACT(B6736, ""/detail/([^/?]+)"") &amp; """""","""),"""ogobbjinnajkoepejmkhafcfpjbkmahb"",")</f>
        <v>"ogobbjinnajkoepejmkhafcfpjbkmahb",</v>
      </c>
    </row>
    <row r="6737">
      <c r="A6737" s="4" t="s">
        <v>25916</v>
      </c>
      <c r="B6737" s="4" t="s">
        <v>13406</v>
      </c>
      <c r="C6737" s="16" t="str">
        <f>IFERROR(__xludf.DUMMYFUNCTION(""""""""" &amp; REGEXEXTRACT(B6737, ""/detail/([^/?]+)"") &amp; """""","""),"""ogpakokhpomfmndbddggogokkmcjebpl"",")</f>
        <v>"ogpakokhpomfmndbddggogokkmcjebpl",</v>
      </c>
    </row>
    <row r="6738">
      <c r="A6738" s="4" t="s">
        <v>25917</v>
      </c>
      <c r="B6738" s="4" t="s">
        <v>13408</v>
      </c>
      <c r="C6738" s="16" t="str">
        <f>IFERROR(__xludf.DUMMYFUNCTION(""""""""" &amp; REGEXEXTRACT(B6738, ""/detail/([^/?]+)"") &amp; """""","""),"""ohajmcdpjokbdoihfhkpbmlmknejmoec"",")</f>
        <v>"ohajmcdpjokbdoihfhkpbmlmknejmoec",</v>
      </c>
    </row>
    <row r="6739">
      <c r="A6739" s="4" t="s">
        <v>25918</v>
      </c>
      <c r="B6739" s="4" t="s">
        <v>13410</v>
      </c>
      <c r="C6739" s="16" t="str">
        <f>IFERROR(__xludf.DUMMYFUNCTION(""""""""" &amp; REGEXEXTRACT(B6739, ""/detail/([^/?]+)"") &amp; """""","""),"""ohbgjelbnnilhimcihoipnkelmdfdhbe"",")</f>
        <v>"ohbgjelbnnilhimcihoipnkelmdfdhbe",</v>
      </c>
    </row>
    <row r="6740">
      <c r="A6740" s="4" t="s">
        <v>25919</v>
      </c>
      <c r="B6740" s="4" t="s">
        <v>13412</v>
      </c>
      <c r="C6740" s="16" t="str">
        <f>IFERROR(__xludf.DUMMYFUNCTION(""""""""" &amp; REGEXEXTRACT(B6740, ""/detail/([^/?]+)"") &amp; """""","""),"""ohdcmmbkadhimldgmdmddaedglgcalcd"",")</f>
        <v>"ohdcmmbkadhimldgmdmddaedglgcalcd",</v>
      </c>
    </row>
    <row r="6741">
      <c r="A6741" s="4" t="s">
        <v>25920</v>
      </c>
      <c r="B6741" s="4" t="s">
        <v>13414</v>
      </c>
      <c r="C6741" s="16" t="str">
        <f>IFERROR(__xludf.DUMMYFUNCTION(""""""""" &amp; REGEXEXTRACT(B6741, ""/detail/([^/?]+)"") &amp; """""","""),"""ohdilaonheipiclpcgepeioondfciiip"",")</f>
        <v>"ohdilaonheipiclpcgepeioondfciiip",</v>
      </c>
    </row>
    <row r="6742">
      <c r="A6742" s="4" t="s">
        <v>25921</v>
      </c>
      <c r="B6742" s="4" t="s">
        <v>13416</v>
      </c>
      <c r="C6742" s="16" t="str">
        <f>IFERROR(__xludf.DUMMYFUNCTION(""""""""" &amp; REGEXEXTRACT(B6742, ""/detail/([^/?]+)"") &amp; """""","""),"""oheaeephldhdnlglpkgigmlcjcieojfd"",")</f>
        <v>"oheaeephldhdnlglpkgigmlcjcieojfd",</v>
      </c>
    </row>
    <row r="6743">
      <c r="A6743" s="4" t="s">
        <v>25922</v>
      </c>
      <c r="B6743" s="4" t="s">
        <v>13418</v>
      </c>
      <c r="C6743" s="16" t="str">
        <f>IFERROR(__xludf.DUMMYFUNCTION(""""""""" &amp; REGEXEXTRACT(B6743, ""/detail/([^/?]+)"") &amp; """""","""),"""ohhjfajndpfpbimipmehmdkblnbelaec"",")</f>
        <v>"ohhjfajndpfpbimipmehmdkblnbelaec",</v>
      </c>
    </row>
    <row r="6744">
      <c r="A6744" s="4" t="s">
        <v>25923</v>
      </c>
      <c r="B6744" s="4" t="s">
        <v>13420</v>
      </c>
      <c r="C6744" s="16" t="str">
        <f>IFERROR(__xludf.DUMMYFUNCTION(""""""""" &amp; REGEXEXTRACT(B6744, ""/detail/([^/?]+)"") &amp; """""","""),"""ohjcpmdjfihchfhkmimcbklhjdphoeac"",")</f>
        <v>"ohjcpmdjfihchfhkmimcbklhjdphoeac",</v>
      </c>
    </row>
    <row r="6745">
      <c r="A6745" s="4" t="s">
        <v>25924</v>
      </c>
      <c r="B6745" s="4" t="s">
        <v>13422</v>
      </c>
      <c r="C6745" s="16" t="str">
        <f>IFERROR(__xludf.DUMMYFUNCTION(""""""""" &amp; REGEXEXTRACT(B6745, ""/detail/([^/?]+)"") &amp; """""","""),"""ohkoalpmmojgjaejpifmkglbcklcegdp"",")</f>
        <v>"ohkoalpmmojgjaejpifmkglbcklcegdp",</v>
      </c>
    </row>
    <row r="6746">
      <c r="A6746" s="4" t="s">
        <v>25925</v>
      </c>
      <c r="B6746" s="4" t="s">
        <v>13424</v>
      </c>
      <c r="C6746" s="16" t="str">
        <f>IFERROR(__xludf.DUMMYFUNCTION(""""""""" &amp; REGEXEXTRACT(B6746, ""/detail/([^/?]+)"") &amp; """""","""),"""ohloajnmmkniehhbmjakbejnomonmijc"",")</f>
        <v>"ohloajnmmkniehhbmjakbejnomonmijc",</v>
      </c>
    </row>
    <row r="6747">
      <c r="A6747" s="4" t="s">
        <v>25926</v>
      </c>
      <c r="B6747" s="4" t="s">
        <v>13425</v>
      </c>
      <c r="C6747" s="16" t="str">
        <f>IFERROR(__xludf.DUMMYFUNCTION(""""""""" &amp; REGEXEXTRACT(B6747, ""/detail/([^/?]+)"") &amp; """""","""),"""ohogkbgckjfhmgmfbdabalmggjmjdjmk"",")</f>
        <v>"ohogkbgckjfhmgmfbdabalmggjmjdjmk",</v>
      </c>
    </row>
    <row r="6748">
      <c r="A6748" s="4" t="s">
        <v>25927</v>
      </c>
      <c r="B6748" s="4" t="s">
        <v>13427</v>
      </c>
      <c r="C6748" s="16" t="str">
        <f>IFERROR(__xludf.DUMMYFUNCTION(""""""""" &amp; REGEXEXTRACT(B6748, ""/detail/([^/?]+)"") &amp; """""","""),"""ohpbdgpfjldcmolpikooagnibhjijlgn"",")</f>
        <v>"ohpbdgpfjldcmolpikooagnibhjijlgn",</v>
      </c>
    </row>
    <row r="6749">
      <c r="A6749" s="4" t="s">
        <v>25928</v>
      </c>
      <c r="B6749" s="4" t="s">
        <v>13429</v>
      </c>
      <c r="C6749" s="16" t="str">
        <f>IFERROR(__xludf.DUMMYFUNCTION(""""""""" &amp; REGEXEXTRACT(B6749, ""/detail/([^/?]+)"") &amp; """""","""),"""oiafnkijemphjhikmdjfdpgcekhkibcl"",")</f>
        <v>"oiafnkijemphjhikmdjfdpgcekhkibcl",</v>
      </c>
    </row>
    <row r="6750">
      <c r="A6750" s="4" t="s">
        <v>25929</v>
      </c>
      <c r="B6750" s="4" t="s">
        <v>13431</v>
      </c>
      <c r="C6750" s="16" t="str">
        <f>IFERROR(__xludf.DUMMYFUNCTION(""""""""" &amp; REGEXEXTRACT(B6750, ""/detail/([^/?]+)"") &amp; """""","""),"""oidfgbojkfckgmkljhacgnckncpanbhm"",")</f>
        <v>"oidfgbojkfckgmkljhacgnckncpanbhm",</v>
      </c>
    </row>
    <row r="6751">
      <c r="A6751" s="4" t="s">
        <v>25930</v>
      </c>
      <c r="B6751" s="4" t="s">
        <v>13433</v>
      </c>
      <c r="C6751" s="16" t="str">
        <f>IFERROR(__xludf.DUMMYFUNCTION(""""""""" &amp; REGEXEXTRACT(B6751, ""/detail/([^/?]+)"") &amp; """""","""),"""oiehlacniklopgoomeehknondlaifnll"",")</f>
        <v>"oiehlacniklopgoomeehknondlaifnll",</v>
      </c>
    </row>
    <row r="6752">
      <c r="A6752" s="4" t="s">
        <v>25931</v>
      </c>
      <c r="B6752" s="4" t="s">
        <v>13435</v>
      </c>
      <c r="C6752" s="16" t="str">
        <f>IFERROR(__xludf.DUMMYFUNCTION(""""""""" &amp; REGEXEXTRACT(B6752, ""/detail/([^/?]+)"") &amp; """""","""),"""oijflcldgehkfiemnfcidmfjmfjmlbmk"",")</f>
        <v>"oijflcldgehkfiemnfcidmfjmfjmlbmk",</v>
      </c>
    </row>
    <row r="6753">
      <c r="A6753" s="4" t="s">
        <v>25932</v>
      </c>
      <c r="B6753" s="4" t="s">
        <v>13437</v>
      </c>
      <c r="C6753" s="16" t="str">
        <f>IFERROR(__xludf.DUMMYFUNCTION(""""""""" &amp; REGEXEXTRACT(B6753, ""/detail/([^/?]+)"") &amp; """""","""),"""oimgeamnldoknegijnamobdaohbegjce"",")</f>
        <v>"oimgeamnldoknegijnamobdaohbegjce",</v>
      </c>
    </row>
    <row r="6754">
      <c r="A6754" s="4" t="s">
        <v>25933</v>
      </c>
      <c r="B6754" s="4" t="s">
        <v>13439</v>
      </c>
      <c r="C6754" s="16" t="str">
        <f>IFERROR(__xludf.DUMMYFUNCTION(""""""""" &amp; REGEXEXTRACT(B6754, ""/detail/([^/?]+)"") &amp; """""","""),"""oimoiefndijdcjpphcgldokllodoaihe"",")</f>
        <v>"oimoiefndijdcjpphcgldokllodoaihe",</v>
      </c>
    </row>
    <row r="6755">
      <c r="A6755" s="4" t="s">
        <v>25934</v>
      </c>
      <c r="B6755" s="4" t="s">
        <v>13441</v>
      </c>
      <c r="C6755" s="16" t="str">
        <f>IFERROR(__xludf.DUMMYFUNCTION(""""""""" &amp; REGEXEXTRACT(B6755, ""/detail/([^/?]+)"") &amp; """""","""),"""oincadmpbogdfgckicmpclkdmcfagajg"",")</f>
        <v>"oincadmpbogdfgckicmpclkdmcfagajg",</v>
      </c>
    </row>
    <row r="6756">
      <c r="A6756" s="4" t="s">
        <v>25935</v>
      </c>
      <c r="B6756" s="4" t="s">
        <v>13443</v>
      </c>
      <c r="C6756" s="16" t="str">
        <f>IFERROR(__xludf.DUMMYFUNCTION(""""""""" &amp; REGEXEXTRACT(B6756, ""/detail/([^/?]+)"") &amp; """""","""),"""oincafggaepgofadjimemcfmdfpjoepl"",")</f>
        <v>"oincafggaepgofadjimemcfmdfpjoepl",</v>
      </c>
    </row>
    <row r="6757">
      <c r="A6757" s="4" t="s">
        <v>25936</v>
      </c>
      <c r="B6757" s="4" t="s">
        <v>13445</v>
      </c>
      <c r="C6757" s="16" t="str">
        <f>IFERROR(__xludf.DUMMYFUNCTION(""""""""" &amp; REGEXEXTRACT(B6757, ""/detail/([^/?]+)"") &amp; """""","""),"""oiocapjnhpbjbijfppfjdnmnojifcdkh"",")</f>
        <v>"oiocapjnhpbjbijfppfjdnmnojifcdkh",</v>
      </c>
    </row>
    <row r="6758">
      <c r="A6758" s="4" t="s">
        <v>25937</v>
      </c>
      <c r="B6758" s="4" t="s">
        <v>13447</v>
      </c>
      <c r="C6758" s="16" t="str">
        <f>IFERROR(__xludf.DUMMYFUNCTION(""""""""" &amp; REGEXEXTRACT(B6758, ""/detail/([^/?]+)"") &amp; """""","""),"""oioeapdgbhbkkmmmeiichfjloebjggki"",")</f>
        <v>"oioeapdgbhbkkmmmeiichfjloebjggki",</v>
      </c>
    </row>
    <row r="6759">
      <c r="A6759" s="4" t="s">
        <v>25938</v>
      </c>
      <c r="B6759" s="4" t="s">
        <v>13449</v>
      </c>
      <c r="C6759" s="16" t="str">
        <f>IFERROR(__xludf.DUMMYFUNCTION(""""""""" &amp; REGEXEXTRACT(B6759, ""/detail/([^/?]+)"") &amp; """""","""),"""oiohdnannmknmdlddkdejbmplhbdcbee"",")</f>
        <v>"oiohdnannmknmdlddkdejbmplhbdcbee",</v>
      </c>
    </row>
    <row r="6760">
      <c r="A6760" s="4" t="s">
        <v>25939</v>
      </c>
      <c r="B6760" s="4" t="s">
        <v>13451</v>
      </c>
      <c r="C6760" s="16" t="str">
        <f>IFERROR(__xludf.DUMMYFUNCTION(""""""""" &amp; REGEXEXTRACT(B6760, ""/detail/([^/?]+)"") &amp; """""","""),"""ojaihdhlcohdjjagclcklnnnanhjkbin"",")</f>
        <v>"ojaihdhlcohdjjagclcklnnnanhjkbin",</v>
      </c>
    </row>
    <row r="6761">
      <c r="A6761" s="4" t="s">
        <v>25940</v>
      </c>
      <c r="B6761" s="4" t="s">
        <v>13453</v>
      </c>
      <c r="C6761" s="16" t="str">
        <f>IFERROR(__xludf.DUMMYFUNCTION(""""""""" &amp; REGEXEXTRACT(B6761, ""/detail/([^/?]+)"") &amp; """""","""),"""ojakcmmkjeffinjapolfoahfagdgelfk"",")</f>
        <v>"ojakcmmkjeffinjapolfoahfagdgelfk",</v>
      </c>
    </row>
    <row r="6762">
      <c r="A6762" s="4" t="s">
        <v>25941</v>
      </c>
      <c r="B6762" s="4" t="s">
        <v>13455</v>
      </c>
      <c r="C6762" s="16" t="str">
        <f>IFERROR(__xludf.DUMMYFUNCTION(""""""""" &amp; REGEXEXTRACT(B6762, ""/detail/([^/?]+)"") &amp; """""","""),"""ojbnlipjeadjbehiplciekcdpfikkbib"",")</f>
        <v>"ojbnlipjeadjbehiplciekcdpfikkbib",</v>
      </c>
    </row>
    <row r="6763">
      <c r="A6763" s="4" t="s">
        <v>25942</v>
      </c>
      <c r="B6763" s="4" t="s">
        <v>13457</v>
      </c>
      <c r="C6763" s="16" t="str">
        <f>IFERROR(__xludf.DUMMYFUNCTION(""""""""" &amp; REGEXEXTRACT(B6763, ""/detail/([^/?]+)"") &amp; """""","""),"""ojccjdibbkolgodijhgfgmcdgchlojao"",")</f>
        <v>"ojccjdibbkolgodijhgfgmcdgchlojao",</v>
      </c>
    </row>
    <row r="6764">
      <c r="A6764" s="4" t="s">
        <v>25943</v>
      </c>
      <c r="B6764" s="4" t="s">
        <v>13459</v>
      </c>
      <c r="C6764" s="16" t="str">
        <f>IFERROR(__xludf.DUMMYFUNCTION(""""""""" &amp; REGEXEXTRACT(B6764, ""/detail/([^/?]+)"") &amp; """""","""),"""ojjcnpikbhgaagkebdioeflencmpkgea"",")</f>
        <v>"ojjcnpikbhgaagkebdioeflencmpkgea",</v>
      </c>
    </row>
    <row r="6765">
      <c r="A6765" s="4" t="s">
        <v>25944</v>
      </c>
      <c r="B6765" s="4" t="s">
        <v>13461</v>
      </c>
      <c r="C6765" s="16" t="str">
        <f>IFERROR(__xludf.DUMMYFUNCTION(""""""""" &amp; REGEXEXTRACT(B6765, ""/detail/([^/?]+)"") &amp; """""","""),"""ojlhobincmkfmfgaflbpfgmmlfkmamkg"",")</f>
        <v>"ojlhobincmkfmfgaflbpfgmmlfkmamkg",</v>
      </c>
    </row>
    <row r="6766">
      <c r="A6766" s="4" t="s">
        <v>25945</v>
      </c>
      <c r="B6766" s="4" t="s">
        <v>13463</v>
      </c>
      <c r="C6766" s="16" t="str">
        <f>IFERROR(__xludf.DUMMYFUNCTION(""""""""" &amp; REGEXEXTRACT(B6766, ""/detail/([^/?]+)"") &amp; """""","""),"""ojmelblegakdgcjacaclnlgdmifgppdb"",")</f>
        <v>"ojmelblegakdgcjacaclnlgdmifgppdb",</v>
      </c>
    </row>
    <row r="6767">
      <c r="A6767" s="4" t="s">
        <v>25946</v>
      </c>
      <c r="B6767" s="4" t="s">
        <v>13465</v>
      </c>
      <c r="C6767" s="16" t="str">
        <f>IFERROR(__xludf.DUMMYFUNCTION(""""""""" &amp; REGEXEXTRACT(B6767, ""/detail/([^/?]+)"") &amp; """""","""),"""ojnfanikhkhoklphdcehbolcpeipbaec"",")</f>
        <v>"ojnfanikhkhoklphdcehbolcpeipbaec",</v>
      </c>
    </row>
    <row r="6768">
      <c r="A6768" s="4" t="s">
        <v>25947</v>
      </c>
      <c r="B6768" s="4" t="s">
        <v>13467</v>
      </c>
      <c r="C6768" s="16" t="str">
        <f>IFERROR(__xludf.DUMMYFUNCTION(""""""""" &amp; REGEXEXTRACT(B6768, ""/detail/([^/?]+)"") &amp; """""","""),"""okdjjdfncmbfeoklehpmadgcdbnlnabd"",")</f>
        <v>"okdjjdfncmbfeoklehpmadgcdbnlnabd",</v>
      </c>
    </row>
    <row r="6769">
      <c r="A6769" s="4" t="s">
        <v>25948</v>
      </c>
      <c r="B6769" s="4" t="s">
        <v>13469</v>
      </c>
      <c r="C6769" s="16" t="str">
        <f>IFERROR(__xludf.DUMMYFUNCTION(""""""""" &amp; REGEXEXTRACT(B6769, ""/detail/([^/?]+)"") &amp; """""","""),"""okellkdngnddldceghgglinloadinfgg"",")</f>
        <v>"okellkdngnddldceghgglinloadinfgg",</v>
      </c>
    </row>
    <row r="6770">
      <c r="A6770" s="4" t="s">
        <v>25949</v>
      </c>
      <c r="B6770" s="4" t="s">
        <v>13471</v>
      </c>
      <c r="C6770" s="16" t="str">
        <f>IFERROR(__xludf.DUMMYFUNCTION(""""""""" &amp; REGEXEXTRACT(B6770, ""/detail/([^/?]+)"") &amp; """""","""),"""okfigfhgkhpbddamkakbngmkgecffncj"",")</f>
        <v>"okfigfhgkhpbddamkakbngmkgecffncj",</v>
      </c>
    </row>
    <row r="6771">
      <c r="A6771" s="4" t="s">
        <v>25950</v>
      </c>
      <c r="B6771" s="4" t="s">
        <v>13473</v>
      </c>
      <c r="C6771" s="16" t="str">
        <f>IFERROR(__xludf.DUMMYFUNCTION(""""""""" &amp; REGEXEXTRACT(B6771, ""/detail/([^/?]+)"") &amp; """""","""),"""okiohagmnigihpbleoloddfldckiknea"",")</f>
        <v>"okiohagmnigihpbleoloddfldckiknea",</v>
      </c>
    </row>
    <row r="6772">
      <c r="A6772" s="4" t="s">
        <v>25951</v>
      </c>
      <c r="B6772" s="4" t="s">
        <v>13475</v>
      </c>
      <c r="C6772" s="16" t="str">
        <f>IFERROR(__xludf.DUMMYFUNCTION(""""""""" &amp; REGEXEXTRACT(B6772, ""/detail/([^/?]+)"") &amp; """""","""),"""oklkidkfohahankieehkeenbillligdn"",")</f>
        <v>"oklkidkfohahankieehkeenbillligdn",</v>
      </c>
    </row>
    <row r="6773">
      <c r="A6773" s="4" t="s">
        <v>25952</v>
      </c>
      <c r="B6773" s="4" t="s">
        <v>13477</v>
      </c>
      <c r="C6773" s="16" t="str">
        <f>IFERROR(__xludf.DUMMYFUNCTION(""""""""" &amp; REGEXEXTRACT(B6773, ""/detail/([^/?]+)"") &amp; """""","""),"""oknkcmcepaahofjeifofaomnlbenbpdc"",")</f>
        <v>"oknkcmcepaahofjeifofaomnlbenbpdc",</v>
      </c>
    </row>
    <row r="6774">
      <c r="A6774" s="4" t="s">
        <v>25953</v>
      </c>
      <c r="B6774" s="4" t="s">
        <v>13479</v>
      </c>
      <c r="C6774" s="16" t="str">
        <f>IFERROR(__xludf.DUMMYFUNCTION(""""""""" &amp; REGEXEXTRACT(B6774, ""/detail/([^/?]+)"") &amp; """""","""),"""oknmifdkopdphfngophcpoddjalaahok"",")</f>
        <v>"oknmifdkopdphfngophcpoddjalaahok",</v>
      </c>
    </row>
    <row r="6775">
      <c r="A6775" s="4" t="s">
        <v>25954</v>
      </c>
      <c r="B6775" s="4" t="s">
        <v>13481</v>
      </c>
      <c r="C6775" s="16" t="str">
        <f>IFERROR(__xludf.DUMMYFUNCTION(""""""""" &amp; REGEXEXTRACT(B6775, ""/detail/([^/?]+)"") &amp; """""","""),"""olbmmdlchmicolppponihdhclpnhkpdd"",")</f>
        <v>"olbmmdlchmicolppponihdhclpnhkpdd",</v>
      </c>
    </row>
    <row r="6776">
      <c r="A6776" s="4" t="s">
        <v>25955</v>
      </c>
      <c r="B6776" s="4" t="s">
        <v>13483</v>
      </c>
      <c r="C6776" s="16" t="str">
        <f>IFERROR(__xludf.DUMMYFUNCTION(""""""""" &amp; REGEXEXTRACT(B6776, ""/detail/([^/?]+)"") &amp; """""","""),"""olbpglaibapheinfojhgiaenneioilpn"",")</f>
        <v>"olbpglaibapheinfojhgiaenneioilpn",</v>
      </c>
    </row>
    <row r="6777">
      <c r="A6777" s="4" t="s">
        <v>25956</v>
      </c>
      <c r="B6777" s="4" t="s">
        <v>13485</v>
      </c>
      <c r="C6777" s="16" t="str">
        <f>IFERROR(__xludf.DUMMYFUNCTION(""""""""" &amp; REGEXEXTRACT(B6777, ""/detail/([^/?]+)"") &amp; """""","""),"""olekhdbiikodlegdppgkkcdgggikepne"",")</f>
        <v>"olekhdbiikodlegdppgkkcdgggikepne",</v>
      </c>
    </row>
    <row r="6778">
      <c r="A6778" s="4" t="s">
        <v>25957</v>
      </c>
      <c r="B6778" s="4" t="s">
        <v>13487</v>
      </c>
      <c r="C6778" s="16" t="str">
        <f>IFERROR(__xludf.DUMMYFUNCTION(""""""""" &amp; REGEXEXTRACT(B6778, ""/detail/([^/?]+)"") &amp; """""","""),"""olgcoeajbmggbinanooheaialmihaaof"",")</f>
        <v>"olgcoeajbmggbinanooheaialmihaaof",</v>
      </c>
    </row>
    <row r="6779">
      <c r="A6779" s="4" t="s">
        <v>25958</v>
      </c>
      <c r="B6779" s="4" t="s">
        <v>13489</v>
      </c>
      <c r="C6779" s="16" t="str">
        <f>IFERROR(__xludf.DUMMYFUNCTION(""""""""" &amp; REGEXEXTRACT(B6779, ""/detail/([^/?]+)"") &amp; """""","""),"""olghnkfiljkinfbnichocbepnimdfclf"",")</f>
        <v>"olghnkfiljkinfbnichocbepnimdfclf",</v>
      </c>
    </row>
    <row r="6780">
      <c r="A6780" s="4" t="s">
        <v>25959</v>
      </c>
      <c r="B6780" s="4" t="s">
        <v>13491</v>
      </c>
      <c r="C6780" s="16" t="str">
        <f>IFERROR(__xludf.DUMMYFUNCTION(""""""""" &amp; REGEXEXTRACT(B6780, ""/detail/([^/?]+)"") &amp; """""","""),"""ollfjiihaphmpjemfhmkngaajbdblbkb"",")</f>
        <v>"ollfjiihaphmpjemfhmkngaajbdblbkb",</v>
      </c>
    </row>
    <row r="6781">
      <c r="A6781" s="4" t="s">
        <v>25960</v>
      </c>
      <c r="B6781" s="4" t="s">
        <v>13493</v>
      </c>
      <c r="C6781" s="16" t="str">
        <f>IFERROR(__xludf.DUMMYFUNCTION(""""""""" &amp; REGEXEXTRACT(B6781, ""/detail/([^/?]+)"") &amp; """""","""),"""olmldjaicdbnkabfiieclmigepfakdoj"",")</f>
        <v>"olmldjaicdbnkabfiieclmigepfakdoj",</v>
      </c>
    </row>
    <row r="6782">
      <c r="A6782" s="4" t="s">
        <v>25961</v>
      </c>
      <c r="B6782" s="4" t="s">
        <v>13495</v>
      </c>
      <c r="C6782" s="16" t="str">
        <f>IFERROR(__xludf.DUMMYFUNCTION(""""""""" &amp; REGEXEXTRACT(B6782, ""/detail/([^/?]+)"") &amp; """""","""),"""omahbhljmcdlanacglbejbmnadecbkgm"",")</f>
        <v>"omahbhljmcdlanacglbejbmnadecbkgm",</v>
      </c>
    </row>
    <row r="6783">
      <c r="A6783" s="4" t="s">
        <v>25962</v>
      </c>
      <c r="B6783" s="4" t="s">
        <v>13497</v>
      </c>
      <c r="C6783" s="16" t="str">
        <f>IFERROR(__xludf.DUMMYFUNCTION(""""""""" &amp; REGEXEXTRACT(B6783, ""/detail/([^/?]+)"") &amp; """""","""),"""omajchkpfbgdnponeednigfehanaholi"",")</f>
        <v>"omajchkpfbgdnponeednigfehanaholi",</v>
      </c>
    </row>
    <row r="6784">
      <c r="A6784" s="4" t="s">
        <v>25963</v>
      </c>
      <c r="B6784" s="4" t="s">
        <v>13499</v>
      </c>
      <c r="C6784" s="16" t="str">
        <f>IFERROR(__xludf.DUMMYFUNCTION(""""""""" &amp; REGEXEXTRACT(B6784, ""/detail/([^/?]+)"") &amp; """""","""),"""ombkgoboclhmipmpjpnmajmlgenjjfdm"",")</f>
        <v>"ombkgoboclhmipmpjpnmajmlgenjjfdm",</v>
      </c>
    </row>
    <row r="6785">
      <c r="A6785" s="4" t="s">
        <v>25964</v>
      </c>
      <c r="B6785" s="4" t="s">
        <v>13501</v>
      </c>
      <c r="C6785" s="16" t="str">
        <f>IFERROR(__xludf.DUMMYFUNCTION(""""""""" &amp; REGEXEXTRACT(B6785, ""/detail/([^/?]+)"") &amp; """""","""),"""omdhnadkcnembinnkaejpmkpiccnfhno"",")</f>
        <v>"omdhnadkcnembinnkaejpmkpiccnfhno",</v>
      </c>
    </row>
    <row r="6786">
      <c r="A6786" s="4" t="s">
        <v>25965</v>
      </c>
      <c r="B6786" s="4" t="s">
        <v>13503</v>
      </c>
      <c r="C6786" s="16" t="str">
        <f>IFERROR(__xludf.DUMMYFUNCTION(""""""""" &amp; REGEXEXTRACT(B6786, ""/detail/([^/?]+)"") &amp; """""","""),"""omfnpkdhcmgcajclojcfhciacciogdcd"",")</f>
        <v>"omfnpkdhcmgcajclojcfhciacciogdcd",</v>
      </c>
    </row>
    <row r="6787">
      <c r="A6787" s="4" t="s">
        <v>25966</v>
      </c>
      <c r="B6787" s="4" t="s">
        <v>13505</v>
      </c>
      <c r="C6787" s="16" t="str">
        <f>IFERROR(__xludf.DUMMYFUNCTION(""""""""" &amp; REGEXEXTRACT(B6787, ""/detail/([^/?]+)"") &amp; """""","""),"""omgomlnnfccahaaicaphjjgkjplfkjai"",")</f>
        <v>"omgomlnnfccahaaicaphjjgkjplfkjai",</v>
      </c>
    </row>
    <row r="6788">
      <c r="A6788" s="4" t="s">
        <v>25967</v>
      </c>
      <c r="B6788" s="4" t="s">
        <v>13507</v>
      </c>
      <c r="C6788" s="16" t="str">
        <f>IFERROR(__xludf.DUMMYFUNCTION(""""""""" &amp; REGEXEXTRACT(B6788, ""/detail/([^/?]+)"") &amp; """""","""),"""omhddidaimomdeombghbcbkkbimabmmm"",")</f>
        <v>"omhddidaimomdeombghbcbkkbimabmmm",</v>
      </c>
    </row>
    <row r="6789">
      <c r="A6789" s="4" t="s">
        <v>25968</v>
      </c>
      <c r="B6789" s="4" t="s">
        <v>13509</v>
      </c>
      <c r="C6789" s="16" t="str">
        <f>IFERROR(__xludf.DUMMYFUNCTION(""""""""" &amp; REGEXEXTRACT(B6789, ""/detail/([^/?]+)"") &amp; """""","""),"""omhmgbciiabipommgcimlfbfpjgngipi"",")</f>
        <v>"omhmgbciiabipommgcimlfbfpjgngipi",</v>
      </c>
    </row>
    <row r="6790">
      <c r="A6790" s="4" t="s">
        <v>25969</v>
      </c>
      <c r="B6790" s="4" t="s">
        <v>13511</v>
      </c>
      <c r="C6790" s="16" t="str">
        <f>IFERROR(__xludf.DUMMYFUNCTION(""""""""" &amp; REGEXEXTRACT(B6790, ""/detail/([^/?]+)"") &amp; """""","""),"""omjmoplhjiaimmadindicfbnhoejbpka"",")</f>
        <v>"omjmoplhjiaimmadindicfbnhoejbpka",</v>
      </c>
    </row>
    <row r="6791">
      <c r="A6791" s="4" t="s">
        <v>25970</v>
      </c>
      <c r="B6791" s="4" t="s">
        <v>13513</v>
      </c>
      <c r="C6791" s="16" t="str">
        <f>IFERROR(__xludf.DUMMYFUNCTION(""""""""" &amp; REGEXEXTRACT(B6791, ""/detail/([^/?]+)"") &amp; """""","""),"""omkhcojfbdmammghnnhhnbfcedllekbf"",")</f>
        <v>"omkhcojfbdmammghnnhhnbfcedllekbf",</v>
      </c>
    </row>
    <row r="6792">
      <c r="A6792" s="4" t="s">
        <v>25971</v>
      </c>
      <c r="B6792" s="4" t="s">
        <v>13515</v>
      </c>
      <c r="C6792" s="16" t="str">
        <f>IFERROR(__xludf.DUMMYFUNCTION(""""""""" &amp; REGEXEXTRACT(B6792, ""/detail/([^/?]+)"") &amp; """""","""),"""omljlibfjloccmdmmlpcnlijjneabhjm"",")</f>
        <v>"omljlibfjloccmdmmlpcnlijjneabhjm",</v>
      </c>
    </row>
    <row r="6793">
      <c r="A6793" s="4" t="s">
        <v>25972</v>
      </c>
      <c r="B6793" s="4" t="s">
        <v>13517</v>
      </c>
      <c r="C6793" s="16" t="str">
        <f>IFERROR(__xludf.DUMMYFUNCTION(""""""""" &amp; REGEXEXTRACT(B6793, ""/detail/([^/?]+)"") &amp; """""","""),"""ommioalakfmjgimbjpbojbdhcgdipngh"",")</f>
        <v>"ommioalakfmjgimbjpbojbdhcgdipngh",</v>
      </c>
    </row>
    <row r="6794">
      <c r="A6794" s="4" t="s">
        <v>25973</v>
      </c>
      <c r="B6794" s="4" t="s">
        <v>13519</v>
      </c>
      <c r="C6794" s="16" t="str">
        <f>IFERROR(__xludf.DUMMYFUNCTION(""""""""" &amp; REGEXEXTRACT(B6794, ""/detail/([^/?]+)"") &amp; """""","""),"""omoljdnncdeeglgmagijlamhjlagobep"",")</f>
        <v>"omoljdnncdeeglgmagijlamhjlagobep",</v>
      </c>
    </row>
    <row r="6795">
      <c r="A6795" s="4" t="s">
        <v>25974</v>
      </c>
      <c r="B6795" s="4" t="s">
        <v>13521</v>
      </c>
      <c r="C6795" s="16" t="str">
        <f>IFERROR(__xludf.DUMMYFUNCTION(""""""""" &amp; REGEXEXTRACT(B6795, ""/detail/([^/?]+)"") &amp; """""","""),"""onibbobfihamlkmmgblfkdnigklgelhm"",")</f>
        <v>"onibbobfihamlkmmgblfkdnigklgelhm",</v>
      </c>
    </row>
    <row r="6796">
      <c r="A6796" s="4" t="s">
        <v>25975</v>
      </c>
      <c r="B6796" s="4" t="s">
        <v>13523</v>
      </c>
      <c r="C6796" s="16" t="str">
        <f>IFERROR(__xludf.DUMMYFUNCTION(""""""""" &amp; REGEXEXTRACT(B6796, ""/detail/([^/?]+)"") &amp; """""","""),"""onjfmpknmlenmogehbpckfhlaocoidif"",")</f>
        <v>"onjfmpknmlenmogehbpckfhlaocoidif",</v>
      </c>
    </row>
    <row r="6797">
      <c r="A6797" s="4" t="s">
        <v>25976</v>
      </c>
      <c r="B6797" s="4" t="s">
        <v>13525</v>
      </c>
      <c r="C6797" s="16" t="str">
        <f>IFERROR(__xludf.DUMMYFUNCTION(""""""""" &amp; REGEXEXTRACT(B6797, ""/detail/([^/?]+)"") &amp; """""","""),"""onkkglkjdlnhhdmblopeaokcllhnceej"",")</f>
        <v>"onkkglkjdlnhhdmblopeaokcllhnceej",</v>
      </c>
    </row>
    <row r="6798">
      <c r="A6798" s="4" t="s">
        <v>25977</v>
      </c>
      <c r="B6798" s="4" t="s">
        <v>13527</v>
      </c>
      <c r="C6798" s="16" t="str">
        <f>IFERROR(__xludf.DUMMYFUNCTION(""""""""" &amp; REGEXEXTRACT(B6798, ""/detail/([^/?]+)"") &amp; """""","""),"""onoloilfmbomfgdalcbbpnlnhibneofa"",")</f>
        <v>"onoloilfmbomfgdalcbbpnlnhibneofa",</v>
      </c>
    </row>
    <row r="6799">
      <c r="A6799" s="4" t="s">
        <v>25978</v>
      </c>
      <c r="B6799" s="4" t="s">
        <v>13529</v>
      </c>
      <c r="C6799" s="16" t="str">
        <f>IFERROR(__xludf.DUMMYFUNCTION(""""""""" &amp; REGEXEXTRACT(B6799, ""/detail/([^/?]+)"") &amp; """""","""),"""onoobljibieiajgglidjhmgnoakahnln"",")</f>
        <v>"onoobljibieiajgglidjhmgnoakahnln",</v>
      </c>
    </row>
    <row r="6800">
      <c r="A6800" s="4" t="s">
        <v>25979</v>
      </c>
      <c r="B6800" s="4" t="s">
        <v>13531</v>
      </c>
      <c r="C6800" s="16" t="str">
        <f>IFERROR(__xludf.DUMMYFUNCTION(""""""""" &amp; REGEXEXTRACT(B6800, ""/detail/([^/?]+)"") &amp; """""","""),"""oobnbmnbdiollepahbognnihpaomcdpb"",")</f>
        <v>"oobnbmnbdiollepahbognnihpaomcdpb",</v>
      </c>
    </row>
    <row r="6801">
      <c r="A6801" s="4" t="s">
        <v>25980</v>
      </c>
      <c r="B6801" s="4" t="s">
        <v>13533</v>
      </c>
      <c r="C6801" s="16" t="str">
        <f>IFERROR(__xludf.DUMMYFUNCTION(""""""""" &amp; REGEXEXTRACT(B6801, ""/detail/([^/?]+)"") &amp; """""","""),"""oochjcgkemdchmglnmmheapegkpgmjhd"",")</f>
        <v>"oochjcgkemdchmglnmmheapegkpgmjhd",</v>
      </c>
    </row>
    <row r="6802">
      <c r="A6802" s="4" t="s">
        <v>25981</v>
      </c>
      <c r="B6802" s="4" t="s">
        <v>13535</v>
      </c>
      <c r="C6802" s="16" t="str">
        <f>IFERROR(__xludf.DUMMYFUNCTION(""""""""" &amp; REGEXEXTRACT(B6802, ""/detail/([^/?]+)"") &amp; """""","""),"""oocmeehjidegkkilebmenjdogocfefbd"",")</f>
        <v>"oocmeehjidegkkilebmenjdogocfefbd",</v>
      </c>
    </row>
    <row r="6803">
      <c r="A6803" s="4" t="s">
        <v>25982</v>
      </c>
      <c r="B6803" s="4" t="s">
        <v>13537</v>
      </c>
      <c r="C6803" s="16" t="str">
        <f>IFERROR(__xludf.DUMMYFUNCTION(""""""""" &amp; REGEXEXTRACT(B6803, ""/detail/([^/?]+)"") &amp; """""","""),"""ooemdibhakkbnhjhfmanckjnafiklfjo"",")</f>
        <v>"ooemdibhakkbnhjhfmanckjnafiklfjo",</v>
      </c>
    </row>
    <row r="6804">
      <c r="A6804" s="4" t="s">
        <v>25983</v>
      </c>
      <c r="B6804" s="4" t="s">
        <v>13539</v>
      </c>
      <c r="C6804" s="16" t="str">
        <f>IFERROR(__xludf.DUMMYFUNCTION(""""""""" &amp; REGEXEXTRACT(B6804, ""/detail/([^/?]+)"") &amp; """""","""),"""ooghhkigehdihajppgalgkodhelbjjlm"",")</f>
        <v>"ooghhkigehdihajppgalgkodhelbjjlm",</v>
      </c>
    </row>
    <row r="6805">
      <c r="A6805" s="4" t="s">
        <v>25984</v>
      </c>
      <c r="B6805" s="4" t="s">
        <v>13541</v>
      </c>
      <c r="C6805" s="16" t="str">
        <f>IFERROR(__xludf.DUMMYFUNCTION(""""""""" &amp; REGEXEXTRACT(B6805, ""/detail/([^/?]+)"") &amp; """""","""),"""opaiclmkfkclikempbamopnepnajnjda"",")</f>
        <v>"opaiclmkfkclikempbamopnepnajnjda",</v>
      </c>
    </row>
    <row r="6806">
      <c r="A6806" s="4" t="s">
        <v>25985</v>
      </c>
      <c r="B6806" s="4" t="s">
        <v>13543</v>
      </c>
      <c r="C6806" s="16" t="str">
        <f>IFERROR(__xludf.DUMMYFUNCTION(""""""""" &amp; REGEXEXTRACT(B6806, ""/detail/([^/?]+)"") &amp; """""","""),"""opednjnkpnkdndkmaciahffknkefpnle"",")</f>
        <v>"opednjnkpnkdndkmaciahffknkefpnle",</v>
      </c>
    </row>
    <row r="6807">
      <c r="A6807" s="4" t="s">
        <v>25986</v>
      </c>
      <c r="B6807" s="4" t="s">
        <v>13545</v>
      </c>
      <c r="C6807" s="16" t="str">
        <f>IFERROR(__xludf.DUMMYFUNCTION(""""""""" &amp; REGEXEXTRACT(B6807, ""/detail/([^/?]+)"") &amp; """""","""),"""opelelcojgjgddbfhlolihhdmjodmjdf"",")</f>
        <v>"opelelcojgjgddbfhlolihhdmjodmjdf",</v>
      </c>
    </row>
    <row r="6808">
      <c r="A6808" s="4" t="s">
        <v>25987</v>
      </c>
      <c r="B6808" s="4" t="s">
        <v>13547</v>
      </c>
      <c r="C6808" s="16" t="str">
        <f>IFERROR(__xludf.DUMMYFUNCTION(""""""""" &amp; REGEXEXTRACT(B6808, ""/detail/([^/?]+)"") &amp; """""","""),"""opkhfpnahihfkkhicenffonnfnhkheip"",")</f>
        <v>"opkhfpnahihfkkhicenffonnfnhkheip",</v>
      </c>
    </row>
    <row r="6809">
      <c r="A6809" s="4" t="s">
        <v>25988</v>
      </c>
      <c r="B6809" s="4" t="s">
        <v>13549</v>
      </c>
      <c r="C6809" s="16" t="str">
        <f>IFERROR(__xludf.DUMMYFUNCTION(""""""""" &amp; REGEXEXTRACT(B6809, ""/detail/([^/?]+)"") &amp; """""","""),"""opphlpkpklmjbglpifmecilchaknobgn"",")</f>
        <v>"opphlpkpklmjbglpifmecilchaknobgn",</v>
      </c>
    </row>
    <row r="6810">
      <c r="A6810" s="4" t="s">
        <v>25989</v>
      </c>
      <c r="B6810" s="4" t="s">
        <v>13551</v>
      </c>
      <c r="C6810" s="16" t="str">
        <f>IFERROR(__xludf.DUMMYFUNCTION(""""""""" &amp; REGEXEXTRACT(B6810, ""/detail/([^/?]+)"") &amp; """""","""),"""oppikflppfjfdpjimpdadhelffjpciba"",")</f>
        <v>"oppikflppfjfdpjimpdadhelffjpciba",</v>
      </c>
    </row>
    <row r="6811">
      <c r="A6811" s="4" t="s">
        <v>25990</v>
      </c>
      <c r="B6811" s="4" t="s">
        <v>13553</v>
      </c>
      <c r="C6811" s="16" t="str">
        <f>IFERROR(__xludf.DUMMYFUNCTION(""""""""" &amp; REGEXEXTRACT(B6811, ""/detail/([^/?]+)"") &amp; """""","""),"""pacafepjegmgiiidkgofifmfcjfdkpea"",")</f>
        <v>"pacafepjegmgiiidkgofifmfcjfdkpea",</v>
      </c>
    </row>
    <row r="6812">
      <c r="A6812" s="4" t="s">
        <v>25991</v>
      </c>
      <c r="B6812" s="4" t="s">
        <v>13555</v>
      </c>
      <c r="C6812" s="16" t="str">
        <f>IFERROR(__xludf.DUMMYFUNCTION(""""""""" &amp; REGEXEXTRACT(B6812, ""/detail/([^/?]+)"") &amp; """""","""),"""pahlaamajbiopofflbolddpkfjfdjnlj"",")</f>
        <v>"pahlaamajbiopofflbolddpkfjfdjnlj",</v>
      </c>
    </row>
    <row r="6813">
      <c r="A6813" s="4" t="s">
        <v>25992</v>
      </c>
      <c r="B6813" s="4" t="s">
        <v>13557</v>
      </c>
      <c r="C6813" s="16" t="str">
        <f>IFERROR(__xludf.DUMMYFUNCTION(""""""""" &amp; REGEXEXTRACT(B6813, ""/detail/([^/?]+)"") &amp; """""","""),"""pahmlghhaoabdlhnkmmjbkcmdamjccjj"",")</f>
        <v>"pahmlghhaoabdlhnkmmjbkcmdamjccjj",</v>
      </c>
    </row>
    <row r="6814">
      <c r="A6814" s="4" t="s">
        <v>25993</v>
      </c>
      <c r="B6814" s="4" t="s">
        <v>13559</v>
      </c>
      <c r="C6814" s="16" t="str">
        <f>IFERROR(__xludf.DUMMYFUNCTION(""""""""" &amp; REGEXEXTRACT(B6814, ""/detail/([^/?]+)"") &amp; """""","""),"""paibejibkjomgdecgblgfkoobjjoakom"",")</f>
        <v>"paibejibkjomgdecgblgfkoobjjoakom",</v>
      </c>
    </row>
    <row r="6815">
      <c r="A6815" s="4" t="s">
        <v>25994</v>
      </c>
      <c r="B6815" s="4" t="s">
        <v>13561</v>
      </c>
      <c r="C6815" s="16" t="str">
        <f>IFERROR(__xludf.DUMMYFUNCTION(""""""""" &amp; REGEXEXTRACT(B6815, ""/detail/([^/?]+)"") &amp; """""","""),"""pakngoacmndjaomplokegbepmohpfofb"",")</f>
        <v>"pakngoacmndjaomplokegbepmohpfofb",</v>
      </c>
    </row>
    <row r="6816">
      <c r="A6816" s="4" t="s">
        <v>25995</v>
      </c>
      <c r="B6816" s="4" t="s">
        <v>13563</v>
      </c>
      <c r="C6816" s="16" t="str">
        <f>IFERROR(__xludf.DUMMYFUNCTION(""""""""" &amp; REGEXEXTRACT(B6816, ""/detail/([^/?]+)"") &amp; """""","""),"""papngdkchffiibikcambipaainahiaag"",")</f>
        <v>"papngdkchffiibikcambipaainahiaag",</v>
      </c>
    </row>
    <row r="6817">
      <c r="A6817" s="10" t="s">
        <v>25996</v>
      </c>
      <c r="B6817" s="4" t="s">
        <v>13565</v>
      </c>
      <c r="C6817" s="16" t="str">
        <f>IFERROR(__xludf.DUMMYFUNCTION(""""""""" &amp; REGEXEXTRACT(B6817, ""/detail/([^/?]+)"") &amp; """""","""),"""pbamggcaifokmlmfikeajinpppkicfne"",")</f>
        <v>"pbamggcaifokmlmfikeajinpppkicfne",</v>
      </c>
    </row>
    <row r="6818">
      <c r="A6818" s="4" t="s">
        <v>25997</v>
      </c>
      <c r="B6818" s="4" t="s">
        <v>13567</v>
      </c>
      <c r="C6818" s="16" t="str">
        <f>IFERROR(__xludf.DUMMYFUNCTION(""""""""" &amp; REGEXEXTRACT(B6818, ""/detail/([^/?]+)"") &amp; """""","""),"""pbbcgecjmpkglppfjjggkkbhdnlemhkg"",")</f>
        <v>"pbbcgecjmpkglppfjjggkkbhdnlemhkg",</v>
      </c>
    </row>
    <row r="6819">
      <c r="A6819" s="4" t="s">
        <v>25998</v>
      </c>
      <c r="B6819" s="4" t="s">
        <v>13569</v>
      </c>
      <c r="C6819" s="16" t="str">
        <f>IFERROR(__xludf.DUMMYFUNCTION(""""""""" &amp; REGEXEXTRACT(B6819, ""/detail/([^/?]+)"") &amp; """""","""),"""pbeiaielhjhfdpnonbbincehnanaehon"",")</f>
        <v>"pbeiaielhjhfdpnonbbincehnanaehon",</v>
      </c>
    </row>
    <row r="6820">
      <c r="A6820" s="4" t="s">
        <v>25999</v>
      </c>
      <c r="B6820" s="4" t="s">
        <v>13571</v>
      </c>
      <c r="C6820" s="16" t="str">
        <f>IFERROR(__xludf.DUMMYFUNCTION(""""""""" &amp; REGEXEXTRACT(B6820, ""/detail/([^/?]+)"") &amp; """""","""),"""pbfglldccjgbialkaabgogdjgpkjikgl"",")</f>
        <v>"pbfglldccjgbialkaabgogdjgpkjikgl",</v>
      </c>
    </row>
    <row r="6821">
      <c r="A6821" s="4" t="s">
        <v>26000</v>
      </c>
      <c r="B6821" s="4" t="s">
        <v>13573</v>
      </c>
      <c r="C6821" s="16" t="str">
        <f>IFERROR(__xludf.DUMMYFUNCTION(""""""""" &amp; REGEXEXTRACT(B6821, ""/detail/([^/?]+)"") &amp; """""","""),"""pbhfkcipafbmbcdgpcijmdhbogikmhie"",")</f>
        <v>"pbhfkcipafbmbcdgpcijmdhbogikmhie",</v>
      </c>
    </row>
    <row r="6822">
      <c r="A6822" s="4" t="s">
        <v>26001</v>
      </c>
      <c r="B6822" s="4" t="s">
        <v>13575</v>
      </c>
      <c r="C6822" s="16" t="str">
        <f>IFERROR(__xludf.DUMMYFUNCTION(""""""""" &amp; REGEXEXTRACT(B6822, ""/detail/([^/?]+)"") &amp; """""","""),"""pbjkhpopkeemapfmncbmpleaecapdbfg"",")</f>
        <v>"pbjkhpopkeemapfmncbmpleaecapdbfg",</v>
      </c>
    </row>
    <row r="6823">
      <c r="A6823" s="4" t="s">
        <v>26002</v>
      </c>
      <c r="B6823" s="4" t="s">
        <v>13577</v>
      </c>
      <c r="C6823" s="16" t="str">
        <f>IFERROR(__xludf.DUMMYFUNCTION(""""""""" &amp; REGEXEXTRACT(B6823, ""/detail/([^/?]+)"") &amp; """""","""),"""pblodagimcngmkbdjcaphmjbjlnhicnj"",")</f>
        <v>"pblodagimcngmkbdjcaphmjbjlnhicnj",</v>
      </c>
    </row>
    <row r="6824">
      <c r="A6824" s="4" t="s">
        <v>26003</v>
      </c>
      <c r="B6824" s="4" t="s">
        <v>13579</v>
      </c>
      <c r="C6824" s="16" t="str">
        <f>IFERROR(__xludf.DUMMYFUNCTION(""""""""" &amp; REGEXEXTRACT(B6824, ""/detail/([^/?]+)"") &amp; """""","""),"""pbmcfhlhkcilffifjkgegfjiegmmjgpo"",")</f>
        <v>"pbmcfhlhkcilffifjkgegfjiegmmjgpo",</v>
      </c>
    </row>
    <row r="6825">
      <c r="A6825" s="4" t="s">
        <v>26004</v>
      </c>
      <c r="B6825" s="4" t="s">
        <v>13581</v>
      </c>
      <c r="C6825" s="16" t="str">
        <f>IFERROR(__xludf.DUMMYFUNCTION(""""""""" &amp; REGEXEXTRACT(B6825, ""/detail/([^/?]+)"") &amp; """""","""),"""pbmjkffahpajakjapejldcehlngihmhp"",")</f>
        <v>"pbmjkffahpajakjapejldcehlngihmhp",</v>
      </c>
    </row>
    <row r="6826">
      <c r="A6826" s="4" t="s">
        <v>26005</v>
      </c>
      <c r="B6826" s="4" t="s">
        <v>13583</v>
      </c>
      <c r="C6826" s="16" t="str">
        <f>IFERROR(__xludf.DUMMYFUNCTION(""""""""" &amp; REGEXEXTRACT(B6826, ""/detail/([^/?]+)"") &amp; """""","""),"""pbnhojipeihlneembpdpaniddioobbib"",")</f>
        <v>"pbnhojipeihlneembpdpaniddioobbib",</v>
      </c>
    </row>
    <row r="6827">
      <c r="A6827" s="4" t="s">
        <v>26006</v>
      </c>
      <c r="B6827" s="4" t="s">
        <v>13585</v>
      </c>
      <c r="C6827" s="16" t="str">
        <f>IFERROR(__xludf.DUMMYFUNCTION(""""""""" &amp; REGEXEXTRACT(B6827, ""/detail/([^/?]+)"") &amp; """""","""),"""pccplfjdogpbnndhjjbbajhjmaihkcip"",")</f>
        <v>"pccplfjdogpbnndhjjbbajhjmaihkcip",</v>
      </c>
    </row>
    <row r="6828">
      <c r="A6828" s="4" t="s">
        <v>26007</v>
      </c>
      <c r="B6828" s="4" t="s">
        <v>13587</v>
      </c>
      <c r="C6828" s="16" t="str">
        <f>IFERROR(__xludf.DUMMYFUNCTION(""""""""" &amp; REGEXEXTRACT(B6828, ""/detail/([^/?]+)"") &amp; """""","""),"""pcejknpebeeppjgnmojbbdieidhcbbej"",")</f>
        <v>"pcejknpebeeppjgnmojbbdieidhcbbej",</v>
      </c>
    </row>
    <row r="6829">
      <c r="A6829" s="4" t="s">
        <v>26008</v>
      </c>
      <c r="B6829" s="4" t="s">
        <v>13589</v>
      </c>
      <c r="C6829" s="16" t="str">
        <f>IFERROR(__xludf.DUMMYFUNCTION(""""""""" &amp; REGEXEXTRACT(B6829, ""/detail/([^/?]+)"") &amp; """""","""),"""pcejpbljkjnljdjckjclmeoekieilokj"",")</f>
        <v>"pcejpbljkjnljdjckjclmeoekieilokj",</v>
      </c>
    </row>
    <row r="6830">
      <c r="A6830" s="4" t="s">
        <v>26009</v>
      </c>
      <c r="B6830" s="4" t="s">
        <v>13591</v>
      </c>
      <c r="C6830" s="16" t="str">
        <f>IFERROR(__xludf.DUMMYFUNCTION(""""""""" &amp; REGEXEXTRACT(B6830, ""/detail/([^/?]+)"") &amp; """""","""),"""pcfedgjdgkacloiabdlghochjfmnalck"",")</f>
        <v>"pcfedgjdgkacloiabdlghochjfmnalck",</v>
      </c>
    </row>
    <row r="6831">
      <c r="A6831" s="4" t="s">
        <v>26010</v>
      </c>
      <c r="B6831" s="4" t="s">
        <v>13593</v>
      </c>
      <c r="C6831" s="16" t="str">
        <f>IFERROR(__xludf.DUMMYFUNCTION(""""""""" &amp; REGEXEXTRACT(B6831, ""/detail/([^/?]+)"") &amp; """""","""),"""pcjkjppejpfepcigccchnemjpmmimijm"",")</f>
        <v>"pcjkjppejpfepcigccchnemjpmmimijm",</v>
      </c>
    </row>
    <row r="6832">
      <c r="A6832" s="4" t="s">
        <v>26011</v>
      </c>
      <c r="B6832" s="4" t="s">
        <v>13595</v>
      </c>
      <c r="C6832" s="16" t="str">
        <f>IFERROR(__xludf.DUMMYFUNCTION(""""""""" &amp; REGEXEXTRACT(B6832, ""/detail/([^/?]+)"") &amp; """""","""),"""pcoghfbplcjhdlljbjihcfdgnglondoc"",")</f>
        <v>"pcoghfbplcjhdlljbjihcfdgnglondoc",</v>
      </c>
    </row>
    <row r="6833">
      <c r="A6833" s="4" t="s">
        <v>26012</v>
      </c>
      <c r="B6833" s="4" t="s">
        <v>13597</v>
      </c>
      <c r="C6833" s="16" t="str">
        <f>IFERROR(__xludf.DUMMYFUNCTION(""""""""" &amp; REGEXEXTRACT(B6833, ""/detail/([^/?]+)"") &amp; """""","""),"""pddbkjjdhnmhmdeoaodeggedmebdhcgp"",")</f>
        <v>"pddbkjjdhnmhmdeoaodeggedmebdhcgp",</v>
      </c>
    </row>
    <row r="6834">
      <c r="A6834" s="4" t="s">
        <v>26013</v>
      </c>
      <c r="B6834" s="4" t="s">
        <v>13599</v>
      </c>
      <c r="C6834" s="16" t="str">
        <f>IFERROR(__xludf.DUMMYFUNCTION(""""""""" &amp; REGEXEXTRACT(B6834, ""/detail/([^/?]+)"") &amp; """""","""),"""pdefblacohipeefbmebhalgjickekjnp"",")</f>
        <v>"pdefblacohipeefbmebhalgjickekjnp",</v>
      </c>
    </row>
    <row r="6835">
      <c r="A6835" s="4" t="s">
        <v>26014</v>
      </c>
      <c r="B6835" s="4" t="s">
        <v>13601</v>
      </c>
      <c r="C6835" s="16" t="str">
        <f>IFERROR(__xludf.DUMMYFUNCTION(""""""""" &amp; REGEXEXTRACT(B6835, ""/detail/([^/?]+)"") &amp; """""","""),"""pdehepohihkkmeclfnlnipieffkomajc"",")</f>
        <v>"pdehepohihkkmeclfnlnipieffkomajc",</v>
      </c>
    </row>
    <row r="6836">
      <c r="A6836" s="4" t="s">
        <v>26015</v>
      </c>
      <c r="B6836" s="4" t="s">
        <v>13603</v>
      </c>
      <c r="C6836" s="16" t="str">
        <f>IFERROR(__xludf.DUMMYFUNCTION(""""""""" &amp; REGEXEXTRACT(B6836, ""/detail/([^/?]+)"") &amp; """""","""),"""pdfepgdcmifhbmldcofnkmnbabamjdnm"",")</f>
        <v>"pdfepgdcmifhbmldcofnkmnbabamjdnm",</v>
      </c>
    </row>
    <row r="6837">
      <c r="A6837" s="4" t="s">
        <v>26016</v>
      </c>
      <c r="B6837" s="4" t="s">
        <v>13605</v>
      </c>
      <c r="C6837" s="16" t="str">
        <f>IFERROR(__xludf.DUMMYFUNCTION(""""""""" &amp; REGEXEXTRACT(B6837, ""/detail/([^/?]+)"") &amp; """""","""),"""pdfkhgdhohjkogfppjjfbbkdenabhglp"",")</f>
        <v>"pdfkhgdhohjkogfppjjfbbkdenabhglp",</v>
      </c>
    </row>
    <row r="6838">
      <c r="A6838" s="4" t="s">
        <v>26017</v>
      </c>
      <c r="B6838" s="4" t="s">
        <v>13607</v>
      </c>
      <c r="C6838" s="16" t="str">
        <f>IFERROR(__xludf.DUMMYFUNCTION(""""""""" &amp; REGEXEXTRACT(B6838, ""/detail/([^/?]+)"") &amp; """""","""),"""pdhedahnmicgeobhejclpbogemgkfpdo"",")</f>
        <v>"pdhedahnmicgeobhejclpbogemgkfpdo",</v>
      </c>
    </row>
    <row r="6839">
      <c r="A6839" s="4" t="s">
        <v>26018</v>
      </c>
      <c r="B6839" s="4" t="s">
        <v>13609</v>
      </c>
      <c r="C6839" s="16" t="str">
        <f>IFERROR(__xludf.DUMMYFUNCTION(""""""""" &amp; REGEXEXTRACT(B6839, ""/detail/([^/?]+)"") &amp; """""","""),"""pdmgnoogmgjalmocjinpaedbiffbjoim"",")</f>
        <v>"pdmgnoogmgjalmocjinpaedbiffbjoim",</v>
      </c>
    </row>
    <row r="6840">
      <c r="A6840" s="4" t="s">
        <v>26019</v>
      </c>
      <c r="B6840" s="4" t="s">
        <v>13611</v>
      </c>
      <c r="C6840" s="16" t="str">
        <f>IFERROR(__xludf.DUMMYFUNCTION(""""""""" &amp; REGEXEXTRACT(B6840, ""/detail/([^/?]+)"") &amp; """""","""),"""pdnepfgkpdeanbbjokeimphnkhimiobi"",")</f>
        <v>"pdnepfgkpdeanbbjokeimphnkhimiobi",</v>
      </c>
    </row>
    <row r="6841">
      <c r="A6841" s="4" t="s">
        <v>26020</v>
      </c>
      <c r="B6841" s="4" t="s">
        <v>13613</v>
      </c>
      <c r="C6841" s="16" t="str">
        <f>IFERROR(__xludf.DUMMYFUNCTION(""""""""" &amp; REGEXEXTRACT(B6841, ""/detail/([^/?]+)"") &amp; """""","""),"""pdpbfanllabhbledlnemlnmchfeheljp"",")</f>
        <v>"pdpbfanllabhbledlnemlnmchfeheljp",</v>
      </c>
    </row>
    <row r="6842">
      <c r="A6842" s="4" t="s">
        <v>26021</v>
      </c>
      <c r="B6842" s="4" t="s">
        <v>13615</v>
      </c>
      <c r="C6842" s="16" t="str">
        <f>IFERROR(__xludf.DUMMYFUNCTION(""""""""" &amp; REGEXEXTRACT(B6842, ""/detail/([^/?]+)"") &amp; """""","""),"""peblgjafllfpndniijaemianngmokbcf"",")</f>
        <v>"peblgjafllfpndniijaemianngmokbcf",</v>
      </c>
    </row>
    <row r="6843">
      <c r="A6843" s="4" t="s">
        <v>26022</v>
      </c>
      <c r="B6843" s="4" t="s">
        <v>13617</v>
      </c>
      <c r="C6843" s="16" t="str">
        <f>IFERROR(__xludf.DUMMYFUNCTION(""""""""" &amp; REGEXEXTRACT(B6843, ""/detail/([^/?]+)"") &amp; """""","""),"""pebnbbhfnlmonnpbnbkmjfffmngddnbg"",")</f>
        <v>"pebnbbhfnlmonnpbnbkmjfffmngddnbg",</v>
      </c>
    </row>
    <row r="6844">
      <c r="A6844" s="4" t="s">
        <v>26023</v>
      </c>
      <c r="B6844" s="4" t="s">
        <v>13619</v>
      </c>
      <c r="C6844" s="16" t="str">
        <f>IFERROR(__xludf.DUMMYFUNCTION(""""""""" &amp; REGEXEXTRACT(B6844, ""/detail/([^/?]+)"") &amp; """""","""),"""pecalkbdlhhhcoenmcjnmhgnncnkdgak"",")</f>
        <v>"pecalkbdlhhhcoenmcjnmhgnncnkdgak",</v>
      </c>
    </row>
    <row r="6845">
      <c r="A6845" s="4" t="s">
        <v>26024</v>
      </c>
      <c r="B6845" s="4" t="s">
        <v>13621</v>
      </c>
      <c r="C6845" s="16" t="str">
        <f>IFERROR(__xludf.DUMMYFUNCTION(""""""""" &amp; REGEXEXTRACT(B6845, ""/detail/([^/?]+)"") &amp; """""","""),"""pecdkhjikgejgnlpccgmghcnalkggjaj"",")</f>
        <v>"pecdkhjikgejgnlpccgmghcnalkggjaj",</v>
      </c>
    </row>
    <row r="6846">
      <c r="A6846" s="4" t="s">
        <v>26025</v>
      </c>
      <c r="B6846" s="4" t="s">
        <v>13623</v>
      </c>
      <c r="C6846" s="16" t="str">
        <f>IFERROR(__xludf.DUMMYFUNCTION(""""""""" &amp; REGEXEXTRACT(B6846, ""/detail/([^/?]+)"") &amp; """""","""),"""pecipdapigjbjmnkfahjlgnfcajpajhh"",")</f>
        <v>"pecipdapigjbjmnkfahjlgnfcajpajhh",</v>
      </c>
    </row>
    <row r="6847">
      <c r="A6847" s="4" t="s">
        <v>26026</v>
      </c>
      <c r="B6847" s="4" t="s">
        <v>13625</v>
      </c>
      <c r="C6847" s="16" t="str">
        <f>IFERROR(__xludf.DUMMYFUNCTION(""""""""" &amp; REGEXEXTRACT(B6847, ""/detail/([^/?]+)"") &amp; """""","""),"""peeecebkcdlibcfllbpmmkhggflcppem"",")</f>
        <v>"peeecebkcdlibcfllbpmmkhggflcppem",</v>
      </c>
    </row>
    <row r="6848">
      <c r="A6848" s="4" t="s">
        <v>26027</v>
      </c>
      <c r="B6848" s="4" t="s">
        <v>13627</v>
      </c>
      <c r="C6848" s="16" t="str">
        <f>IFERROR(__xludf.DUMMYFUNCTION(""""""""" &amp; REGEXEXTRACT(B6848, ""/detail/([^/?]+)"") &amp; """""","""),"""peiccgabhfbgoenlbkahabimlgppnpef"",")</f>
        <v>"peiccgabhfbgoenlbkahabimlgppnpef",</v>
      </c>
    </row>
    <row r="6849">
      <c r="A6849" s="4" t="s">
        <v>26028</v>
      </c>
      <c r="B6849" s="4" t="s">
        <v>13629</v>
      </c>
      <c r="C6849" s="16" t="str">
        <f>IFERROR(__xludf.DUMMYFUNCTION(""""""""" &amp; REGEXEXTRACT(B6849, ""/detail/([^/?]+)"") &amp; """""","""),"""pekhngokoehglkdkciedpimjddpbkcod"",")</f>
        <v>"pekhngokoehglkdkciedpimjddpbkcod",</v>
      </c>
    </row>
    <row r="6850">
      <c r="A6850" s="4" t="s">
        <v>26029</v>
      </c>
      <c r="B6850" s="4" t="s">
        <v>13631</v>
      </c>
      <c r="C6850" s="16" t="str">
        <f>IFERROR(__xludf.DUMMYFUNCTION(""""""""" &amp; REGEXEXTRACT(B6850, ""/detail/([^/?]+)"") &amp; """""","""),"""pembnoempgcaclgebonodhljchdmbjhf"",")</f>
        <v>"pembnoempgcaclgebonodhljchdmbjhf",</v>
      </c>
    </row>
    <row r="6851">
      <c r="A6851" s="4" t="s">
        <v>26030</v>
      </c>
      <c r="B6851" s="4" t="s">
        <v>13633</v>
      </c>
      <c r="C6851" s="16" t="str">
        <f>IFERROR(__xludf.DUMMYFUNCTION(""""""""" &amp; REGEXEXTRACT(B6851, ""/detail/([^/?]+)"") &amp; """""","""),"""pemfglellcddffnkdbfjkkpnanhlhipl"",")</f>
        <v>"pemfglellcddffnkdbfjkkpnanhlhipl",</v>
      </c>
    </row>
    <row r="6852">
      <c r="A6852" s="4" t="s">
        <v>26031</v>
      </c>
      <c r="B6852" s="4" t="s">
        <v>13635</v>
      </c>
      <c r="C6852" s="16" t="str">
        <f>IFERROR(__xludf.DUMMYFUNCTION(""""""""" &amp; REGEXEXTRACT(B6852, ""/detail/([^/?]+)"") &amp; """""","""),"""pemnnphikkocdjjchdakacbhbfidoocb"",")</f>
        <v>"pemnnphikkocdjjchdakacbhbfidoocb",</v>
      </c>
    </row>
    <row r="6853">
      <c r="A6853" s="4" t="s">
        <v>26032</v>
      </c>
      <c r="B6853" s="4" t="s">
        <v>13637</v>
      </c>
      <c r="C6853" s="16" t="str">
        <f>IFERROR(__xludf.DUMMYFUNCTION(""""""""" &amp; REGEXEXTRACT(B6853, ""/detail/([^/?]+)"") &amp; """""","""),"""peoghobgdhejhcmgoppjpjcidngdfkod"",")</f>
        <v>"peoghobgdhejhcmgoppjpjcidngdfkod",</v>
      </c>
    </row>
    <row r="6854">
      <c r="A6854" s="4" t="s">
        <v>26033</v>
      </c>
      <c r="B6854" s="4" t="s">
        <v>13639</v>
      </c>
      <c r="C6854" s="16" t="str">
        <f>IFERROR(__xludf.DUMMYFUNCTION(""""""""" &amp; REGEXEXTRACT(B6854, ""/detail/([^/?]+)"") &amp; """""","""),"""peoobhfbcfgilemdgnbkbjldedfgpffk"",")</f>
        <v>"peoobhfbcfgilemdgnbkbjldedfgpffk",</v>
      </c>
    </row>
    <row r="6855">
      <c r="A6855" s="4" t="s">
        <v>26034</v>
      </c>
      <c r="B6855" s="4" t="s">
        <v>13641</v>
      </c>
      <c r="C6855" s="16" t="str">
        <f>IFERROR(__xludf.DUMMYFUNCTION(""""""""" &amp; REGEXEXTRACT(B6855, ""/detail/([^/?]+)"") &amp; """""","""),"""pepbogfgohpfngkncedakaegddjneapm"",")</f>
        <v>"pepbogfgohpfngkncedakaegddjneapm",</v>
      </c>
    </row>
    <row r="6856">
      <c r="A6856" s="4" t="s">
        <v>26035</v>
      </c>
      <c r="B6856" s="4" t="s">
        <v>13643</v>
      </c>
      <c r="C6856" s="16" t="str">
        <f>IFERROR(__xludf.DUMMYFUNCTION(""""""""" &amp; REGEXEXTRACT(B6856, ""/detail/([^/?]+)"") &amp; """""","""),"""pfahpnenjpaanicmlpkdfliemipjhjic"",")</f>
        <v>"pfahpnenjpaanicmlpkdfliemipjhjic",</v>
      </c>
    </row>
    <row r="6857">
      <c r="A6857" s="4" t="s">
        <v>26036</v>
      </c>
      <c r="B6857" s="4" t="s">
        <v>13645</v>
      </c>
      <c r="C6857" s="16" t="str">
        <f>IFERROR(__xludf.DUMMYFUNCTION(""""""""" &amp; REGEXEXTRACT(B6857, ""/detail/([^/?]+)"") &amp; """""","""),"""pfbdkdnlimiidmpnmknkfhbgpbiodohi"",")</f>
        <v>"pfbdkdnlimiidmpnmknkfhbgpbiodohi",</v>
      </c>
    </row>
    <row r="6858">
      <c r="A6858" s="4" t="s">
        <v>26037</v>
      </c>
      <c r="B6858" s="4" t="s">
        <v>13647</v>
      </c>
      <c r="C6858" s="16" t="str">
        <f>IFERROR(__xludf.DUMMYFUNCTION(""""""""" &amp; REGEXEXTRACT(B6858, ""/detail/([^/?]+)"") &amp; """""","""),"""pfbllafiigecogfbbbjiflafkbhgjceo"",")</f>
        <v>"pfbllafiigecogfbbbjiflafkbhgjceo",</v>
      </c>
    </row>
    <row r="6859">
      <c r="A6859" s="4" t="s">
        <v>26038</v>
      </c>
      <c r="B6859" s="4" t="s">
        <v>13649</v>
      </c>
      <c r="C6859" s="16" t="str">
        <f>IFERROR(__xludf.DUMMYFUNCTION(""""""""" &amp; REGEXEXTRACT(B6859, ""/detail/([^/?]+)"") &amp; """""","""),"""pfdiljjcookjofjbjnbnkgfnfmnoljmk"",")</f>
        <v>"pfdiljjcookjofjbjnbnkgfnfmnoljmk",</v>
      </c>
    </row>
    <row r="6860">
      <c r="A6860" s="4" t="s">
        <v>26039</v>
      </c>
      <c r="B6860" s="4" t="s">
        <v>13651</v>
      </c>
      <c r="C6860" s="16" t="str">
        <f>IFERROR(__xludf.DUMMYFUNCTION(""""""""" &amp; REGEXEXTRACT(B6860, ""/detail/([^/?]+)"") &amp; """""","""),"""pfehnkdhcjjppkmdbpgofopjpchlknmo"",")</f>
        <v>"pfehnkdhcjjppkmdbpgofopjpchlknmo",</v>
      </c>
    </row>
    <row r="6861">
      <c r="A6861" s="4" t="s">
        <v>26040</v>
      </c>
      <c r="B6861" s="4" t="s">
        <v>13653</v>
      </c>
      <c r="C6861" s="16" t="str">
        <f>IFERROR(__xludf.DUMMYFUNCTION(""""""""" &amp; REGEXEXTRACT(B6861, ""/detail/([^/?]+)"") &amp; """""","""),"""pffidaimjkjobklpjdkgahhjbnmajpan"",")</f>
        <v>"pffidaimjkjobklpjdkgahhjbnmajpan",</v>
      </c>
    </row>
    <row r="6862">
      <c r="A6862" s="4" t="s">
        <v>26041</v>
      </c>
      <c r="B6862" s="4" t="s">
        <v>13655</v>
      </c>
      <c r="C6862" s="16" t="str">
        <f>IFERROR(__xludf.DUMMYFUNCTION(""""""""" &amp; REGEXEXTRACT(B6862, ""/detail/([^/?]+)"") &amp; """""","""),"""pfhndgndaihlfcloapnhkchefgojdild"",")</f>
        <v>"pfhndgndaihlfcloapnhkchefgojdild",</v>
      </c>
    </row>
    <row r="6863">
      <c r="A6863" s="4" t="s">
        <v>26042</v>
      </c>
      <c r="B6863" s="4" t="s">
        <v>13657</v>
      </c>
      <c r="C6863" s="16" t="str">
        <f>IFERROR(__xludf.DUMMYFUNCTION(""""""""" &amp; REGEXEXTRACT(B6863, ""/detail/([^/?]+)"") &amp; """""","""),"""pfmnahfcceibpccjkgnohmijjajadjgp"",")</f>
        <v>"pfmnahfcceibpccjkgnohmijjajadjgp",</v>
      </c>
    </row>
    <row r="6864">
      <c r="A6864" s="4" t="s">
        <v>26043</v>
      </c>
      <c r="B6864" s="4" t="s">
        <v>13659</v>
      </c>
      <c r="C6864" s="16" t="str">
        <f>IFERROR(__xludf.DUMMYFUNCTION(""""""""" &amp; REGEXEXTRACT(B6864, ""/detail/([^/?]+)"") &amp; """""","""),"""pfnkggfkmkodnccnfphcogpolpmlanke"",")</f>
        <v>"pfnkggfkmkodnccnfphcogpolpmlanke",</v>
      </c>
    </row>
    <row r="6865">
      <c r="A6865" s="4" t="s">
        <v>26044</v>
      </c>
      <c r="B6865" s="4" t="s">
        <v>13661</v>
      </c>
      <c r="C6865" s="16" t="str">
        <f>IFERROR(__xludf.DUMMYFUNCTION(""""""""" &amp; REGEXEXTRACT(B6865, ""/detail/([^/?]+)"") &amp; """""","""),"""pfnlengicohogdjcldalmpmdnaecndhf"",")</f>
        <v>"pfnlengicohogdjcldalmpmdnaecndhf",</v>
      </c>
    </row>
    <row r="6866">
      <c r="A6866" s="4" t="s">
        <v>26045</v>
      </c>
      <c r="B6866" s="4" t="s">
        <v>13663</v>
      </c>
      <c r="C6866" s="16" t="str">
        <f>IFERROR(__xludf.DUMMYFUNCTION(""""""""" &amp; REGEXEXTRACT(B6866, ""/detail/([^/?]+)"") &amp; """""","""),"""pfpfeggklgmlblklkegjbbjobanfpnbe"",")</f>
        <v>"pfpfeggklgmlblklkegjbbjobanfpnbe",</v>
      </c>
    </row>
    <row r="6867">
      <c r="A6867" s="4" t="s">
        <v>26046</v>
      </c>
      <c r="B6867" s="4" t="s">
        <v>13665</v>
      </c>
      <c r="C6867" s="16" t="str">
        <f>IFERROR(__xludf.DUMMYFUNCTION(""""""""" &amp; REGEXEXTRACT(B6867, ""/detail/([^/?]+)"") &amp; """""","""),"""pgcoonmbehcdmlddodjejedplihglojl"",")</f>
        <v>"pgcoonmbehcdmlddodjejedplihglojl",</v>
      </c>
    </row>
    <row r="6868">
      <c r="A6868" s="4" t="s">
        <v>26047</v>
      </c>
      <c r="B6868" s="4" t="s">
        <v>13667</v>
      </c>
      <c r="C6868" s="16" t="str">
        <f>IFERROR(__xludf.DUMMYFUNCTION(""""""""" &amp; REGEXEXTRACT(B6868, ""/detail/([^/?]+)"") &amp; """""","""),"""pghdabpagojegpfplckdbnlalpgidikc"",")</f>
        <v>"pghdabpagojegpfplckdbnlalpgidikc",</v>
      </c>
    </row>
    <row r="6869">
      <c r="A6869" s="4" t="s">
        <v>26048</v>
      </c>
      <c r="B6869" s="4" t="s">
        <v>13669</v>
      </c>
      <c r="C6869" s="16" t="str">
        <f>IFERROR(__xludf.DUMMYFUNCTION(""""""""" &amp; REGEXEXTRACT(B6869, ""/detail/([^/?]+)"") &amp; """""","""),"""pghfoglbgdeknkjcmilhkidfdkgenfdi"",")</f>
        <v>"pghfoglbgdeknkjcmilhkidfdkgenfdi",</v>
      </c>
    </row>
    <row r="6870">
      <c r="A6870" s="4" t="s">
        <v>26049</v>
      </c>
      <c r="B6870" s="4" t="s">
        <v>13671</v>
      </c>
      <c r="C6870" s="16" t="str">
        <f>IFERROR(__xludf.DUMMYFUNCTION(""""""""" &amp; REGEXEXTRACT(B6870, ""/detail/([^/?]+)"") &amp; """""","""),"""pghhaihcmffdmndjcagdgogjockdnaao"",")</f>
        <v>"pghhaihcmffdmndjcagdgogjockdnaao",</v>
      </c>
    </row>
    <row r="6871">
      <c r="A6871" s="4" t="s">
        <v>26050</v>
      </c>
      <c r="B6871" s="4" t="s">
        <v>13673</v>
      </c>
      <c r="C6871" s="16" t="str">
        <f>IFERROR(__xludf.DUMMYFUNCTION(""""""""" &amp; REGEXEXTRACT(B6871, ""/detail/([^/?]+)"") &amp; """""","""),"""pgjlemoacllebidgpchfhdgeifkmbigi"",")</f>
        <v>"pgjlemoacllebidgpchfhdgeifkmbigi",</v>
      </c>
    </row>
    <row r="6872">
      <c r="A6872" s="4" t="s">
        <v>26051</v>
      </c>
      <c r="B6872" s="4" t="s">
        <v>13675</v>
      </c>
      <c r="C6872" s="16" t="str">
        <f>IFERROR(__xludf.DUMMYFUNCTION(""""""""" &amp; REGEXEXTRACT(B6872, ""/detail/([^/?]+)"") &amp; """""","""),"""pglhkpcfkalkpckfbdpngbaigmklcfmc"",")</f>
        <v>"pglhkpcfkalkpckfbdpngbaigmklcfmc",</v>
      </c>
    </row>
    <row r="6873">
      <c r="A6873" s="10" t="s">
        <v>26052</v>
      </c>
      <c r="B6873" s="4" t="s">
        <v>13677</v>
      </c>
      <c r="C6873" s="16" t="str">
        <f>IFERROR(__xludf.DUMMYFUNCTION(""""""""" &amp; REGEXEXTRACT(B6873, ""/detail/([^/?]+)"") &amp; """""","""),"""pgpjdkejablgneeocagbncanfihkebpf"",")</f>
        <v>"pgpjdkejablgneeocagbncanfihkebpf",</v>
      </c>
    </row>
    <row r="6874">
      <c r="A6874" s="4" t="s">
        <v>26053</v>
      </c>
      <c r="B6874" s="4" t="s">
        <v>13679</v>
      </c>
      <c r="C6874" s="16" t="str">
        <f>IFERROR(__xludf.DUMMYFUNCTION(""""""""" &amp; REGEXEXTRACT(B6874, ""/detail/([^/?]+)"") &amp; """""","""),"""phcgdpgoofnibfjcekphmdbjhkdfnkad"",")</f>
        <v>"phcgdpgoofnibfjcekphmdbjhkdfnkad",</v>
      </c>
    </row>
    <row r="6875">
      <c r="A6875" s="4" t="s">
        <v>26054</v>
      </c>
      <c r="B6875" s="4" t="s">
        <v>13681</v>
      </c>
      <c r="C6875" s="16" t="str">
        <f>IFERROR(__xludf.DUMMYFUNCTION(""""""""" &amp; REGEXEXTRACT(B6875, ""/detail/([^/?]+)"") &amp; """""","""),"""phcppmldknbkicjnjchgjbdbjjodoebi"",")</f>
        <v>"phcppmldknbkicjnjchgjbdbjjodoebi",</v>
      </c>
    </row>
    <row r="6876">
      <c r="A6876" s="4" t="s">
        <v>26055</v>
      </c>
      <c r="B6876" s="4" t="s">
        <v>13683</v>
      </c>
      <c r="C6876" s="16" t="str">
        <f>IFERROR(__xludf.DUMMYFUNCTION(""""""""" &amp; REGEXEXTRACT(B6876, ""/detail/([^/?]+)"") &amp; """""","""),"""phjkbonaifennbfpmieeipknnkhaoiaf"",")</f>
        <v>"phjkbonaifennbfpmieeipknnkhaoiaf",</v>
      </c>
    </row>
    <row r="6877">
      <c r="A6877" s="4" t="s">
        <v>26056</v>
      </c>
      <c r="B6877" s="4" t="s">
        <v>13685</v>
      </c>
      <c r="C6877" s="16" t="str">
        <f>IFERROR(__xludf.DUMMYFUNCTION(""""""""" &amp; REGEXEXTRACT(B6877, ""/detail/([^/?]+)"") &amp; """""","""),"""pibgjfhdkflakjlhghpgecpdojokglnn"",")</f>
        <v>"pibgjfhdkflakjlhghpgecpdojokglnn",</v>
      </c>
    </row>
    <row r="6878">
      <c r="A6878" s="4" t="s">
        <v>26057</v>
      </c>
      <c r="B6878" s="4" t="s">
        <v>13687</v>
      </c>
      <c r="C6878" s="16" t="str">
        <f>IFERROR(__xludf.DUMMYFUNCTION(""""""""" &amp; REGEXEXTRACT(B6878, ""/detail/([^/?]+)"") &amp; """""","""),"""piebfhjfnpgckpegengbagbhnokbflnc"",")</f>
        <v>"piebfhjfnpgckpegengbagbhnokbflnc",</v>
      </c>
    </row>
    <row r="6879">
      <c r="A6879" s="4" t="s">
        <v>26058</v>
      </c>
      <c r="B6879" s="4" t="s">
        <v>13689</v>
      </c>
      <c r="C6879" s="16" t="str">
        <f>IFERROR(__xludf.DUMMYFUNCTION(""""""""" &amp; REGEXEXTRACT(B6879, ""/detail/([^/?]+)"") &amp; """""","""),"""piekceemifgeaigkimahdckfcikpmleh"",")</f>
        <v>"piekceemifgeaigkimahdckfcikpmleh",</v>
      </c>
    </row>
    <row r="6880">
      <c r="A6880" s="4" t="s">
        <v>26059</v>
      </c>
      <c r="B6880" s="4" t="s">
        <v>13691</v>
      </c>
      <c r="C6880" s="16" t="str">
        <f>IFERROR(__xludf.DUMMYFUNCTION(""""""""" &amp; REGEXEXTRACT(B6880, ""/detail/([^/?]+)"") &amp; """""","""),"""piglojnbanllileneaadnnbomcijnbdp"",")</f>
        <v>"piglojnbanllileneaadnnbomcijnbdp",</v>
      </c>
    </row>
    <row r="6881">
      <c r="A6881" s="4" t="s">
        <v>26060</v>
      </c>
      <c r="B6881" s="4" t="s">
        <v>13693</v>
      </c>
      <c r="C6881" s="16" t="str">
        <f>IFERROR(__xludf.DUMMYFUNCTION(""""""""" &amp; REGEXEXTRACT(B6881, ""/detail/([^/?]+)"") &amp; """""","""),"""pihfndpmcafdecheofkjfkadecoogigm"",")</f>
        <v>"pihfndpmcafdecheofkjfkadecoogigm",</v>
      </c>
    </row>
    <row r="6882">
      <c r="A6882" s="4" t="s">
        <v>26061</v>
      </c>
      <c r="B6882" s="4" t="s">
        <v>13695</v>
      </c>
      <c r="C6882" s="16" t="str">
        <f>IFERROR(__xludf.DUMMYFUNCTION(""""""""" &amp; REGEXEXTRACT(B6882, ""/detail/([^/?]+)"") &amp; """""","""),"""piihknpohlelblmabpalpmpogodcaljg"",")</f>
        <v>"piihknpohlelblmabpalpmpogodcaljg",</v>
      </c>
    </row>
    <row r="6883">
      <c r="A6883" s="4" t="s">
        <v>26062</v>
      </c>
      <c r="B6883" s="4" t="s">
        <v>13697</v>
      </c>
      <c r="C6883" s="16" t="str">
        <f>IFERROR(__xludf.DUMMYFUNCTION(""""""""" &amp; REGEXEXTRACT(B6883, ""/detail/([^/?]+)"") &amp; """""","""),"""pijacafkghdlolapcjpmiodgbnpinicn"",")</f>
        <v>"pijacafkghdlolapcjpmiodgbnpinicn",</v>
      </c>
    </row>
    <row r="6884">
      <c r="A6884" s="4" t="s">
        <v>26063</v>
      </c>
      <c r="B6884" s="4" t="s">
        <v>13699</v>
      </c>
      <c r="C6884" s="16" t="str">
        <f>IFERROR(__xludf.DUMMYFUNCTION(""""""""" &amp; REGEXEXTRACT(B6884, ""/detail/([^/?]+)"") &amp; """""","""),"""pijckmbelgildikgpkckhlooiooeanpl"",")</f>
        <v>"pijckmbelgildikgpkckhlooiooeanpl",</v>
      </c>
    </row>
    <row r="6885">
      <c r="A6885" s="4" t="s">
        <v>26064</v>
      </c>
      <c r="B6885" s="4" t="s">
        <v>13701</v>
      </c>
      <c r="C6885" s="16" t="str">
        <f>IFERROR(__xludf.DUMMYFUNCTION(""""""""" &amp; REGEXEXTRACT(B6885, ""/detail/([^/?]+)"") &amp; """""","""),"""pjfjhkcfkhbemnbpkakjhmboacefmjjl"",")</f>
        <v>"pjfjhkcfkhbemnbpkakjhmboacefmjjl",</v>
      </c>
    </row>
    <row r="6886">
      <c r="A6886" s="4" t="s">
        <v>26065</v>
      </c>
      <c r="B6886" s="4" t="s">
        <v>13703</v>
      </c>
      <c r="C6886" s="16" t="str">
        <f>IFERROR(__xludf.DUMMYFUNCTION(""""""""" &amp; REGEXEXTRACT(B6886, ""/detail/([^/?]+)"") &amp; """""","""),"""pjmmkidfflgolkfgcgpjhpdiimenoodn"",")</f>
        <v>"pjmmkidfflgolkfgcgpjhpdiimenoodn",</v>
      </c>
    </row>
    <row r="6887">
      <c r="A6887" s="4" t="s">
        <v>26066</v>
      </c>
      <c r="B6887" s="4" t="s">
        <v>13705</v>
      </c>
      <c r="C6887" s="16" t="str">
        <f>IFERROR(__xludf.DUMMYFUNCTION(""""""""" &amp; REGEXEXTRACT(B6887, ""/detail/([^/?]+)"") &amp; """""","""),"""pjogcfefhpolfclgebhfpambjlndbpek"",")</f>
        <v>"pjogcfefhpolfclgebhfpambjlndbpek",</v>
      </c>
    </row>
    <row r="6888">
      <c r="A6888" s="4" t="s">
        <v>26067</v>
      </c>
      <c r="B6888" s="4" t="s">
        <v>13707</v>
      </c>
      <c r="C6888" s="16" t="str">
        <f>IFERROR(__xludf.DUMMYFUNCTION(""""""""" &amp; REGEXEXTRACT(B6888, ""/detail/([^/?]+)"") &amp; """""","""),"""pjoipnocgklcnjhohaaeffemifmbnkho"",")</f>
        <v>"pjoipnocgklcnjhohaaeffemifmbnkho",</v>
      </c>
    </row>
    <row r="6889">
      <c r="A6889" s="4" t="s">
        <v>26068</v>
      </c>
      <c r="B6889" s="4" t="s">
        <v>13709</v>
      </c>
      <c r="C6889" s="16" t="str">
        <f>IFERROR(__xludf.DUMMYFUNCTION(""""""""" &amp; REGEXEXTRACT(B6889, ""/detail/([^/?]+)"") &amp; """""","""),"""pkaoiecplgdldkfihclpndbakokopjde"",")</f>
        <v>"pkaoiecplgdldkfihclpndbakokopjde",</v>
      </c>
    </row>
    <row r="6890">
      <c r="A6890" s="4" t="s">
        <v>26069</v>
      </c>
      <c r="B6890" s="4" t="s">
        <v>13711</v>
      </c>
      <c r="C6890" s="16" t="str">
        <f>IFERROR(__xludf.DUMMYFUNCTION(""""""""" &amp; REGEXEXTRACT(B6890, ""/detail/([^/?]+)"") &amp; """""","""),"""pkbafmmljafiakicginonlmhmobfeeeh"",")</f>
        <v>"pkbafmmljafiakicginonlmhmobfeeeh",</v>
      </c>
    </row>
    <row r="6891">
      <c r="A6891" s="4" t="s">
        <v>26070</v>
      </c>
      <c r="B6891" s="4" t="s">
        <v>13713</v>
      </c>
      <c r="C6891" s="16" t="str">
        <f>IFERROR(__xludf.DUMMYFUNCTION(""""""""" &amp; REGEXEXTRACT(B6891, ""/detail/([^/?]+)"") &amp; """""","""),"""pkbhkhbgdaamliaimlpdlhokkecoibka"",")</f>
        <v>"pkbhkhbgdaamliaimlpdlhokkecoibka",</v>
      </c>
    </row>
    <row r="6892">
      <c r="A6892" s="4" t="s">
        <v>26071</v>
      </c>
      <c r="B6892" s="4" t="s">
        <v>13715</v>
      </c>
      <c r="C6892" s="16" t="str">
        <f>IFERROR(__xludf.DUMMYFUNCTION(""""""""" &amp; REGEXEXTRACT(B6892, ""/detail/([^/?]+)"") &amp; """""","""),"""pkckpaaolokjkclbambhmcokaahignkc"",")</f>
        <v>"pkckpaaolokjkclbambhmcokaahignkc",</v>
      </c>
    </row>
    <row r="6893">
      <c r="A6893" s="4" t="s">
        <v>26072</v>
      </c>
      <c r="B6893" s="4" t="s">
        <v>13717</v>
      </c>
      <c r="C6893" s="16" t="str">
        <f>IFERROR(__xludf.DUMMYFUNCTION(""""""""" &amp; REGEXEXTRACT(B6893, ""/detail/([^/?]+)"") &amp; """""","""),"""pkidecliagangmpphpelecaoogfbnihi"",")</f>
        <v>"pkidecliagangmpphpelecaoogfbnihi",</v>
      </c>
    </row>
    <row r="6894">
      <c r="A6894" s="4" t="s">
        <v>26073</v>
      </c>
      <c r="B6894" s="4" t="s">
        <v>13719</v>
      </c>
      <c r="C6894" s="16" t="str">
        <f>IFERROR(__xludf.DUMMYFUNCTION(""""""""" &amp; REGEXEXTRACT(B6894, ""/detail/([^/?]+)"") &amp; """""","""),"""pkjgpdkpjnbjmnjdkbpdfdhlgbadhhol"",")</f>
        <v>"pkjgpdkpjnbjmnjdkbpdfdhlgbadhhol",</v>
      </c>
    </row>
    <row r="6895">
      <c r="A6895" s="4" t="s">
        <v>26074</v>
      </c>
      <c r="B6895" s="4" t="s">
        <v>13721</v>
      </c>
      <c r="C6895" s="16" t="str">
        <f>IFERROR(__xludf.DUMMYFUNCTION(""""""""" &amp; REGEXEXTRACT(B6895, ""/detail/([^/?]+)"") &amp; """""","""),"""pkklnaklcgpbepjfpdapabdmbhpjkgjp"",")</f>
        <v>"pkklnaklcgpbepjfpdapabdmbhpjkgjp",</v>
      </c>
    </row>
    <row r="6896">
      <c r="A6896" s="4" t="s">
        <v>26075</v>
      </c>
      <c r="B6896" s="4" t="s">
        <v>13723</v>
      </c>
      <c r="C6896" s="16" t="str">
        <f>IFERROR(__xludf.DUMMYFUNCTION(""""""""" &amp; REGEXEXTRACT(B6896, ""/detail/([^/?]+)"") &amp; """""","""),"""pklakpjfiegjacoppcodencchehlfnpd"",")</f>
        <v>"pklakpjfiegjacoppcodencchehlfnpd",</v>
      </c>
    </row>
    <row r="6897">
      <c r="A6897" s="4" t="s">
        <v>26076</v>
      </c>
      <c r="B6897" s="4" t="s">
        <v>13725</v>
      </c>
      <c r="C6897" s="16" t="str">
        <f>IFERROR(__xludf.DUMMYFUNCTION(""""""""" &amp; REGEXEXTRACT(B6897, ""/detail/([^/?]+)"") &amp; """""","""),"""pklnbjkiadglpemlgdaheegaehhlehlp"",")</f>
        <v>"pklnbjkiadglpemlgdaheegaehhlehlp",</v>
      </c>
    </row>
    <row r="6898">
      <c r="A6898" s="4" t="s">
        <v>26077</v>
      </c>
      <c r="B6898" s="4" t="s">
        <v>13727</v>
      </c>
      <c r="C6898" s="16" t="str">
        <f>IFERROR(__xludf.DUMMYFUNCTION(""""""""" &amp; REGEXEXTRACT(B6898, ""/detail/([^/?]+)"") &amp; """""","""),"""pkoehcnndieoekjpcdebhnpafbfmngce"",")</f>
        <v>"pkoehcnndieoekjpcdebhnpafbfmngce",</v>
      </c>
    </row>
    <row r="6899">
      <c r="A6899" s="4" t="s">
        <v>26078</v>
      </c>
      <c r="B6899" s="4" t="s">
        <v>13729</v>
      </c>
      <c r="C6899" s="16" t="str">
        <f>IFERROR(__xludf.DUMMYFUNCTION(""""""""" &amp; REGEXEXTRACT(B6899, ""/detail/([^/?]+)"") &amp; """""","""),"""pkomofdgjghnedcjkppnmccboacbodbp"",")</f>
        <v>"pkomofdgjghnedcjkppnmccboacbodbp",</v>
      </c>
    </row>
    <row r="6900">
      <c r="A6900" s="4" t="s">
        <v>26079</v>
      </c>
      <c r="B6900" s="4" t="s">
        <v>13731</v>
      </c>
      <c r="C6900" s="16" t="str">
        <f>IFERROR(__xludf.DUMMYFUNCTION(""""""""" &amp; REGEXEXTRACT(B6900, ""/detail/([^/?]+)"") &amp; """""","""),"""plebhjfgbokgojhikeoibipikgkclihp"",")</f>
        <v>"plebhjfgbokgojhikeoibipikgkclihp",</v>
      </c>
    </row>
    <row r="6901">
      <c r="A6901" s="4" t="s">
        <v>26080</v>
      </c>
      <c r="B6901" s="4" t="s">
        <v>13733</v>
      </c>
      <c r="C6901" s="16" t="str">
        <f>IFERROR(__xludf.DUMMYFUNCTION(""""""""" &amp; REGEXEXTRACT(B6901, ""/detail/([^/?]+)"") &amp; """""","""),"""pleijhempjpmjogomoabhibenbjekhlj"",")</f>
        <v>"pleijhempjpmjogomoabhibenbjekhlj",</v>
      </c>
    </row>
    <row r="6902">
      <c r="A6902" s="4" t="s">
        <v>26081</v>
      </c>
      <c r="B6902" s="4" t="s">
        <v>13735</v>
      </c>
      <c r="C6902" s="16" t="str">
        <f>IFERROR(__xludf.DUMMYFUNCTION(""""""""" &amp; REGEXEXTRACT(B6902, ""/detail/([^/?]+)"") &amp; """""","""),"""plfjbbakjphlkdpcdpodaedhicoaloph"",")</f>
        <v>"plfjbbakjphlkdpcdpodaedhicoaloph",</v>
      </c>
    </row>
    <row r="6903">
      <c r="A6903" s="4" t="s">
        <v>26082</v>
      </c>
      <c r="B6903" s="4" t="s">
        <v>13737</v>
      </c>
      <c r="C6903" s="16" t="str">
        <f>IFERROR(__xludf.DUMMYFUNCTION(""""""""" &amp; REGEXEXTRACT(B6903, ""/detail/([^/?]+)"") &amp; """""","""),"""plgkaedealnnbkngbdgiilehecfbaklm"",")</f>
        <v>"plgkaedealnnbkngbdgiilehecfbaklm",</v>
      </c>
    </row>
    <row r="6904">
      <c r="A6904" s="4" t="s">
        <v>26083</v>
      </c>
      <c r="B6904" s="4" t="s">
        <v>13739</v>
      </c>
      <c r="C6904" s="16" t="str">
        <f>IFERROR(__xludf.DUMMYFUNCTION(""""""""" &amp; REGEXEXTRACT(B6904, ""/detail/([^/?]+)"") &amp; """""","""),"""plhigdejmcnjiljpefhbcmllngmmjggp"",")</f>
        <v>"plhigdejmcnjiljpefhbcmllngmmjggp",</v>
      </c>
    </row>
    <row r="6905">
      <c r="A6905" s="4" t="s">
        <v>26084</v>
      </c>
      <c r="B6905" s="4" t="s">
        <v>13741</v>
      </c>
      <c r="C6905" s="16" t="str">
        <f>IFERROR(__xludf.DUMMYFUNCTION(""""""""" &amp; REGEXEXTRACT(B6905, ""/detail/([^/?]+)"") &amp; """""","""),"""plldjngagpbkienpplkifjkcoimkeadj"",")</f>
        <v>"plldjngagpbkienpplkifjkcoimkeadj",</v>
      </c>
    </row>
    <row r="6906">
      <c r="A6906" s="4" t="s">
        <v>26085</v>
      </c>
      <c r="B6906" s="4" t="s">
        <v>13743</v>
      </c>
      <c r="C6906" s="16" t="str">
        <f>IFERROR(__xludf.DUMMYFUNCTION(""""""""" &amp; REGEXEXTRACT(B6906, ""/detail/([^/?]+)"") &amp; """""","""),"""plpahoandlbofpfpikiklmobalngapjl"",")</f>
        <v>"plpahoandlbofpfpikiklmobalngapjl",</v>
      </c>
    </row>
    <row r="6907">
      <c r="A6907" s="4" t="s">
        <v>26086</v>
      </c>
      <c r="B6907" s="4" t="s">
        <v>13745</v>
      </c>
      <c r="C6907" s="16" t="str">
        <f>IFERROR(__xludf.DUMMYFUNCTION(""""""""" &amp; REGEXEXTRACT(B6907, ""/detail/([^/?]+)"") &amp; """""","""),"""plphehondjjchhnmgaaabelaobbkjofc"",")</f>
        <v>"plphehondjjchhnmgaaabelaobbkjofc",</v>
      </c>
    </row>
    <row r="6908">
      <c r="A6908" s="4" t="s">
        <v>26087</v>
      </c>
      <c r="B6908" s="4" t="s">
        <v>13747</v>
      </c>
      <c r="C6908" s="16" t="str">
        <f>IFERROR(__xludf.DUMMYFUNCTION(""""""""" &amp; REGEXEXTRACT(B6908, ""/detail/([^/?]+)"") &amp; """""","""),"""pmbfkcgplcmlmoccjbcgmopkbefndhpd"",")</f>
        <v>"pmbfkcgplcmlmoccjbcgmopkbefndhpd",</v>
      </c>
    </row>
    <row r="6909">
      <c r="A6909" s="4" t="s">
        <v>26088</v>
      </c>
      <c r="B6909" s="4" t="s">
        <v>13749</v>
      </c>
      <c r="C6909" s="16" t="str">
        <f>IFERROR(__xludf.DUMMYFUNCTION(""""""""" &amp; REGEXEXTRACT(B6909, ""/detail/([^/?]+)"") &amp; """""","""),"""pmbnnghficmddkpcgmohhbecmmaoenal"",")</f>
        <v>"pmbnnghficmddkpcgmohhbecmmaoenal",</v>
      </c>
    </row>
    <row r="6910">
      <c r="A6910" s="4" t="s">
        <v>26089</v>
      </c>
      <c r="B6910" s="4" t="s">
        <v>13751</v>
      </c>
      <c r="C6910" s="16" t="str">
        <f>IFERROR(__xludf.DUMMYFUNCTION(""""""""" &amp; REGEXEXTRACT(B6910, ""/detail/([^/?]+)"") &amp; """""","""),"""pmdfjdiiiacncpgmjmeicdoidkaadjde"",")</f>
        <v>"pmdfjdiiiacncpgmjmeicdoidkaadjde",</v>
      </c>
    </row>
    <row r="6911">
      <c r="A6911" s="4" t="s">
        <v>26090</v>
      </c>
      <c r="B6911" s="4" t="s">
        <v>13753</v>
      </c>
      <c r="C6911" s="16" t="str">
        <f>IFERROR(__xludf.DUMMYFUNCTION(""""""""" &amp; REGEXEXTRACT(B6911, ""/detail/([^/?]+)"") &amp; """""","""),"""pmjjijdigbmcgnmkmgkcboemdggjgpog"",")</f>
        <v>"pmjjijdigbmcgnmkmgkcboemdggjgpog",</v>
      </c>
    </row>
    <row r="6912">
      <c r="A6912" s="4" t="s">
        <v>26091</v>
      </c>
      <c r="B6912" s="4" t="s">
        <v>13755</v>
      </c>
      <c r="C6912" s="16" t="str">
        <f>IFERROR(__xludf.DUMMYFUNCTION(""""""""" &amp; REGEXEXTRACT(B6912, ""/detail/([^/?]+)"") &amp; """""","""),"""pmngpbahkehcgeppngnbnfbmmdclkddj"",")</f>
        <v>"pmngpbahkehcgeppngnbnfbmmdclkddj",</v>
      </c>
    </row>
    <row r="6913">
      <c r="A6913" s="4" t="s">
        <v>26092</v>
      </c>
      <c r="B6913" s="4" t="s">
        <v>13757</v>
      </c>
      <c r="C6913" s="16" t="str">
        <f>IFERROR(__xludf.DUMMYFUNCTION(""""""""" &amp; REGEXEXTRACT(B6913, ""/detail/([^/?]+)"") &amp; """""","""),"""pnamgombpjfancnbmlnlbeianoodojhi"",")</f>
        <v>"pnamgombpjfancnbmlnlbeianoodojhi",</v>
      </c>
    </row>
    <row r="6914">
      <c r="A6914" s="4" t="s">
        <v>26093</v>
      </c>
      <c r="B6914" s="4" t="s">
        <v>13759</v>
      </c>
      <c r="C6914" s="16" t="str">
        <f>IFERROR(__xludf.DUMMYFUNCTION(""""""""" &amp; REGEXEXTRACT(B6914, ""/detail/([^/?]+)"") &amp; """""","""),"""pnbmplojlceadfbbaoihkhmefocedchm"",")</f>
        <v>"pnbmplojlceadfbbaoihkhmefocedchm",</v>
      </c>
    </row>
    <row r="6915">
      <c r="A6915" s="4" t="s">
        <v>26094</v>
      </c>
      <c r="B6915" s="4" t="s">
        <v>13761</v>
      </c>
      <c r="C6915" s="16" t="str">
        <f>IFERROR(__xludf.DUMMYFUNCTION(""""""""" &amp; REGEXEXTRACT(B6915, ""/detail/([^/?]+)"") &amp; """""","""),"""pncfaijgefbolbapchmpkfkjpgjelclh"",")</f>
        <v>"pncfaijgefbolbapchmpkfkjpgjelclh",</v>
      </c>
    </row>
    <row r="6916">
      <c r="A6916" s="4" t="s">
        <v>26095</v>
      </c>
      <c r="B6916" s="4" t="s">
        <v>13762</v>
      </c>
      <c r="C6916" s="16" t="str">
        <f>IFERROR(__xludf.DUMMYFUNCTION(""""""""" &amp; REGEXEXTRACT(B6916, ""/detail/([^/?]+)"") &amp; """""","""),"""pndegigbkdknlmlhgmikdlgnlibhpell"",")</f>
        <v>"pndegigbkdknlmlhgmikdlgnlibhpell",</v>
      </c>
    </row>
    <row r="6917">
      <c r="A6917" s="4" t="s">
        <v>26096</v>
      </c>
      <c r="B6917" s="4" t="s">
        <v>13764</v>
      </c>
      <c r="C6917" s="16" t="str">
        <f>IFERROR(__xludf.DUMMYFUNCTION(""""""""" &amp; REGEXEXTRACT(B6917, ""/detail/([^/?]+)"") &amp; """""","""),"""pnfpeedickdijmfpfcdgcofpoemmdpgi"",")</f>
        <v>"pnfpeedickdijmfpfcdgcofpoemmdpgi",</v>
      </c>
    </row>
    <row r="6918">
      <c r="A6918" s="10" t="s">
        <v>26097</v>
      </c>
      <c r="B6918" s="4" t="s">
        <v>13766</v>
      </c>
      <c r="C6918" s="16" t="str">
        <f>IFERROR(__xludf.DUMMYFUNCTION(""""""""" &amp; REGEXEXTRACT(B6918, ""/detail/([^/?]+)"") &amp; """""","""),"""pnhaaddlgbpchligciolcdjgndcpelee"",")</f>
        <v>"pnhaaddlgbpchligciolcdjgndcpelee",</v>
      </c>
    </row>
    <row r="6919">
      <c r="A6919" s="4" t="s">
        <v>26098</v>
      </c>
      <c r="B6919" s="4" t="s">
        <v>13768</v>
      </c>
      <c r="C6919" s="16" t="str">
        <f>IFERROR(__xludf.DUMMYFUNCTION(""""""""" &amp; REGEXEXTRACT(B6919, ""/detail/([^/?]+)"") &amp; """""","""),"""pnhnmmcigmleaooedjnodnioapklfngc"",")</f>
        <v>"pnhnmmcigmleaooedjnodnioapklfngc",</v>
      </c>
    </row>
    <row r="6920">
      <c r="A6920" s="4" t="s">
        <v>26099</v>
      </c>
      <c r="B6920" s="4" t="s">
        <v>13770</v>
      </c>
      <c r="C6920" s="16" t="str">
        <f>IFERROR(__xludf.DUMMYFUNCTION(""""""""" &amp; REGEXEXTRACT(B6920, ""/detail/([^/?]+)"") &amp; """""","""),"""pnidkiailngiifhiamapafedcpepgdge"",")</f>
        <v>"pnidkiailngiifhiamapafedcpepgdge",</v>
      </c>
    </row>
    <row r="6921">
      <c r="A6921" s="4" t="s">
        <v>26100</v>
      </c>
      <c r="B6921" s="4" t="s">
        <v>13772</v>
      </c>
      <c r="C6921" s="16" t="str">
        <f>IFERROR(__xludf.DUMMYFUNCTION(""""""""" &amp; REGEXEXTRACT(B6921, ""/detail/([^/?]+)"") &amp; """""","""),"""pniopfmciclllcpockpkgceikipiibol"",")</f>
        <v>"pniopfmciclllcpockpkgceikipiibol",</v>
      </c>
    </row>
    <row r="6922">
      <c r="A6922" s="4" t="s">
        <v>26101</v>
      </c>
      <c r="B6922" s="4" t="s">
        <v>13774</v>
      </c>
      <c r="C6922" s="16" t="str">
        <f>IFERROR(__xludf.DUMMYFUNCTION(""""""""" &amp; REGEXEXTRACT(B6922, ""/detail/([^/?]+)"") &amp; """""","""),"""pnlmgagkccpjblmmooeigomkjgmncjbp"",")</f>
        <v>"pnlmgagkccpjblmmooeigomkjgmncjbp",</v>
      </c>
    </row>
    <row r="6923">
      <c r="A6923" s="4" t="s">
        <v>26102</v>
      </c>
      <c r="B6923" s="4" t="s">
        <v>13776</v>
      </c>
      <c r="C6923" s="16" t="str">
        <f>IFERROR(__xludf.DUMMYFUNCTION(""""""""" &amp; REGEXEXTRACT(B6923, ""/detail/([^/?]+)"") &amp; """""","""),"""pnlmgdnhaomgoadfilnfjhkfegeeamfh"",")</f>
        <v>"pnlmgdnhaomgoadfilnfjhkfegeeamfh",</v>
      </c>
    </row>
    <row r="6924">
      <c r="A6924" s="4" t="s">
        <v>26103</v>
      </c>
      <c r="B6924" s="4" t="s">
        <v>13778</v>
      </c>
      <c r="C6924" s="16" t="str">
        <f>IFERROR(__xludf.DUMMYFUNCTION(""""""""" &amp; REGEXEXTRACT(B6924, ""/detail/([^/?]+)"") &amp; """""","""),"""pnmdcoaajafdppfpioijldebfbpogopn"",")</f>
        <v>"pnmdcoaajafdppfpioijldebfbpogopn",</v>
      </c>
    </row>
    <row r="6925">
      <c r="A6925" s="4" t="s">
        <v>26104</v>
      </c>
      <c r="B6925" s="4" t="s">
        <v>13780</v>
      </c>
      <c r="C6925" s="16" t="str">
        <f>IFERROR(__xludf.DUMMYFUNCTION(""""""""" &amp; REGEXEXTRACT(B6925, ""/detail/([^/?]+)"") &amp; """""","""),"""pnmlfkjgmkpeganjbhhefogaijonppik"",")</f>
        <v>"pnmlfkjgmkpeganjbhhefogaijonppik",</v>
      </c>
    </row>
    <row r="6926">
      <c r="A6926" s="4" t="s">
        <v>26105</v>
      </c>
      <c r="B6926" s="4" t="s">
        <v>13782</v>
      </c>
      <c r="C6926" s="16" t="str">
        <f>IFERROR(__xludf.DUMMYFUNCTION(""""""""" &amp; REGEXEXTRACT(B6926, ""/detail/([^/?]+)"") &amp; """""","""),"""pnpbbadbcckmfcbdhkbkegfgpdmoieji"",")</f>
        <v>"pnpbbadbcckmfcbdhkbkegfgpdmoieji",</v>
      </c>
    </row>
    <row r="6927">
      <c r="A6927" s="4" t="s">
        <v>26106</v>
      </c>
      <c r="B6927" s="4" t="s">
        <v>13784</v>
      </c>
      <c r="C6927" s="16" t="str">
        <f>IFERROR(__xludf.DUMMYFUNCTION(""""""""" &amp; REGEXEXTRACT(B6927, ""/detail/([^/?]+)"") &amp; """""","""),"""pnpbpndnbcleanlcijhancijmhdolecj"",")</f>
        <v>"pnpbpndnbcleanlcijhancijmhdolecj",</v>
      </c>
    </row>
    <row r="6928">
      <c r="A6928" s="4" t="s">
        <v>26107</v>
      </c>
      <c r="B6928" s="4" t="s">
        <v>13786</v>
      </c>
      <c r="C6928" s="16" t="str">
        <f>IFERROR(__xludf.DUMMYFUNCTION(""""""""" &amp; REGEXEXTRACT(B6928, ""/detail/([^/?]+)"") &amp; """""","""),"""podcggegodopijnhcbocfmjhbmjegjai"",")</f>
        <v>"podcggegodopijnhcbocfmjhbmjegjai",</v>
      </c>
    </row>
    <row r="6929">
      <c r="A6929" s="4" t="s">
        <v>26108</v>
      </c>
      <c r="B6929" s="4" t="s">
        <v>13788</v>
      </c>
      <c r="C6929" s="16" t="str">
        <f>IFERROR(__xludf.DUMMYFUNCTION(""""""""" &amp; REGEXEXTRACT(B6929, ""/detail/([^/?]+)"") &amp; """""","""),"""poemphopblfbpoaoglhbljbjfodofmpa"",")</f>
        <v>"poemphopblfbpoaoglhbljbjfodofmpa",</v>
      </c>
    </row>
    <row r="6930">
      <c r="A6930" s="4" t="s">
        <v>26109</v>
      </c>
      <c r="B6930" s="4" t="s">
        <v>13790</v>
      </c>
      <c r="C6930" s="16" t="str">
        <f>IFERROR(__xludf.DUMMYFUNCTION(""""""""" &amp; REGEXEXTRACT(B6930, ""/detail/([^/?]+)"") &amp; """""","""),"""pogakilfalpppaalpjolakkbhdpgpnpn"",")</f>
        <v>"pogakilfalpppaalpjolakkbhdpgpnpn",</v>
      </c>
    </row>
    <row r="6931">
      <c r="A6931" s="4" t="s">
        <v>26110</v>
      </c>
      <c r="B6931" s="4" t="s">
        <v>13792</v>
      </c>
      <c r="C6931" s="16" t="str">
        <f>IFERROR(__xludf.DUMMYFUNCTION(""""""""" &amp; REGEXEXTRACT(B6931, ""/detail/([^/?]+)"") &amp; """""","""),"""pokdemmjbolebfenngalladelkofhiba"",")</f>
        <v>"pokdemmjbolebfenngalladelkofhiba",</v>
      </c>
    </row>
    <row r="6932">
      <c r="A6932" s="4" t="s">
        <v>26111</v>
      </c>
      <c r="B6932" s="4" t="s">
        <v>13794</v>
      </c>
      <c r="C6932" s="16" t="str">
        <f>IFERROR(__xludf.DUMMYFUNCTION(""""""""" &amp; REGEXEXTRACT(B6932, ""/detail/([^/?]+)"") &amp; """""","""),"""pokmephakeikepjkmloeopmjjmiioeno"",")</f>
        <v>"pokmephakeikepjkmloeopmjjmiioeno",</v>
      </c>
    </row>
    <row r="6933">
      <c r="A6933" s="4" t="s">
        <v>26112</v>
      </c>
      <c r="B6933" s="4" t="s">
        <v>13796</v>
      </c>
      <c r="C6933" s="16" t="str">
        <f>IFERROR(__xludf.DUMMYFUNCTION(""""""""" &amp; REGEXEXTRACT(B6933, ""/detail/([^/?]+)"") &amp; """""","""),"""polcbnennmbhbdoafiicjgccofalcncl"",")</f>
        <v>"polcbnennmbhbdoafiicjgccofalcncl",</v>
      </c>
    </row>
    <row r="6934">
      <c r="A6934" s="4" t="s">
        <v>26113</v>
      </c>
      <c r="B6934" s="4" t="s">
        <v>13798</v>
      </c>
      <c r="C6934" s="16" t="str">
        <f>IFERROR(__xludf.DUMMYFUNCTION(""""""""" &amp; REGEXEXTRACT(B6934, ""/detail/([^/?]+)"") &amp; """""","""),"""poliinbejkeohgkakcjhnidgbalekdnj"",")</f>
        <v>"poliinbejkeohgkakcjhnidgbalekdnj",</v>
      </c>
    </row>
    <row r="6935">
      <c r="A6935" s="4" t="s">
        <v>26114</v>
      </c>
      <c r="B6935" s="4" t="s">
        <v>13800</v>
      </c>
      <c r="C6935" s="16" t="str">
        <f>IFERROR(__xludf.DUMMYFUNCTION(""""""""" &amp; REGEXEXTRACT(B6935, ""/detail/([^/?]+)"") &amp; """""","""),"""popfmfdcmbgimojlgdgeikdffbecaija"",")</f>
        <v>"popfmfdcmbgimojlgdgeikdffbecaija",</v>
      </c>
    </row>
    <row r="6936">
      <c r="A6936" s="4" t="s">
        <v>26115</v>
      </c>
      <c r="B6936" s="4" t="s">
        <v>13802</v>
      </c>
      <c r="C6936" s="16" t="str">
        <f>IFERROR(__xludf.DUMMYFUNCTION(""""""""" &amp; REGEXEXTRACT(B6936, ""/detail/([^/?]+)"") &amp; """""","""),"""ppckicpaoihcmamekmnhdaiaklmccobm"",")</f>
        <v>"ppckicpaoihcmamekmnhdaiaklmccobm",</v>
      </c>
    </row>
    <row r="6937">
      <c r="A6937" s="4" t="s">
        <v>26116</v>
      </c>
      <c r="B6937" s="4" t="s">
        <v>13804</v>
      </c>
      <c r="C6937" s="16" t="str">
        <f>IFERROR(__xludf.DUMMYFUNCTION(""""""""" &amp; REGEXEXTRACT(B6937, ""/detail/([^/?]+)"") &amp; """""","""),"""ppeafcmpnlhfpajdcjoddeopdbnadjaf"",")</f>
        <v>"ppeafcmpnlhfpajdcjoddeopdbnadjaf",</v>
      </c>
    </row>
    <row r="6938">
      <c r="A6938" s="4" t="s">
        <v>26117</v>
      </c>
      <c r="B6938" s="4" t="s">
        <v>13806</v>
      </c>
      <c r="C6938" s="16" t="str">
        <f>IFERROR(__xludf.DUMMYFUNCTION(""""""""" &amp; REGEXEXTRACT(B6938, ""/detail/([^/?]+)"") &amp; """""","""),"""ppgkljncihhlaaekeamabgmceippfhfo"",")</f>
        <v>"ppgkljncihhlaaekeamabgmceippfhfo",</v>
      </c>
    </row>
    <row r="6939">
      <c r="A6939" s="4" t="s">
        <v>26118</v>
      </c>
      <c r="B6939" s="4" t="s">
        <v>13808</v>
      </c>
      <c r="C6939" s="16" t="str">
        <f>IFERROR(__xludf.DUMMYFUNCTION(""""""""" &amp; REGEXEXTRACT(B6939, ""/detail/([^/?]+)"") &amp; """""","""),"""pphlnhlbnejfljgkgifbkfdndjlddakh"",")</f>
        <v>"pphlnhlbnejfljgkgifbkfdndjlddakh",</v>
      </c>
    </row>
    <row r="6940">
      <c r="A6940" s="4" t="s">
        <v>26119</v>
      </c>
      <c r="B6940" s="4" t="s">
        <v>13810</v>
      </c>
      <c r="C6940" s="16" t="str">
        <f>IFERROR(__xludf.DUMMYFUNCTION(""""""""" &amp; REGEXEXTRACT(B6940, ""/detail/([^/?]+)"") &amp; """""","""),"""ppigcngidmooiiafkelbilbojiijffag"",")</f>
        <v>"ppigcngidmooiiafkelbilbojiijffag",</v>
      </c>
    </row>
    <row r="6941">
      <c r="A6941" s="4" t="s">
        <v>26120</v>
      </c>
      <c r="B6941" s="4" t="s">
        <v>13812</v>
      </c>
      <c r="C6941" s="16" t="str">
        <f>IFERROR(__xludf.DUMMYFUNCTION(""""""""" &amp; REGEXEXTRACT(B6941, ""/detail/([^/?]+)"") &amp; """""","""),"""pplnfonehjimoddpmnhldhkgojhkjcfh"",")</f>
        <v>"pplnfonehjimoddpmnhldhkgojhkjcfh",</v>
      </c>
    </row>
    <row r="6942">
      <c r="A6942" s="4" t="s">
        <v>26121</v>
      </c>
      <c r="B6942" s="4" t="s">
        <v>13814</v>
      </c>
      <c r="C6942" s="16" t="str">
        <f>IFERROR(__xludf.DUMMYFUNCTION(""""""""" &amp; REGEXEXTRACT(B6942, ""/detail/([^/?]+)"") &amp; """""","""),"""ppnfkghlfjlpipickophihdanpjllflo"",")</f>
        <v>"ppnfkghlfjlpipickophihdanpjllflo",</v>
      </c>
    </row>
    <row r="6943">
      <c r="A6943" s="4" t="s">
        <v>26122</v>
      </c>
      <c r="B6943" s="4" t="s">
        <v>13826</v>
      </c>
      <c r="C6943" s="16" t="str">
        <f>IFERROR(__xludf.DUMMYFUNCTION(""""""""" &amp; REGEXEXTRACT(B6943, ""/detail/([^/?]+)"") &amp; """""","""),"""jafbohhbdpejlcfpkbbpkegglokegjid"",")</f>
        <v>"jafbohhbdpejlcfpkbbpkegglokegjid",</v>
      </c>
    </row>
    <row r="6944">
      <c r="A6944" s="4" t="s">
        <v>26123</v>
      </c>
      <c r="B6944" s="4" t="s">
        <v>13828</v>
      </c>
      <c r="C6944" s="16" t="str">
        <f>IFERROR(__xludf.DUMMYFUNCTION(""""""""" &amp; REGEXEXTRACT(B6944, ""/detail/([^/?]+)"") &amp; """""","""),"""pnadejonabhdibgdmgfcomljhddlpfcc"",")</f>
        <v>"pnadejonabhdibgdmgfcomljhddlpfcc",</v>
      </c>
    </row>
    <row r="6945">
      <c r="A6945" s="4" t="s">
        <v>26124</v>
      </c>
      <c r="B6945" s="4" t="s">
        <v>13830</v>
      </c>
      <c r="C6945" s="16" t="str">
        <f>IFERROR(__xludf.DUMMYFUNCTION(""""""""" &amp; REGEXEXTRACT(B6945, ""/detail/([^/?]+)"") &amp; """""","""),"""fmmpphipbblipmbgcfkenkbfhfchllkf"",")</f>
        <v>"fmmpphipbblipmbgcfkenkbfhfchllkf",</v>
      </c>
    </row>
    <row r="6946">
      <c r="A6946" s="4" t="s">
        <v>26125</v>
      </c>
      <c r="B6946" s="4" t="s">
        <v>13832</v>
      </c>
      <c r="C6946" s="16" t="str">
        <f>IFERROR(__xludf.DUMMYFUNCTION(""""""""" &amp; REGEXEXTRACT(B6946, ""/detail/([^/?]+)"") &amp; """""","""),"""aelhoojncpjocgdcgjfhfgmdklbidflh"",")</f>
        <v>"aelhoojncpjocgdcgjfhfgmdklbidflh",</v>
      </c>
    </row>
    <row r="6947">
      <c r="A6947" s="4" t="s">
        <v>26126</v>
      </c>
      <c r="B6947" s="4" t="s">
        <v>13834</v>
      </c>
      <c r="C6947" s="16" t="str">
        <f>IFERROR(__xludf.DUMMYFUNCTION(""""""""" &amp; REGEXEXTRACT(B6947, ""/detail/([^/?]+)"") &amp; """""","""),"""aigpmdbobjhlndfippahifgfflpbihol"",")</f>
        <v>"aigpmdbobjhlndfippahifgfflpbihol",</v>
      </c>
    </row>
    <row r="6948">
      <c r="A6948" s="4" t="s">
        <v>26127</v>
      </c>
      <c r="B6948" s="4" t="s">
        <v>13836</v>
      </c>
      <c r="C6948" s="16" t="str">
        <f>IFERROR(__xludf.DUMMYFUNCTION(""""""""" &amp; REGEXEXTRACT(B6948, ""/detail/([^/?]+)"") &amp; """""","""),"""ciipbadfpnjpnnjchpeaiilodeeeekam"",")</f>
        <v>"ciipbadfpnjpnnjchpeaiilodeeeekam",</v>
      </c>
    </row>
    <row r="6949">
      <c r="A6949" s="4" t="s">
        <v>26128</v>
      </c>
      <c r="B6949" s="4" t="s">
        <v>13838</v>
      </c>
      <c r="C6949" s="16" t="str">
        <f>IFERROR(__xludf.DUMMYFUNCTION(""""""""" &amp; REGEXEXTRACT(B6949, ""/detail/([^/?]+)"") &amp; """""","""),"""dncilgghjaocdjgbimbkjpeapednecmj"",")</f>
        <v>"dncilgghjaocdjgbimbkjpeapednecmj",</v>
      </c>
    </row>
    <row r="6950">
      <c r="A6950" s="4" t="s">
        <v>26129</v>
      </c>
      <c r="B6950" s="4" t="s">
        <v>13840</v>
      </c>
      <c r="C6950" s="16" t="str">
        <f>IFERROR(__xludf.DUMMYFUNCTION(""""""""" &amp; REGEXEXTRACT(B6950, ""/detail/([^/?]+)"") &amp; """""","""),"""dohmaicfbdhjjhhidjhpcgikpalomncn"",")</f>
        <v>"dohmaicfbdhjjhhidjhpcgikpalomncn",</v>
      </c>
    </row>
    <row r="6951">
      <c r="A6951" s="4" t="s">
        <v>26130</v>
      </c>
      <c r="B6951" s="4" t="s">
        <v>13842</v>
      </c>
      <c r="C6951" s="16" t="str">
        <f>IFERROR(__xludf.DUMMYFUNCTION(""""""""" &amp; REGEXEXTRACT(B6951, ""/detail/([^/?]+)"") &amp; """""","""),"""dicomhebenajaeajoaehlhebjjehjahd"",")</f>
        <v>"dicomhebenajaeajoaehlhebjjehjahd",</v>
      </c>
    </row>
    <row r="6952">
      <c r="A6952" s="4" t="s">
        <v>26131</v>
      </c>
      <c r="B6952" s="4" t="s">
        <v>13844</v>
      </c>
      <c r="C6952" s="16" t="str">
        <f>IFERROR(__xludf.DUMMYFUNCTION(""""""""" &amp; REGEXEXTRACT(B6952, ""/detail/([^/?]+)"") &amp; """""","""),"""diknocfjppiediempbpcoadnamlddioj"",")</f>
        <v>"diknocfjppiediempbpcoadnamlddioj",</v>
      </c>
    </row>
    <row r="6953">
      <c r="A6953" s="4" t="s">
        <v>26132</v>
      </c>
      <c r="B6953" s="4" t="s">
        <v>13846</v>
      </c>
      <c r="C6953" s="16" t="str">
        <f>IFERROR(__xludf.DUMMYFUNCTION(""""""""" &amp; REGEXEXTRACT(B6953, ""/detail/([^/?]+)"") &amp; """""","""),"""fbnpehpbojenlldmfcopeajkichnnjpo"",")</f>
        <v>"fbnpehpbojenlldmfcopeajkichnnjpo",</v>
      </c>
    </row>
    <row r="6954">
      <c r="A6954" s="4" t="s">
        <v>26133</v>
      </c>
      <c r="B6954" s="4" t="s">
        <v>13848</v>
      </c>
      <c r="C6954" s="16" t="str">
        <f>IFERROR(__xludf.DUMMYFUNCTION(""""""""" &amp; REGEXEXTRACT(B6954, ""/detail/([^/?]+)"") &amp; """""","""),"""nfboihiomjblefgplaehpfcejbnbdpog"",")</f>
        <v>"nfboihiomjblefgplaehpfcejbnbdpog",</v>
      </c>
    </row>
    <row r="6955">
      <c r="A6955" s="4" t="s">
        <v>26134</v>
      </c>
      <c r="B6955" s="4" t="s">
        <v>13850</v>
      </c>
      <c r="C6955" s="16" t="str">
        <f>IFERROR(__xludf.DUMMYFUNCTION(""""""""" &amp; REGEXEXTRACT(B6955, ""/detail/([^/?]+)"") &amp; """""","""),"""dnipdbbmkikdcgobljoppikjmbggcafo"",")</f>
        <v>"dnipdbbmkikdcgobljoppikjmbggcafo",</v>
      </c>
    </row>
    <row r="6956">
      <c r="A6956" s="4" t="s">
        <v>26135</v>
      </c>
      <c r="B6956" s="4" t="s">
        <v>13852</v>
      </c>
      <c r="C6956" s="16" t="str">
        <f>IFERROR(__xludf.DUMMYFUNCTION(""""""""" &amp; REGEXEXTRACT(B6956, ""/detail/([^/?]+)"") &amp; """""","""),"""kdmngkpgnecnahcpkdcmbcekonkcbdpc"",")</f>
        <v>"kdmngkpgnecnahcpkdcmbcekonkcbdpc",</v>
      </c>
    </row>
    <row r="6957">
      <c r="A6957" s="4" t="s">
        <v>26136</v>
      </c>
      <c r="B6957" s="4" t="s">
        <v>13854</v>
      </c>
      <c r="C6957" s="16" t="str">
        <f>IFERROR(__xludf.DUMMYFUNCTION(""""""""" &amp; REGEXEXTRACT(B6957, ""/detail/([^/?]+)"") &amp; """""","""),"""lmheceammobbcnppcegjheepmljfakbg"",")</f>
        <v>"lmheceammobbcnppcegjheepmljfakbg",</v>
      </c>
    </row>
    <row r="6958">
      <c r="A6958" s="4" t="s">
        <v>26137</v>
      </c>
      <c r="B6958" s="4" t="s">
        <v>13856</v>
      </c>
      <c r="C6958" s="16" t="str">
        <f>IFERROR(__xludf.DUMMYFUNCTION(""""""""" &amp; REGEXEXTRACT(B6958, ""/detail/([^/?]+)"") &amp; """""","""),"""nienncdeogcamkahjjmaaipnojjokbok"",")</f>
        <v>"nienncdeogcamkahjjmaaipnojjokbok",</v>
      </c>
    </row>
    <row r="6959">
      <c r="A6959" s="4" t="s">
        <v>26138</v>
      </c>
      <c r="B6959" s="4" t="s">
        <v>13858</v>
      </c>
      <c r="C6959" s="16" t="str">
        <f>IFERROR(__xludf.DUMMYFUNCTION(""""""""" &amp; REGEXEXTRACT(B6959, ""/detail/([^/?]+)"") &amp; """""","""),"""bcbcmhmpbggnljoapclfcagammaapghi"",")</f>
        <v>"bcbcmhmpbggnljoapclfcagammaapghi",</v>
      </c>
    </row>
    <row r="6960">
      <c r="A6960" s="4" t="s">
        <v>26139</v>
      </c>
      <c r="B6960" s="4" t="s">
        <v>13860</v>
      </c>
      <c r="C6960" s="16" t="str">
        <f>IFERROR(__xludf.DUMMYFUNCTION(""""""""" &amp; REGEXEXTRACT(B6960, ""/detail/([^/?]+)"") &amp; """""","""),"""cechfneaapliekdhfifoclboelgfaloc"",")</f>
        <v>"cechfneaapliekdhfifoclboelgfaloc",</v>
      </c>
    </row>
    <row r="6961">
      <c r="A6961" s="4" t="s">
        <v>26140</v>
      </c>
      <c r="B6961" s="4" t="s">
        <v>13862</v>
      </c>
      <c r="C6961" s="16" t="str">
        <f>IFERROR(__xludf.DUMMYFUNCTION(""""""""" &amp; REGEXEXTRACT(B6961, ""/detail/([^/?]+)"") &amp; """""","""),"""cghmigojnbaajmeigfphpaiepjjhcbpe"",")</f>
        <v>"cghmigojnbaajmeigfphpaiepjjhcbpe",</v>
      </c>
    </row>
    <row r="6962">
      <c r="A6962" s="4" t="s">
        <v>26141</v>
      </c>
      <c r="B6962" s="4" t="s">
        <v>13864</v>
      </c>
      <c r="C6962" s="16" t="str">
        <f>IFERROR(__xludf.DUMMYFUNCTION(""""""""" &amp; REGEXEXTRACT(B6962, ""/detail/([^/?]+)"") &amp; """""","""),"""ebkmdjfacnopogghbimpabhbfelkkhah"",")</f>
        <v>"ebkmdjfacnopogghbimpabhbfelkkhah",</v>
      </c>
    </row>
    <row r="6963">
      <c r="A6963" s="4" t="s">
        <v>26142</v>
      </c>
      <c r="B6963" s="4" t="s">
        <v>13866</v>
      </c>
      <c r="C6963" s="16" t="str">
        <f>IFERROR(__xludf.DUMMYFUNCTION(""""""""" &amp; REGEXEXTRACT(B6963, ""/detail/([^/?]+)"") &amp; """""","""),"""obepaikkjiicocdodlbpaacnnjjflnoc"",")</f>
        <v>"obepaikkjiicocdodlbpaacnnjjflnoc",</v>
      </c>
    </row>
    <row r="6964">
      <c r="A6964" s="4" t="s">
        <v>26143</v>
      </c>
      <c r="B6964" s="4" t="s">
        <v>13868</v>
      </c>
      <c r="C6964" s="16" t="str">
        <f>IFERROR(__xludf.DUMMYFUNCTION(""""""""" &amp; REGEXEXTRACT(B6964, ""/detail/([^/?]+)"") &amp; """""","""),"""jeclnapdhfheooplcjplkhpldoklcdoo"",")</f>
        <v>"jeclnapdhfheooplcjplkhpldoklcdoo",</v>
      </c>
    </row>
    <row r="6965">
      <c r="A6965" s="4" t="s">
        <v>26144</v>
      </c>
      <c r="B6965" s="4" t="s">
        <v>13870</v>
      </c>
      <c r="C6965" s="16" t="str">
        <f>IFERROR(__xludf.DUMMYFUNCTION(""""""""" &amp; REGEXEXTRACT(B6965, ""/detail/([^/?]+)"") &amp; """""","""),"""kpeffbajohlpbjihlcccpffcjkjkckjj"",")</f>
        <v>"kpeffbajohlpbjihlcccpffcjkjkckjj",</v>
      </c>
    </row>
    <row r="6966">
      <c r="A6966" s="4" t="s">
        <v>26145</v>
      </c>
      <c r="B6966" s="4" t="s">
        <v>13872</v>
      </c>
      <c r="C6966" s="16" t="str">
        <f>IFERROR(__xludf.DUMMYFUNCTION(""""""""" &amp; REGEXEXTRACT(B6966, ""/detail/([^/?]+)"") &amp; """""","""),"""lbijplknackhkkopnihoedjjbipoknik"",")</f>
        <v>"lbijplknackhkkopnihoedjjbipoknik",</v>
      </c>
    </row>
    <row r="6967">
      <c r="A6967" s="4" t="s">
        <v>26146</v>
      </c>
      <c r="B6967" s="4" t="s">
        <v>13874</v>
      </c>
      <c r="C6967" s="16" t="str">
        <f>IFERROR(__xludf.DUMMYFUNCTION(""""""""" &amp; REGEXEXTRACT(B6967, ""/detail/([^/?]+)"") &amp; """""","""),"""mgepijdabbcpfccklhimoklflnpfpbcn"",")</f>
        <v>"mgepijdabbcpfccklhimoklflnpfpbcn",</v>
      </c>
    </row>
    <row r="6968">
      <c r="A6968" s="4" t="s">
        <v>26147</v>
      </c>
      <c r="B6968" s="4" t="s">
        <v>13876</v>
      </c>
      <c r="C6968" s="16" t="str">
        <f>IFERROR(__xludf.DUMMYFUNCTION(""""""""" &amp; REGEXEXTRACT(B6968, ""/detail/([^/?]+)"") &amp; """""","""),"""docfmdhcfhhnlkgldanjmceneghpgpdk"",")</f>
        <v>"docfmdhcfhhnlkgldanjmceneghpgpdk",</v>
      </c>
    </row>
    <row r="6969">
      <c r="A6969" s="4" t="s">
        <v>26148</v>
      </c>
      <c r="B6969" s="4" t="s">
        <v>13878</v>
      </c>
      <c r="C6969" s="16" t="str">
        <f>IFERROR(__xludf.DUMMYFUNCTION(""""""""" &amp; REGEXEXTRACT(B6969, ""/detail/([^/?]+)"") &amp; """""","""),"""gniinlnnpjdbeleojkghgdccpapkapma"",")</f>
        <v>"gniinlnnpjdbeleojkghgdccpapkapma",</v>
      </c>
    </row>
    <row r="6970">
      <c r="A6970" s="4" t="s">
        <v>26149</v>
      </c>
      <c r="B6970" s="4" t="s">
        <v>13879</v>
      </c>
      <c r="C6970" s="16" t="str">
        <f>IFERROR(__xludf.DUMMYFUNCTION(""""""""" &amp; REGEXEXTRACT(B6970, ""/detail/([^/?]+)"") &amp; """""","""),"""lbpbmplnjoonfgknodgmhgclgcdnbbja"",")</f>
        <v>"lbpbmplnjoonfgknodgmhgclgcdnbbja",</v>
      </c>
    </row>
    <row r="6971">
      <c r="A6971" s="4" t="s">
        <v>26150</v>
      </c>
      <c r="B6971" s="4" t="s">
        <v>13881</v>
      </c>
      <c r="C6971" s="16" t="str">
        <f>IFERROR(__xludf.DUMMYFUNCTION(""""""""" &amp; REGEXEXTRACT(B6971, ""/detail/([^/?]+)"") &amp; """""","""),"""lgdilciaoommilaaclidgmipedclhnph"",")</f>
        <v>"lgdilciaoommilaaclidgmipedclhnph",</v>
      </c>
    </row>
    <row r="6972">
      <c r="A6972" s="4" t="s">
        <v>26151</v>
      </c>
      <c r="B6972" s="4" t="s">
        <v>13882</v>
      </c>
      <c r="C6972" s="16" t="str">
        <f>IFERROR(__xludf.DUMMYFUNCTION(""""""""" &amp; REGEXEXTRACT(B6972, ""/detail/([^/?]+)"") &amp; """""","""),"""bpdmidochfpcblafhhkblgkehaoafahi"",")</f>
        <v>"bpdmidochfpcblafhhkblgkehaoafahi",</v>
      </c>
    </row>
    <row r="6973">
      <c r="A6973" s="4" t="s">
        <v>26152</v>
      </c>
      <c r="B6973" s="4" t="s">
        <v>13884</v>
      </c>
      <c r="C6973" s="16" t="str">
        <f>IFERROR(__xludf.DUMMYFUNCTION(""""""""" &amp; REGEXEXTRACT(B6973, ""/detail/([^/?]+)"") &amp; """""","""),"""feonehaohleclbngaobgacjblcpbiaon"",")</f>
        <v>"feonehaohleclbngaobgacjblcpbiaon",</v>
      </c>
    </row>
    <row r="6974">
      <c r="A6974" s="4" t="s">
        <v>26153</v>
      </c>
      <c r="B6974" s="4" t="s">
        <v>13886</v>
      </c>
      <c r="C6974" s="16" t="str">
        <f>IFERROR(__xludf.DUMMYFUNCTION(""""""""" &amp; REGEXEXTRACT(B6974, ""/detail/([^/?]+)"") &amp; """""","""),"""nekdehphhapfjmpjghpcifeoaamppcnj"",")</f>
        <v>"nekdehphhapfjmpjghpcifeoaamppcnj",</v>
      </c>
    </row>
    <row r="6975">
      <c r="A6975" s="4" t="s">
        <v>26154</v>
      </c>
      <c r="B6975" s="4" t="s">
        <v>13888</v>
      </c>
      <c r="C6975" s="16" t="str">
        <f>IFERROR(__xludf.DUMMYFUNCTION(""""""""" &amp; REGEXEXTRACT(B6975, ""/detail/([^/?]+)"") &amp; """""","""),"""pkhiahnopknkooefhefdbalaaboepmbm"",")</f>
        <v>"pkhiahnopknkooefhefdbalaaboepmbm",</v>
      </c>
    </row>
    <row r="6976">
      <c r="A6976" s="4" t="s">
        <v>26155</v>
      </c>
      <c r="B6976" s="4" t="s">
        <v>13890</v>
      </c>
      <c r="C6976" s="16" t="str">
        <f>IFERROR(__xludf.DUMMYFUNCTION(""""""""" &amp; REGEXEXTRACT(B6976, ""/detail/([^/?]+)"") &amp; """""","""),"""dafambnlnkbfdkieoeaccchlmahiolof"",")</f>
        <v>"dafambnlnkbfdkieoeaccchlmahiolof",</v>
      </c>
    </row>
    <row r="6977">
      <c r="A6977" s="4" t="s">
        <v>26156</v>
      </c>
      <c r="B6977" s="4" t="s">
        <v>13892</v>
      </c>
      <c r="C6977" s="16" t="str">
        <f>IFERROR(__xludf.DUMMYFUNCTION(""""""""" &amp; REGEXEXTRACT(B6977, ""/detail/([^/?]+)"") &amp; """""","""),"""eadinjjkfelcokdlmoechclnmmmjnpdh"",")</f>
        <v>"eadinjjkfelcokdlmoechclnmmmjnpdh",</v>
      </c>
    </row>
    <row r="6978">
      <c r="A6978" s="4" t="s">
        <v>26157</v>
      </c>
      <c r="B6978" s="4" t="s">
        <v>13894</v>
      </c>
      <c r="C6978" s="16" t="str">
        <f>IFERROR(__xludf.DUMMYFUNCTION(""""""""" &amp; REGEXEXTRACT(B6978, ""/detail/([^/?]+)"") &amp; """""","""),"""hccnpbnoghefpelicokfcnngmaodbjii"",")</f>
        <v>"hccnpbnoghefpelicokfcnngmaodbjii",</v>
      </c>
    </row>
    <row r="6979">
      <c r="A6979" s="10" t="s">
        <v>26158</v>
      </c>
      <c r="B6979" s="4" t="s">
        <v>13896</v>
      </c>
      <c r="C6979" s="16" t="str">
        <f>IFERROR(__xludf.DUMMYFUNCTION(""""""""" &amp; REGEXEXTRACT(B6979, ""/detail/([^/?]+)"") &amp; """""","""),"""ilhlpcpkfdncbghoijdicibppgoppecc"",")</f>
        <v>"ilhlpcpkfdncbghoijdicibppgoppecc",</v>
      </c>
    </row>
    <row r="6980">
      <c r="A6980" s="4" t="s">
        <v>26159</v>
      </c>
      <c r="B6980" s="4" t="s">
        <v>13898</v>
      </c>
      <c r="C6980" s="16" t="str">
        <f>IFERROR(__xludf.DUMMYFUNCTION(""""""""" &amp; REGEXEXTRACT(B6980, ""/detail/([^/?]+)"") &amp; """""","""),"""dnnaekppbdlfpccahbhnnfghfjlgfjdd"",")</f>
        <v>"dnnaekppbdlfpccahbhnnfghfjlgfjdd",</v>
      </c>
    </row>
    <row r="6981">
      <c r="A6981" s="4" t="s">
        <v>26160</v>
      </c>
      <c r="B6981" s="4" t="s">
        <v>13900</v>
      </c>
      <c r="C6981" s="16" t="str">
        <f>IFERROR(__xludf.DUMMYFUNCTION(""""""""" &amp; REGEXEXTRACT(B6981, ""/detail/([^/?]+)"") &amp; """""","""),"""gfagkcalolmjecefbofbdaemfcefipnc"",")</f>
        <v>"gfagkcalolmjecefbofbdaemfcefipnc",</v>
      </c>
    </row>
    <row r="6982">
      <c r="A6982" s="4" t="s">
        <v>26161</v>
      </c>
      <c r="B6982" s="4" t="s">
        <v>13902</v>
      </c>
      <c r="C6982" s="16" t="str">
        <f>IFERROR(__xludf.DUMMYFUNCTION(""""""""" &amp; REGEXEXTRACT(B6982, ""/detail/([^/?]+)"") &amp; """""","""),"""ameeofcdajhecafdkmmobeolonenpdmk"",")</f>
        <v>"ameeofcdajhecafdkmmobeolonenpdmk",</v>
      </c>
    </row>
    <row r="6983">
      <c r="A6983" s="4" t="s">
        <v>26162</v>
      </c>
      <c r="B6983" s="4" t="s">
        <v>13904</v>
      </c>
      <c r="C6983" s="16" t="str">
        <f>IFERROR(__xludf.DUMMYFUNCTION(""""""""" &amp; REGEXEXTRACT(B6983, ""/detail/([^/?]+)"") &amp; """""","""),"""cphpiaeghkgaodcpcepgboloofaajjib"",")</f>
        <v>"cphpiaeghkgaodcpcepgboloofaajjib",</v>
      </c>
    </row>
    <row r="6984">
      <c r="A6984" s="4" t="s">
        <v>26163</v>
      </c>
      <c r="B6984" s="4" t="s">
        <v>13906</v>
      </c>
      <c r="C6984" s="16" t="str">
        <f>IFERROR(__xludf.DUMMYFUNCTION(""""""""" &amp; REGEXEXTRACT(B6984, ""/detail/([^/?]+)"") &amp; """""","""),"""ekjjmfmbokeceeeblblppmgkcenhncii"",")</f>
        <v>"ekjjmfmbokeceeeblblppmgkcenhncii",</v>
      </c>
    </row>
    <row r="6985">
      <c r="A6985" s="4" t="s">
        <v>26164</v>
      </c>
      <c r="B6985" s="4" t="s">
        <v>13908</v>
      </c>
      <c r="C6985" s="16" t="str">
        <f>IFERROR(__xludf.DUMMYFUNCTION(""""""""" &amp; REGEXEXTRACT(B6985, ""/detail/([^/?]+)"") &amp; """""","""),"""koalogomkahjlabefiglodpnhhkokekg"",")</f>
        <v>"koalogomkahjlabefiglodpnhhkokekg",</v>
      </c>
    </row>
    <row r="6986">
      <c r="A6986" s="4" t="s">
        <v>26165</v>
      </c>
      <c r="B6986" s="4" t="s">
        <v>13910</v>
      </c>
      <c r="C6986" s="16" t="str">
        <f>IFERROR(__xludf.DUMMYFUNCTION(""""""""" &amp; REGEXEXTRACT(B6986, ""/detail/([^/?]+)"") &amp; """""","""),"""plhfkbchbffookkidijgflacgbclpljo"",")</f>
        <v>"plhfkbchbffookkidijgflacgbclpljo",</v>
      </c>
    </row>
    <row r="6987">
      <c r="A6987" s="4" t="s">
        <v>26166</v>
      </c>
      <c r="B6987" s="4" t="s">
        <v>13912</v>
      </c>
      <c r="C6987" s="16" t="str">
        <f>IFERROR(__xludf.DUMMYFUNCTION(""""""""" &amp; REGEXEXTRACT(B6987, ""/detail/([^/?]+)"") &amp; """""","""),"""hahpccmdkmgmaoebhfnkpcnndnklfbpj"",")</f>
        <v>"hahpccmdkmgmaoebhfnkpcnndnklfbpj",</v>
      </c>
    </row>
    <row r="6988">
      <c r="A6988" s="4" t="s">
        <v>26167</v>
      </c>
      <c r="B6988" s="4" t="s">
        <v>13914</v>
      </c>
      <c r="C6988" s="16" t="str">
        <f>IFERROR(__xludf.DUMMYFUNCTION(""""""""" &amp; REGEXEXTRACT(B6988, ""/detail/([^/?]+)"") &amp; """""","""),"""odlhnmnfcdnfglohcegliaiphgnppebl"",")</f>
        <v>"odlhnmnfcdnfglohcegliaiphgnppebl",</v>
      </c>
    </row>
    <row r="6989">
      <c r="A6989" s="4" t="s">
        <v>26168</v>
      </c>
      <c r="B6989" s="4" t="s">
        <v>13916</v>
      </c>
      <c r="C6989" s="16" t="str">
        <f>IFERROR(__xludf.DUMMYFUNCTION(""""""""" &amp; REGEXEXTRACT(B6989, ""/detail/([^/?]+)"") &amp; """""","""),"""kmfdldnkkbgphenmaobhcihldeagjfjh"",")</f>
        <v>"kmfdldnkkbgphenmaobhcihldeagjfjh",</v>
      </c>
    </row>
    <row r="6990">
      <c r="A6990" s="4" t="s">
        <v>26169</v>
      </c>
      <c r="B6990" s="4" t="s">
        <v>13918</v>
      </c>
      <c r="C6990" s="16" t="str">
        <f>IFERROR(__xludf.DUMMYFUNCTION(""""""""" &amp; REGEXEXTRACT(B6990, ""/detail/([^/?]+)"") &amp; """""","""),"""lkkdeokncfjlinldgikoabgknklnnkoe"",")</f>
        <v>"lkkdeokncfjlinldgikoabgknklnnkoe",</v>
      </c>
    </row>
    <row r="6991">
      <c r="A6991" s="4" t="s">
        <v>26170</v>
      </c>
      <c r="B6991" s="4" t="s">
        <v>13920</v>
      </c>
      <c r="C6991" s="16" t="str">
        <f>IFERROR(__xludf.DUMMYFUNCTION(""""""""" &amp; REGEXEXTRACT(B6991, ""/detail/([^/?]+)"") &amp; """""","""),"""okbncahhjihmnjpiadepoioodfnfanjk"",")</f>
        <v>"okbncahhjihmnjpiadepoioodfnfanjk",</v>
      </c>
    </row>
    <row r="6992">
      <c r="A6992" s="4" t="s">
        <v>26171</v>
      </c>
      <c r="B6992" s="4" t="s">
        <v>13922</v>
      </c>
      <c r="C6992" s="16" t="str">
        <f>IFERROR(__xludf.DUMMYFUNCTION(""""""""" &amp; REGEXEXTRACT(B6992, ""/detail/([^/?]+)"") &amp; """""","""),"""bocemdfoolahglpjdaimkmcmdpedlgdl"",")</f>
        <v>"bocemdfoolahglpjdaimkmcmdpedlgdl",</v>
      </c>
    </row>
    <row r="6993">
      <c r="A6993" s="4" t="s">
        <v>26172</v>
      </c>
      <c r="B6993" s="4" t="s">
        <v>13924</v>
      </c>
      <c r="C6993" s="16" t="str">
        <f>IFERROR(__xludf.DUMMYFUNCTION(""""""""" &amp; REGEXEXTRACT(B6993, ""/detail/([^/?]+)"") &amp; """""","""),"""dggjcalaookhdobepmgnofebafbonhph"",")</f>
        <v>"dggjcalaookhdobepmgnofebafbonhph",</v>
      </c>
    </row>
    <row r="6994">
      <c r="A6994" s="4" t="s">
        <v>26173</v>
      </c>
      <c r="B6994" s="4" t="s">
        <v>13926</v>
      </c>
      <c r="C6994" s="16" t="str">
        <f>IFERROR(__xludf.DUMMYFUNCTION(""""""""" &amp; REGEXEXTRACT(B6994, ""/detail/([^/?]+)"") &amp; """""","""),"""fkfoonlihboclonnbkaclbifebdmedfc"",")</f>
        <v>"fkfoonlihboclonnbkaclbifebdmedfc",</v>
      </c>
    </row>
    <row r="6995">
      <c r="A6995" s="4" t="s">
        <v>26174</v>
      </c>
      <c r="B6995" s="4" t="s">
        <v>13928</v>
      </c>
      <c r="C6995" s="16" t="str">
        <f>IFERROR(__xludf.DUMMYFUNCTION(""""""""" &amp; REGEXEXTRACT(B6995, ""/detail/([^/?]+)"") &amp; """""","""),"""nilliopfnijnmfhbeamlobibgmcmjljk"",")</f>
        <v>"nilliopfnijnmfhbeamlobibgmcmjljk",</v>
      </c>
    </row>
    <row r="6996">
      <c r="A6996" s="4" t="s">
        <v>26175</v>
      </c>
      <c r="B6996" s="4" t="s">
        <v>13929</v>
      </c>
      <c r="C6996" s="16" t="str">
        <f>IFERROR(__xludf.DUMMYFUNCTION(""""""""" &amp; REGEXEXTRACT(B6996, ""/detail/([^/?]+)"") &amp; """""","""),"""opmcmbcmkbobnbloaanbgminfokciinp"",")</f>
        <v>"opmcmbcmkbobnbloaanbgminfokciinp",</v>
      </c>
    </row>
    <row r="6997">
      <c r="A6997" s="4" t="s">
        <v>26176</v>
      </c>
      <c r="B6997" s="4" t="s">
        <v>13931</v>
      </c>
      <c r="C6997" s="16" t="str">
        <f>IFERROR(__xludf.DUMMYFUNCTION(""""""""" &amp; REGEXEXTRACT(B6997, ""/detail/([^/?]+)"") &amp; """""","""),"""iennmgkhodlaphjanjeincjlolinlhng"",")</f>
        <v>"iennmgkhodlaphjanjeincjlolinlhng",</v>
      </c>
    </row>
    <row r="6998">
      <c r="A6998" s="4" t="s">
        <v>26177</v>
      </c>
      <c r="B6998" s="4" t="s">
        <v>13933</v>
      </c>
      <c r="C6998" s="16" t="str">
        <f>IFERROR(__xludf.DUMMYFUNCTION(""""""""" &amp; REGEXEXTRACT(B6998, ""/detail/([^/?]+)"") &amp; """""","""),"""lgdhflflkpgfhhpgnpeocbfmmkijcckn"",")</f>
        <v>"lgdhflflkpgfhhpgnpeocbfmmkijcckn",</v>
      </c>
    </row>
    <row r="6999">
      <c r="A6999" s="4" t="s">
        <v>26178</v>
      </c>
      <c r="B6999" s="4" t="s">
        <v>13935</v>
      </c>
      <c r="C6999" s="16" t="str">
        <f>IFERROR(__xludf.DUMMYFUNCTION(""""""""" &amp; REGEXEXTRACT(B6999, ""/detail/([^/?]+)"") &amp; """""","""),"""pnfaggphefamolgkicoieffboglcihgg"",")</f>
        <v>"pnfaggphefamolgkicoieffboglcihgg",</v>
      </c>
    </row>
    <row r="7000">
      <c r="A7000" s="4" t="s">
        <v>26179</v>
      </c>
      <c r="B7000" s="4" t="s">
        <v>13937</v>
      </c>
      <c r="C7000" s="16" t="str">
        <f>IFERROR(__xludf.DUMMYFUNCTION(""""""""" &amp; REGEXEXTRACT(B7000, ""/detail/([^/?]+)"") &amp; """""","""),"""fobloefinmdlpnanffefbpkkgflocmlp"",")</f>
        <v>"fobloefinmdlpnanffefbpkkgflocmlp",</v>
      </c>
    </row>
    <row r="7001">
      <c r="A7001" s="4" t="s">
        <v>26180</v>
      </c>
      <c r="B7001" s="4" t="s">
        <v>13939</v>
      </c>
      <c r="C7001" s="16" t="str">
        <f>IFERROR(__xludf.DUMMYFUNCTION(""""""""" &amp; REGEXEXTRACT(B7001, ""/detail/([^/?]+)"") &amp; """""","""),"""golfblfimaaodgjjagigkahbbhbagndl"",")</f>
        <v>"golfblfimaaodgjjagigkahbbhbagndl",</v>
      </c>
    </row>
    <row r="7002">
      <c r="A7002" s="4" t="s">
        <v>26181</v>
      </c>
      <c r="B7002" s="4" t="s">
        <v>13941</v>
      </c>
      <c r="C7002" s="16" t="str">
        <f>IFERROR(__xludf.DUMMYFUNCTION(""""""""" &amp; REGEXEXTRACT(B7002, ""/detail/([^/?]+)"") &amp; """""","""),"""ijhjoaolkofdfgbnfalbomgkblphhoji"",")</f>
        <v>"ijhjoaolkofdfgbnfalbomgkblphhoji",</v>
      </c>
    </row>
    <row r="7003">
      <c r="A7003" s="4" t="s">
        <v>26182</v>
      </c>
      <c r="B7003" s="4" t="s">
        <v>13943</v>
      </c>
      <c r="C7003" s="16" t="str">
        <f>IFERROR(__xludf.DUMMYFUNCTION(""""""""" &amp; REGEXEXTRACT(B7003, ""/detail/([^/?]+)"") &amp; """""","""),"""pemfnmdbgcehmkfbgpcimghoopojjchp"",")</f>
        <v>"pemfnmdbgcehmkfbgpcimghoopojjchp",</v>
      </c>
    </row>
    <row r="7004">
      <c r="A7004" s="4" t="s">
        <v>26183</v>
      </c>
      <c r="B7004" s="4" t="s">
        <v>13945</v>
      </c>
      <c r="C7004" s="16" t="str">
        <f>IFERROR(__xludf.DUMMYFUNCTION(""""""""" &amp; REGEXEXTRACT(B7004, ""/detail/([^/?]+)"") &amp; """""","""),"""phneljjeificmdaehodadkdiacgiinbk"",")</f>
        <v>"phneljjeificmdaehodadkdiacgiinbk",</v>
      </c>
    </row>
    <row r="7005">
      <c r="A7005" s="4" t="s">
        <v>26184</v>
      </c>
      <c r="B7005" s="4" t="s">
        <v>13947</v>
      </c>
      <c r="C7005" s="16" t="str">
        <f>IFERROR(__xludf.DUMMYFUNCTION(""""""""" &amp; REGEXEXTRACT(B7005, ""/detail/([^/?]+)"") &amp; """""","""),"""abmbeknhkchhaalbjkbehhfbibcmogbe"",")</f>
        <v>"abmbeknhkchhaalbjkbehhfbibcmogbe",</v>
      </c>
    </row>
    <row r="7006">
      <c r="A7006" s="4" t="s">
        <v>26185</v>
      </c>
      <c r="B7006" s="4" t="s">
        <v>13949</v>
      </c>
      <c r="C7006" s="16" t="str">
        <f>IFERROR(__xludf.DUMMYFUNCTION(""""""""" &amp; REGEXEXTRACT(B7006, ""/detail/([^/?]+)"") &amp; """""","""),"""doipjigkgmeaohilolpdphkafmhdpdam"",")</f>
        <v>"doipjigkgmeaohilolpdphkafmhdpdam",</v>
      </c>
    </row>
    <row r="7007">
      <c r="A7007" s="4" t="s">
        <v>26186</v>
      </c>
      <c r="B7007" s="4" t="s">
        <v>13951</v>
      </c>
      <c r="C7007" s="16" t="str">
        <f>IFERROR(__xludf.DUMMYFUNCTION(""""""""" &amp; REGEXEXTRACT(B7007, ""/detail/([^/?]+)"") &amp; """""","""),"""fbfmjjebfpcefapmipcbckbdpfnjhfmj"",")</f>
        <v>"fbfmjjebfpcefapmipcbckbdpfnjhfmj",</v>
      </c>
    </row>
    <row r="7008">
      <c r="A7008" s="4" t="s">
        <v>26187</v>
      </c>
      <c r="B7008" s="4" t="s">
        <v>13953</v>
      </c>
      <c r="C7008" s="16" t="str">
        <f>IFERROR(__xludf.DUMMYFUNCTION(""""""""" &amp; REGEXEXTRACT(B7008, ""/detail/([^/?]+)"") &amp; """""","""),"""ggfnopabjhlbcmchfajkadagogmohglj"",")</f>
        <v>"ggfnopabjhlbcmchfajkadagogmohglj",</v>
      </c>
    </row>
    <row r="7009">
      <c r="A7009" s="4" t="s">
        <v>26188</v>
      </c>
      <c r="B7009" s="4" t="s">
        <v>13955</v>
      </c>
      <c r="C7009" s="16" t="str">
        <f>IFERROR(__xludf.DUMMYFUNCTION(""""""""" &amp; REGEXEXTRACT(B7009, ""/detail/([^/?]+)"") &amp; """""","""),"""iihalhcnelmolmliablkcmhahdnfcejf"",")</f>
        <v>"iihalhcnelmolmliablkcmhahdnfcejf",</v>
      </c>
    </row>
    <row r="7010">
      <c r="A7010" s="4" t="s">
        <v>26189</v>
      </c>
      <c r="B7010" s="4" t="s">
        <v>13957</v>
      </c>
      <c r="C7010" s="16" t="str">
        <f>IFERROR(__xludf.DUMMYFUNCTION(""""""""" &amp; REGEXEXTRACT(B7010, ""/detail/([^/?]+)"") &amp; """""","""),"""cjahhhdejgeeijmmlinkckdmlheefcke"",")</f>
        <v>"cjahhhdejgeeijmmlinkckdmlheefcke",</v>
      </c>
    </row>
    <row r="7011">
      <c r="A7011" s="4" t="s">
        <v>26190</v>
      </c>
      <c r="B7011" s="4" t="s">
        <v>13959</v>
      </c>
      <c r="C7011" s="16" t="str">
        <f>IFERROR(__xludf.DUMMYFUNCTION(""""""""" &amp; REGEXEXTRACT(B7011, ""/detail/([^/?]+)"") &amp; """""","""),"""fnhlecpfnocgmmmghkjcipmhdpmpddii"",")</f>
        <v>"fnhlecpfnocgmmmghkjcipmhdpmpddii",</v>
      </c>
    </row>
    <row r="7012">
      <c r="A7012" s="4" t="s">
        <v>26191</v>
      </c>
      <c r="B7012" s="4" t="s">
        <v>13961</v>
      </c>
      <c r="C7012" s="16" t="str">
        <f>IFERROR(__xludf.DUMMYFUNCTION(""""""""" &amp; REGEXEXTRACT(B7012, ""/detail/([^/?]+)"") &amp; """""","""),"""madljjkeanhoocbnlfehnahfikjbnnhl"",")</f>
        <v>"madljjkeanhoocbnlfehnahfikjbnnhl",</v>
      </c>
    </row>
    <row r="7013">
      <c r="A7013" s="4" t="s">
        <v>26192</v>
      </c>
      <c r="B7013" s="4" t="s">
        <v>13963</v>
      </c>
      <c r="C7013" s="16" t="str">
        <f>IFERROR(__xludf.DUMMYFUNCTION(""""""""" &amp; REGEXEXTRACT(B7013, ""/detail/([^/?]+)"") &amp; """""","""),"""nijiemanodbknbbpngohcdhbadmnhcde"",")</f>
        <v>"nijiemanodbknbbpngohcdhbadmnhcde",</v>
      </c>
    </row>
    <row r="7014">
      <c r="A7014" s="4" t="s">
        <v>26193</v>
      </c>
      <c r="B7014" s="4" t="s">
        <v>13965</v>
      </c>
      <c r="C7014" s="16" t="str">
        <f>IFERROR(__xludf.DUMMYFUNCTION(""""""""" &amp; REGEXEXTRACT(B7014, ""/detail/([^/?]+)"") &amp; """""","""),"""ekleaenhplpaiincbdkbebmeccfgmbll"",")</f>
        <v>"ekleaenhplpaiincbdkbebmeccfgmbll",</v>
      </c>
    </row>
    <row r="7015">
      <c r="A7015" s="4" t="s">
        <v>26194</v>
      </c>
      <c r="B7015" s="4" t="s">
        <v>13967</v>
      </c>
      <c r="C7015" s="16" t="str">
        <f>IFERROR(__xludf.DUMMYFUNCTION(""""""""" &amp; REGEXEXTRACT(B7015, ""/detail/([^/?]+)"") &amp; """""","""),"""lbkokgnilbbkpjnkeamgpbhmdojajngo"",")</f>
        <v>"lbkokgnilbbkpjnkeamgpbhmdojajngo",</v>
      </c>
    </row>
    <row r="7016">
      <c r="A7016" s="4" t="s">
        <v>26195</v>
      </c>
      <c r="B7016" s="4" t="s">
        <v>13969</v>
      </c>
      <c r="C7016" s="16" t="str">
        <f>IFERROR(__xludf.DUMMYFUNCTION(""""""""" &amp; REGEXEXTRACT(B7016, ""/detail/([^/?]+)"") &amp; """""","""),"""egdgajocnmpjhghpglffhngdojcinkhn"",")</f>
        <v>"egdgajocnmpjhghpglffhngdojcinkhn",</v>
      </c>
    </row>
    <row r="7017">
      <c r="A7017" s="4" t="s">
        <v>26196</v>
      </c>
      <c r="B7017" s="4" t="s">
        <v>13971</v>
      </c>
      <c r="C7017" s="16" t="str">
        <f>IFERROR(__xludf.DUMMYFUNCTION(""""""""" &amp; REGEXEXTRACT(B7017, ""/detail/([^/?]+)"") &amp; """""","""),"""nlddooikpnchhikklpamelnpldhcpnbe"",")</f>
        <v>"nlddooikpnchhikklpamelnpldhcpnbe",</v>
      </c>
    </row>
    <row r="7018">
      <c r="A7018" s="4" t="s">
        <v>26197</v>
      </c>
      <c r="B7018" s="4" t="s">
        <v>13973</v>
      </c>
      <c r="C7018" s="16" t="str">
        <f>IFERROR(__xludf.DUMMYFUNCTION(""""""""" &amp; REGEXEXTRACT(B7018, ""/detail/([^/?]+)"") &amp; """""","""),"""febbpoacmmneppioahpfegkoafiicdmm"",")</f>
        <v>"febbpoacmmneppioahpfegkoafiicdmm",</v>
      </c>
    </row>
    <row r="7019">
      <c r="A7019" s="4" t="s">
        <v>26198</v>
      </c>
      <c r="B7019" s="4" t="s">
        <v>13975</v>
      </c>
      <c r="C7019" s="16" t="str">
        <f>IFERROR(__xludf.DUMMYFUNCTION(""""""""" &amp; REGEXEXTRACT(B7019, ""/detail/([^/?]+)"") &amp; """""","""),"""ihgpfjkeignaegoghdopjncdahgilfnc"",")</f>
        <v>"ihgpfjkeignaegoghdopjncdahgilfnc",</v>
      </c>
    </row>
    <row r="7020">
      <c r="A7020" s="4" t="s">
        <v>26199</v>
      </c>
      <c r="B7020" s="4" t="s">
        <v>13977</v>
      </c>
      <c r="C7020" s="16" t="str">
        <f>IFERROR(__xludf.DUMMYFUNCTION(""""""""" &amp; REGEXEXTRACT(B7020, ""/detail/([^/?]+)"") &amp; """""","""),"""inodhkekikcaapcjhcepfiplgeoffjpb"",")</f>
        <v>"inodhkekikcaapcjhcepfiplgeoffjpb",</v>
      </c>
    </row>
    <row r="7021">
      <c r="A7021" s="4" t="s">
        <v>26200</v>
      </c>
      <c r="B7021" s="4" t="s">
        <v>13979</v>
      </c>
      <c r="C7021" s="16" t="str">
        <f>IFERROR(__xludf.DUMMYFUNCTION(""""""""" &amp; REGEXEXTRACT(B7021, ""/detail/([^/?]+)"") &amp; """""","""),"""lakpjellnlajgbedjhejhdbkmphhfolo"",")</f>
        <v>"lakpjellnlajgbedjhejhdbkmphhfolo",</v>
      </c>
    </row>
    <row r="7022">
      <c r="A7022" s="4" t="s">
        <v>26201</v>
      </c>
      <c r="B7022" s="4" t="s">
        <v>13981</v>
      </c>
      <c r="C7022" s="16" t="str">
        <f>IFERROR(__xludf.DUMMYFUNCTION(""""""""" &amp; REGEXEXTRACT(B7022, ""/detail/([^/?]+)"") &amp; """""","""),"""ogomkaomgiefjihfoaoajomablaiiknf"",")</f>
        <v>"ogomkaomgiefjihfoaoajomablaiiknf",</v>
      </c>
    </row>
    <row r="7023">
      <c r="A7023" s="4" t="s">
        <v>26202</v>
      </c>
      <c r="B7023" s="4" t="s">
        <v>13983</v>
      </c>
      <c r="C7023" s="16" t="str">
        <f>IFERROR(__xludf.DUMMYFUNCTION(""""""""" &amp; REGEXEXTRACT(B7023, ""/detail/([^/?]+)"") &amp; """""","""),"""ppoadiihggafnhokfkpphojggcdigllp"",")</f>
        <v>"ppoadiihggafnhokfkpphojggcdigllp",</v>
      </c>
    </row>
    <row r="7024">
      <c r="A7024" s="4" t="s">
        <v>26203</v>
      </c>
      <c r="B7024" s="4" t="s">
        <v>13985</v>
      </c>
      <c r="C7024" s="16" t="str">
        <f>IFERROR(__xludf.DUMMYFUNCTION(""""""""" &amp; REGEXEXTRACT(B7024, ""/detail/([^/?]+)"") &amp; """""","""),"""lnbjmahfkagdmpeifkblhkglbcpbpohk"",")</f>
        <v>"lnbjmahfkagdmpeifkblhkglbcpbpohk",</v>
      </c>
    </row>
    <row r="7025">
      <c r="A7025" s="4" t="s">
        <v>26204</v>
      </c>
      <c r="B7025" s="4" t="s">
        <v>13987</v>
      </c>
      <c r="C7025" s="16" t="str">
        <f>IFERROR(__xludf.DUMMYFUNCTION(""""""""" &amp; REGEXEXTRACT(B7025, ""/detail/([^/?]+)"") &amp; """""","""),"""mkpibmnbjlmhmmnlcnplekcdkjnjjcba"",")</f>
        <v>"mkpibmnbjlmhmmnlcnplekcdkjnjjcba",</v>
      </c>
    </row>
    <row r="7026">
      <c r="A7026" s="4" t="s">
        <v>26205</v>
      </c>
      <c r="B7026" s="4" t="s">
        <v>13989</v>
      </c>
      <c r="C7026" s="16" t="str">
        <f>IFERROR(__xludf.DUMMYFUNCTION(""""""""" &amp; REGEXEXTRACT(B7026, ""/detail/([^/?]+)"") &amp; """""","""),"""dbpfebhlmkmglapcnmhiedpkoadpggco"",")</f>
        <v>"dbpfebhlmkmglapcnmhiedpkoadpggco",</v>
      </c>
    </row>
    <row r="7027">
      <c r="A7027" s="4" t="s">
        <v>26206</v>
      </c>
      <c r="B7027" s="4" t="s">
        <v>13991</v>
      </c>
      <c r="C7027" s="16" t="str">
        <f>IFERROR(__xludf.DUMMYFUNCTION(""""""""" &amp; REGEXEXTRACT(B7027, ""/detail/([^/?]+)"") &amp; """""","""),"""eakokjhgkhhijjoiemldkiodpeliffod"",")</f>
        <v>"eakokjhgkhhijjoiemldkiodpeliffod",</v>
      </c>
    </row>
    <row r="7028">
      <c r="A7028" s="4" t="s">
        <v>26207</v>
      </c>
      <c r="B7028" s="4" t="s">
        <v>13993</v>
      </c>
      <c r="C7028" s="16" t="str">
        <f>IFERROR(__xludf.DUMMYFUNCTION(""""""""" &amp; REGEXEXTRACT(B7028, ""/detail/([^/?]+)"") &amp; """""","""),"""hepfpnmpnjacajnfkpmmmhhbiaggddin"",")</f>
        <v>"hepfpnmpnjacajnfkpmmmhhbiaggddin",</v>
      </c>
    </row>
    <row r="7029">
      <c r="A7029" s="4" t="s">
        <v>26208</v>
      </c>
      <c r="B7029" s="4" t="s">
        <v>13995</v>
      </c>
      <c r="C7029" s="16" t="str">
        <f>IFERROR(__xludf.DUMMYFUNCTION(""""""""" &amp; REGEXEXTRACT(B7029, ""/detail/([^/?]+)"") &amp; """""","""),"""jcohaoldnebjjblkhmifechlephbefio"",")</f>
        <v>"jcohaoldnebjjblkhmifechlephbefio",</v>
      </c>
    </row>
    <row r="7030">
      <c r="A7030" s="4" t="s">
        <v>26209</v>
      </c>
      <c r="B7030" s="4" t="s">
        <v>13997</v>
      </c>
      <c r="C7030" s="16" t="str">
        <f>IFERROR(__xludf.DUMMYFUNCTION(""""""""" &amp; REGEXEXTRACT(B7030, ""/detail/([^/?]+)"") &amp; """""","""),"""pjacaegmadgnakiegpmedhbpfoecmfop"",")</f>
        <v>"pjacaegmadgnakiegpmedhbpfoecmfop",</v>
      </c>
    </row>
    <row r="7031">
      <c r="A7031" s="4" t="s">
        <v>26210</v>
      </c>
      <c r="B7031" s="4" t="s">
        <v>13999</v>
      </c>
      <c r="C7031" s="16" t="str">
        <f>IFERROR(__xludf.DUMMYFUNCTION(""""""""" &amp; REGEXEXTRACT(B7031, ""/detail/([^/?]+)"") &amp; """""","""),"""acjiedbilhbchmjblapmekfajpplpgdo"",")</f>
        <v>"acjiedbilhbchmjblapmekfajpplpgdo",</v>
      </c>
    </row>
    <row r="7032">
      <c r="A7032" s="4" t="s">
        <v>26211</v>
      </c>
      <c r="B7032" s="4" t="s">
        <v>14001</v>
      </c>
      <c r="C7032" s="16" t="str">
        <f>IFERROR(__xludf.DUMMYFUNCTION(""""""""" &amp; REGEXEXTRACT(B7032, ""/detail/([^/?]+)"") &amp; """""","""),"""hciibklojpeiibfiknmcedlfgggoejin"",")</f>
        <v>"hciibklojpeiibfiknmcedlfgggoejin",</v>
      </c>
    </row>
    <row r="7033">
      <c r="A7033" s="4" t="s">
        <v>26212</v>
      </c>
      <c r="B7033" s="4" t="s">
        <v>14003</v>
      </c>
      <c r="C7033" s="16" t="str">
        <f>IFERROR(__xludf.DUMMYFUNCTION(""""""""" &amp; REGEXEXTRACT(B7033, ""/detail/([^/?]+)"") &amp; """""","""),"""ikeijbmpddnkaeejokgifioccbcijjfo"",")</f>
        <v>"ikeijbmpddnkaeejokgifioccbcijjfo",</v>
      </c>
    </row>
    <row r="7034">
      <c r="A7034" s="4" t="s">
        <v>26213</v>
      </c>
      <c r="B7034" s="4" t="s">
        <v>14005</v>
      </c>
      <c r="C7034" s="16" t="str">
        <f>IFERROR(__xludf.DUMMYFUNCTION(""""""""" &amp; REGEXEXTRACT(B7034, ""/detail/([^/?]+)"") &amp; """""","""),"""mogceicjmeopokfnobebnoepladkifdn"",")</f>
        <v>"mogceicjmeopokfnobebnoepladkifdn",</v>
      </c>
    </row>
    <row r="7035">
      <c r="A7035" s="4" t="s">
        <v>26214</v>
      </c>
      <c r="B7035" s="4" t="s">
        <v>14007</v>
      </c>
      <c r="C7035" s="16" t="str">
        <f>IFERROR(__xludf.DUMMYFUNCTION(""""""""" &amp; REGEXEXTRACT(B7035, ""/detail/([^/?]+)"") &amp; """""","""),"""nlabgnkjjckboiimmhkeplocmhpcfkkn"",")</f>
        <v>"nlabgnkjjckboiimmhkeplocmhpcfkkn",</v>
      </c>
    </row>
    <row r="7036">
      <c r="A7036" s="4" t="s">
        <v>26215</v>
      </c>
      <c r="B7036" s="4" t="s">
        <v>14009</v>
      </c>
      <c r="C7036" s="16" t="str">
        <f>IFERROR(__xludf.DUMMYFUNCTION(""""""""" &amp; REGEXEXTRACT(B7036, ""/detail/([^/?]+)"") &amp; """""","""),"""adhejfemhikenogccjlljipjiekgopfh"",")</f>
        <v>"adhejfemhikenogccjlljipjiekgopfh",</v>
      </c>
    </row>
    <row r="7037">
      <c r="A7037" s="4" t="s">
        <v>26216</v>
      </c>
      <c r="B7037" s="4" t="s">
        <v>14011</v>
      </c>
      <c r="C7037" s="16" t="str">
        <f>IFERROR(__xludf.DUMMYFUNCTION(""""""""" &amp; REGEXEXTRACT(B7037, ""/detail/([^/?]+)"") &amp; """""","""),"""aokleaidncgnfejhkddhfobfffalfilm"",")</f>
        <v>"aokleaidncgnfejhkddhfobfffalfilm",</v>
      </c>
    </row>
    <row r="7038">
      <c r="A7038" s="4" t="s">
        <v>26217</v>
      </c>
      <c r="B7038" s="4" t="s">
        <v>14013</v>
      </c>
      <c r="C7038" s="16" t="str">
        <f>IFERROR(__xludf.DUMMYFUNCTION(""""""""" &amp; REGEXEXTRACT(B7038, ""/detail/([^/?]+)"") &amp; """""","""),"""dpcghdgbhjkihgnnbojldhjmcbieofgo"",")</f>
        <v>"dpcghdgbhjkihgnnbojldhjmcbieofgo",</v>
      </c>
    </row>
    <row r="7039">
      <c r="A7039" s="4" t="s">
        <v>26218</v>
      </c>
      <c r="B7039" s="4" t="s">
        <v>14015</v>
      </c>
      <c r="C7039" s="16" t="str">
        <f>IFERROR(__xludf.DUMMYFUNCTION(""""""""" &amp; REGEXEXTRACT(B7039, ""/detail/([^/?]+)"") &amp; """""","""),"""magolbmjckjmhpmohfpomegcpmgfkpcm"",")</f>
        <v>"magolbmjckjmhpmohfpomegcpmgfkpcm",</v>
      </c>
    </row>
    <row r="7040">
      <c r="A7040" s="4" t="s">
        <v>26219</v>
      </c>
      <c r="B7040" s="4" t="s">
        <v>14017</v>
      </c>
      <c r="C7040" s="16" t="str">
        <f>IFERROR(__xludf.DUMMYFUNCTION(""""""""" &amp; REGEXEXTRACT(B7040, ""/detail/([^/?]+)"") &amp; """""","""),"""mnmplenlloeppjiopcknepdmlcbbfeln"",")</f>
        <v>"mnmplenlloeppjiopcknepdmlcbbfeln",</v>
      </c>
    </row>
    <row r="7041">
      <c r="A7041" s="4" t="s">
        <v>26220</v>
      </c>
      <c r="B7041" s="4" t="s">
        <v>14019</v>
      </c>
      <c r="C7041" s="16" t="str">
        <f>IFERROR(__xludf.DUMMYFUNCTION(""""""""" &amp; REGEXEXTRACT(B7041, ""/detail/([^/?]+)"") &amp; """""","""),"""egiemoacchfofdhhlfhkdcacgaopncmi"",")</f>
        <v>"egiemoacchfofdhhlfhkdcacgaopncmi",</v>
      </c>
    </row>
    <row r="7042">
      <c r="A7042" s="4" t="s">
        <v>26221</v>
      </c>
      <c r="B7042" s="4" t="s">
        <v>14021</v>
      </c>
      <c r="C7042" s="16" t="str">
        <f>IFERROR(__xludf.DUMMYFUNCTION(""""""""" &amp; REGEXEXTRACT(B7042, ""/detail/([^/?]+)"") &amp; """""","""),"""lndpiehcijmlgooadkonganjdnnaojhc"",")</f>
        <v>"lndpiehcijmlgooadkonganjdnnaojhc",</v>
      </c>
    </row>
    <row r="7043">
      <c r="A7043" s="4" t="s">
        <v>26222</v>
      </c>
      <c r="B7043" s="4" t="s">
        <v>14023</v>
      </c>
      <c r="C7043" s="16" t="str">
        <f>IFERROR(__xludf.DUMMYFUNCTION(""""""""" &amp; REGEXEXTRACT(B7043, ""/detail/([^/?]+)"") &amp; """""","""),"""mpiipiobgejghkocofogeonfkapjgfmk"",")</f>
        <v>"mpiipiobgejghkocofogeonfkapjgfmk",</v>
      </c>
    </row>
    <row r="7044">
      <c r="A7044" s="4" t="s">
        <v>26223</v>
      </c>
      <c r="B7044" s="4" t="s">
        <v>14025</v>
      </c>
      <c r="C7044" s="16" t="str">
        <f>IFERROR(__xludf.DUMMYFUNCTION(""""""""" &amp; REGEXEXTRACT(B7044, ""/detail/([^/?]+)"") &amp; """""","""),"""paoldhmcjbgimkcicmognhfcjmcpcopl"",")</f>
        <v>"paoldhmcjbgimkcicmognhfcjmcpcopl",</v>
      </c>
    </row>
    <row r="7045">
      <c r="A7045" s="4" t="s">
        <v>26224</v>
      </c>
      <c r="B7045" s="4" t="s">
        <v>14027</v>
      </c>
      <c r="C7045" s="16" t="str">
        <f>IFERROR(__xludf.DUMMYFUNCTION(""""""""" &amp; REGEXEXTRACT(B7045, ""/detail/([^/?]+)"") &amp; """""","""),"""pogcoeenpkpdchlmloiehcbabfkfjncf"",")</f>
        <v>"pogcoeenpkpdchlmloiehcbabfkfjncf",</v>
      </c>
    </row>
    <row r="7046">
      <c r="A7046" s="4" t="s">
        <v>26225</v>
      </c>
      <c r="B7046" s="4" t="s">
        <v>14029</v>
      </c>
      <c r="C7046" s="16" t="str">
        <f>IFERROR(__xludf.DUMMYFUNCTION(""""""""" &amp; REGEXEXTRACT(B7046, ""/detail/([^/?]+)"") &amp; """""","""),"""bkpohndgjlgpohojjndfigankhdnbgll"",")</f>
        <v>"bkpohndgjlgpohojjndfigankhdnbgll",</v>
      </c>
    </row>
    <row r="7047">
      <c r="A7047" s="4" t="s">
        <v>26226</v>
      </c>
      <c r="B7047" s="4" t="s">
        <v>14031</v>
      </c>
      <c r="C7047" s="16" t="str">
        <f>IFERROR(__xludf.DUMMYFUNCTION(""""""""" &amp; REGEXEXTRACT(B7047, ""/detail/([^/?]+)"") &amp; """""","""),"""fepcpdjalebcocminbnogcgfbphllkeh"",")</f>
        <v>"fepcpdjalebcocminbnogcgfbphllkeh",</v>
      </c>
    </row>
    <row r="7048">
      <c r="A7048" s="4" t="s">
        <v>26227</v>
      </c>
      <c r="B7048" s="4" t="s">
        <v>14033</v>
      </c>
      <c r="C7048" s="16" t="str">
        <f>IFERROR(__xludf.DUMMYFUNCTION(""""""""" &amp; REGEXEXTRACT(B7048, ""/detail/([^/?]+)"") &amp; """""","""),"""gghcgiklappijoenldhohfifipkcpngj"",")</f>
        <v>"gghcgiklappijoenldhohfifipkcpngj",</v>
      </c>
    </row>
    <row r="7049">
      <c r="A7049" s="4" t="s">
        <v>26228</v>
      </c>
      <c r="B7049" s="4" t="s">
        <v>14035</v>
      </c>
      <c r="C7049" s="16" t="str">
        <f>IFERROR(__xludf.DUMMYFUNCTION(""""""""" &amp; REGEXEXTRACT(B7049, ""/detail/([^/?]+)"") &amp; """""","""),"""paakgokkhjhnmhblaflnckghjajlflki"",")</f>
        <v>"paakgokkhjhnmhblaflnckghjajlflki",</v>
      </c>
    </row>
    <row r="7050">
      <c r="A7050" s="4" t="s">
        <v>26229</v>
      </c>
      <c r="B7050" s="4" t="s">
        <v>14037</v>
      </c>
      <c r="C7050" s="16" t="str">
        <f>IFERROR(__xludf.DUMMYFUNCTION(""""""""" &amp; REGEXEXTRACT(B7050, ""/detail/([^/?]+)"") &amp; """""","""),"""bechhfglhcdjmemhkmincgemjgcbeifa"",")</f>
        <v>"bechhfglhcdjmemhkmincgemjgcbeifa",</v>
      </c>
    </row>
    <row r="7051">
      <c r="A7051" s="4" t="s">
        <v>26230</v>
      </c>
      <c r="B7051" s="4" t="s">
        <v>14039</v>
      </c>
      <c r="C7051" s="16" t="str">
        <f>IFERROR(__xludf.DUMMYFUNCTION(""""""""" &amp; REGEXEXTRACT(B7051, ""/detail/([^/?]+)"") &amp; """""","""),"""hlgnjjenjinpaiilhmjpejjjphieejdb"",")</f>
        <v>"hlgnjjenjinpaiilhmjpejjjphieejdb",</v>
      </c>
    </row>
    <row r="7052">
      <c r="A7052" s="4" t="s">
        <v>26231</v>
      </c>
      <c r="B7052" s="4" t="s">
        <v>14041</v>
      </c>
      <c r="C7052" s="16" t="str">
        <f>IFERROR(__xludf.DUMMYFUNCTION(""""""""" &amp; REGEXEXTRACT(B7052, ""/detail/([^/?]+)"") &amp; """""","""),"""inilkfalkkngchkgodhhcmgbofohnkmg"",")</f>
        <v>"inilkfalkkngchkgodhhcmgbofohnkmg",</v>
      </c>
    </row>
    <row r="7053">
      <c r="A7053" s="4" t="s">
        <v>26232</v>
      </c>
      <c r="B7053" s="4" t="s">
        <v>14043</v>
      </c>
      <c r="C7053" s="16" t="str">
        <f>IFERROR(__xludf.DUMMYFUNCTION(""""""""" &amp; REGEXEXTRACT(B7053, ""/detail/([^/?]+)"") &amp; """""","""),"""lcehafmmncnalckchekikmoeeknlbijm"",")</f>
        <v>"lcehafmmncnalckchekikmoeeknlbijm",</v>
      </c>
    </row>
    <row r="7054">
      <c r="A7054" s="4" t="s">
        <v>26233</v>
      </c>
      <c r="B7054" s="4" t="s">
        <v>14045</v>
      </c>
      <c r="C7054" s="16" t="str">
        <f>IFERROR(__xludf.DUMMYFUNCTION(""""""""" &amp; REGEXEXTRACT(B7054, ""/detail/([^/?]+)"") &amp; """""","""),"""cpalggakbbncabkdciiimaimmbencibf"",")</f>
        <v>"cpalggakbbncabkdciiimaimmbencibf",</v>
      </c>
    </row>
    <row r="7055">
      <c r="A7055" s="4" t="s">
        <v>26234</v>
      </c>
      <c r="B7055" s="4" t="s">
        <v>14047</v>
      </c>
      <c r="C7055" s="16" t="str">
        <f>IFERROR(__xludf.DUMMYFUNCTION(""""""""" &amp; REGEXEXTRACT(B7055, ""/detail/([^/?]+)"") &amp; """""","""),"""ioegnnjonphieiamlnmfaacafcdfbccm"",")</f>
        <v>"ioegnnjonphieiamlnmfaacafcdfbccm",</v>
      </c>
    </row>
    <row r="7056">
      <c r="A7056" s="4" t="s">
        <v>26235</v>
      </c>
      <c r="B7056" s="4" t="s">
        <v>14049</v>
      </c>
      <c r="C7056" s="16" t="str">
        <f>IFERROR(__xludf.DUMMYFUNCTION(""""""""" &amp; REGEXEXTRACT(B7056, ""/detail/([^/?]+)"") &amp; """""","""),"""odecihgekkcnfbgbpjgpapaljjnebmdc"",")</f>
        <v>"odecihgekkcnfbgbpjgpapaljjnebmdc",</v>
      </c>
    </row>
    <row r="7057">
      <c r="A7057" s="4" t="s">
        <v>26236</v>
      </c>
      <c r="B7057" s="4" t="s">
        <v>14051</v>
      </c>
      <c r="C7057" s="16" t="str">
        <f>IFERROR(__xludf.DUMMYFUNCTION(""""""""" &amp; REGEXEXTRACT(B7057, ""/detail/([^/?]+)"") &amp; """""","""),"""aciieodoebcieadfecdgeeooelmflkal"",")</f>
        <v>"aciieodoebcieadfecdgeeooelmflkal",</v>
      </c>
    </row>
    <row r="7058">
      <c r="A7058" s="4" t="s">
        <v>26237</v>
      </c>
      <c r="B7058" s="4" t="s">
        <v>14053</v>
      </c>
      <c r="C7058" s="16" t="str">
        <f>IFERROR(__xludf.DUMMYFUNCTION(""""""""" &amp; REGEXEXTRACT(B7058, ""/detail/([^/?]+)"") &amp; """""","""),"""ajpmfpgmlbdhaipikkikomnmkiecpgep"",")</f>
        <v>"ajpmfpgmlbdhaipikkikomnmkiecpgep",</v>
      </c>
    </row>
    <row r="7059">
      <c r="A7059" s="4" t="s">
        <v>26238</v>
      </c>
      <c r="B7059" s="4" t="s">
        <v>14055</v>
      </c>
      <c r="C7059" s="16" t="str">
        <f>IFERROR(__xludf.DUMMYFUNCTION(""""""""" &amp; REGEXEXTRACT(B7059, ""/detail/([^/?]+)"") &amp; """""","""),"""cegjnbajkdmaijhcimmajappmimkohhe"",")</f>
        <v>"cegjnbajkdmaijhcimmajappmimkohhe",</v>
      </c>
    </row>
    <row r="7060">
      <c r="A7060" s="4" t="s">
        <v>26239</v>
      </c>
      <c r="B7060" s="4" t="s">
        <v>14057</v>
      </c>
      <c r="C7060" s="16" t="str">
        <f>IFERROR(__xludf.DUMMYFUNCTION(""""""""" &amp; REGEXEXTRACT(B7060, ""/detail/([^/?]+)"") &amp; """""","""),"""fjoeagddmkkkcfhnehcmaajdbhfkapjb"",")</f>
        <v>"fjoeagddmkkkcfhnehcmaajdbhfkapjb",</v>
      </c>
    </row>
    <row r="7061">
      <c r="A7061" s="4" t="s">
        <v>26240</v>
      </c>
      <c r="B7061" s="4" t="s">
        <v>14059</v>
      </c>
      <c r="C7061" s="16" t="str">
        <f>IFERROR(__xludf.DUMMYFUNCTION(""""""""" &amp; REGEXEXTRACT(B7061, ""/detail/([^/?]+)"") &amp; """""","""),"""iodmhofpdjdndlljpodbbekmkbognang"",")</f>
        <v>"iodmhofpdjdndlljpodbbekmkbognang",</v>
      </c>
    </row>
    <row r="7062">
      <c r="A7062" s="4" t="s">
        <v>26241</v>
      </c>
      <c r="B7062" s="4" t="s">
        <v>14061</v>
      </c>
      <c r="C7062" s="16" t="str">
        <f>IFERROR(__xludf.DUMMYFUNCTION(""""""""" &amp; REGEXEXTRACT(B7062, ""/detail/([^/?]+)"") &amp; """""","""),"""mnmohepacnhlohgdefiieeglgijicomo"",")</f>
        <v>"mnmohepacnhlohgdefiieeglgijicomo",</v>
      </c>
    </row>
    <row r="7063">
      <c r="A7063" s="4" t="s">
        <v>26242</v>
      </c>
      <c r="B7063" s="4" t="s">
        <v>14063</v>
      </c>
      <c r="C7063" s="16" t="str">
        <f>IFERROR(__xludf.DUMMYFUNCTION(""""""""" &amp; REGEXEXTRACT(B7063, ""/detail/([^/?]+)"") &amp; """""","""),"""bbpiealmmbiefhppikadopbljoppcnoa"",")</f>
        <v>"bbpiealmmbiefhppikadopbljoppcnoa",</v>
      </c>
    </row>
    <row r="7064">
      <c r="A7064" s="4" t="s">
        <v>26243</v>
      </c>
      <c r="B7064" s="4" t="s">
        <v>14065</v>
      </c>
      <c r="C7064" s="16" t="str">
        <f>IFERROR(__xludf.DUMMYFUNCTION(""""""""" &amp; REGEXEXTRACT(B7064, ""/detail/([^/?]+)"") &amp; """""","""),"""cnamjhcdoadndjpjodeclalnmfhkoepb"",")</f>
        <v>"cnamjhcdoadndjpjodeclalnmfhkoepb",</v>
      </c>
    </row>
    <row r="7065">
      <c r="A7065" s="4" t="s">
        <v>26244</v>
      </c>
      <c r="B7065" s="4" t="s">
        <v>14067</v>
      </c>
      <c r="C7065" s="16" t="str">
        <f>IFERROR(__xludf.DUMMYFUNCTION(""""""""" &amp; REGEXEXTRACT(B7065, ""/detail/([^/?]+)"") &amp; """""","""),"""hfpjfkbenhdblefkfdlccgkagcfmkadk"",")</f>
        <v>"hfpjfkbenhdblefkfdlccgkagcfmkadk",</v>
      </c>
    </row>
    <row r="7066">
      <c r="A7066" s="4" t="s">
        <v>26245</v>
      </c>
      <c r="B7066" s="4" t="s">
        <v>14069</v>
      </c>
      <c r="C7066" s="16" t="str">
        <f>IFERROR(__xludf.DUMMYFUNCTION(""""""""" &amp; REGEXEXTRACT(B7066, ""/detail/([^/?]+)"") &amp; """""","""),"""hljkfahiahjhhpmpihngnommookkneji"",")</f>
        <v>"hljkfahiahjhhpmpihngnommookkneji",</v>
      </c>
    </row>
    <row r="7067">
      <c r="A7067" s="4" t="s">
        <v>26246</v>
      </c>
      <c r="B7067" s="4" t="s">
        <v>14070</v>
      </c>
      <c r="C7067" s="16" t="str">
        <f>IFERROR(__xludf.DUMMYFUNCTION(""""""""" &amp; REGEXEXTRACT(B7067, ""/detail/([^/?]+)"") &amp; """""","""),"""klkgibeelchkifaeamopaheinfnfleaj"",")</f>
        <v>"klkgibeelchkifaeamopaheinfnfleaj",</v>
      </c>
    </row>
    <row r="7068">
      <c r="A7068" s="4" t="s">
        <v>26247</v>
      </c>
      <c r="B7068" s="4" t="s">
        <v>14072</v>
      </c>
      <c r="C7068" s="16" t="str">
        <f>IFERROR(__xludf.DUMMYFUNCTION(""""""""" &amp; REGEXEXTRACT(B7068, ""/detail/([^/?]+)"") &amp; """""","""),"""lbeeoakjnfiejomcokohmfbfblbhjllo"",")</f>
        <v>"lbeeoakjnfiejomcokohmfbfblbhjllo",</v>
      </c>
    </row>
    <row r="7069">
      <c r="A7069" s="4" t="s">
        <v>26248</v>
      </c>
      <c r="B7069" s="4" t="s">
        <v>14074</v>
      </c>
      <c r="C7069" s="16" t="str">
        <f>IFERROR(__xludf.DUMMYFUNCTION(""""""""" &amp; REGEXEXTRACT(B7069, ""/detail/([^/?]+)"") &amp; """""","""),"""oajemdopahhgfbnikcogidfnaaeglfhn"",")</f>
        <v>"oajemdopahhgfbnikcogidfnaaeglfhn",</v>
      </c>
    </row>
    <row r="7070">
      <c r="A7070" s="4" t="s">
        <v>26249</v>
      </c>
      <c r="B7070" s="4" t="s">
        <v>14076</v>
      </c>
      <c r="C7070" s="16" t="str">
        <f>IFERROR(__xludf.DUMMYFUNCTION(""""""""" &amp; REGEXEXTRACT(B7070, ""/detail/([^/?]+)"") &amp; """""","""),"""ogdmacmpiojggeojaapfapjljcodigah"",")</f>
        <v>"ogdmacmpiojggeojaapfapjljcodigah",</v>
      </c>
    </row>
    <row r="7071">
      <c r="A7071" s="4" t="s">
        <v>26250</v>
      </c>
      <c r="B7071" s="4" t="s">
        <v>14078</v>
      </c>
      <c r="C7071" s="16" t="str">
        <f>IFERROR(__xludf.DUMMYFUNCTION(""""""""" &amp; REGEXEXTRACT(B7071, ""/detail/([^/?]+)"") &amp; """""","""),"""omkjaeopjjopljblegaejfcahcogpdho"",")</f>
        <v>"omkjaeopjjopljblegaejfcahcogpdho",</v>
      </c>
    </row>
    <row r="7072">
      <c r="A7072" s="4" t="s">
        <v>26251</v>
      </c>
      <c r="B7072" s="4" t="s">
        <v>14080</v>
      </c>
      <c r="C7072" s="16" t="str">
        <f>IFERROR(__xludf.DUMMYFUNCTION(""""""""" &amp; REGEXEXTRACT(B7072, ""/detail/([^/?]+)"") &amp; """""","""),"""gflbkmkiflokpeeaaiojdgnfdgmjecmo"",")</f>
        <v>"gflbkmkiflokpeeaaiojdgnfdgmjecmo",</v>
      </c>
    </row>
    <row r="7073">
      <c r="A7073" s="4" t="s">
        <v>26252</v>
      </c>
      <c r="B7073" s="4" t="s">
        <v>14082</v>
      </c>
      <c r="C7073" s="16" t="str">
        <f>IFERROR(__xludf.DUMMYFUNCTION(""""""""" &amp; REGEXEXTRACT(B7073, ""/detail/([^/?]+)"") &amp; """""","""),"""nagfacmodkbckhjiimdccehaabobmnnh"",")</f>
        <v>"nagfacmodkbckhjiimdccehaabobmnnh",</v>
      </c>
    </row>
    <row r="7074">
      <c r="A7074" s="4" t="s">
        <v>26253</v>
      </c>
      <c r="B7074" s="4" t="s">
        <v>14084</v>
      </c>
      <c r="C7074" s="16" t="str">
        <f>IFERROR(__xludf.DUMMYFUNCTION(""""""""" &amp; REGEXEXTRACT(B7074, ""/detail/([^/?]+)"") &amp; """""","""),"""nfihappcoloadkogdfpoaeefhikofiib"",")</f>
        <v>"nfihappcoloadkogdfpoaeefhikofiib",</v>
      </c>
    </row>
    <row r="7075">
      <c r="A7075" s="4" t="s">
        <v>26254</v>
      </c>
      <c r="B7075" s="4" t="s">
        <v>14086</v>
      </c>
      <c r="C7075" s="16" t="str">
        <f>IFERROR(__xludf.DUMMYFUNCTION(""""""""" &amp; REGEXEXTRACT(B7075, ""/detail/([^/?]+)"") &amp; """""","""),"""bjkcbdcpbbhmbfampcegnjjhdiffhinb"",")</f>
        <v>"bjkcbdcpbbhmbfampcegnjjhdiffhinb",</v>
      </c>
    </row>
    <row r="7076">
      <c r="A7076" s="4" t="s">
        <v>26255</v>
      </c>
      <c r="B7076" s="4" t="s">
        <v>14088</v>
      </c>
      <c r="C7076" s="16" t="str">
        <f>IFERROR(__xludf.DUMMYFUNCTION(""""""""" &amp; REGEXEXTRACT(B7076, ""/detail/([^/?]+)"") &amp; """""","""),"""cgbnhngdlmhjbmgkekedepoapmoingjj"",")</f>
        <v>"cgbnhngdlmhjbmgkekedepoapmoingjj",</v>
      </c>
    </row>
    <row r="7077">
      <c r="A7077" s="4" t="s">
        <v>26256</v>
      </c>
      <c r="B7077" s="4" t="s">
        <v>14090</v>
      </c>
      <c r="C7077" s="16" t="str">
        <f>IFERROR(__xludf.DUMMYFUNCTION(""""""""" &amp; REGEXEXTRACT(B7077, ""/detail/([^/?]+)"") &amp; """""","""),"""flicpnkdedpbcjmpglinaghjfccgcppp"",")</f>
        <v>"flicpnkdedpbcjmpglinaghjfccgcppp",</v>
      </c>
    </row>
    <row r="7078">
      <c r="A7078" s="4" t="s">
        <v>26257</v>
      </c>
      <c r="B7078" s="4" t="s">
        <v>14092</v>
      </c>
      <c r="C7078" s="16" t="str">
        <f>IFERROR(__xludf.DUMMYFUNCTION(""""""""" &amp; REGEXEXTRACT(B7078, ""/detail/([^/?]+)"") &amp; """""","""),"""jcneeahkklelmgmdhakianajbmolceai"",")</f>
        <v>"jcneeahkklelmgmdhakianajbmolceai",</v>
      </c>
    </row>
    <row r="7079">
      <c r="A7079" s="4" t="s">
        <v>26258</v>
      </c>
      <c r="B7079" s="4" t="s">
        <v>14094</v>
      </c>
      <c r="C7079" s="16" t="str">
        <f>IFERROR(__xludf.DUMMYFUNCTION(""""""""" &amp; REGEXEXTRACT(B7079, ""/detail/([^/?]+)"") &amp; """""","""),"""nkpcgjafmckjhhoogopopoaaogjhkkie"",")</f>
        <v>"nkpcgjafmckjhhoogopopoaaogjhkkie",</v>
      </c>
    </row>
    <row r="7080">
      <c r="A7080" s="4" t="s">
        <v>26259</v>
      </c>
      <c r="B7080" s="4" t="s">
        <v>14096</v>
      </c>
      <c r="C7080" s="16" t="str">
        <f>IFERROR(__xludf.DUMMYFUNCTION(""""""""" &amp; REGEXEXTRACT(B7080, ""/detail/([^/?]+)"") &amp; """""","""),"""ohjmjimfdapilgepkjpaijnnekcncnon"",")</f>
        <v>"ohjmjimfdapilgepkjpaijnnekcncnon",</v>
      </c>
    </row>
    <row r="7081">
      <c r="A7081" s="4" t="s">
        <v>26260</v>
      </c>
      <c r="B7081" s="4" t="s">
        <v>14098</v>
      </c>
      <c r="C7081" s="16" t="str">
        <f>IFERROR(__xludf.DUMMYFUNCTION(""""""""" &amp; REGEXEXTRACT(B7081, ""/detail/([^/?]+)"") &amp; """""","""),"""fiajhjomgpnlefcbdhfghnbhpillkklb"",")</f>
        <v>"fiajhjomgpnlefcbdhfghnbhpillkklb",</v>
      </c>
    </row>
    <row r="7082">
      <c r="A7082" s="4" t="s">
        <v>26261</v>
      </c>
      <c r="B7082" s="4" t="s">
        <v>14100</v>
      </c>
      <c r="C7082" s="16" t="str">
        <f>IFERROR(__xludf.DUMMYFUNCTION(""""""""" &amp; REGEXEXTRACT(B7082, ""/detail/([^/?]+)"") &amp; """""","""),"""fkagnmcbeokmapmcbecbcmpccmlbhkpl"",")</f>
        <v>"fkagnmcbeokmapmcbecbcmpccmlbhkpl",</v>
      </c>
    </row>
    <row r="7083">
      <c r="A7083" s="4" t="s">
        <v>26262</v>
      </c>
      <c r="B7083" s="4" t="s">
        <v>14102</v>
      </c>
      <c r="C7083" s="16" t="str">
        <f>IFERROR(__xludf.DUMMYFUNCTION(""""""""" &amp; REGEXEXTRACT(B7083, ""/detail/([^/?]+)"") &amp; """""","""),"""hlheolkbapgpemjigmgolodgphnabnlh"",")</f>
        <v>"hlheolkbapgpemjigmgolodgphnabnlh",</v>
      </c>
    </row>
    <row r="7084">
      <c r="A7084" s="4" t="s">
        <v>26263</v>
      </c>
      <c r="B7084" s="4" t="s">
        <v>14104</v>
      </c>
      <c r="C7084" s="16" t="str">
        <f>IFERROR(__xludf.DUMMYFUNCTION(""""""""" &amp; REGEXEXTRACT(B7084, ""/detail/([^/?]+)"") &amp; """""","""),"""kpimejhpijkooobbiakdolkkgkhiajbk"",")</f>
        <v>"kpimejhpijkooobbiakdolkkgkhiajbk",</v>
      </c>
    </row>
    <row r="7085">
      <c r="A7085" s="4" t="s">
        <v>26264</v>
      </c>
      <c r="B7085" s="4" t="s">
        <v>14106</v>
      </c>
      <c r="C7085" s="16" t="str">
        <f>IFERROR(__xludf.DUMMYFUNCTION(""""""""" &amp; REGEXEXTRACT(B7085, ""/detail/([^/?]+)"") &amp; """""","""),"""menehddibpdfhbfgfmhkddgbajijoole"",")</f>
        <v>"menehddibpdfhbfgfmhkddgbajijoole",</v>
      </c>
    </row>
    <row r="7086">
      <c r="A7086" s="4" t="s">
        <v>26265</v>
      </c>
      <c r="B7086" s="4" t="s">
        <v>14108</v>
      </c>
      <c r="C7086" s="16" t="str">
        <f>IFERROR(__xludf.DUMMYFUNCTION(""""""""" &amp; REGEXEXTRACT(B7086, ""/detail/([^/?]+)"") &amp; """""","""),"""moffikgcnfodfocliogeocbmbjkolmgb"",")</f>
        <v>"moffikgcnfodfocliogeocbmbjkolmgb",</v>
      </c>
    </row>
    <row r="7087">
      <c r="A7087" s="4" t="s">
        <v>26266</v>
      </c>
      <c r="B7087" s="4" t="s">
        <v>14110</v>
      </c>
      <c r="C7087" s="16" t="str">
        <f>IFERROR(__xludf.DUMMYFUNCTION(""""""""" &amp; REGEXEXTRACT(B7087, ""/detail/([^/?]+)"") &amp; """""","""),"""hjaclffbikdneicnleajghmppjdnnohl"",")</f>
        <v>"hjaclffbikdneicnleajghmppjdnnohl",</v>
      </c>
    </row>
    <row r="7088">
      <c r="A7088" s="4" t="s">
        <v>26267</v>
      </c>
      <c r="B7088" s="4" t="s">
        <v>14112</v>
      </c>
      <c r="C7088" s="16" t="str">
        <f>IFERROR(__xludf.DUMMYFUNCTION(""""""""" &amp; REGEXEXTRACT(B7088, ""/detail/([^/?]+)"") &amp; """""","""),"""idncinkacbcdnndoilhndfpfkcbnbjhg"",")</f>
        <v>"idncinkacbcdnndoilhndfpfkcbnbjhg",</v>
      </c>
    </row>
    <row r="7089">
      <c r="A7089" s="4" t="s">
        <v>26268</v>
      </c>
      <c r="B7089" s="4" t="s">
        <v>14114</v>
      </c>
      <c r="C7089" s="16" t="str">
        <f>IFERROR(__xludf.DUMMYFUNCTION(""""""""" &amp; REGEXEXTRACT(B7089, ""/detail/([^/?]+)"") &amp; """""","""),"""nhcbjhbdnlkddnapaoidpkfbjkpkpdcj"",")</f>
        <v>"nhcbjhbdnlkddnapaoidpkfbjkpkpdcj",</v>
      </c>
    </row>
    <row r="7090">
      <c r="A7090" s="4" t="s">
        <v>26269</v>
      </c>
      <c r="B7090" s="4" t="s">
        <v>14116</v>
      </c>
      <c r="C7090" s="16" t="str">
        <f>IFERROR(__xludf.DUMMYFUNCTION(""""""""" &amp; REGEXEXTRACT(B7090, ""/detail/([^/?]+)"") &amp; """""","""),"""oapbenfplhadkkokfloaogfkolhojgcl"",")</f>
        <v>"oapbenfplhadkkokfloaogfkolhojgcl",</v>
      </c>
    </row>
    <row r="7091">
      <c r="A7091" s="4" t="s">
        <v>26270</v>
      </c>
      <c r="B7091" s="4" t="s">
        <v>14118</v>
      </c>
      <c r="C7091" s="16" t="str">
        <f>IFERROR(__xludf.DUMMYFUNCTION(""""""""" &amp; REGEXEXTRACT(B7091, ""/detail/([^/?]+)"") &amp; """""","""),"""anonhhfhmigoeokidhbegbbaajocoajj"",")</f>
        <v>"anonhhfhmigoeokidhbegbbaajocoajj",</v>
      </c>
    </row>
    <row r="7092">
      <c r="A7092" s="4" t="s">
        <v>26271</v>
      </c>
      <c r="B7092" s="4" t="s">
        <v>14120</v>
      </c>
      <c r="C7092" s="16" t="str">
        <f>IFERROR(__xludf.DUMMYFUNCTION(""""""""" &amp; REGEXEXTRACT(B7092, ""/detail/([^/?]+)"") &amp; """""","""),"""cigdmgjlopkhnmngkenhglnlhdhgibjj"",")</f>
        <v>"cigdmgjlopkhnmngkenhglnlhdhgibjj",</v>
      </c>
    </row>
    <row r="7093">
      <c r="A7093" s="4" t="s">
        <v>26272</v>
      </c>
      <c r="B7093" s="4" t="s">
        <v>14122</v>
      </c>
      <c r="C7093" s="16" t="str">
        <f>IFERROR(__xludf.DUMMYFUNCTION(""""""""" &amp; REGEXEXTRACT(B7093, ""/detail/([^/?]+)"") &amp; """""","""),"""eefofopjefcjhpnpmpbcbalkmebjapcf"",")</f>
        <v>"eefofopjefcjhpnpmpbcbalkmebjapcf",</v>
      </c>
    </row>
    <row r="7094">
      <c r="A7094" s="4" t="s">
        <v>26273</v>
      </c>
      <c r="B7094" s="4" t="s">
        <v>14124</v>
      </c>
      <c r="C7094" s="16" t="str">
        <f>IFERROR(__xludf.DUMMYFUNCTION(""""""""" &amp; REGEXEXTRACT(B7094, ""/detail/([^/?]+)"") &amp; """""","""),"""haeailcifihaafhoelpckdbkdffnbnnk"",")</f>
        <v>"haeailcifihaafhoelpckdbkdffnbnnk",</v>
      </c>
    </row>
    <row r="7095">
      <c r="A7095" s="4" t="s">
        <v>26274</v>
      </c>
      <c r="B7095" s="4" t="s">
        <v>14126</v>
      </c>
      <c r="C7095" s="16" t="str">
        <f>IFERROR(__xludf.DUMMYFUNCTION(""""""""" &amp; REGEXEXTRACT(B7095, ""/detail/([^/?]+)"") &amp; """""","""),"""laacchpjldmpbhkcjfmfcjijaekhhlgn"",")</f>
        <v>"laacchpjldmpbhkcjfmfcjijaekhhlgn",</v>
      </c>
    </row>
    <row r="7096">
      <c r="A7096" s="4" t="s">
        <v>26275</v>
      </c>
      <c r="B7096" s="4" t="s">
        <v>14128</v>
      </c>
      <c r="C7096" s="16" t="str">
        <f>IFERROR(__xludf.DUMMYFUNCTION(""""""""" &amp; REGEXEXTRACT(B7096, ""/detail/([^/?]+)"") &amp; """""","""),"""lnbnkkbamjbifbckjndhfcgbkjlkbkfo"",")</f>
        <v>"lnbnkkbamjbifbckjndhfcgbkjlkbkfo",</v>
      </c>
    </row>
    <row r="7097">
      <c r="A7097" s="4" t="s">
        <v>26276</v>
      </c>
      <c r="B7097" s="4" t="s">
        <v>14130</v>
      </c>
      <c r="C7097" s="16" t="str">
        <f>IFERROR(__xludf.DUMMYFUNCTION(""""""""" &amp; REGEXEXTRACT(B7097, ""/detail/([^/?]+)"") &amp; """""","""),"""ahoplkcmcgpbkimjhncpnnllgikapjoj"",")</f>
        <v>"ahoplkcmcgpbkimjhncpnnllgikapjoj",</v>
      </c>
    </row>
    <row r="7098">
      <c r="A7098" s="4" t="s">
        <v>26277</v>
      </c>
      <c r="B7098" s="4" t="s">
        <v>14132</v>
      </c>
      <c r="C7098" s="16" t="str">
        <f>IFERROR(__xludf.DUMMYFUNCTION(""""""""" &amp; REGEXEXTRACT(B7098, ""/detail/([^/?]+)"") &amp; """""","""),"""cjaclnpoihnmcojmbinlikenmidkefel"",")</f>
        <v>"cjaclnpoihnmcojmbinlikenmidkefel",</v>
      </c>
    </row>
    <row r="7099">
      <c r="A7099" s="4" t="s">
        <v>26278</v>
      </c>
      <c r="B7099" s="4" t="s">
        <v>14134</v>
      </c>
      <c r="C7099" s="16" t="str">
        <f>IFERROR(__xludf.DUMMYFUNCTION(""""""""" &amp; REGEXEXTRACT(B7099, ""/detail/([^/?]+)"") &amp; """""","""),"""gdacjpegboojpmgghnnldeciiaianfod"",")</f>
        <v>"gdacjpegboojpmgghnnldeciiaianfod",</v>
      </c>
    </row>
    <row r="7100">
      <c r="A7100" s="4" t="s">
        <v>26279</v>
      </c>
      <c r="B7100" s="4" t="s">
        <v>14136</v>
      </c>
      <c r="C7100" s="16" t="str">
        <f>IFERROR(__xludf.DUMMYFUNCTION(""""""""" &amp; REGEXEXTRACT(B7100, ""/detail/([^/?]+)"") &amp; """""","""),"""ghchdnjbeglgofkleikiiedhclobleoh"",")</f>
        <v>"ghchdnjbeglgofkleikiiedhclobleoh",</v>
      </c>
    </row>
    <row r="7101">
      <c r="A7101" s="4" t="s">
        <v>26280</v>
      </c>
      <c r="B7101" s="4" t="s">
        <v>14138</v>
      </c>
      <c r="C7101" s="16" t="str">
        <f>IFERROR(__xludf.DUMMYFUNCTION(""""""""" &amp; REGEXEXTRACT(B7101, ""/detail/([^/?]+)"") &amp; """""","""),"""gmmiaijojldkfijdahobpeepfigegdcl"",")</f>
        <v>"gmmiaijojldkfijdahobpeepfigegdcl",</v>
      </c>
    </row>
    <row r="7102">
      <c r="A7102" s="4" t="s">
        <v>26281</v>
      </c>
      <c r="B7102" s="4" t="s">
        <v>14140</v>
      </c>
      <c r="C7102" s="16" t="str">
        <f>IFERROR(__xludf.DUMMYFUNCTION(""""""""" &amp; REGEXEXTRACT(B7102, ""/detail/([^/?]+)"") &amp; """""","""),"""jlmkegjbfkmojbgfnmnfhcgnfamfmdae"",")</f>
        <v>"jlmkegjbfkmojbgfnmnfhcgnfamfmdae",</v>
      </c>
    </row>
    <row r="7103">
      <c r="A7103" s="4" t="s">
        <v>26282</v>
      </c>
      <c r="B7103" s="4" t="s">
        <v>14142</v>
      </c>
      <c r="C7103" s="16" t="str">
        <f>IFERROR(__xludf.DUMMYFUNCTION(""""""""" &amp; REGEXEXTRACT(B7103, ""/detail/([^/?]+)"") &amp; """""","""),"""fifjhakdmflgahkghkijipchfomdajfn"",")</f>
        <v>"fifjhakdmflgahkghkijipchfomdajfn",</v>
      </c>
    </row>
    <row r="7104">
      <c r="A7104" s="4" t="s">
        <v>26283</v>
      </c>
      <c r="B7104" s="4" t="s">
        <v>14144</v>
      </c>
      <c r="C7104" s="16" t="str">
        <f>IFERROR(__xludf.DUMMYFUNCTION(""""""""" &amp; REGEXEXTRACT(B7104, ""/detail/([^/?]+)"") &amp; """""","""),"""higlebidpnhccabnhankdoiiccnnfkko"",")</f>
        <v>"higlebidpnhccabnhankdoiiccnnfkko",</v>
      </c>
    </row>
    <row r="7105">
      <c r="A7105" s="4" t="s">
        <v>26284</v>
      </c>
      <c r="B7105" s="4" t="s">
        <v>14146</v>
      </c>
      <c r="C7105" s="16" t="str">
        <f>IFERROR(__xludf.DUMMYFUNCTION(""""""""" &amp; REGEXEXTRACT(B7105, ""/detail/([^/?]+)"") &amp; """""","""),"""iagamimmphgpdphhkbnopnhlgeakalhp"",")</f>
        <v>"iagamimmphgpdphhkbnopnhlgeakalhp",</v>
      </c>
    </row>
    <row r="7106">
      <c r="A7106" s="4" t="s">
        <v>26285</v>
      </c>
      <c r="B7106" s="4" t="s">
        <v>14148</v>
      </c>
      <c r="C7106" s="16" t="str">
        <f>IFERROR(__xludf.DUMMYFUNCTION(""""""""" &amp; REGEXEXTRACT(B7106, ""/detail/([^/?]+)"") &amp; """""","""),"""kdlnfjjcbeaehfkoefcgfmnmdocogbja"",")</f>
        <v>"kdlnfjjcbeaehfkoefcgfmnmdocogbja",</v>
      </c>
    </row>
    <row r="7107">
      <c r="A7107" s="4" t="s">
        <v>26286</v>
      </c>
      <c r="B7107" s="4" t="s">
        <v>14150</v>
      </c>
      <c r="C7107" s="16" t="str">
        <f>IFERROR(__xludf.DUMMYFUNCTION(""""""""" &amp; REGEXEXTRACT(B7107, ""/detail/([^/?]+)"") &amp; """""","""),"""ofglaiipngecdpdioidnflbfcplpiapa"",")</f>
        <v>"ofglaiipngecdpdioidnflbfcplpiapa",</v>
      </c>
    </row>
    <row r="7108">
      <c r="A7108" s="4" t="s">
        <v>26287</v>
      </c>
      <c r="B7108" s="4" t="s">
        <v>14152</v>
      </c>
      <c r="C7108" s="16" t="str">
        <f>IFERROR(__xludf.DUMMYFUNCTION(""""""""" &amp; REGEXEXTRACT(B7108, ""/detail/([^/?]+)"") &amp; """""","""),"""hlcilaceonjngbndcacpkgkeefmclahk"",")</f>
        <v>"hlcilaceonjngbndcacpkgkeefmclahk",</v>
      </c>
    </row>
    <row r="7109">
      <c r="A7109" s="4" t="s">
        <v>26288</v>
      </c>
      <c r="B7109" s="4" t="s">
        <v>14154</v>
      </c>
      <c r="C7109" s="16" t="str">
        <f>IFERROR(__xludf.DUMMYFUNCTION(""""""""" &amp; REGEXEXTRACT(B7109, ""/detail/([^/?]+)"") &amp; """""","""),"""oeamngjfgbhipkibmgglfdaohochpoej"",")</f>
        <v>"oeamngjfgbhipkibmgglfdaohochpoej",</v>
      </c>
    </row>
    <row r="7110">
      <c r="A7110" s="4" t="s">
        <v>26289</v>
      </c>
      <c r="B7110" s="4" t="s">
        <v>14156</v>
      </c>
      <c r="C7110" s="16" t="str">
        <f>IFERROR(__xludf.DUMMYFUNCTION(""""""""" &amp; REGEXEXTRACT(B7110, ""/detail/([^/?]+)"") &amp; """""","""),"""ehnoijojkgigcmlimlndncbdfcmmlgmi"",")</f>
        <v>"ehnoijojkgigcmlimlndncbdfcmmlgmi",</v>
      </c>
    </row>
    <row r="7111">
      <c r="A7111" s="4" t="s">
        <v>26290</v>
      </c>
      <c r="B7111" s="4" t="s">
        <v>14158</v>
      </c>
      <c r="C7111" s="16" t="str">
        <f>IFERROR(__xludf.DUMMYFUNCTION(""""""""" &amp; REGEXEXTRACT(B7111, ""/detail/([^/?]+)"") &amp; """""","""),"""hkbdimhkhlphaekppobhboienpeppiop"",")</f>
        <v>"hkbdimhkhlphaekppobhboienpeppiop",</v>
      </c>
    </row>
    <row r="7112">
      <c r="A7112" s="4" t="s">
        <v>26291</v>
      </c>
      <c r="B7112" s="4" t="s">
        <v>14160</v>
      </c>
      <c r="C7112" s="16" t="str">
        <f>IFERROR(__xludf.DUMMYFUNCTION(""""""""" &amp; REGEXEXTRACT(B7112, ""/detail/([^/?]+)"") &amp; """""","""),"""komcaaelngccnmdahpmighfoeikdbmdl"",")</f>
        <v>"komcaaelngccnmdahpmighfoeikdbmdl",</v>
      </c>
    </row>
    <row r="7113">
      <c r="A7113" s="4" t="s">
        <v>26292</v>
      </c>
      <c r="B7113" s="4" t="s">
        <v>14162</v>
      </c>
      <c r="C7113" s="16" t="str">
        <f>IFERROR(__xludf.DUMMYFUNCTION(""""""""" &amp; REGEXEXTRACT(B7113, ""/detail/([^/?]+)"") &amp; """""","""),"""gckekomhhecblpbfpgelgaohdnbmilji"",")</f>
        <v>"gckekomhhecblpbfpgelgaohdnbmilji",</v>
      </c>
    </row>
    <row r="7114">
      <c r="A7114" s="4" t="s">
        <v>26293</v>
      </c>
      <c r="B7114" s="4" t="s">
        <v>14164</v>
      </c>
      <c r="C7114" s="16" t="str">
        <f>IFERROR(__xludf.DUMMYFUNCTION(""""""""" &amp; REGEXEXTRACT(B7114, ""/detail/([^/?]+)"") &amp; """""","""),"""aagnhjfkbjmfhgojleohmamjbojhciac"",")</f>
        <v>"aagnhjfkbjmfhgojleohmamjbojhciac",</v>
      </c>
    </row>
    <row r="7115">
      <c r="A7115" s="4" t="s">
        <v>26294</v>
      </c>
      <c r="B7115" s="4" t="s">
        <v>14166</v>
      </c>
      <c r="C7115" s="16" t="str">
        <f>IFERROR(__xludf.DUMMYFUNCTION(""""""""" &amp; REGEXEXTRACT(B7115, ""/detail/([^/?]+)"") &amp; """""","""),"""bpmiffipgillbacdfnbkicndliejockp"",")</f>
        <v>"bpmiffipgillbacdfnbkicndliejockp",</v>
      </c>
    </row>
    <row r="7116">
      <c r="A7116" s="4" t="s">
        <v>26295</v>
      </c>
      <c r="B7116" s="4" t="s">
        <v>14167</v>
      </c>
      <c r="C7116" s="16" t="str">
        <f>IFERROR(__xludf.DUMMYFUNCTION(""""""""" &amp; REGEXEXTRACT(B7116, ""/detail/([^/?]+)"") &amp; """""","""),"""djlpjopjnkojimgiaefgbenbbkkknnln"",")</f>
        <v>"djlpjopjnkojimgiaefgbenbbkkknnln",</v>
      </c>
    </row>
    <row r="7117">
      <c r="A7117" s="4" t="s">
        <v>26296</v>
      </c>
      <c r="B7117" s="4" t="s">
        <v>14169</v>
      </c>
      <c r="C7117" s="16" t="str">
        <f>IFERROR(__xludf.DUMMYFUNCTION(""""""""" &amp; REGEXEXTRACT(B7117, ""/detail/([^/?]+)"") &amp; """""","""),"""fbkgfclopheckgncmoogiegbnjkelkkh"",")</f>
        <v>"fbkgfclopheckgncmoogiegbnjkelkkh",</v>
      </c>
    </row>
    <row r="7118">
      <c r="A7118" s="4" t="s">
        <v>26297</v>
      </c>
      <c r="B7118" s="4" t="s">
        <v>14171</v>
      </c>
      <c r="C7118" s="16" t="str">
        <f>IFERROR(__xludf.DUMMYFUNCTION(""""""""" &amp; REGEXEXTRACT(B7118, ""/detail/([^/?]+)"") &amp; """""","""),"""hkefjlonaegglofbhbjblbhmhfhmnfjf"",")</f>
        <v>"hkefjlonaegglofbhbjblbhmhfhmnfjf",</v>
      </c>
    </row>
    <row r="7119">
      <c r="A7119" s="4" t="s">
        <v>26298</v>
      </c>
      <c r="B7119" s="4" t="s">
        <v>14173</v>
      </c>
      <c r="C7119" s="16" t="str">
        <f>IFERROR(__xludf.DUMMYFUNCTION(""""""""" &amp; REGEXEXTRACT(B7119, ""/detail/([^/?]+)"") &amp; """""","""),"""hpoobjomnbgfehbigjdghibjddfpoigp"",")</f>
        <v>"hpoobjomnbgfehbigjdghibjddfpoigp",</v>
      </c>
    </row>
    <row r="7120">
      <c r="A7120" s="4" t="s">
        <v>26299</v>
      </c>
      <c r="B7120" s="4" t="s">
        <v>14175</v>
      </c>
      <c r="C7120" s="16" t="str">
        <f>IFERROR(__xludf.DUMMYFUNCTION(""""""""" &amp; REGEXEXTRACT(B7120, ""/detail/([^/?]+)"") &amp; """""","""),"""nhabmnkcikbafdgidlmjkflpiemhnbch"",")</f>
        <v>"nhabmnkcikbafdgidlmjkflpiemhnbch",</v>
      </c>
    </row>
    <row r="7121">
      <c r="A7121" s="4" t="s">
        <v>26300</v>
      </c>
      <c r="B7121" s="4" t="s">
        <v>14177</v>
      </c>
      <c r="C7121" s="16" t="str">
        <f>IFERROR(__xludf.DUMMYFUNCTION(""""""""" &amp; REGEXEXTRACT(B7121, ""/detail/([^/?]+)"") &amp; """""","""),"""pgaimkehoiabhliejchbnamlboniofpd"",")</f>
        <v>"pgaimkehoiabhliejchbnamlboniofpd",</v>
      </c>
    </row>
    <row r="7122">
      <c r="A7122" s="4" t="s">
        <v>26301</v>
      </c>
      <c r="B7122" s="4" t="s">
        <v>14179</v>
      </c>
      <c r="C7122" s="16" t="str">
        <f>IFERROR(__xludf.DUMMYFUNCTION(""""""""" &amp; REGEXEXTRACT(B7122, ""/detail/([^/?]+)"") &amp; """""","""),"""aoeldolnbdgenobiigcnpajmcjdemkpf"",")</f>
        <v>"aoeldolnbdgenobiigcnpajmcjdemkpf",</v>
      </c>
    </row>
    <row r="7123">
      <c r="A7123" s="4" t="s">
        <v>26302</v>
      </c>
      <c r="B7123" s="4" t="s">
        <v>14181</v>
      </c>
      <c r="C7123" s="16" t="str">
        <f>IFERROR(__xludf.DUMMYFUNCTION(""""""""" &amp; REGEXEXTRACT(B7123, ""/detail/([^/?]+)"") &amp; """""","""),"""bemkphgkamhbplojfkjeikoiagmkbfhk"",")</f>
        <v>"bemkphgkamhbplojfkjeikoiagmkbfhk",</v>
      </c>
    </row>
    <row r="7124">
      <c r="A7124" s="4" t="s">
        <v>26303</v>
      </c>
      <c r="B7124" s="4" t="s">
        <v>14183</v>
      </c>
      <c r="C7124" s="16" t="str">
        <f>IFERROR(__xludf.DUMMYFUNCTION(""""""""" &amp; REGEXEXTRACT(B7124, ""/detail/([^/?]+)"") &amp; """""","""),"""giehedcpnkgeeahnefcnnijjfflnpolk"",")</f>
        <v>"giehedcpnkgeeahnefcnnijjfflnpolk",</v>
      </c>
    </row>
    <row r="7125">
      <c r="A7125" s="4" t="s">
        <v>26304</v>
      </c>
      <c r="B7125" s="4" t="s">
        <v>14185</v>
      </c>
      <c r="C7125" s="16" t="str">
        <f>IFERROR(__xludf.DUMMYFUNCTION(""""""""" &amp; REGEXEXTRACT(B7125, ""/detail/([^/?]+)"") &amp; """""","""),"""gplhofhphfekaflbghoggkbgfoblaamo"",")</f>
        <v>"gplhofhphfekaflbghoggkbgfoblaamo",</v>
      </c>
    </row>
    <row r="7126">
      <c r="A7126" s="4" t="s">
        <v>26305</v>
      </c>
      <c r="B7126" s="4" t="s">
        <v>14187</v>
      </c>
      <c r="C7126" s="16" t="str">
        <f>IFERROR(__xludf.DUMMYFUNCTION(""""""""" &amp; REGEXEXTRACT(B7126, ""/detail/([^/?]+)"") &amp; """""","""),"""macdjnpohgjehopclkfldiagchgpddok"",")</f>
        <v>"macdjnpohgjehopclkfldiagchgpddok",</v>
      </c>
    </row>
    <row r="7127">
      <c r="A7127" s="4" t="s">
        <v>26306</v>
      </c>
      <c r="B7127" s="4" t="s">
        <v>14189</v>
      </c>
      <c r="C7127" s="16" t="str">
        <f>IFERROR(__xludf.DUMMYFUNCTION(""""""""" &amp; REGEXEXTRACT(B7127, ""/detail/([^/?]+)"") &amp; """""","""),"""ofdhgbjblhdkepgmafdeppjcmaaegllf"",")</f>
        <v>"ofdhgbjblhdkepgmafdeppjcmaaegllf",</v>
      </c>
    </row>
    <row r="7128">
      <c r="A7128" s="4" t="s">
        <v>26307</v>
      </c>
      <c r="B7128" s="4" t="s">
        <v>14191</v>
      </c>
      <c r="C7128" s="16" t="str">
        <f>IFERROR(__xludf.DUMMYFUNCTION(""""""""" &amp; REGEXEXTRACT(B7128, ""/detail/([^/?]+)"") &amp; """""","""),"""fadhnaamieppahmfbeppffbpfkkiohdl"",")</f>
        <v>"fadhnaamieppahmfbeppffbpfkkiohdl",</v>
      </c>
    </row>
    <row r="7129">
      <c r="A7129" s="4" t="s">
        <v>26308</v>
      </c>
      <c r="B7129" s="4" t="s">
        <v>14193</v>
      </c>
      <c r="C7129" s="16" t="str">
        <f>IFERROR(__xludf.DUMMYFUNCTION(""""""""" &amp; REGEXEXTRACT(B7129, ""/detail/([^/?]+)"") &amp; """""","""),"""fdecmpcjekkifmllbbalhhcipgfiaoch"",")</f>
        <v>"fdecmpcjekkifmllbbalhhcipgfiaoch",</v>
      </c>
    </row>
    <row r="7130">
      <c r="A7130" s="4" t="s">
        <v>26309</v>
      </c>
      <c r="B7130" s="4" t="s">
        <v>14195</v>
      </c>
      <c r="C7130" s="16" t="str">
        <f>IFERROR(__xludf.DUMMYFUNCTION(""""""""" &amp; REGEXEXTRACT(B7130, ""/detail/([^/?]+)"") &amp; """""","""),"""mkeolkcnabfjecpddmpimpddeajbpjid"",")</f>
        <v>"mkeolkcnabfjecpddmpimpddeajbpjid",</v>
      </c>
    </row>
    <row r="7131">
      <c r="A7131" s="4" t="s">
        <v>26310</v>
      </c>
      <c r="B7131" s="4" t="s">
        <v>14197</v>
      </c>
      <c r="C7131" s="16" t="str">
        <f>IFERROR(__xludf.DUMMYFUNCTION(""""""""" &amp; REGEXEXTRACT(B7131, ""/detail/([^/?]+)"") &amp; """""","""),"""nmlfbleobblfkojbdbkjjolblhfnegoh"",")</f>
        <v>"nmlfbleobblfkojbdbkjjolblhfnegoh",</v>
      </c>
    </row>
    <row r="7132">
      <c r="A7132" s="4" t="s">
        <v>26311</v>
      </c>
      <c r="B7132" s="4" t="s">
        <v>14199</v>
      </c>
      <c r="C7132" s="16" t="str">
        <f>IFERROR(__xludf.DUMMYFUNCTION(""""""""" &amp; REGEXEXTRACT(B7132, ""/detail/([^/?]+)"") &amp; """""","""),"""obopnfigmanifpiojfhebcegjepgaiif"",")</f>
        <v>"obopnfigmanifpiojfhebcegjepgaiif",</v>
      </c>
    </row>
    <row r="7133">
      <c r="A7133" s="4" t="s">
        <v>26312</v>
      </c>
      <c r="B7133" s="4" t="s">
        <v>14201</v>
      </c>
      <c r="C7133" s="16" t="str">
        <f>IFERROR(__xludf.DUMMYFUNCTION(""""""""" &amp; REGEXEXTRACT(B7133, ""/detail/([^/?]+)"") &amp; """""","""),"""aeboiihikjegpmcdjpnehnmpiiekjmhb"",")</f>
        <v>"aeboiihikjegpmcdjpnehnmpiiekjmhb",</v>
      </c>
    </row>
    <row r="7134">
      <c r="A7134" s="4" t="s">
        <v>26313</v>
      </c>
      <c r="B7134" s="4" t="s">
        <v>14203</v>
      </c>
      <c r="C7134" s="16" t="str">
        <f>IFERROR(__xludf.DUMMYFUNCTION(""""""""" &amp; REGEXEXTRACT(B7134, ""/detail/([^/?]+)"") &amp; """""","""),"""dengmjlghngndfpcejhcajfpmabcaenn"",")</f>
        <v>"dengmjlghngndfpcejhcajfpmabcaenn",</v>
      </c>
    </row>
    <row r="7135">
      <c r="A7135" s="4" t="s">
        <v>26314</v>
      </c>
      <c r="B7135" s="4" t="s">
        <v>14205</v>
      </c>
      <c r="C7135" s="16" t="str">
        <f>IFERROR(__xludf.DUMMYFUNCTION(""""""""" &amp; REGEXEXTRACT(B7135, ""/detail/([^/?]+)"") &amp; """""","""),"""gmlpaaphhbillgipemeigfgkccalcclm"",")</f>
        <v>"gmlpaaphhbillgipemeigfgkccalcclm",</v>
      </c>
    </row>
    <row r="7136">
      <c r="A7136" s="4" t="s">
        <v>26315</v>
      </c>
      <c r="B7136" s="4" t="s">
        <v>14207</v>
      </c>
      <c r="C7136" s="16" t="str">
        <f>IFERROR(__xludf.DUMMYFUNCTION(""""""""" &amp; REGEXEXTRACT(B7136, ""/detail/([^/?]+)"") &amp; """""","""),"""ahmlpiknebpepidendbfmflbipgbioob"",")</f>
        <v>"ahmlpiknebpepidendbfmflbipgbioob",</v>
      </c>
    </row>
    <row r="7137">
      <c r="A7137" s="4" t="s">
        <v>26316</v>
      </c>
      <c r="B7137" s="4" t="s">
        <v>14209</v>
      </c>
      <c r="C7137" s="16" t="str">
        <f>IFERROR(__xludf.DUMMYFUNCTION(""""""""" &amp; REGEXEXTRACT(B7137, ""/detail/([^/?]+)"") &amp; """""","""),"""cflmhhlddhlndhajdngbeglceebpgkfl"",")</f>
        <v>"cflmhhlddhlndhajdngbeglceebpgkfl",</v>
      </c>
    </row>
    <row r="7138">
      <c r="A7138" s="4" t="s">
        <v>26317</v>
      </c>
      <c r="B7138" s="4" t="s">
        <v>14211</v>
      </c>
      <c r="C7138" s="16" t="str">
        <f>IFERROR(__xludf.DUMMYFUNCTION(""""""""" &amp; REGEXEXTRACT(B7138, ""/detail/([^/?]+)"") &amp; """""","""),"""gghfcijjckogopngfdlmbfonadjkkoil"",")</f>
        <v>"gghfcijjckogopngfdlmbfonadjkkoil",</v>
      </c>
    </row>
    <row r="7139">
      <c r="A7139" s="4" t="s">
        <v>26318</v>
      </c>
      <c r="B7139" s="4" t="s">
        <v>14213</v>
      </c>
      <c r="C7139" s="16" t="str">
        <f>IFERROR(__xludf.DUMMYFUNCTION(""""""""" &amp; REGEXEXTRACT(B7139, ""/detail/([^/?]+)"") &amp; """""","""),"""kcaeeijmehodhlebigdekedaehnconpb"",")</f>
        <v>"kcaeeijmehodhlebigdekedaehnconpb",</v>
      </c>
    </row>
    <row r="7140">
      <c r="A7140" s="4" t="s">
        <v>26319</v>
      </c>
      <c r="B7140" s="4" t="s">
        <v>14215</v>
      </c>
      <c r="C7140" s="16" t="str">
        <f>IFERROR(__xludf.DUMMYFUNCTION(""""""""" &amp; REGEXEXTRACT(B7140, ""/detail/([^/?]+)"") &amp; """""","""),"""ldlabgfidopfkhbdfaanbihnjnkijikj"",")</f>
        <v>"ldlabgfidopfkhbdfaanbihnjnkijikj",</v>
      </c>
    </row>
    <row r="7141">
      <c r="A7141" s="4" t="s">
        <v>26320</v>
      </c>
      <c r="B7141" s="4" t="s">
        <v>14217</v>
      </c>
      <c r="C7141" s="16" t="str">
        <f>IFERROR(__xludf.DUMMYFUNCTION(""""""""" &amp; REGEXEXTRACT(B7141, ""/detail/([^/?]+)"") &amp; """""","""),"""mfdeccgkoldiahiohijhlnkgjbofohip"",")</f>
        <v>"mfdeccgkoldiahiohijhlnkgjbofohip",</v>
      </c>
    </row>
    <row r="7142">
      <c r="A7142" s="4" t="s">
        <v>26321</v>
      </c>
      <c r="B7142" s="4" t="s">
        <v>14219</v>
      </c>
      <c r="C7142" s="16" t="str">
        <f>IFERROR(__xludf.DUMMYFUNCTION(""""""""" &amp; REGEXEXTRACT(B7142, ""/detail/([^/?]+)"") &amp; """""","""),"""paaiopflofakieapanjjggpcpgbidcaj"",")</f>
        <v>"paaiopflofakieapanjjggpcpgbidcaj",</v>
      </c>
    </row>
    <row r="7143">
      <c r="A7143" s="4" t="s">
        <v>26322</v>
      </c>
      <c r="B7143" s="4" t="s">
        <v>14221</v>
      </c>
      <c r="C7143" s="16" t="str">
        <f>IFERROR(__xludf.DUMMYFUNCTION(""""""""" &amp; REGEXEXTRACT(B7143, ""/detail/([^/?]+)"") &amp; """""","""),"""cjfcggkodegcngbhenjoppjagififcpk"",")</f>
        <v>"cjfcggkodegcngbhenjoppjagififcpk",</v>
      </c>
    </row>
    <row r="7144">
      <c r="A7144" s="4" t="s">
        <v>26323</v>
      </c>
      <c r="B7144" s="4" t="s">
        <v>14223</v>
      </c>
      <c r="C7144" s="16" t="str">
        <f>IFERROR(__xludf.DUMMYFUNCTION(""""""""" &amp; REGEXEXTRACT(B7144, ""/detail/([^/?]+)"") &amp; """""","""),"""jkgoidcneenbbjbncgegpledfdolbodh"",")</f>
        <v>"jkgoidcneenbbjbncgegpledfdolbodh",</v>
      </c>
    </row>
    <row r="7145">
      <c r="A7145" s="4" t="s">
        <v>26324</v>
      </c>
      <c r="B7145" s="4" t="s">
        <v>14225</v>
      </c>
      <c r="C7145" s="16" t="str">
        <f>IFERROR(__xludf.DUMMYFUNCTION(""""""""" &amp; REGEXEXTRACT(B7145, ""/detail/([^/?]+)"") &amp; """""","""),"""naekkaimmdjkdhgccbkhfabndiiiaidd"",")</f>
        <v>"naekkaimmdjkdhgccbkhfabndiiiaidd",</v>
      </c>
    </row>
    <row r="7146">
      <c r="A7146" s="4" t="s">
        <v>26325</v>
      </c>
      <c r="B7146" s="4" t="s">
        <v>14227</v>
      </c>
      <c r="C7146" s="16" t="str">
        <f>IFERROR(__xludf.DUMMYFUNCTION(""""""""" &amp; REGEXEXTRACT(B7146, ""/detail/([^/?]+)"") &amp; """""","""),"""pbkplelomfmahlbhpekhcgebnhgknhjh"",")</f>
        <v>"pbkplelomfmahlbhpekhcgebnhgknhjh",</v>
      </c>
    </row>
    <row r="7147">
      <c r="A7147" s="4" t="s">
        <v>26326</v>
      </c>
      <c r="B7147" s="4" t="s">
        <v>14229</v>
      </c>
      <c r="C7147" s="16" t="str">
        <f>IFERROR(__xludf.DUMMYFUNCTION(""""""""" &amp; REGEXEXTRACT(B7147, ""/detail/([^/?]+)"") &amp; """""","""),"""ldfijcnohnjjeokjkpmahpjmlljejhpn"",")</f>
        <v>"ldfijcnohnjjeokjkpmahpjmlljejhpn",</v>
      </c>
    </row>
    <row r="7148">
      <c r="A7148" s="4" t="s">
        <v>26327</v>
      </c>
      <c r="B7148" s="4" t="s">
        <v>14231</v>
      </c>
      <c r="C7148" s="16" t="str">
        <f>IFERROR(__xludf.DUMMYFUNCTION(""""""""" &amp; REGEXEXTRACT(B7148, ""/detail/([^/?]+)"") &amp; """""","""),"""mfikohbeadpajcijohnobibodimmjhfk"",")</f>
        <v>"mfikohbeadpajcijohnobibodimmjhfk",</v>
      </c>
    </row>
    <row r="7149">
      <c r="A7149" s="4" t="s">
        <v>26328</v>
      </c>
      <c r="B7149" s="4" t="s">
        <v>14233</v>
      </c>
      <c r="C7149" s="16" t="str">
        <f>IFERROR(__xludf.DUMMYFUNCTION(""""""""" &amp; REGEXEXTRACT(B7149, ""/detail/([^/?]+)"") &amp; """""","""),"""omhigihagjbdeocmmopgdnklnfanpbka"",")</f>
        <v>"omhigihagjbdeocmmopgdnklnfanpbka",</v>
      </c>
    </row>
    <row r="7150">
      <c r="A7150" s="4" t="s">
        <v>26329</v>
      </c>
      <c r="B7150" s="4" t="s">
        <v>14235</v>
      </c>
      <c r="C7150" s="16" t="str">
        <f>IFERROR(__xludf.DUMMYFUNCTION(""""""""" &amp; REGEXEXTRACT(B7150, ""/detail/([^/?]+)"") &amp; """""","""),"""pjpdcemjgnjlnljbihckfabphjpjhmbl"",")</f>
        <v>"pjpdcemjgnjlnljbihckfabphjpjhmbl",</v>
      </c>
    </row>
    <row r="7151">
      <c r="A7151" s="4" t="s">
        <v>26330</v>
      </c>
      <c r="B7151" s="4" t="s">
        <v>14237</v>
      </c>
      <c r="C7151" s="16" t="str">
        <f>IFERROR(__xludf.DUMMYFUNCTION(""""""""" &amp; REGEXEXTRACT(B7151, ""/detail/([^/?]+)"") &amp; """""","""),"""cofjfghobnapjoeogfkflhcbghgdnpae"",")</f>
        <v>"cofjfghobnapjoeogfkflhcbghgdnpae",</v>
      </c>
    </row>
    <row r="7152">
      <c r="A7152" s="4" t="s">
        <v>26331</v>
      </c>
      <c r="B7152" s="4" t="s">
        <v>14239</v>
      </c>
      <c r="C7152" s="16" t="str">
        <f>IFERROR(__xludf.DUMMYFUNCTION(""""""""" &amp; REGEXEXTRACT(B7152, ""/detail/([^/?]+)"") &amp; """""","""),"""dechcjncbhilapicebooedmhphhiglef"",")</f>
        <v>"dechcjncbhilapicebooedmhphhiglef",</v>
      </c>
    </row>
    <row r="7153">
      <c r="A7153" s="4" t="s">
        <v>26332</v>
      </c>
      <c r="B7153" s="4" t="s">
        <v>14241</v>
      </c>
      <c r="C7153" s="16" t="str">
        <f>IFERROR(__xludf.DUMMYFUNCTION(""""""""" &amp; REGEXEXTRACT(B7153, ""/detail/([^/?]+)"") &amp; """""","""),"""fikpgdnlnimmndcamdmmkfjblcfnckoo"",")</f>
        <v>"fikpgdnlnimmndcamdmmkfjblcfnckoo",</v>
      </c>
    </row>
    <row r="7154">
      <c r="A7154" s="4" t="s">
        <v>26333</v>
      </c>
      <c r="B7154" s="4" t="s">
        <v>14243</v>
      </c>
      <c r="C7154" s="16" t="str">
        <f>IFERROR(__xludf.DUMMYFUNCTION(""""""""" &amp; REGEXEXTRACT(B7154, ""/detail/([^/?]+)"") &amp; """""","""),"""gibkmpjlfnibddpaaflijepffcpgcohp"",")</f>
        <v>"gibkmpjlfnibddpaaflijepffcpgcohp",</v>
      </c>
    </row>
    <row r="7155">
      <c r="A7155" s="4" t="s">
        <v>26334</v>
      </c>
      <c r="B7155" s="4" t="s">
        <v>14245</v>
      </c>
      <c r="C7155" s="16" t="str">
        <f>IFERROR(__xludf.DUMMYFUNCTION(""""""""" &amp; REGEXEXTRACT(B7155, ""/detail/([^/?]+)"") &amp; """""","""),"""oenhefnbdinonicaglkhcagpaepmmfoo"",")</f>
        <v>"oenhefnbdinonicaglkhcagpaepmmfoo",</v>
      </c>
    </row>
    <row r="7156">
      <c r="A7156" s="4" t="s">
        <v>26335</v>
      </c>
      <c r="B7156" s="4" t="s">
        <v>14247</v>
      </c>
      <c r="C7156" s="16" t="str">
        <f>IFERROR(__xludf.DUMMYFUNCTION(""""""""" &amp; REGEXEXTRACT(B7156, ""/detail/([^/?]+)"") &amp; """""","""),"""apnnlkobibgdkakehkkgnmfinenhjddh"",")</f>
        <v>"apnnlkobibgdkakehkkgnmfinenhjddh",</v>
      </c>
    </row>
    <row r="7157">
      <c r="A7157" s="4" t="s">
        <v>26336</v>
      </c>
      <c r="B7157" s="4" t="s">
        <v>14249</v>
      </c>
      <c r="C7157" s="16" t="str">
        <f>IFERROR(__xludf.DUMMYFUNCTION(""""""""" &amp; REGEXEXTRACT(B7157, ""/detail/([^/?]+)"") &amp; """""","""),"""cdehpghdgmcgjafphehekainkknbdajc"",")</f>
        <v>"cdehpghdgmcgjafphehekainkknbdajc",</v>
      </c>
    </row>
    <row r="7158">
      <c r="A7158" s="4" t="s">
        <v>26337</v>
      </c>
      <c r="B7158" s="4" t="s">
        <v>14251</v>
      </c>
      <c r="C7158" s="16" t="str">
        <f>IFERROR(__xludf.DUMMYFUNCTION(""""""""" &amp; REGEXEXTRACT(B7158, ""/detail/([^/?]+)"") &amp; """""","""),"""lkkaijmiimgfbmfnbnmicfbfpdcdienh"",")</f>
        <v>"lkkaijmiimgfbmfnbnmicfbfpdcdienh",</v>
      </c>
    </row>
    <row r="7159">
      <c r="A7159" s="4" t="s">
        <v>26338</v>
      </c>
      <c r="B7159" s="4" t="s">
        <v>14253</v>
      </c>
      <c r="C7159" s="16" t="str">
        <f>IFERROR(__xludf.DUMMYFUNCTION(""""""""" &amp; REGEXEXTRACT(B7159, ""/detail/([^/?]+)"") &amp; """""","""),"""ikbgoplhddcabppmifaaoakohjjfooem"",")</f>
        <v>"ikbgoplhddcabppmifaaoakohjjfooem",</v>
      </c>
    </row>
    <row r="7160">
      <c r="A7160" s="4" t="s">
        <v>26339</v>
      </c>
      <c r="B7160" s="4" t="s">
        <v>14255</v>
      </c>
      <c r="C7160" s="16" t="str">
        <f>IFERROR(__xludf.DUMMYFUNCTION(""""""""" &amp; REGEXEXTRACT(B7160, ""/detail/([^/?]+)"") &amp; """""","""),"""jokabnhdpdjkpncammcloeagdnnooima"",")</f>
        <v>"jokabnhdpdjkpncammcloeagdnnooima",</v>
      </c>
    </row>
    <row r="7161">
      <c r="A7161" s="4" t="s">
        <v>26340</v>
      </c>
      <c r="B7161" s="4" t="s">
        <v>14257</v>
      </c>
      <c r="C7161" s="16" t="str">
        <f>IFERROR(__xludf.DUMMYFUNCTION(""""""""" &amp; REGEXEXTRACT(B7161, ""/detail/([^/?]+)"") &amp; """""","""),"""nljojmgmnidbehhocgkbeejchcmkpgki"",")</f>
        <v>"nljojmgmnidbehhocgkbeejchcmkpgki",</v>
      </c>
    </row>
    <row r="7162">
      <c r="A7162" s="4" t="s">
        <v>26341</v>
      </c>
      <c r="B7162" s="4" t="s">
        <v>14259</v>
      </c>
      <c r="C7162" s="16" t="str">
        <f>IFERROR(__xludf.DUMMYFUNCTION(""""""""" &amp; REGEXEXTRACT(B7162, ""/detail/([^/?]+)"") &amp; """""","""),"""ofjikfigpedfahjpninpbegobibogbda"",")</f>
        <v>"ofjikfigpedfahjpninpbegobibogbda",</v>
      </c>
    </row>
    <row r="7163">
      <c r="A7163" s="4" t="s">
        <v>26342</v>
      </c>
      <c r="B7163" s="4" t="s">
        <v>14261</v>
      </c>
      <c r="C7163" s="16" t="str">
        <f>IFERROR(__xludf.DUMMYFUNCTION(""""""""" &amp; REGEXEXTRACT(B7163, ""/detail/([^/?]+)"") &amp; """""","""),"""ogianofickehjjgaopiohbgjhmhbdafn"",")</f>
        <v>"ogianofickehjjgaopiohbgjhmhbdafn",</v>
      </c>
    </row>
    <row r="7164">
      <c r="A7164" s="4" t="s">
        <v>26343</v>
      </c>
      <c r="B7164" s="4" t="s">
        <v>14263</v>
      </c>
      <c r="C7164" s="16" t="str">
        <f>IFERROR(__xludf.DUMMYFUNCTION(""""""""" &amp; REGEXEXTRACT(B7164, ""/detail/([^/?]+)"") &amp; """""","""),"""ppehpblmikpidcbjfobiomoedhpnlmdl"",")</f>
        <v>"ppehpblmikpidcbjfobiomoedhpnlmdl",</v>
      </c>
    </row>
    <row r="7165">
      <c r="A7165" s="4" t="s">
        <v>26344</v>
      </c>
      <c r="B7165" s="4" t="s">
        <v>14265</v>
      </c>
      <c r="C7165" s="16" t="str">
        <f>IFERROR(__xludf.DUMMYFUNCTION(""""""""" &amp; REGEXEXTRACT(B7165, ""/detail/([^/?]+)"") &amp; """""","""),"""eiobdpjhboagcihclljpjkkehnmiodlb"",")</f>
        <v>"eiobdpjhboagcihclljpjkkehnmiodlb",</v>
      </c>
    </row>
    <row r="7166">
      <c r="A7166" s="4" t="s">
        <v>26345</v>
      </c>
      <c r="B7166" s="4" t="s">
        <v>14267</v>
      </c>
      <c r="C7166" s="16" t="str">
        <f>IFERROR(__xludf.DUMMYFUNCTION(""""""""" &amp; REGEXEXTRACT(B7166, ""/detail/([^/?]+)"") &amp; """""","""),"""jmmmcnfbcinhmphcbadgbfkalkmagiog"",")</f>
        <v>"jmmmcnfbcinhmphcbadgbfkalkmagiog",</v>
      </c>
    </row>
    <row r="7167">
      <c r="A7167" s="4" t="s">
        <v>26346</v>
      </c>
      <c r="B7167" s="4" t="s">
        <v>14269</v>
      </c>
      <c r="C7167" s="16" t="str">
        <f>IFERROR(__xludf.DUMMYFUNCTION(""""""""" &amp; REGEXEXTRACT(B7167, ""/detail/([^/?]+)"") &amp; """""","""),"""lemjeocdokhjlhidkiajmgeoealmanho"",")</f>
        <v>"lemjeocdokhjlhidkiajmgeoealmanho",</v>
      </c>
    </row>
    <row r="7168">
      <c r="A7168" s="4" t="s">
        <v>26347</v>
      </c>
      <c r="B7168" s="4" t="s">
        <v>14271</v>
      </c>
      <c r="C7168" s="16" t="str">
        <f>IFERROR(__xludf.DUMMYFUNCTION(""""""""" &amp; REGEXEXTRACT(B7168, ""/detail/([^/?]+)"") &amp; """""","""),"""lpnjpfcjoodgemnipmlaobngfndgojki"",")</f>
        <v>"lpnjpfcjoodgemnipmlaobngfndgojki",</v>
      </c>
    </row>
    <row r="7169">
      <c r="A7169" s="4" t="s">
        <v>26348</v>
      </c>
      <c r="B7169" s="4" t="s">
        <v>14273</v>
      </c>
      <c r="C7169" s="16" t="str">
        <f>IFERROR(__xludf.DUMMYFUNCTION(""""""""" &amp; REGEXEXTRACT(B7169, ""/detail/([^/?]+)"") &amp; """""","""),"""odkgihncjgklajjabihpoipfnpcjhdno"",")</f>
        <v>"odkgihncjgklajjabihpoipfnpcjhdno",</v>
      </c>
    </row>
    <row r="7170">
      <c r="A7170" s="4" t="s">
        <v>26349</v>
      </c>
      <c r="B7170" s="4" t="s">
        <v>14275</v>
      </c>
      <c r="C7170" s="16" t="str">
        <f>IFERROR(__xludf.DUMMYFUNCTION(""""""""" &amp; REGEXEXTRACT(B7170, ""/detail/([^/?]+)"") &amp; """""","""),"""oilcfopfbikfeapigpknngnmdcpijgnl"",")</f>
        <v>"oilcfopfbikfeapigpknngnmdcpijgnl",</v>
      </c>
    </row>
    <row r="7171">
      <c r="A7171" s="4" t="s">
        <v>26350</v>
      </c>
      <c r="B7171" s="4" t="s">
        <v>14277</v>
      </c>
      <c r="C7171" s="16" t="str">
        <f>IFERROR(__xludf.DUMMYFUNCTION(""""""""" &amp; REGEXEXTRACT(B7171, ""/detail/([^/?]+)"") &amp; """""","""),"""dokjalegehmapmfcgljdmpnnheabgedb"",")</f>
        <v>"dokjalegehmapmfcgljdmpnnheabgedb",</v>
      </c>
    </row>
    <row r="7172">
      <c r="A7172" s="4" t="s">
        <v>26351</v>
      </c>
      <c r="B7172" s="4" t="s">
        <v>14279</v>
      </c>
      <c r="C7172" s="16" t="str">
        <f>IFERROR(__xludf.DUMMYFUNCTION(""""""""" &amp; REGEXEXTRACT(B7172, ""/detail/([^/?]+)"") &amp; """""","""),"""geedjmnplkdpfigfefbnegoppimkfekn"",")</f>
        <v>"geedjmnplkdpfigfefbnegoppimkfekn",</v>
      </c>
    </row>
    <row r="7173">
      <c r="A7173" s="4" t="s">
        <v>26352</v>
      </c>
      <c r="B7173" s="4" t="s">
        <v>14280</v>
      </c>
      <c r="C7173" s="16" t="str">
        <f>IFERROR(__xludf.DUMMYFUNCTION(""""""""" &amp; REGEXEXTRACT(B7173, ""/detail/([^/?]+)"") &amp; """""","""),"""hbglapgegjickodindimfgfmjmhhdlii"",")</f>
        <v>"hbglapgegjickodindimfgfmjmhhdlii",</v>
      </c>
    </row>
    <row r="7174">
      <c r="A7174" s="4" t="s">
        <v>26353</v>
      </c>
      <c r="B7174" s="4" t="s">
        <v>14282</v>
      </c>
      <c r="C7174" s="16" t="str">
        <f>IFERROR(__xludf.DUMMYFUNCTION(""""""""" &amp; REGEXEXTRACT(B7174, ""/detail/([^/?]+)"") &amp; """""","""),"""hfcopfpmehaahmglocoolmgidihnjdgn"",")</f>
        <v>"hfcopfpmehaahmglocoolmgidihnjdgn",</v>
      </c>
    </row>
    <row r="7175">
      <c r="A7175" s="4" t="s">
        <v>26354</v>
      </c>
      <c r="B7175" s="4" t="s">
        <v>14284</v>
      </c>
      <c r="C7175" s="16" t="str">
        <f>IFERROR(__xludf.DUMMYFUNCTION(""""""""" &amp; REGEXEXTRACT(B7175, ""/detail/([^/?]+)"") &amp; """""","""),"""hpdgkdeokgdljggbajofdlcacgdolopc"",")</f>
        <v>"hpdgkdeokgdljggbajofdlcacgdolopc",</v>
      </c>
    </row>
    <row r="7176">
      <c r="A7176" s="4" t="s">
        <v>26355</v>
      </c>
      <c r="B7176" s="4" t="s">
        <v>14286</v>
      </c>
      <c r="C7176" s="16" t="str">
        <f>IFERROR(__xludf.DUMMYFUNCTION(""""""""" &amp; REGEXEXTRACT(B7176, ""/detail/([^/?]+)"") &amp; """""","""),"""jpcokheimfkcoofnbgalbeogbgpjlajo"",")</f>
        <v>"jpcokheimfkcoofnbgalbeogbgpjlajo",</v>
      </c>
    </row>
    <row r="7177">
      <c r="A7177" s="4" t="s">
        <v>26356</v>
      </c>
      <c r="B7177" s="4" t="s">
        <v>14288</v>
      </c>
      <c r="C7177" s="16" t="str">
        <f>IFERROR(__xludf.DUMMYFUNCTION(""""""""" &amp; REGEXEXTRACT(B7177, ""/detail/([^/?]+)"") &amp; """""","""),"""kfedadkcoojmpcngclejddilmdllildj"",")</f>
        <v>"kfedadkcoojmpcngclejddilmdllildj",</v>
      </c>
    </row>
    <row r="7178">
      <c r="A7178" s="4" t="s">
        <v>26357</v>
      </c>
      <c r="B7178" s="4" t="s">
        <v>14290</v>
      </c>
      <c r="C7178" s="16" t="str">
        <f>IFERROR(__xludf.DUMMYFUNCTION(""""""""" &amp; REGEXEXTRACT(B7178, ""/detail/([^/?]+)"") &amp; """""","""),"""oekldebgglamjinopejlfdefedeodlfe"",")</f>
        <v>"oekldebgglamjinopejlfdefedeodlfe",</v>
      </c>
    </row>
    <row r="7179">
      <c r="A7179" s="4" t="s">
        <v>26358</v>
      </c>
      <c r="B7179" s="4" t="s">
        <v>14292</v>
      </c>
      <c r="C7179" s="16" t="str">
        <f>IFERROR(__xludf.DUMMYFUNCTION(""""""""" &amp; REGEXEXTRACT(B7179, ""/detail/([^/?]+)"") &amp; """""","""),"""pjeegkceklkldmejcphacjjjnhokeelj"",")</f>
        <v>"pjeegkceklkldmejcphacjjjnhokeelj",</v>
      </c>
    </row>
    <row r="7180">
      <c r="A7180" s="4" t="s">
        <v>26359</v>
      </c>
      <c r="B7180" s="4" t="s">
        <v>14294</v>
      </c>
      <c r="C7180" s="16" t="str">
        <f>IFERROR(__xludf.DUMMYFUNCTION(""""""""" &amp; REGEXEXTRACT(B7180, ""/detail/([^/?]+)"") &amp; """""","""),"""bfhmecnhdehblbnadegfpbmmbbobkjff"",")</f>
        <v>"bfhmecnhdehblbnadegfpbmmbbobkjff",</v>
      </c>
    </row>
    <row r="7181">
      <c r="A7181" s="4" t="s">
        <v>26360</v>
      </c>
      <c r="B7181" s="4" t="s">
        <v>14296</v>
      </c>
      <c r="C7181" s="16" t="str">
        <f>IFERROR(__xludf.DUMMYFUNCTION(""""""""" &amp; REGEXEXTRACT(B7181, ""/detail/([^/?]+)"") &amp; """""","""),"""bnkfnbanaddcalcbanfmlbeljhbhjmba"",")</f>
        <v>"bnkfnbanaddcalcbanfmlbeljhbhjmba",</v>
      </c>
    </row>
    <row r="7182">
      <c r="A7182" s="4" t="s">
        <v>26361</v>
      </c>
      <c r="B7182" s="4" t="s">
        <v>14298</v>
      </c>
      <c r="C7182" s="16" t="str">
        <f>IFERROR(__xludf.DUMMYFUNCTION(""""""""" &amp; REGEXEXTRACT(B7182, ""/detail/([^/?]+)"") &amp; """""","""),"""dngepaapinafpbhfbfjhkcbabhfakmia"",")</f>
        <v>"dngepaapinafpbhfbfjhkcbabhfakmia",</v>
      </c>
    </row>
    <row r="7183">
      <c r="A7183" s="4" t="s">
        <v>26362</v>
      </c>
      <c r="B7183" s="4" t="s">
        <v>14300</v>
      </c>
      <c r="C7183" s="16" t="str">
        <f>IFERROR(__xludf.DUMMYFUNCTION(""""""""" &amp; REGEXEXTRACT(B7183, ""/detail/([^/?]+)"") &amp; """""","""),"""ffmffcaeblfpligkklopofadiemkelld"",")</f>
        <v>"ffmffcaeblfpligkklopofadiemkelld",</v>
      </c>
    </row>
    <row r="7184">
      <c r="A7184" s="4" t="s">
        <v>26363</v>
      </c>
      <c r="B7184" s="4" t="s">
        <v>14302</v>
      </c>
      <c r="C7184" s="16" t="str">
        <f>IFERROR(__xludf.DUMMYFUNCTION(""""""""" &amp; REGEXEXTRACT(B7184, ""/detail/([^/?]+)"") &amp; """""","""),"""gbmnhnmodfphgecokgbppdeepkodjglg"",")</f>
        <v>"gbmnhnmodfphgecokgbppdeepkodjglg",</v>
      </c>
    </row>
    <row r="7185">
      <c r="A7185" s="4" t="s">
        <v>26364</v>
      </c>
      <c r="B7185" s="4" t="s">
        <v>14304</v>
      </c>
      <c r="C7185" s="16" t="str">
        <f>IFERROR(__xludf.DUMMYFUNCTION(""""""""" &amp; REGEXEXTRACT(B7185, ""/detail/([^/?]+)"") &amp; """""","""),"""nmpbcamdnjodendgfnnaphlpnbmhefkn"",")</f>
        <v>"nmpbcamdnjodendgfnnaphlpnbmhefkn",</v>
      </c>
    </row>
    <row r="7186">
      <c r="A7186" s="4" t="s">
        <v>26365</v>
      </c>
      <c r="B7186" s="4" t="s">
        <v>14306</v>
      </c>
      <c r="C7186" s="16" t="str">
        <f>IFERROR(__xludf.DUMMYFUNCTION(""""""""" &amp; REGEXEXTRACT(B7186, ""/detail/([^/?]+)"") &amp; """""","""),"""odjjihghjdapmcfjhnkkkikiibladmkj"",")</f>
        <v>"odjjihghjdapmcfjhnkkkikiibladmkj",</v>
      </c>
    </row>
    <row r="7187">
      <c r="A7187" s="4" t="s">
        <v>26366</v>
      </c>
      <c r="B7187" s="4" t="s">
        <v>14308</v>
      </c>
      <c r="C7187" s="16" t="str">
        <f>IFERROR(__xludf.DUMMYFUNCTION(""""""""" &amp; REGEXEXTRACT(B7187, ""/detail/([^/?]+)"") &amp; """""","""),"""ohohbfcpbhmbomjilbokachdnoanpbfn"",")</f>
        <v>"ohohbfcpbhmbomjilbokachdnoanpbfn",</v>
      </c>
    </row>
    <row r="7188">
      <c r="A7188" s="4" t="s">
        <v>26367</v>
      </c>
      <c r="B7188" s="4" t="s">
        <v>14310</v>
      </c>
      <c r="C7188" s="16" t="str">
        <f>IFERROR(__xludf.DUMMYFUNCTION(""""""""" &amp; REGEXEXTRACT(B7188, ""/detail/([^/?]+)"") &amp; """""","""),"""pkoogihbgjbpeollfnioabeaimjaongg"",")</f>
        <v>"pkoogihbgjbpeollfnioabeaimjaongg",</v>
      </c>
    </row>
    <row r="7189">
      <c r="A7189" s="4" t="s">
        <v>26368</v>
      </c>
      <c r="B7189" s="4" t="s">
        <v>14312</v>
      </c>
      <c r="C7189" s="16" t="str">
        <f>IFERROR(__xludf.DUMMYFUNCTION(""""""""" &amp; REGEXEXTRACT(B7189, ""/detail/([^/?]+)"") &amp; """""","""),"""pmfmklabfjmnmjihlpmkfemgcfdpfhdn"",")</f>
        <v>"pmfmklabfjmnmjihlpmkfemgcfdpfhdn",</v>
      </c>
    </row>
    <row r="7190">
      <c r="A7190" s="4" t="s">
        <v>26369</v>
      </c>
      <c r="B7190" s="4" t="s">
        <v>14314</v>
      </c>
      <c r="C7190" s="16" t="str">
        <f>IFERROR(__xludf.DUMMYFUNCTION(""""""""" &amp; REGEXEXTRACT(B7190, ""/detail/([^/?]+)"") &amp; """""","""),"""andfkdmajakgfaegeepffdpejahkphje"",")</f>
        <v>"andfkdmajakgfaegeepffdpejahkphje",</v>
      </c>
    </row>
    <row r="7191">
      <c r="A7191" s="4" t="s">
        <v>26370</v>
      </c>
      <c r="B7191" s="4" t="s">
        <v>14316</v>
      </c>
      <c r="C7191" s="16" t="str">
        <f>IFERROR(__xludf.DUMMYFUNCTION(""""""""" &amp; REGEXEXTRACT(B7191, ""/detail/([^/?]+)"") &amp; """""","""),"""echojgiinphjmeidkoenhhlnnbgnahfb"",")</f>
        <v>"echojgiinphjmeidkoenhhlnnbgnahfb",</v>
      </c>
    </row>
    <row r="7192">
      <c r="A7192" s="4" t="s">
        <v>26371</v>
      </c>
      <c r="B7192" s="4" t="s">
        <v>14318</v>
      </c>
      <c r="C7192" s="16" t="str">
        <f>IFERROR(__xludf.DUMMYFUNCTION(""""""""" &amp; REGEXEXTRACT(B7192, ""/detail/([^/?]+)"") &amp; """""","""),"""fagbkcmhagoigbbjccpglokfdklgicfg"",")</f>
        <v>"fagbkcmhagoigbbjccpglokfdklgicfg",</v>
      </c>
    </row>
    <row r="7193">
      <c r="A7193" s="4" t="s">
        <v>26372</v>
      </c>
      <c r="B7193" s="4" t="s">
        <v>14320</v>
      </c>
      <c r="C7193" s="16" t="str">
        <f>IFERROR(__xludf.DUMMYFUNCTION(""""""""" &amp; REGEXEXTRACT(B7193, ""/detail/([^/?]+)"") &amp; """""","""),"""ikehhajkadegiobmdlmajippigldcnma"",")</f>
        <v>"ikehhajkadegiobmdlmajippigldcnma",</v>
      </c>
    </row>
    <row r="7194">
      <c r="A7194" s="4" t="s">
        <v>26373</v>
      </c>
      <c r="B7194" s="4" t="s">
        <v>14322</v>
      </c>
      <c r="C7194" s="16" t="str">
        <f>IFERROR(__xludf.DUMMYFUNCTION(""""""""" &amp; REGEXEXTRACT(B7194, ""/detail/([^/?]+)"") &amp; """""","""),"""jgacgeahnbmkhdhldifidddbkneahmal"",")</f>
        <v>"jgacgeahnbmkhdhldifidddbkneahmal",</v>
      </c>
    </row>
    <row r="7195">
      <c r="A7195" s="4" t="s">
        <v>26374</v>
      </c>
      <c r="B7195" s="4" t="s">
        <v>14324</v>
      </c>
      <c r="C7195" s="16" t="str">
        <f>IFERROR(__xludf.DUMMYFUNCTION(""""""""" &amp; REGEXEXTRACT(B7195, ""/detail/([^/?]+)"") &amp; """""","""),"""kbchhfdklfddnnilmdffaeahipjcabll"",")</f>
        <v>"kbchhfdklfddnnilmdffaeahipjcabll",</v>
      </c>
    </row>
    <row r="7196">
      <c r="A7196" s="4" t="s">
        <v>26375</v>
      </c>
      <c r="B7196" s="4" t="s">
        <v>14326</v>
      </c>
      <c r="C7196" s="16" t="str">
        <f>IFERROR(__xludf.DUMMYFUNCTION(""""""""" &amp; REGEXEXTRACT(B7196, ""/detail/([^/?]+)"") &amp; """""","""),"""apenapfkioiehfhgheabegngnfhnfbjh"",")</f>
        <v>"apenapfkioiehfhgheabegngnfhnfbjh",</v>
      </c>
    </row>
    <row r="7197">
      <c r="A7197" s="4" t="s">
        <v>26376</v>
      </c>
      <c r="B7197" s="4" t="s">
        <v>14328</v>
      </c>
      <c r="C7197" s="16" t="str">
        <f>IFERROR(__xludf.DUMMYFUNCTION(""""""""" &amp; REGEXEXTRACT(B7197, ""/detail/([^/?]+)"") &amp; """""","""),"""cpllkgijabinckdkaklopkecmkfldaci"",")</f>
        <v>"cpllkgijabinckdkaklopkecmkfldaci",</v>
      </c>
    </row>
    <row r="7198">
      <c r="A7198" s="4" t="s">
        <v>26377</v>
      </c>
      <c r="B7198" s="4" t="s">
        <v>14330</v>
      </c>
      <c r="C7198" s="16" t="str">
        <f>IFERROR(__xludf.DUMMYFUNCTION(""""""""" &amp; REGEXEXTRACT(B7198, ""/detail/([^/?]+)"") &amp; """""","""),"""piefpokhpcehbeelhohgcnbipnfkogig"",")</f>
        <v>"piefpokhpcehbeelhohgcnbipnfkogig",</v>
      </c>
    </row>
    <row r="7199">
      <c r="A7199" s="4" t="s">
        <v>26378</v>
      </c>
      <c r="B7199" s="4" t="s">
        <v>14332</v>
      </c>
      <c r="C7199" s="16" t="str">
        <f>IFERROR(__xludf.DUMMYFUNCTION(""""""""" &amp; REGEXEXTRACT(B7199, ""/detail/([^/?]+)"") &amp; """""","""),"""aepmadgjacfjcneccddiccnkbpimobge"",")</f>
        <v>"aepmadgjacfjcneccddiccnkbpimobge",</v>
      </c>
    </row>
    <row r="7200">
      <c r="A7200" s="4" t="s">
        <v>26379</v>
      </c>
      <c r="B7200" s="4" t="s">
        <v>14334</v>
      </c>
      <c r="C7200" s="16" t="str">
        <f>IFERROR(__xludf.DUMMYFUNCTION(""""""""" &amp; REGEXEXTRACT(B7200, ""/detail/([^/?]+)"") &amp; """""","""),"""dnnmhbpkodfaokfjdiolkcaplipifian"",")</f>
        <v>"dnnmhbpkodfaokfjdiolkcaplipifian",</v>
      </c>
    </row>
    <row r="7201">
      <c r="A7201" s="4" t="s">
        <v>26380</v>
      </c>
      <c r="B7201" s="4" t="s">
        <v>14336</v>
      </c>
      <c r="C7201" s="16" t="str">
        <f>IFERROR(__xludf.DUMMYFUNCTION(""""""""" &amp; REGEXEXTRACT(B7201, ""/detail/([^/?]+)"") &amp; """""","""),"""gmflieilmcgbdepadibceklnjbjimpof"",")</f>
        <v>"gmflieilmcgbdepadibceklnjbjimpof",</v>
      </c>
    </row>
    <row r="7202">
      <c r="A7202" s="4" t="s">
        <v>26381</v>
      </c>
      <c r="B7202" s="4" t="s">
        <v>14338</v>
      </c>
      <c r="C7202" s="16" t="str">
        <f>IFERROR(__xludf.DUMMYFUNCTION(""""""""" &amp; REGEXEXTRACT(B7202, ""/detail/([^/?]+)"") &amp; """""","""),"""gnbahblccifcgnfejjijlmjcidfookfh"",")</f>
        <v>"gnbahblccifcgnfejjijlmjcidfookfh",</v>
      </c>
    </row>
    <row r="7203">
      <c r="A7203" s="4" t="s">
        <v>26382</v>
      </c>
      <c r="B7203" s="4" t="s">
        <v>14340</v>
      </c>
      <c r="C7203" s="16" t="str">
        <f>IFERROR(__xludf.DUMMYFUNCTION(""""""""" &amp; REGEXEXTRACT(B7203, ""/detail/([^/?]+)"") &amp; """""","""),"""jejhfjabchpfgmieifoaidgkoijankgk"",")</f>
        <v>"jejhfjabchpfgmieifoaidgkoijankgk",</v>
      </c>
    </row>
    <row r="7204">
      <c r="A7204" s="4" t="s">
        <v>26383</v>
      </c>
      <c r="B7204" s="4" t="s">
        <v>14342</v>
      </c>
      <c r="C7204" s="16" t="str">
        <f>IFERROR(__xludf.DUMMYFUNCTION(""""""""" &amp; REGEXEXTRACT(B7204, ""/detail/([^/?]+)"") &amp; """""","""),"""bnfdjfapcjoceahmmbeobcjfaohmfoci"",")</f>
        <v>"bnfdjfapcjoceahmmbeobcjfaohmfoci",</v>
      </c>
    </row>
    <row r="7205">
      <c r="A7205" s="4" t="s">
        <v>26384</v>
      </c>
      <c r="B7205" s="4" t="s">
        <v>14344</v>
      </c>
      <c r="C7205" s="16" t="str">
        <f>IFERROR(__xludf.DUMMYFUNCTION(""""""""" &amp; REGEXEXTRACT(B7205, ""/detail/([^/?]+)"") &amp; """""","""),"""icipmdhgbkejfideagkhdebiaeohfijk"",")</f>
        <v>"icipmdhgbkejfideagkhdebiaeohfijk",</v>
      </c>
    </row>
    <row r="7206">
      <c r="A7206" s="4" t="s">
        <v>26385</v>
      </c>
      <c r="B7206" s="4" t="s">
        <v>14346</v>
      </c>
      <c r="C7206" s="16" t="str">
        <f>IFERROR(__xludf.DUMMYFUNCTION(""""""""" &amp; REGEXEXTRACT(B7206, ""/detail/([^/?]+)"") &amp; """""","""),"""llpkoklagnnpahhbokmimohbmjkhhcjc"",")</f>
        <v>"llpkoklagnnpahhbokmimohbmjkhhcjc",</v>
      </c>
    </row>
    <row r="7207">
      <c r="A7207" s="4" t="s">
        <v>26386</v>
      </c>
      <c r="B7207" s="4" t="s">
        <v>14348</v>
      </c>
      <c r="C7207" s="16" t="str">
        <f>IFERROR(__xludf.DUMMYFUNCTION(""""""""" &amp; REGEXEXTRACT(B7207, ""/detail/([^/?]+)"") &amp; """""","""),"""paeleikfhjllfcdmkgnjmmkikchonnih"",")</f>
        <v>"paeleikfhjllfcdmkgnjmmkikchonnih",</v>
      </c>
    </row>
    <row r="7208">
      <c r="A7208" s="4" t="s">
        <v>26387</v>
      </c>
      <c r="B7208" s="4" t="s">
        <v>14350</v>
      </c>
      <c r="C7208" s="16" t="str">
        <f>IFERROR(__xludf.DUMMYFUNCTION(""""""""" &amp; REGEXEXTRACT(B7208, ""/detail/([^/?]+)"") &amp; """""","""),"""eekphfelaedkocmngpodmoahbgbldbik"",")</f>
        <v>"eekphfelaedkocmngpodmoahbgbldbik",</v>
      </c>
    </row>
    <row r="7209">
      <c r="A7209" s="4" t="s">
        <v>26388</v>
      </c>
      <c r="B7209" s="4" t="s">
        <v>14352</v>
      </c>
      <c r="C7209" s="16" t="str">
        <f>IFERROR(__xludf.DUMMYFUNCTION(""""""""" &amp; REGEXEXTRACT(B7209, ""/detail/([^/?]+)"") &amp; """""","""),"""icdphajhndamimeleigndjlofmcpgjho"",")</f>
        <v>"icdphajhndamimeleigndjlofmcpgjho",</v>
      </c>
    </row>
    <row r="7210">
      <c r="A7210" s="4" t="s">
        <v>26389</v>
      </c>
      <c r="B7210" s="4" t="s">
        <v>14354</v>
      </c>
      <c r="C7210" s="16" t="str">
        <f>IFERROR(__xludf.DUMMYFUNCTION(""""""""" &amp; REGEXEXTRACT(B7210, ""/detail/([^/?]+)"") &amp; """""","""),"""klhplehocjgjgpmkfcmdmlegopncomck"",")</f>
        <v>"klhplehocjgjgpmkfcmdmlegopncomck",</v>
      </c>
    </row>
    <row r="7211">
      <c r="A7211" s="4" t="s">
        <v>26390</v>
      </c>
      <c r="B7211" s="4" t="s">
        <v>14356</v>
      </c>
      <c r="C7211" s="16" t="str">
        <f>IFERROR(__xludf.DUMMYFUNCTION(""""""""" &amp; REGEXEXTRACT(B7211, ""/detail/([^/?]+)"") &amp; """""","""),"""mbkfcmpjbkmmdcfocaclghbobhnjfpkk"",")</f>
        <v>"mbkfcmpjbkmmdcfocaclghbobhnjfpkk",</v>
      </c>
    </row>
    <row r="7212">
      <c r="A7212" s="4" t="s">
        <v>26391</v>
      </c>
      <c r="B7212" s="4" t="s">
        <v>14358</v>
      </c>
      <c r="C7212" s="16" t="str">
        <f>IFERROR(__xludf.DUMMYFUNCTION(""""""""" &amp; REGEXEXTRACT(B7212, ""/detail/([^/?]+)"") &amp; """""","""),"""bjddoinjnabgbnloplmjdfdcdlefdbhj"",")</f>
        <v>"bjddoinjnabgbnloplmjdfdcdlefdbhj",</v>
      </c>
    </row>
    <row r="7213">
      <c r="A7213" s="4" t="s">
        <v>26392</v>
      </c>
      <c r="B7213" s="4" t="s">
        <v>14360</v>
      </c>
      <c r="C7213" s="16" t="str">
        <f>IFERROR(__xludf.DUMMYFUNCTION(""""""""" &amp; REGEXEXTRACT(B7213, ""/detail/([^/?]+)"") &amp; """""","""),"""fjnmafjfphgfkfhdlbibdjpojgkpomhg"",")</f>
        <v>"fjnmafjfphgfkfhdlbibdjpojgkpomhg",</v>
      </c>
    </row>
    <row r="7214">
      <c r="A7214" s="4" t="s">
        <v>26393</v>
      </c>
      <c r="B7214" s="4" t="s">
        <v>14362</v>
      </c>
      <c r="C7214" s="16" t="str">
        <f>IFERROR(__xludf.DUMMYFUNCTION(""""""""" &amp; REGEXEXTRACT(B7214, ""/detail/([^/?]+)"") &amp; """""","""),"""hlgfnmhokcceeipoadecmcgfijbnjpjm"",")</f>
        <v>"hlgfnmhokcceeipoadecmcgfijbnjpjm",</v>
      </c>
    </row>
    <row r="7215">
      <c r="A7215" s="4" t="s">
        <v>26394</v>
      </c>
      <c r="B7215" s="4" t="s">
        <v>14364</v>
      </c>
      <c r="C7215" s="16" t="str">
        <f>IFERROR(__xludf.DUMMYFUNCTION(""""""""" &amp; REGEXEXTRACT(B7215, ""/detail/([^/?]+)"") &amp; """""","""),"""ompelnpholagcjdmfomlhbmmmaneholh"",")</f>
        <v>"ompelnpholagcjdmfomlhbmmmaneholh",</v>
      </c>
    </row>
    <row r="7216">
      <c r="A7216" s="4" t="s">
        <v>26395</v>
      </c>
      <c r="B7216" s="4" t="s">
        <v>14366</v>
      </c>
      <c r="C7216" s="16" t="str">
        <f>IFERROR(__xludf.DUMMYFUNCTION(""""""""" &amp; REGEXEXTRACT(B7216, ""/detail/([^/?]+)"") &amp; """""","""),"""bchohngmdfcbpchmpikoggegmkdcindl"",")</f>
        <v>"bchohngmdfcbpchmpikoggegmkdcindl",</v>
      </c>
    </row>
    <row r="7217">
      <c r="A7217" s="4" t="s">
        <v>26396</v>
      </c>
      <c r="B7217" s="4" t="s">
        <v>14368</v>
      </c>
      <c r="C7217" s="16" t="str">
        <f>IFERROR(__xludf.DUMMYFUNCTION(""""""""" &amp; REGEXEXTRACT(B7217, ""/detail/([^/?]+)"") &amp; """""","""),"""ebbdfenmifgpbgificimnmnbihbonngd"",")</f>
        <v>"ebbdfenmifgpbgificimnmnbihbonngd",</v>
      </c>
    </row>
    <row r="7218">
      <c r="A7218" s="4" t="s">
        <v>26397</v>
      </c>
      <c r="B7218" s="4" t="s">
        <v>14370</v>
      </c>
      <c r="C7218" s="16" t="str">
        <f>IFERROR(__xludf.DUMMYFUNCTION(""""""""" &amp; REGEXEXTRACT(B7218, ""/detail/([^/?]+)"") &amp; """""","""),"""gemnnoleeghoopacifipccmkpiakghab"",")</f>
        <v>"gemnnoleeghoopacifipccmkpiakghab",</v>
      </c>
    </row>
    <row r="7219">
      <c r="A7219" s="4" t="s">
        <v>26398</v>
      </c>
      <c r="B7219" s="4" t="s">
        <v>14372</v>
      </c>
      <c r="C7219" s="16" t="str">
        <f>IFERROR(__xludf.DUMMYFUNCTION(""""""""" &amp; REGEXEXTRACT(B7219, ""/detail/([^/?]+)"") &amp; """""","""),"""jmlpibaiajblhhhlahofdbijphklkknf"",")</f>
        <v>"jmlpibaiajblhhhlahofdbijphklkknf",</v>
      </c>
    </row>
    <row r="7220">
      <c r="A7220" s="4" t="s">
        <v>26399</v>
      </c>
      <c r="B7220" s="4" t="s">
        <v>14374</v>
      </c>
      <c r="C7220" s="16" t="str">
        <f>IFERROR(__xludf.DUMMYFUNCTION(""""""""" &amp; REGEXEXTRACT(B7220, ""/detail/([^/?]+)"") &amp; """""","""),"""jpnhdjjeppmoifhgkkdccockheofgiba"",")</f>
        <v>"jpnhdjjeppmoifhgkkdccockheofgiba",</v>
      </c>
    </row>
    <row r="7221">
      <c r="A7221" s="4" t="s">
        <v>26400</v>
      </c>
      <c r="B7221" s="4" t="s">
        <v>14376</v>
      </c>
      <c r="C7221" s="16" t="str">
        <f>IFERROR(__xludf.DUMMYFUNCTION(""""""""" &amp; REGEXEXTRACT(B7221, ""/detail/([^/?]+)"") &amp; """""","""),"""mjjpndhmkjgapkmkmanfhhfellhpkglf"",")</f>
        <v>"mjjpndhmkjgapkmkmanfhhfellhpkglf",</v>
      </c>
    </row>
    <row r="7222">
      <c r="A7222" s="4" t="s">
        <v>26401</v>
      </c>
      <c r="B7222" s="4" t="s">
        <v>14378</v>
      </c>
      <c r="C7222" s="16" t="str">
        <f>IFERROR(__xludf.DUMMYFUNCTION(""""""""" &amp; REGEXEXTRACT(B7222, ""/detail/([^/?]+)"") &amp; """""","""),"""mnjompehmpjmjbpbkigjmhdioobojphe"",")</f>
        <v>"mnjompehmpjmjbpbkigjmhdioobojphe",</v>
      </c>
    </row>
    <row r="7223">
      <c r="A7223" s="4" t="s">
        <v>26402</v>
      </c>
      <c r="B7223" s="4" t="s">
        <v>14380</v>
      </c>
      <c r="C7223" s="16" t="str">
        <f>IFERROR(__xludf.DUMMYFUNCTION(""""""""" &amp; REGEXEXTRACT(B7223, ""/detail/([^/?]+)"") &amp; """""","""),"""kffimnekdgebaakicpmjkpafgkfejdmi"",")</f>
        <v>"kffimnekdgebaakicpmjkpafgkfejdmi",</v>
      </c>
    </row>
    <row r="7224">
      <c r="A7224" s="4" t="s">
        <v>26403</v>
      </c>
      <c r="B7224" s="4" t="s">
        <v>14382</v>
      </c>
      <c r="C7224" s="16" t="str">
        <f>IFERROR(__xludf.DUMMYFUNCTION(""""""""" &amp; REGEXEXTRACT(B7224, ""/detail/([^/?]+)"") &amp; """""","""),"""noblnklnhglbnfomoipgcidnbpdjfbom"",")</f>
        <v>"noblnklnhglbnfomoipgcidnbpdjfbom",</v>
      </c>
    </row>
    <row r="7225">
      <c r="A7225" s="4" t="s">
        <v>26404</v>
      </c>
      <c r="B7225" s="4" t="s">
        <v>14384</v>
      </c>
      <c r="C7225" s="16" t="str">
        <f>IFERROR(__xludf.DUMMYFUNCTION(""""""""" &amp; REGEXEXTRACT(B7225, ""/detail/([^/?]+)"") &amp; """""","""),"""bpaipbaiemikfhkocfcfaclnleninehe"",")</f>
        <v>"bpaipbaiemikfhkocfcfaclnleninehe",</v>
      </c>
    </row>
    <row r="7226">
      <c r="A7226" s="4" t="s">
        <v>26405</v>
      </c>
      <c r="B7226" s="4" t="s">
        <v>14386</v>
      </c>
      <c r="C7226" s="16" t="str">
        <f>IFERROR(__xludf.DUMMYFUNCTION(""""""""" &amp; REGEXEXTRACT(B7226, ""/detail/([^/?]+)"") &amp; """""","""),"""cgagedfhkoecbplejmeljanhfnnpdpef"",")</f>
        <v>"cgagedfhkoecbplejmeljanhfnnpdpef",</v>
      </c>
    </row>
    <row r="7227">
      <c r="A7227" s="4" t="s">
        <v>26406</v>
      </c>
      <c r="B7227" s="4" t="s">
        <v>14388</v>
      </c>
      <c r="C7227" s="16" t="str">
        <f>IFERROR(__xludf.DUMMYFUNCTION(""""""""" &amp; REGEXEXTRACT(B7227, ""/detail/([^/?]+)"") &amp; """""","""),"""eibdnbdagdbjnnilmejnknnbblmdiibd"",")</f>
        <v>"eibdnbdagdbjnnilmejnknnbblmdiibd",</v>
      </c>
    </row>
    <row r="7228">
      <c r="A7228" s="4" t="s">
        <v>26407</v>
      </c>
      <c r="B7228" s="4" t="s">
        <v>14390</v>
      </c>
      <c r="C7228" s="16" t="str">
        <f>IFERROR(__xludf.DUMMYFUNCTION(""""""""" &amp; REGEXEXTRACT(B7228, ""/detail/([^/?]+)"") &amp; """""","""),"""gofjhbnojoafoljbmnehmniibbpdknhc"",")</f>
        <v>"gofjhbnojoafoljbmnehmniibbpdknhc",</v>
      </c>
    </row>
    <row r="7229">
      <c r="A7229" s="4" t="s">
        <v>26408</v>
      </c>
      <c r="B7229" s="4" t="s">
        <v>14392</v>
      </c>
      <c r="C7229" s="16" t="str">
        <f>IFERROR(__xludf.DUMMYFUNCTION(""""""""" &amp; REGEXEXTRACT(B7229, ""/detail/([^/?]+)"") &amp; """""","""),"""jooibckpjiaaoaffacacomklfdodlmah"",")</f>
        <v>"jooibckpjiaaoaffacacomklfdodlmah",</v>
      </c>
    </row>
    <row r="7230">
      <c r="A7230" s="4" t="s">
        <v>26409</v>
      </c>
      <c r="B7230" s="4" t="s">
        <v>14394</v>
      </c>
      <c r="C7230" s="16" t="str">
        <f>IFERROR(__xludf.DUMMYFUNCTION(""""""""" &amp; REGEXEXTRACT(B7230, ""/detail/([^/?]+)"") &amp; """""","""),"""kcnjfeppclpdinikcljfjigoongebpkh"",")</f>
        <v>"kcnjfeppclpdinikcljfjigoongebpkh",</v>
      </c>
    </row>
    <row r="7231">
      <c r="A7231" s="4" t="s">
        <v>26410</v>
      </c>
      <c r="B7231" s="4" t="s">
        <v>14396</v>
      </c>
      <c r="C7231" s="16" t="str">
        <f>IFERROR(__xludf.DUMMYFUNCTION(""""""""" &amp; REGEXEXTRACT(B7231, ""/detail/([^/?]+)"") &amp; """""","""),"""nbcmnpdcfidmedecbhlbhpoiganlkbio"",")</f>
        <v>"nbcmnpdcfidmedecbhlbhpoiganlkbio",</v>
      </c>
    </row>
    <row r="7232">
      <c r="A7232" s="4" t="s">
        <v>26411</v>
      </c>
      <c r="B7232" s="4" t="s">
        <v>14398</v>
      </c>
      <c r="C7232" s="16" t="str">
        <f>IFERROR(__xludf.DUMMYFUNCTION(""""""""" &amp; REGEXEXTRACT(B7232, ""/detail/([^/?]+)"") &amp; """""","""),"""ockippfhjpjfmdkhdcjecepcleopfamm"",")</f>
        <v>"ockippfhjpjfmdkhdcjecepcleopfamm",</v>
      </c>
    </row>
    <row r="7233">
      <c r="A7233" s="4" t="s">
        <v>26412</v>
      </c>
      <c r="B7233" s="4" t="s">
        <v>14400</v>
      </c>
      <c r="C7233" s="16" t="str">
        <f>IFERROR(__xludf.DUMMYFUNCTION(""""""""" &amp; REGEXEXTRACT(B7233, ""/detail/([^/?]+)"") &amp; """""","""),"""acacjoabappgkabopnlnmdiodjilaggi"",")</f>
        <v>"acacjoabappgkabopnlnmdiodjilaggi",</v>
      </c>
    </row>
    <row r="7234">
      <c r="A7234" s="4" t="s">
        <v>26413</v>
      </c>
      <c r="B7234" s="4" t="s">
        <v>14402</v>
      </c>
      <c r="C7234" s="16" t="str">
        <f>IFERROR(__xludf.DUMMYFUNCTION(""""""""" &amp; REGEXEXTRACT(B7234, ""/detail/([^/?]+)"") &amp; """""","""),"""bipgbnnhdilbcdnfkdiijdmfmdbnndja"",")</f>
        <v>"bipgbnnhdilbcdnfkdiijdmfmdbnndja",</v>
      </c>
    </row>
    <row r="7235">
      <c r="A7235" s="4" t="s">
        <v>26414</v>
      </c>
      <c r="B7235" s="4" t="s">
        <v>14404</v>
      </c>
      <c r="C7235" s="16" t="str">
        <f>IFERROR(__xludf.DUMMYFUNCTION(""""""""" &amp; REGEXEXTRACT(B7235, ""/detail/([^/?]+)"") &amp; """""","""),"""jfgegneebalomljahlfcohoobilfkhed"",")</f>
        <v>"jfgegneebalomljahlfcohoobilfkhed",</v>
      </c>
    </row>
    <row r="7236">
      <c r="A7236" s="4" t="s">
        <v>26415</v>
      </c>
      <c r="B7236" s="4" t="s">
        <v>14406</v>
      </c>
      <c r="C7236" s="16" t="str">
        <f>IFERROR(__xludf.DUMMYFUNCTION(""""""""" &amp; REGEXEXTRACT(B7236, ""/detail/([^/?]+)"") &amp; """""","""),"""mnlaodleonmmfkdhfofamacceeikgecp"",")</f>
        <v>"mnlaodleonmmfkdhfofamacceeikgecp",</v>
      </c>
    </row>
    <row r="7237">
      <c r="A7237" s="4" t="s">
        <v>26416</v>
      </c>
      <c r="B7237" s="4" t="s">
        <v>14408</v>
      </c>
      <c r="C7237" s="16" t="str">
        <f>IFERROR(__xludf.DUMMYFUNCTION(""""""""" &amp; REGEXEXTRACT(B7237, ""/detail/([^/?]+)"") &amp; """""","""),"""opmpbebdjikhgoeidagipcihicjionkd"",")</f>
        <v>"opmpbebdjikhgoeidagipcihicjionkd",</v>
      </c>
    </row>
    <row r="7238">
      <c r="A7238" s="4" t="s">
        <v>26417</v>
      </c>
      <c r="B7238" s="4" t="s">
        <v>14410</v>
      </c>
      <c r="C7238" s="16" t="str">
        <f>IFERROR(__xludf.DUMMYFUNCTION(""""""""" &amp; REGEXEXTRACT(B7238, ""/detail/([^/?]+)"") &amp; """""","""),"""ebldcekbhkmgibmbleabdbapkhhhdjib"",")</f>
        <v>"ebldcekbhkmgibmbleabdbapkhhhdjib",</v>
      </c>
    </row>
    <row r="7239">
      <c r="A7239" s="4" t="s">
        <v>26418</v>
      </c>
      <c r="B7239" s="4" t="s">
        <v>14412</v>
      </c>
      <c r="C7239" s="16" t="str">
        <f>IFERROR(__xludf.DUMMYFUNCTION(""""""""" &amp; REGEXEXTRACT(B7239, ""/detail/([^/?]+)"") &amp; """""","""),"""gchekdkhbplidbmknbcglochkmififdn"",")</f>
        <v>"gchekdkhbplidbmknbcglochkmififdn",</v>
      </c>
    </row>
    <row r="7240">
      <c r="A7240" s="4" t="s">
        <v>26419</v>
      </c>
      <c r="B7240" s="4" t="s">
        <v>14414</v>
      </c>
      <c r="C7240" s="16" t="str">
        <f>IFERROR(__xludf.DUMMYFUNCTION(""""""""" &amp; REGEXEXTRACT(B7240, ""/detail/([^/?]+)"") &amp; """""","""),"""gihgcfjlfknobepndndckpfhpighjdpa"",")</f>
        <v>"gihgcfjlfknobepndndckpfhpighjdpa",</v>
      </c>
    </row>
    <row r="7241">
      <c r="A7241" s="4" t="s">
        <v>26420</v>
      </c>
      <c r="B7241" s="4" t="s">
        <v>14416</v>
      </c>
      <c r="C7241" s="16" t="str">
        <f>IFERROR(__xludf.DUMMYFUNCTION(""""""""" &amp; REGEXEXTRACT(B7241, ""/detail/([^/?]+)"") &amp; """""","""),"""hfmcmcphnmeljmpbbkhlfplaoegimepj"",")</f>
        <v>"hfmcmcphnmeljmpbbkhlfplaoegimepj",</v>
      </c>
    </row>
    <row r="7242">
      <c r="A7242" s="4" t="s">
        <v>26421</v>
      </c>
      <c r="B7242" s="4" t="s">
        <v>14418</v>
      </c>
      <c r="C7242" s="16" t="str">
        <f>IFERROR(__xludf.DUMMYFUNCTION(""""""""" &amp; REGEXEXTRACT(B7242, ""/detail/([^/?]+)"") &amp; """""","""),"""innfgppndhmajanacannnjmlfnimkegf"",")</f>
        <v>"innfgppndhmajanacannnjmlfnimkegf",</v>
      </c>
    </row>
    <row r="7243">
      <c r="A7243" s="4" t="s">
        <v>26422</v>
      </c>
      <c r="B7243" s="4" t="s">
        <v>14420</v>
      </c>
      <c r="C7243" s="16" t="str">
        <f>IFERROR(__xludf.DUMMYFUNCTION(""""""""" &amp; REGEXEXTRACT(B7243, ""/detail/([^/?]+)"") &amp; """""","""),"""jgbanohkgcipimphbnjajofdmkedlbpd"",")</f>
        <v>"jgbanohkgcipimphbnjajofdmkedlbpd",</v>
      </c>
    </row>
    <row r="7244">
      <c r="A7244" s="4" t="s">
        <v>26423</v>
      </c>
      <c r="B7244" s="4" t="s">
        <v>14422</v>
      </c>
      <c r="C7244" s="16" t="str">
        <f>IFERROR(__xludf.DUMMYFUNCTION(""""""""" &amp; REGEXEXTRACT(B7244, ""/detail/([^/?]+)"") &amp; """""","""),"""kkgacobcjapebahjhkabbkacbpmddeco"",")</f>
        <v>"kkgacobcjapebahjhkabbkacbpmddeco",</v>
      </c>
    </row>
    <row r="7245">
      <c r="A7245" s="4" t="s">
        <v>26424</v>
      </c>
      <c r="B7245" s="4" t="s">
        <v>14424</v>
      </c>
      <c r="C7245" s="16" t="str">
        <f>IFERROR(__xludf.DUMMYFUNCTION(""""""""" &amp; REGEXEXTRACT(B7245, ""/detail/([^/?]+)"") &amp; """""","""),"""nimelepbpejjlbmoobocpfnjhihnpked"",")</f>
        <v>"nimelepbpejjlbmoobocpfnjhihnpked",</v>
      </c>
    </row>
    <row r="7246">
      <c r="A7246" s="4" t="s">
        <v>26425</v>
      </c>
      <c r="B7246" s="4" t="s">
        <v>14426</v>
      </c>
      <c r="C7246" s="16" t="str">
        <f>IFERROR(__xludf.DUMMYFUNCTION(""""""""" &amp; REGEXEXTRACT(B7246, ""/detail/([^/?]+)"") &amp; """""","""),"""omkndfeccmeplaimlpaefimnimmniccl"",")</f>
        <v>"omkndfeccmeplaimlpaefimnimmniccl",</v>
      </c>
    </row>
    <row r="7247">
      <c r="A7247" s="4" t="s">
        <v>26426</v>
      </c>
      <c r="B7247" s="4" t="s">
        <v>14428</v>
      </c>
      <c r="C7247" s="16" t="str">
        <f>IFERROR(__xludf.DUMMYFUNCTION(""""""""" &amp; REGEXEXTRACT(B7247, ""/detail/([^/?]+)"") &amp; """""","""),"""bblggkmgbdcnbgdjjggjegdddhmklcpg"",")</f>
        <v>"bblggkmgbdcnbgdjjggjegdddhmklcpg",</v>
      </c>
    </row>
    <row r="7248">
      <c r="A7248" s="4" t="s">
        <v>26427</v>
      </c>
      <c r="B7248" s="4" t="s">
        <v>14430</v>
      </c>
      <c r="C7248" s="16" t="str">
        <f>IFERROR(__xludf.DUMMYFUNCTION(""""""""" &amp; REGEXEXTRACT(B7248, ""/detail/([^/?]+)"") &amp; """""","""),"""ifgcgbjbcfnomakgdmjccioieaejllgn"",")</f>
        <v>"ifgcgbjbcfnomakgdmjccioieaejllgn",</v>
      </c>
    </row>
    <row r="7249">
      <c r="A7249" s="4" t="s">
        <v>26428</v>
      </c>
      <c r="B7249" s="4" t="s">
        <v>14432</v>
      </c>
      <c r="C7249" s="16" t="str">
        <f>IFERROR(__xludf.DUMMYFUNCTION(""""""""" &amp; REGEXEXTRACT(B7249, ""/detail/([^/?]+)"") &amp; """""","""),"""kffichpbbagkbjokajcpncophhhjgafl"",")</f>
        <v>"kffichpbbagkbjokajcpncophhhjgafl",</v>
      </c>
    </row>
    <row r="7250">
      <c r="A7250" s="4" t="s">
        <v>26429</v>
      </c>
      <c r="B7250" s="4" t="s">
        <v>14434</v>
      </c>
      <c r="C7250" s="16" t="str">
        <f>IFERROR(__xludf.DUMMYFUNCTION(""""""""" &amp; REGEXEXTRACT(B7250, ""/detail/([^/?]+)"") &amp; """""","""),"""lgimpnfdefcpkicbflpmainbcdnlblej"",")</f>
        <v>"lgimpnfdefcpkicbflpmainbcdnlblej",</v>
      </c>
    </row>
    <row r="7251">
      <c r="A7251" s="4" t="s">
        <v>26430</v>
      </c>
      <c r="B7251" s="4" t="s">
        <v>14436</v>
      </c>
      <c r="C7251" s="16" t="str">
        <f>IFERROR(__xludf.DUMMYFUNCTION(""""""""" &amp; REGEXEXTRACT(B7251, ""/detail/([^/?]+)"") &amp; """""","""),"""phpchoonngafcpakpkddaddfcfokoljg"",")</f>
        <v>"phpchoonngafcpakpkddaddfcfokoljg",</v>
      </c>
    </row>
    <row r="7252">
      <c r="A7252" s="4" t="s">
        <v>26431</v>
      </c>
      <c r="B7252" s="4" t="s">
        <v>14438</v>
      </c>
      <c r="C7252" s="16" t="str">
        <f>IFERROR(__xludf.DUMMYFUNCTION(""""""""" &amp; REGEXEXTRACT(B7252, ""/detail/([^/?]+)"") &amp; """""","""),"""ccalldmbpkkpjcfgahbnpeffakpdldhj"",")</f>
        <v>"ccalldmbpkkpjcfgahbnpeffakpdldhj",</v>
      </c>
    </row>
    <row r="7253">
      <c r="A7253" s="4" t="s">
        <v>26432</v>
      </c>
      <c r="B7253" s="4" t="s">
        <v>14440</v>
      </c>
      <c r="C7253" s="16" t="str">
        <f>IFERROR(__xludf.DUMMYFUNCTION(""""""""" &amp; REGEXEXTRACT(B7253, ""/detail/([^/?]+)"") &amp; """""","""),"""eccdnkekcnnnlipheicaldlogfnccfoc"",")</f>
        <v>"eccdnkekcnnnlipheicaldlogfnccfoc",</v>
      </c>
    </row>
    <row r="7254">
      <c r="A7254" s="4" t="s">
        <v>26433</v>
      </c>
      <c r="B7254" s="4" t="s">
        <v>14442</v>
      </c>
      <c r="C7254" s="16" t="str">
        <f>IFERROR(__xludf.DUMMYFUNCTION(""""""""" &amp; REGEXEXTRACT(B7254, ""/detail/([^/?]+)"") &amp; """""","""),"""ecfegnjfemalkfnohnlnecfedlloigdd"",")</f>
        <v>"ecfegnjfemalkfnohnlnecfedlloigdd",</v>
      </c>
    </row>
    <row r="7255">
      <c r="A7255" s="4" t="s">
        <v>26434</v>
      </c>
      <c r="B7255" s="4" t="s">
        <v>14444</v>
      </c>
      <c r="C7255" s="16" t="str">
        <f>IFERROR(__xludf.DUMMYFUNCTION(""""""""" &amp; REGEXEXTRACT(B7255, ""/detail/([^/?]+)"") &amp; """""","""),"""flkkpmjbbpijiedjdgnhkcgopgnflehe"",")</f>
        <v>"flkkpmjbbpijiedjdgnhkcgopgnflehe",</v>
      </c>
    </row>
    <row r="7256">
      <c r="A7256" s="4" t="s">
        <v>26435</v>
      </c>
      <c r="B7256" s="4" t="s">
        <v>14446</v>
      </c>
      <c r="C7256" s="16" t="str">
        <f>IFERROR(__xludf.DUMMYFUNCTION(""""""""" &amp; REGEXEXTRACT(B7256, ""/detail/([^/?]+)"") &amp; """""","""),"""gedahnddbefjjlpbhghpjnddbkleambb"",")</f>
        <v>"gedahnddbefjjlpbhghpjnddbkleambb",</v>
      </c>
    </row>
    <row r="7257">
      <c r="A7257" s="4" t="s">
        <v>26436</v>
      </c>
      <c r="B7257" s="4" t="s">
        <v>14448</v>
      </c>
      <c r="C7257" s="16" t="str">
        <f>IFERROR(__xludf.DUMMYFUNCTION(""""""""" &amp; REGEXEXTRACT(B7257, ""/detail/([^/?]+)"") &amp; """""","""),"""oghncgjeeecljbkloncoifojhioefmpj"",")</f>
        <v>"oghncgjeeecljbkloncoifojhioefmpj",</v>
      </c>
    </row>
    <row r="7258">
      <c r="A7258" s="4" t="s">
        <v>26437</v>
      </c>
      <c r="B7258" s="4" t="s">
        <v>14450</v>
      </c>
      <c r="C7258" s="16" t="str">
        <f>IFERROR(__xludf.DUMMYFUNCTION(""""""""" &amp; REGEXEXTRACT(B7258, ""/detail/([^/?]+)"") &amp; """""","""),"""dljenobnbaealaglncgihenfkbkblefd"",")</f>
        <v>"dljenobnbaealaglncgihenfkbkblefd",</v>
      </c>
    </row>
    <row r="7259">
      <c r="A7259" s="4" t="s">
        <v>26438</v>
      </c>
      <c r="B7259" s="4" t="s">
        <v>14452</v>
      </c>
      <c r="C7259" s="16" t="str">
        <f>IFERROR(__xludf.DUMMYFUNCTION(""""""""" &amp; REGEXEXTRACT(B7259, ""/detail/([^/?]+)"") &amp; """""","""),"""igbkiendclmannlppkbacbfnolhgoino"",")</f>
        <v>"igbkiendclmannlppkbacbfnolhgoino",</v>
      </c>
    </row>
    <row r="7260">
      <c r="A7260" s="4" t="s">
        <v>26439</v>
      </c>
      <c r="B7260" s="4" t="s">
        <v>14454</v>
      </c>
      <c r="C7260" s="16" t="str">
        <f>IFERROR(__xludf.DUMMYFUNCTION(""""""""" &amp; REGEXEXTRACT(B7260, ""/detail/([^/?]+)"") &amp; """""","""),"""ddgjcdjmppffpfhehjmipgcjgfodicom"",")</f>
        <v>"ddgjcdjmppffpfhehjmipgcjgfodicom",</v>
      </c>
    </row>
    <row r="7261">
      <c r="A7261" s="4" t="s">
        <v>26440</v>
      </c>
      <c r="B7261" s="4" t="s">
        <v>14456</v>
      </c>
      <c r="C7261" s="16" t="str">
        <f>IFERROR(__xludf.DUMMYFUNCTION(""""""""" &amp; REGEXEXTRACT(B7261, ""/detail/([^/?]+)"") &amp; """""","""),"""eiloldiefkfjmhfcoghlddibiopnfmco"",")</f>
        <v>"eiloldiefkfjmhfcoghlddibiopnfmco",</v>
      </c>
    </row>
    <row r="7262">
      <c r="A7262" s="4" t="s">
        <v>26441</v>
      </c>
      <c r="B7262" s="4" t="s">
        <v>14458</v>
      </c>
      <c r="C7262" s="16" t="str">
        <f>IFERROR(__xludf.DUMMYFUNCTION(""""""""" &amp; REGEXEXTRACT(B7262, ""/detail/([^/?]+)"") &amp; """""","""),"""fjcagflhkmbkecgddkjblhkadbplhfan"",")</f>
        <v>"fjcagflhkmbkecgddkjblhkadbplhfan",</v>
      </c>
    </row>
    <row r="7263">
      <c r="A7263" s="4" t="s">
        <v>26442</v>
      </c>
      <c r="B7263" s="4" t="s">
        <v>14460</v>
      </c>
      <c r="C7263" s="16" t="str">
        <f>IFERROR(__xludf.DUMMYFUNCTION(""""""""" &amp; REGEXEXTRACT(B7263, ""/detail/([^/?]+)"") &amp; """""","""),"""nkbalpdjkhpfohgonjkagacjkcndhgic"",")</f>
        <v>"nkbalpdjkhpfohgonjkagacjkcndhgic",</v>
      </c>
    </row>
    <row r="7264">
      <c r="A7264" s="4" t="s">
        <v>26443</v>
      </c>
      <c r="B7264" s="4" t="s">
        <v>14462</v>
      </c>
      <c r="C7264" s="16" t="str">
        <f>IFERROR(__xludf.DUMMYFUNCTION(""""""""" &amp; REGEXEXTRACT(B7264, ""/detail/([^/?]+)"") &amp; """""","""),"""pakdbolgkiaihjjnagiapphppcfmggcg"",")</f>
        <v>"pakdbolgkiaihjjnagiapphppcfmggcg",</v>
      </c>
    </row>
    <row r="7265">
      <c r="A7265" s="4" t="s">
        <v>26444</v>
      </c>
      <c r="B7265" s="4" t="s">
        <v>14464</v>
      </c>
      <c r="C7265" s="16" t="str">
        <f>IFERROR(__xludf.DUMMYFUNCTION(""""""""" &amp; REGEXEXTRACT(B7265, ""/detail/([^/?]+)"") &amp; """""","""),"""dmcplcjakmobkeanofhphpjecbpjicka"",")</f>
        <v>"dmcplcjakmobkeanofhphpjecbpjicka",</v>
      </c>
    </row>
    <row r="7266">
      <c r="A7266" s="4" t="s">
        <v>26445</v>
      </c>
      <c r="B7266" s="4" t="s">
        <v>14466</v>
      </c>
      <c r="C7266" s="16" t="str">
        <f>IFERROR(__xludf.DUMMYFUNCTION(""""""""" &amp; REGEXEXTRACT(B7266, ""/detail/([^/?]+)"") &amp; """""","""),"""hjpjeoggaghioalbepadcjcjpjhofnbb"",")</f>
        <v>"hjpjeoggaghioalbepadcjcjpjhofnbb",</v>
      </c>
    </row>
    <row r="7267">
      <c r="A7267" s="4" t="s">
        <v>26446</v>
      </c>
      <c r="B7267" s="4" t="s">
        <v>14468</v>
      </c>
      <c r="C7267" s="16" t="str">
        <f>IFERROR(__xludf.DUMMYFUNCTION(""""""""" &amp; REGEXEXTRACT(B7267, ""/detail/([^/?]+)"") &amp; """""","""),"""ielihhgdcegllgkmlhjccngaiifdebjp"",")</f>
        <v>"ielihhgdcegllgkmlhjccngaiifdebjp",</v>
      </c>
    </row>
    <row r="7268">
      <c r="A7268" s="4" t="s">
        <v>26447</v>
      </c>
      <c r="B7268" s="4" t="s">
        <v>14470</v>
      </c>
      <c r="C7268" s="16" t="str">
        <f>IFERROR(__xludf.DUMMYFUNCTION(""""""""" &amp; REGEXEXTRACT(B7268, ""/detail/([^/?]+)"") &amp; """""","""),"""aggnfbkmhedkekjoplldenefbchaoiln"",")</f>
        <v>"aggnfbkmhedkekjoplldenefbchaoiln",</v>
      </c>
    </row>
    <row r="7269">
      <c r="A7269" s="4" t="s">
        <v>26448</v>
      </c>
      <c r="B7269" s="4" t="s">
        <v>14472</v>
      </c>
      <c r="C7269" s="16" t="str">
        <f>IFERROR(__xludf.DUMMYFUNCTION(""""""""" &amp; REGEXEXTRACT(B7269, ""/detail/([^/?]+)"") &amp; """""","""),"""fomcmmdciijaejhjmiilenadhjmlgldp"",")</f>
        <v>"fomcmmdciijaejhjmiilenadhjmlgldp",</v>
      </c>
    </row>
    <row r="7270">
      <c r="A7270" s="4" t="s">
        <v>26449</v>
      </c>
      <c r="B7270" s="4" t="s">
        <v>14474</v>
      </c>
      <c r="C7270" s="16" t="str">
        <f>IFERROR(__xludf.DUMMYFUNCTION(""""""""" &amp; REGEXEXTRACT(B7270, ""/detail/([^/?]+)"") &amp; """""","""),"""gkmacjbcgflihgjpmbbpeeaegcimgngi"",")</f>
        <v>"gkmacjbcgflihgjpmbbpeeaegcimgngi",</v>
      </c>
    </row>
    <row r="7271">
      <c r="A7271" s="4" t="s">
        <v>26450</v>
      </c>
      <c r="B7271" s="4" t="s">
        <v>14476</v>
      </c>
      <c r="C7271" s="16" t="str">
        <f>IFERROR(__xludf.DUMMYFUNCTION(""""""""" &amp; REGEXEXTRACT(B7271, ""/detail/([^/?]+)"") &amp; """""","""),"""hjdnnkppfadnemodjjnbacnagkgbhekm"",")</f>
        <v>"hjdnnkppfadnemodjjnbacnagkgbhekm",</v>
      </c>
    </row>
    <row r="7272">
      <c r="A7272" s="4" t="s">
        <v>26451</v>
      </c>
      <c r="B7272" s="4" t="s">
        <v>14478</v>
      </c>
      <c r="C7272" s="16" t="str">
        <f>IFERROR(__xludf.DUMMYFUNCTION(""""""""" &amp; REGEXEXTRACT(B7272, ""/detail/([^/?]+)"") &amp; """""","""),"""ljoihobokkeeobaplgebomjknmchpace"",")</f>
        <v>"ljoihobokkeeobaplgebomjknmchpace",</v>
      </c>
    </row>
    <row r="7273">
      <c r="A7273" s="4" t="s">
        <v>26452</v>
      </c>
      <c r="B7273" s="4" t="s">
        <v>14480</v>
      </c>
      <c r="C7273" s="16" t="str">
        <f>IFERROR(__xludf.DUMMYFUNCTION(""""""""" &amp; REGEXEXTRACT(B7273, ""/detail/([^/?]+)"") &amp; """""","""),"""foaonmbkcfefpcdnnnooanneebjkneee"",")</f>
        <v>"foaonmbkcfefpcdnnnooanneebjkneee",</v>
      </c>
    </row>
    <row r="7274">
      <c r="A7274" s="4" t="s">
        <v>26453</v>
      </c>
      <c r="B7274" s="4" t="s">
        <v>14482</v>
      </c>
      <c r="C7274" s="16" t="str">
        <f>IFERROR(__xludf.DUMMYFUNCTION(""""""""" &amp; REGEXEXTRACT(B7274, ""/detail/([^/?]+)"") &amp; """""","""),"""lkabgnnfbbkphagmbjpbenlfglahnlmh"",")</f>
        <v>"lkabgnnfbbkphagmbjpbenlfglahnlmh",</v>
      </c>
    </row>
    <row r="7275">
      <c r="A7275" s="4" t="s">
        <v>26454</v>
      </c>
      <c r="B7275" s="4" t="s">
        <v>14484</v>
      </c>
      <c r="C7275" s="16" t="str">
        <f>IFERROR(__xludf.DUMMYFUNCTION(""""""""" &amp; REGEXEXTRACT(B7275, ""/detail/([^/?]+)"") &amp; """""","""),"""omneonbfgmjmgmihdgicnipfkmcefhhg"",")</f>
        <v>"omneonbfgmjmgmihdgicnipfkmcefhhg",</v>
      </c>
    </row>
    <row r="7276">
      <c r="A7276" s="4" t="s">
        <v>26455</v>
      </c>
      <c r="B7276" s="4" t="s">
        <v>14486</v>
      </c>
      <c r="C7276" s="16" t="str">
        <f>IFERROR(__xludf.DUMMYFUNCTION(""""""""" &amp; REGEXEXTRACT(B7276, ""/detail/([^/?]+)"") &amp; """""","""),"""pjijphabckepflameggcdikcoaljmjgf"",")</f>
        <v>"pjijphabckepflameggcdikcoaljmjgf",</v>
      </c>
    </row>
    <row r="7277">
      <c r="A7277" s="4" t="s">
        <v>26456</v>
      </c>
      <c r="B7277" s="4" t="s">
        <v>14488</v>
      </c>
      <c r="C7277" s="16" t="str">
        <f>IFERROR(__xludf.DUMMYFUNCTION(""""""""" &amp; REGEXEXTRACT(B7277, ""/detail/([^/?]+)"") &amp; """""","""),"""llpeekamncgmjpoinjibkambheghifpn"",")</f>
        <v>"llpeekamncgmjpoinjibkambheghifpn",</v>
      </c>
    </row>
    <row r="7278">
      <c r="A7278" s="4" t="s">
        <v>26457</v>
      </c>
      <c r="B7278" s="4" t="s">
        <v>14490</v>
      </c>
      <c r="C7278" s="16" t="str">
        <f>IFERROR(__xludf.DUMMYFUNCTION(""""""""" &amp; REGEXEXTRACT(B7278, ""/detail/([^/?]+)"") &amp; """""","""),"""oblhholoigcdnggmpekdkkkohckiennk"",")</f>
        <v>"oblhholoigcdnggmpekdkkkohckiennk",</v>
      </c>
    </row>
    <row r="7279">
      <c r="A7279" s="4" t="s">
        <v>26458</v>
      </c>
      <c r="B7279" s="4" t="s">
        <v>14492</v>
      </c>
      <c r="C7279" s="16" t="str">
        <f>IFERROR(__xludf.DUMMYFUNCTION(""""""""" &amp; REGEXEXTRACT(B7279, ""/detail/([^/?]+)"") &amp; """""","""),"""jkmalmidnicnnmceielaelokkdmmgkcb"",")</f>
        <v>"jkmalmidnicnnmceielaelokkdmmgkcb",</v>
      </c>
    </row>
    <row r="7280">
      <c r="A7280" s="4" t="s">
        <v>26459</v>
      </c>
      <c r="B7280" s="4" t="s">
        <v>14494</v>
      </c>
      <c r="C7280" s="16" t="str">
        <f>IFERROR(__xludf.DUMMYFUNCTION(""""""""" &amp; REGEXEXTRACT(B7280, ""/detail/([^/?]+)"") &amp; """""","""),"""haodokcagfamodepjecmfemicdkdcekk"",")</f>
        <v>"haodokcagfamodepjecmfemicdkdcekk",</v>
      </c>
    </row>
    <row r="7281">
      <c r="A7281" s="4" t="s">
        <v>26460</v>
      </c>
      <c r="B7281" s="4" t="s">
        <v>14496</v>
      </c>
      <c r="C7281" s="16" t="str">
        <f>IFERROR(__xludf.DUMMYFUNCTION(""""""""" &amp; REGEXEXTRACT(B7281, ""/detail/([^/?]+)"") &amp; """""","""),"""hpgdddjhemgilkedfdkjhhkblfdhpgmi"",")</f>
        <v>"hpgdddjhemgilkedfdkjhhkblfdhpgmi",</v>
      </c>
    </row>
    <row r="7282">
      <c r="A7282" s="4" t="s">
        <v>26461</v>
      </c>
      <c r="B7282" s="4" t="s">
        <v>14498</v>
      </c>
      <c r="C7282" s="16" t="str">
        <f>IFERROR(__xludf.DUMMYFUNCTION(""""""""" &amp; REGEXEXTRACT(B7282, ""/detail/([^/?]+)"") &amp; """""","""),"""lkjeamadaggbfkjiiemgdkamlecpkhpo"",")</f>
        <v>"lkjeamadaggbfkjiiemgdkamlecpkhpo",</v>
      </c>
    </row>
    <row r="7283">
      <c r="A7283" s="4" t="s">
        <v>26462</v>
      </c>
      <c r="B7283" s="4" t="s">
        <v>14500</v>
      </c>
      <c r="C7283" s="16" t="str">
        <f>IFERROR(__xludf.DUMMYFUNCTION(""""""""" &amp; REGEXEXTRACT(B7283, ""/detail/([^/?]+)"") &amp; """""","""),"""mgmlhofeembbhkmofnmhghombpdenhib"",")</f>
        <v>"mgmlhofeembbhkmofnmhghombpdenhib",</v>
      </c>
    </row>
    <row r="7284">
      <c r="A7284" s="4" t="s">
        <v>26463</v>
      </c>
      <c r="B7284" s="4" t="s">
        <v>14502</v>
      </c>
      <c r="C7284" s="16" t="str">
        <f>IFERROR(__xludf.DUMMYFUNCTION(""""""""" &amp; REGEXEXTRACT(B7284, ""/detail/([^/?]+)"") &amp; """""","""),"""mlonnhlhamjoopabmomhbdlddiomojpp"",")</f>
        <v>"mlonnhlhamjoopabmomhbdlddiomojpp",</v>
      </c>
    </row>
    <row r="7285">
      <c r="A7285" s="4" t="s">
        <v>26464</v>
      </c>
      <c r="B7285" s="4" t="s">
        <v>14504</v>
      </c>
      <c r="C7285" s="16" t="str">
        <f>IFERROR(__xludf.DUMMYFUNCTION(""""""""" &amp; REGEXEXTRACT(B7285, ""/detail/([^/?]+)"") &amp; """""","""),"""ocemimikpbpokinfnnncaeamaffpgepb"",")</f>
        <v>"ocemimikpbpokinfnnncaeamaffpgepb",</v>
      </c>
    </row>
    <row r="7286">
      <c r="A7286" s="4" t="s">
        <v>26465</v>
      </c>
      <c r="B7286" s="4" t="s">
        <v>14506</v>
      </c>
      <c r="C7286" s="16" t="str">
        <f>IFERROR(__xludf.DUMMYFUNCTION(""""""""" &amp; REGEXEXTRACT(B7286, ""/detail/([^/?]+)"") &amp; """""","""),"""elpfbellmnhbenkcdofdbdkneppoekhl"",")</f>
        <v>"elpfbellmnhbenkcdofdbdkneppoekhl",</v>
      </c>
    </row>
    <row r="7287">
      <c r="A7287" s="4" t="s">
        <v>26466</v>
      </c>
      <c r="B7287" s="4" t="s">
        <v>14508</v>
      </c>
      <c r="C7287" s="16" t="str">
        <f>IFERROR(__xludf.DUMMYFUNCTION(""""""""" &amp; REGEXEXTRACT(B7287, ""/detail/([^/?]+)"") &amp; """""","""),"""ibjklhamhinhniplfnoafdohmbllfhdb"",")</f>
        <v>"ibjklhamhinhniplfnoafdohmbllfhdb",</v>
      </c>
    </row>
    <row r="7288">
      <c r="A7288" s="4" t="s">
        <v>26467</v>
      </c>
      <c r="B7288" s="4" t="s">
        <v>14510</v>
      </c>
      <c r="C7288" s="16" t="str">
        <f>IFERROR(__xludf.DUMMYFUNCTION(""""""""" &amp; REGEXEXTRACT(B7288, ""/detail/([^/?]+)"") &amp; """""","""),"""afeffbkeofbblopklekkhaijgbnkfjjk"",")</f>
        <v>"afeffbkeofbblopklekkhaijgbnkfjjk",</v>
      </c>
    </row>
    <row r="7289">
      <c r="A7289" s="4" t="s">
        <v>26468</v>
      </c>
      <c r="B7289" s="4" t="s">
        <v>14512</v>
      </c>
      <c r="C7289" s="16" t="str">
        <f>IFERROR(__xludf.DUMMYFUNCTION(""""""""" &amp; REGEXEXTRACT(B7289, ""/detail/([^/?]+)"") &amp; """""","""),"""cbdcdhkdonnpnilabcdfnoiokhgbigka"",")</f>
        <v>"cbdcdhkdonnpnilabcdfnoiokhgbigka",</v>
      </c>
    </row>
    <row r="7290">
      <c r="A7290" s="4" t="s">
        <v>26469</v>
      </c>
      <c r="B7290" s="4" t="s">
        <v>14514</v>
      </c>
      <c r="C7290" s="16" t="str">
        <f>IFERROR(__xludf.DUMMYFUNCTION(""""""""" &amp; REGEXEXTRACT(B7290, ""/detail/([^/?]+)"") &amp; """""","""),"""clbnnfdgcjlepbmmaehcegainakikopd"",")</f>
        <v>"clbnnfdgcjlepbmmaehcegainakikopd",</v>
      </c>
    </row>
    <row r="7291">
      <c r="A7291" s="4" t="s">
        <v>26470</v>
      </c>
      <c r="B7291" s="4" t="s">
        <v>14516</v>
      </c>
      <c r="C7291" s="16" t="str">
        <f>IFERROR(__xludf.DUMMYFUNCTION(""""""""" &amp; REGEXEXTRACT(B7291, ""/detail/([^/?]+)"") &amp; """""","""),"""hlmagkbphobghocaimgijjjpmionjcnj"",")</f>
        <v>"hlmagkbphobghocaimgijjjpmionjcnj",</v>
      </c>
    </row>
    <row r="7292">
      <c r="A7292" s="4" t="s">
        <v>26471</v>
      </c>
      <c r="B7292" s="4" t="s">
        <v>14518</v>
      </c>
      <c r="C7292" s="16" t="str">
        <f>IFERROR(__xludf.DUMMYFUNCTION(""""""""" &amp; REGEXEXTRACT(B7292, ""/detail/([^/?]+)"") &amp; """""","""),"""nlkfobhoffngaakgdbkdnmmjcchibcba"",")</f>
        <v>"nlkfobhoffngaakgdbkdnmmjcchibcba",</v>
      </c>
    </row>
    <row r="7293">
      <c r="A7293" s="4" t="s">
        <v>26472</v>
      </c>
      <c r="B7293" s="4" t="s">
        <v>14519</v>
      </c>
      <c r="C7293" s="16" t="str">
        <f>IFERROR(__xludf.DUMMYFUNCTION(""""""""" &amp; REGEXEXTRACT(B7293, ""/detail/([^/?]+)"") &amp; """""","""),"""jaoianckkhlbbeodjpaajaimlpidbckh"",")</f>
        <v>"jaoianckkhlbbeodjpaajaimlpidbckh",</v>
      </c>
    </row>
    <row r="7294">
      <c r="A7294" s="4" t="s">
        <v>26473</v>
      </c>
      <c r="B7294" s="4" t="s">
        <v>14521</v>
      </c>
      <c r="C7294" s="16" t="str">
        <f>IFERROR(__xludf.DUMMYFUNCTION(""""""""" &amp; REGEXEXTRACT(B7294, ""/detail/([^/?]+)"") &amp; """""","""),"""lccikkjiejgomehccjmjoppgeagbdgph"",")</f>
        <v>"lccikkjiejgomehccjmjoppgeagbdgph",</v>
      </c>
    </row>
    <row r="7295">
      <c r="A7295" s="4" t="s">
        <v>26474</v>
      </c>
      <c r="B7295" s="4" t="s">
        <v>14523</v>
      </c>
      <c r="C7295" s="16" t="str">
        <f>IFERROR(__xludf.DUMMYFUNCTION(""""""""" &amp; REGEXEXTRACT(B7295, ""/detail/([^/?]+)"") &amp; """""","""),"""nieodpeajmoimhojmopkljlkcppamaec"",")</f>
        <v>"nieodpeajmoimhojmopkljlkcppamaec",</v>
      </c>
    </row>
    <row r="7296">
      <c r="A7296" s="4" t="s">
        <v>26475</v>
      </c>
      <c r="B7296" s="4" t="s">
        <v>14525</v>
      </c>
      <c r="C7296" s="16" t="str">
        <f>IFERROR(__xludf.DUMMYFUNCTION(""""""""" &amp; REGEXEXTRACT(B7296, ""/detail/([^/?]+)"") &amp; """""","""),"""fgofmpkkcmalkeloaihfljngbibciile"",")</f>
        <v>"fgofmpkkcmalkeloaihfljngbibciile",</v>
      </c>
    </row>
    <row r="7297">
      <c r="A7297" s="4" t="s">
        <v>26476</v>
      </c>
      <c r="B7297" s="4" t="s">
        <v>14527</v>
      </c>
      <c r="C7297" s="16" t="str">
        <f>IFERROR(__xludf.DUMMYFUNCTION(""""""""" &amp; REGEXEXTRACT(B7297, ""/detail/([^/?]+)"") &amp; """""","""),"""icfneoldcbdmgaiocnnobpbbjncdfbfb"",")</f>
        <v>"icfneoldcbdmgaiocnnobpbbjncdfbfb",</v>
      </c>
    </row>
    <row r="7298">
      <c r="A7298" s="4" t="s">
        <v>26477</v>
      </c>
      <c r="B7298" s="4" t="s">
        <v>14529</v>
      </c>
      <c r="C7298" s="16" t="str">
        <f>IFERROR(__xludf.DUMMYFUNCTION(""""""""" &amp; REGEXEXTRACT(B7298, ""/detail/([^/?]+)"") &amp; """""","""),"""inigdjcpofmlcigjhhiigigihmookhcp"",")</f>
        <v>"inigdjcpofmlcigjhhiigigihmookhcp",</v>
      </c>
    </row>
    <row r="7299">
      <c r="A7299" s="4" t="s">
        <v>26478</v>
      </c>
      <c r="B7299" s="4" t="s">
        <v>14531</v>
      </c>
      <c r="C7299" s="16" t="str">
        <f>IFERROR(__xludf.DUMMYFUNCTION(""""""""" &amp; REGEXEXTRACT(B7299, ""/detail/([^/?]+)"") &amp; """""","""),"""kbchnjmopnponhoihboafembgokiioei"",")</f>
        <v>"kbchnjmopnponhoihboafembgokiioei",</v>
      </c>
    </row>
    <row r="7300">
      <c r="A7300" s="4" t="s">
        <v>26479</v>
      </c>
      <c r="B7300" s="4" t="s">
        <v>14533</v>
      </c>
      <c r="C7300" s="16" t="str">
        <f>IFERROR(__xludf.DUMMYFUNCTION(""""""""" &amp; REGEXEXTRACT(B7300, ""/detail/([^/?]+)"") &amp; """""","""),"""oeclbhigfgdhohcojkdnaahfblebhopm"",")</f>
        <v>"oeclbhigfgdhohcojkdnaahfblebhopm",</v>
      </c>
    </row>
    <row r="7301">
      <c r="A7301" s="4" t="s">
        <v>26480</v>
      </c>
      <c r="B7301" s="4" t="s">
        <v>14535</v>
      </c>
      <c r="C7301" s="16" t="str">
        <f>IFERROR(__xludf.DUMMYFUNCTION(""""""""" &amp; REGEXEXTRACT(B7301, ""/detail/([^/?]+)"") &amp; """""","""),"""pdbaomfhmpcbdabjpjfpoehhjnphdoac"",")</f>
        <v>"pdbaomfhmpcbdabjpjfpoehhjnphdoac",</v>
      </c>
    </row>
    <row r="7302">
      <c r="A7302" s="4" t="s">
        <v>26481</v>
      </c>
      <c r="B7302" s="4" t="s">
        <v>14537</v>
      </c>
      <c r="C7302" s="16" t="str">
        <f>IFERROR(__xludf.DUMMYFUNCTION(""""""""" &amp; REGEXEXTRACT(B7302, ""/detail/([^/?]+)"") &amp; """""","""),"""cljonclahoagoejnfcmmdpcapdcnfbid"",")</f>
        <v>"cljonclahoagoejnfcmmdpcapdcnfbid",</v>
      </c>
    </row>
    <row r="7303">
      <c r="A7303" s="4" t="s">
        <v>26482</v>
      </c>
      <c r="B7303" s="4" t="s">
        <v>14539</v>
      </c>
      <c r="C7303" s="16" t="str">
        <f>IFERROR(__xludf.DUMMYFUNCTION(""""""""" &amp; REGEXEXTRACT(B7303, ""/detail/([^/?]+)"") &amp; """""","""),"""hfbjphgoffoahbnlkpfijmefofmmcfng"",")</f>
        <v>"hfbjphgoffoahbnlkpfijmefofmmcfng",</v>
      </c>
    </row>
    <row r="7304">
      <c r="A7304" s="4" t="s">
        <v>26483</v>
      </c>
      <c r="B7304" s="4" t="s">
        <v>14541</v>
      </c>
      <c r="C7304" s="16" t="str">
        <f>IFERROR(__xludf.DUMMYFUNCTION(""""""""" &amp; REGEXEXTRACT(B7304, ""/detail/([^/?]+)"") &amp; """""","""),"""klhjnkppefffcpaoidilhdpdcoenpelj"",")</f>
        <v>"klhjnkppefffcpaoidilhdpdcoenpelj",</v>
      </c>
    </row>
    <row r="7305">
      <c r="A7305" s="4" t="s">
        <v>26484</v>
      </c>
      <c r="B7305" s="4" t="s">
        <v>14543</v>
      </c>
      <c r="C7305" s="16" t="str">
        <f>IFERROR(__xludf.DUMMYFUNCTION(""""""""" &amp; REGEXEXTRACT(B7305, ""/detail/([^/?]+)"") &amp; """""","""),"""mnglpbimfdclpepbeolgnknccmccigpg"",")</f>
        <v>"mnglpbimfdclpepbeolgnknccmccigpg",</v>
      </c>
    </row>
    <row r="7306">
      <c r="A7306" s="4" t="s">
        <v>26485</v>
      </c>
      <c r="B7306" s="4" t="s">
        <v>14545</v>
      </c>
      <c r="C7306" s="16" t="str">
        <f>IFERROR(__xludf.DUMMYFUNCTION(""""""""" &amp; REGEXEXTRACT(B7306, ""/detail/([^/?]+)"") &amp; """""","""),"""eecnlkcbgpdabdgobnpoldjgainahdni"",")</f>
        <v>"eecnlkcbgpdabdgobnpoldjgainahdni",</v>
      </c>
    </row>
    <row r="7307">
      <c r="A7307" s="4" t="s">
        <v>26486</v>
      </c>
      <c r="B7307" s="4" t="s">
        <v>14547</v>
      </c>
      <c r="C7307" s="16" t="str">
        <f>IFERROR(__xludf.DUMMYFUNCTION(""""""""" &amp; REGEXEXTRACT(B7307, ""/detail/([^/?]+)"") &amp; """""","""),"""ffpibealclcjgmoghaocdlffiimoekeg"",")</f>
        <v>"ffpibealclcjgmoghaocdlffiimoekeg",</v>
      </c>
    </row>
    <row r="7308">
      <c r="A7308" s="4" t="s">
        <v>26487</v>
      </c>
      <c r="B7308" s="4" t="s">
        <v>14549</v>
      </c>
      <c r="C7308" s="16" t="str">
        <f>IFERROR(__xludf.DUMMYFUNCTION(""""""""" &amp; REGEXEXTRACT(B7308, ""/detail/([^/?]+)"") &amp; """""","""),"""fpkmdincjjgncpbbmeclgbpjmgdehmph"",")</f>
        <v>"fpkmdincjjgncpbbmeclgbpjmgdehmph",</v>
      </c>
    </row>
    <row r="7309">
      <c r="A7309" s="4" t="s">
        <v>26488</v>
      </c>
      <c r="B7309" s="4" t="s">
        <v>14551</v>
      </c>
      <c r="C7309" s="16" t="str">
        <f>IFERROR(__xludf.DUMMYFUNCTION(""""""""" &amp; REGEXEXTRACT(B7309, ""/detail/([^/?]+)"") &amp; """""","""),"""gnmcaafcppjgmhnjmnjmcpiedclkmlea"",")</f>
        <v>"gnmcaafcppjgmhnjmnjmcpiedclkmlea",</v>
      </c>
    </row>
    <row r="7310">
      <c r="A7310" s="4" t="s">
        <v>26489</v>
      </c>
      <c r="B7310" s="4" t="s">
        <v>14553</v>
      </c>
      <c r="C7310" s="16" t="str">
        <f>IFERROR(__xludf.DUMMYFUNCTION(""""""""" &amp; REGEXEXTRACT(B7310, ""/detail/([^/?]+)"") &amp; """""","""),"""gomaibjmibogpcbcfmlnpmipclkdamag"",")</f>
        <v>"gomaibjmibogpcbcfmlnpmipclkdamag",</v>
      </c>
    </row>
    <row r="7311">
      <c r="A7311" s="4" t="s">
        <v>26490</v>
      </c>
      <c r="B7311" s="4" t="s">
        <v>14555</v>
      </c>
      <c r="C7311" s="16" t="str">
        <f>IFERROR(__xludf.DUMMYFUNCTION(""""""""" &amp; REGEXEXTRACT(B7311, ""/detail/([^/?]+)"") &amp; """""","""),"""mihfneoljcgdjnpmeefcmahciglmljli"",")</f>
        <v>"mihfneoljcgdjnpmeefcmahciglmljli",</v>
      </c>
    </row>
    <row r="7312">
      <c r="A7312" s="4" t="s">
        <v>26491</v>
      </c>
      <c r="B7312" s="4" t="s">
        <v>14557</v>
      </c>
      <c r="C7312" s="16" t="str">
        <f>IFERROR(__xludf.DUMMYFUNCTION(""""""""" &amp; REGEXEXTRACT(B7312, ""/detail/([^/?]+)"") &amp; """""","""),"""bcihihcnlienjckgamfnlhjfloodmebo"",")</f>
        <v>"bcihihcnlienjckgamfnlhjfloodmebo",</v>
      </c>
    </row>
    <row r="7313">
      <c r="A7313" s="4" t="s">
        <v>26492</v>
      </c>
      <c r="B7313" s="4" t="s">
        <v>14559</v>
      </c>
      <c r="C7313" s="16" t="str">
        <f>IFERROR(__xludf.DUMMYFUNCTION(""""""""" &amp; REGEXEXTRACT(B7313, ""/detail/([^/?]+)"") &amp; """""","""),"""dcenglkfnenjnpnmalmachboemjlmakj"",")</f>
        <v>"dcenglkfnenjnpnmalmachboemjlmakj",</v>
      </c>
    </row>
    <row r="7314">
      <c r="A7314" s="4" t="s">
        <v>26493</v>
      </c>
      <c r="B7314" s="4" t="s">
        <v>14561</v>
      </c>
      <c r="C7314" s="16" t="str">
        <f>IFERROR(__xludf.DUMMYFUNCTION(""""""""" &amp; REGEXEXTRACT(B7314, ""/detail/([^/?]+)"") &amp; """""","""),"""fnpgifcbmacmnlpdlkffhneepkhhjfkn"",")</f>
        <v>"fnpgifcbmacmnlpdlkffhneepkhhjfkn",</v>
      </c>
    </row>
    <row r="7315">
      <c r="A7315" s="4" t="s">
        <v>26494</v>
      </c>
      <c r="B7315" s="4" t="s">
        <v>14563</v>
      </c>
      <c r="C7315" s="16" t="str">
        <f>IFERROR(__xludf.DUMMYFUNCTION(""""""""" &amp; REGEXEXTRACT(B7315, ""/detail/([^/?]+)"") &amp; """""","""),"""mdcflcofcghggppkaehajfcdgkfndcfa"",")</f>
        <v>"mdcflcofcghggppkaehajfcdgkfndcfa",</v>
      </c>
    </row>
    <row r="7316">
      <c r="A7316" s="4" t="s">
        <v>26495</v>
      </c>
      <c r="B7316" s="4" t="s">
        <v>14565</v>
      </c>
      <c r="C7316" s="16" t="str">
        <f>IFERROR(__xludf.DUMMYFUNCTION(""""""""" &amp; REGEXEXTRACT(B7316, ""/detail/([^/?]+)"") &amp; """""","""),"""opjfennpifbhgfpaihhahgelpcdapfdp"",")</f>
        <v>"opjfennpifbhgfpaihhahgelpcdapfdp",</v>
      </c>
    </row>
    <row r="7317">
      <c r="A7317" s="4" t="s">
        <v>26496</v>
      </c>
      <c r="B7317" s="4" t="s">
        <v>14567</v>
      </c>
      <c r="C7317" s="16" t="str">
        <f>IFERROR(__xludf.DUMMYFUNCTION(""""""""" &amp; REGEXEXTRACT(B7317, ""/detail/([^/?]+)"") &amp; """""","""),"""ckfejipjdkdjicjgecdgdacnomelbhii"",")</f>
        <v>"ckfejipjdkdjicjgecdgdacnomelbhii",</v>
      </c>
    </row>
    <row r="7318">
      <c r="A7318" s="4" t="s">
        <v>26497</v>
      </c>
      <c r="B7318" s="4" t="s">
        <v>14569</v>
      </c>
      <c r="C7318" s="16" t="str">
        <f>IFERROR(__xludf.DUMMYFUNCTION(""""""""" &amp; REGEXEXTRACT(B7318, ""/detail/([^/?]+)"") &amp; """""","""),"""eocfeihmkgnmldnhgijijlffdpegocnh"",")</f>
        <v>"eocfeihmkgnmldnhgijijlffdpegocnh",</v>
      </c>
    </row>
    <row r="7319">
      <c r="A7319" s="4" t="s">
        <v>26498</v>
      </c>
      <c r="B7319" s="4" t="s">
        <v>14571</v>
      </c>
      <c r="C7319" s="16" t="str">
        <f>IFERROR(__xludf.DUMMYFUNCTION(""""""""" &amp; REGEXEXTRACT(B7319, ""/detail/([^/?]+)"") &amp; """""","""),"""gpogedegpcfmbpfbjilofgfmjglebnhi"",")</f>
        <v>"gpogedegpcfmbpfbjilofgfmjglebnhi",</v>
      </c>
    </row>
    <row r="7320">
      <c r="A7320" s="4" t="s">
        <v>26499</v>
      </c>
      <c r="B7320" s="4" t="s">
        <v>14573</v>
      </c>
      <c r="C7320" s="16" t="str">
        <f>IFERROR(__xludf.DUMMYFUNCTION(""""""""" &amp; REGEXEXTRACT(B7320, ""/detail/([^/?]+)"") &amp; """""","""),"""incfcomifnogniajmiejpobcpeillilo"",")</f>
        <v>"incfcomifnogniajmiejpobcpeillilo",</v>
      </c>
    </row>
    <row r="7321">
      <c r="A7321" s="4" t="s">
        <v>26500</v>
      </c>
      <c r="B7321" s="4" t="s">
        <v>14575</v>
      </c>
      <c r="C7321" s="16" t="str">
        <f>IFERROR(__xludf.DUMMYFUNCTION(""""""""" &amp; REGEXEXTRACT(B7321, ""/detail/([^/?]+)"") &amp; """""","""),"""jjcbgfhjneiblaifakgnnkdakebpebaf"",")</f>
        <v>"jjcbgfhjneiblaifakgnnkdakebpebaf",</v>
      </c>
    </row>
    <row r="7322">
      <c r="A7322" s="4" t="s">
        <v>26501</v>
      </c>
      <c r="B7322" s="4" t="s">
        <v>14577</v>
      </c>
      <c r="C7322" s="16" t="str">
        <f>IFERROR(__xludf.DUMMYFUNCTION(""""""""" &amp; REGEXEXTRACT(B7322, ""/detail/([^/?]+)"") &amp; """""","""),"""nidjphagpgghijflkhpnijgncmelonmo"",")</f>
        <v>"nidjphagpgghijflkhpnijgncmelonmo",</v>
      </c>
    </row>
    <row r="7323">
      <c r="A7323" s="4" t="s">
        <v>26502</v>
      </c>
      <c r="B7323" s="4" t="s">
        <v>14579</v>
      </c>
      <c r="C7323" s="16" t="str">
        <f>IFERROR(__xludf.DUMMYFUNCTION(""""""""" &amp; REGEXEXTRACT(B7323, ""/detail/([^/?]+)"") &amp; """""","""),"""acibbdogpnpdfhhhhiofgegplmhhffgf"",")</f>
        <v>"acibbdogpnpdfhhhhiofgegplmhhffgf",</v>
      </c>
    </row>
    <row r="7324">
      <c r="A7324" s="4" t="s">
        <v>26503</v>
      </c>
      <c r="B7324" s="4" t="s">
        <v>14581</v>
      </c>
      <c r="C7324" s="16" t="str">
        <f>IFERROR(__xludf.DUMMYFUNCTION(""""""""" &amp; REGEXEXTRACT(B7324, ""/detail/([^/?]+)"") &amp; """""","""),"""bclljjldiiifccncjnikpalnomejlkog"",")</f>
        <v>"bclljjldiiifccncjnikpalnomejlkog",</v>
      </c>
    </row>
    <row r="7325">
      <c r="A7325" s="4" t="s">
        <v>26504</v>
      </c>
      <c r="B7325" s="4" t="s">
        <v>14583</v>
      </c>
      <c r="C7325" s="16" t="str">
        <f>IFERROR(__xludf.DUMMYFUNCTION(""""""""" &amp; REGEXEXTRACT(B7325, ""/detail/([^/?]+)"") &amp; """""","""),"""bedgondbfpagijbdcgejejcknfhikfmm"",")</f>
        <v>"bedgondbfpagijbdcgejejcknfhikfmm",</v>
      </c>
    </row>
    <row r="7326">
      <c r="A7326" s="4" t="s">
        <v>26505</v>
      </c>
      <c r="B7326" s="4" t="s">
        <v>14585</v>
      </c>
      <c r="C7326" s="16" t="str">
        <f>IFERROR(__xludf.DUMMYFUNCTION(""""""""" &amp; REGEXEXTRACT(B7326, ""/detail/([^/?]+)"") &amp; """""","""),"""giicgaaobmdldgjpbinocofnhfhnklpm"",")</f>
        <v>"giicgaaobmdldgjpbinocofnhfhnklpm",</v>
      </c>
    </row>
    <row r="7327">
      <c r="A7327" s="4" t="s">
        <v>26506</v>
      </c>
      <c r="B7327" s="4" t="s">
        <v>14587</v>
      </c>
      <c r="C7327" s="16" t="str">
        <f>IFERROR(__xludf.DUMMYFUNCTION(""""""""" &amp; REGEXEXTRACT(B7327, ""/detail/([^/?]+)"") &amp; """""","""),"""imkdafnalljikgogmjdccklndcdbfnng"",")</f>
        <v>"imkdafnalljikgogmjdccklndcdbfnng",</v>
      </c>
    </row>
    <row r="7328">
      <c r="A7328" s="4" t="s">
        <v>26507</v>
      </c>
      <c r="B7328" s="4" t="s">
        <v>14589</v>
      </c>
      <c r="C7328" s="16" t="str">
        <f>IFERROR(__xludf.DUMMYFUNCTION(""""""""" &amp; REGEXEXTRACT(B7328, ""/detail/([^/?]+)"") &amp; """""","""),"""inclbgdmhheebmihljedogpbfkaeeaci"",")</f>
        <v>"inclbgdmhheebmihljedogpbfkaeeaci",</v>
      </c>
    </row>
    <row r="7329">
      <c r="A7329" s="4" t="s">
        <v>26508</v>
      </c>
      <c r="B7329" s="4" t="s">
        <v>14591</v>
      </c>
      <c r="C7329" s="16" t="str">
        <f>IFERROR(__xludf.DUMMYFUNCTION(""""""""" &amp; REGEXEXTRACT(B7329, ""/detail/([^/?]+)"") &amp; """""","""),"""mjokgonphggmacmlgdfeeddkpjmdbakf"",")</f>
        <v>"mjokgonphggmacmlgdfeeddkpjmdbakf",</v>
      </c>
    </row>
    <row r="7330">
      <c r="A7330" s="4" t="s">
        <v>26509</v>
      </c>
      <c r="B7330" s="4" t="s">
        <v>14593</v>
      </c>
      <c r="C7330" s="16" t="str">
        <f>IFERROR(__xludf.DUMMYFUNCTION(""""""""" &amp; REGEXEXTRACT(B7330, ""/detail/([^/?]+)"") &amp; """""","""),"""mneimgababoaidaajoibedahomnpmbja"",")</f>
        <v>"mneimgababoaidaajoibedahomnpmbja",</v>
      </c>
    </row>
    <row r="7331">
      <c r="A7331" s="4" t="s">
        <v>26510</v>
      </c>
      <c r="B7331" s="4" t="s">
        <v>14595</v>
      </c>
      <c r="C7331" s="16" t="str">
        <f>IFERROR(__xludf.DUMMYFUNCTION(""""""""" &amp; REGEXEXTRACT(B7331, ""/detail/([^/?]+)"") &amp; """""","""),"""aahaelhkejkacfahbognphmanapkalab"",")</f>
        <v>"aahaelhkejkacfahbognphmanapkalab",</v>
      </c>
    </row>
    <row r="7332">
      <c r="A7332" s="4" t="s">
        <v>26511</v>
      </c>
      <c r="B7332" s="4" t="s">
        <v>14597</v>
      </c>
      <c r="C7332" s="16" t="str">
        <f>IFERROR(__xludf.DUMMYFUNCTION(""""""""" &amp; REGEXEXTRACT(B7332, ""/detail/([^/?]+)"") &amp; """""","""),"""beamjpgknhidkfgmbeplfedbnhmajjpj"",")</f>
        <v>"beamjpgknhidkfgmbeplfedbnhmajjpj",</v>
      </c>
    </row>
    <row r="7333">
      <c r="A7333" s="4" t="s">
        <v>26512</v>
      </c>
      <c r="B7333" s="4" t="s">
        <v>14599</v>
      </c>
      <c r="C7333" s="16" t="str">
        <f>IFERROR(__xludf.DUMMYFUNCTION(""""""""" &amp; REGEXEXTRACT(B7333, ""/detail/([^/?]+)"") &amp; """""","""),"""nmkmpldhpejmploidnhchbohelkfnokk"",")</f>
        <v>"nmkmpldhpejmploidnhchbohelkfnokk",</v>
      </c>
    </row>
    <row r="7334">
      <c r="A7334" s="4" t="s">
        <v>26513</v>
      </c>
      <c r="B7334" s="4" t="s">
        <v>14601</v>
      </c>
      <c r="C7334" s="16" t="str">
        <f>IFERROR(__xludf.DUMMYFUNCTION(""""""""" &amp; REGEXEXTRACT(B7334, ""/detail/([^/?]+)"") &amp; """""","""),"""gdnacdhjfapjlfgmeclkciccfogjebil"",")</f>
        <v>"gdnacdhjfapjlfgmeclkciccfogjebil",</v>
      </c>
    </row>
    <row r="7335">
      <c r="A7335" s="4" t="s">
        <v>26514</v>
      </c>
      <c r="B7335" s="4" t="s">
        <v>14603</v>
      </c>
      <c r="C7335" s="16" t="str">
        <f>IFERROR(__xludf.DUMMYFUNCTION(""""""""" &amp; REGEXEXTRACT(B7335, ""/detail/([^/?]+)"") &amp; """""","""),"""hccdpjclpakgmpkghkhamjpdcmjojnak"",")</f>
        <v>"hccdpjclpakgmpkghkhamjpdcmjojnak",</v>
      </c>
    </row>
    <row r="7336">
      <c r="A7336" s="4" t="s">
        <v>26515</v>
      </c>
      <c r="B7336" s="4" t="s">
        <v>14605</v>
      </c>
      <c r="C7336" s="16" t="str">
        <f>IFERROR(__xludf.DUMMYFUNCTION(""""""""" &amp; REGEXEXTRACT(B7336, ""/detail/([^/?]+)"") &amp; """""","""),"""jcnefiekgjgajlpddpakgcpnkpphddpp"",")</f>
        <v>"jcnefiekgjgajlpddpakgcpnkpphddpp",</v>
      </c>
    </row>
    <row r="7337">
      <c r="A7337" s="4" t="s">
        <v>26516</v>
      </c>
      <c r="B7337" s="4" t="s">
        <v>14607</v>
      </c>
      <c r="C7337" s="16" t="str">
        <f>IFERROR(__xludf.DUMMYFUNCTION(""""""""" &amp; REGEXEXTRACT(B7337, ""/detail/([^/?]+)"") &amp; """""","""),"""lcpnmiadfhokkkphhdmadlibhikkjlml"",")</f>
        <v>"lcpnmiadfhokkkphhdmadlibhikkjlml",</v>
      </c>
    </row>
    <row r="7338">
      <c r="A7338" s="4" t="s">
        <v>26517</v>
      </c>
      <c r="B7338" s="4" t="s">
        <v>14609</v>
      </c>
      <c r="C7338" s="16" t="str">
        <f>IFERROR(__xludf.DUMMYFUNCTION(""""""""" &amp; REGEXEXTRACT(B7338, ""/detail/([^/?]+)"") &amp; """""","""),"""pgpmpfcpnpgnkombckgpnfkmbepockaj"",")</f>
        <v>"pgpmpfcpnpgnkombckgpnfkmbepockaj",</v>
      </c>
    </row>
    <row r="7339">
      <c r="A7339" s="4" t="s">
        <v>26518</v>
      </c>
      <c r="B7339" s="4" t="s">
        <v>14611</v>
      </c>
      <c r="C7339" s="16" t="str">
        <f>IFERROR(__xludf.DUMMYFUNCTION(""""""""" &amp; REGEXEXTRACT(B7339, ""/detail/([^/?]+)"") &amp; """""","""),"""aebieeaodhkabdnmhjbfmdohhhcoipof"",")</f>
        <v>"aebieeaodhkabdnmhjbfmdohhhcoipof",</v>
      </c>
    </row>
    <row r="7340">
      <c r="A7340" s="4" t="s">
        <v>26519</v>
      </c>
      <c r="B7340" s="4" t="s">
        <v>14613</v>
      </c>
      <c r="C7340" s="16" t="str">
        <f>IFERROR(__xludf.DUMMYFUNCTION(""""""""" &amp; REGEXEXTRACT(B7340, ""/detail/([^/?]+)"") &amp; """""","""),"""ajjnokaolfbjimgelmdmdlijoclmjnag"",")</f>
        <v>"ajjnokaolfbjimgelmdmdlijoclmjnag",</v>
      </c>
    </row>
    <row r="7341">
      <c r="A7341" s="4" t="s">
        <v>26520</v>
      </c>
      <c r="B7341" s="4" t="s">
        <v>14615</v>
      </c>
      <c r="C7341" s="16" t="str">
        <f>IFERROR(__xludf.DUMMYFUNCTION(""""""""" &amp; REGEXEXTRACT(B7341, ""/detail/([^/?]+)"") &amp; """""","""),"""bpcbpnlhalnkaheioffegmhhdlmooieg"",")</f>
        <v>"bpcbpnlhalnkaheioffegmhhdlmooieg",</v>
      </c>
    </row>
    <row r="7342">
      <c r="A7342" s="4" t="s">
        <v>26521</v>
      </c>
      <c r="B7342" s="4" t="s">
        <v>14617</v>
      </c>
      <c r="C7342" s="16" t="str">
        <f>IFERROR(__xludf.DUMMYFUNCTION(""""""""" &amp; REGEXEXTRACT(B7342, ""/detail/([^/?]+)"") &amp; """""","""),"""dpicaggneknadilmelkoemhffdnooanb"",")</f>
        <v>"dpicaggneknadilmelkoemhffdnooanb",</v>
      </c>
    </row>
    <row r="7343">
      <c r="A7343" s="4" t="s">
        <v>26522</v>
      </c>
      <c r="B7343" s="4" t="s">
        <v>14619</v>
      </c>
      <c r="C7343" s="16" t="str">
        <f>IFERROR(__xludf.DUMMYFUNCTION(""""""""" &amp; REGEXEXTRACT(B7343, ""/detail/([^/?]+)"") &amp; """""","""),"""foinnhdebpllnjmmgkdfnkkejmejhkbc"",")</f>
        <v>"foinnhdebpllnjmmgkdfnkkejmejhkbc",</v>
      </c>
    </row>
    <row r="7344">
      <c r="A7344" s="4" t="s">
        <v>26523</v>
      </c>
      <c r="B7344" s="4" t="s">
        <v>14621</v>
      </c>
      <c r="C7344" s="16" t="str">
        <f>IFERROR(__xludf.DUMMYFUNCTION(""""""""" &amp; REGEXEXTRACT(B7344, ""/detail/([^/?]+)"") &amp; """""","""),"""hnmcofcmhpllkdkncnofkjdlpieagngg"",")</f>
        <v>"hnmcofcmhpllkdkncnofkjdlpieagngg",</v>
      </c>
    </row>
    <row r="7345">
      <c r="A7345" s="4" t="s">
        <v>26524</v>
      </c>
      <c r="B7345" s="4" t="s">
        <v>14623</v>
      </c>
      <c r="C7345" s="16" t="str">
        <f>IFERROR(__xludf.DUMMYFUNCTION(""""""""" &amp; REGEXEXTRACT(B7345, ""/detail/([^/?]+)"") &amp; """""","""),"""imhekgipjdpmedaiocgljanjpbmhdmlo"",")</f>
        <v>"imhekgipjdpmedaiocgljanjpbmhdmlo",</v>
      </c>
    </row>
    <row r="7346">
      <c r="A7346" s="4" t="s">
        <v>26525</v>
      </c>
      <c r="B7346" s="4" t="s">
        <v>14625</v>
      </c>
      <c r="C7346" s="16" t="str">
        <f>IFERROR(__xludf.DUMMYFUNCTION(""""""""" &amp; REGEXEXTRACT(B7346, ""/detail/([^/?]+)"") &amp; """""","""),"""lkoddlganbhamjljmlelnhljllbbljbf"",")</f>
        <v>"lkoddlganbhamjljmlelnhljllbbljbf",</v>
      </c>
    </row>
    <row r="7347">
      <c r="A7347" s="4" t="s">
        <v>26526</v>
      </c>
      <c r="B7347" s="4" t="s">
        <v>14627</v>
      </c>
      <c r="C7347" s="16" t="str">
        <f>IFERROR(__xludf.DUMMYFUNCTION(""""""""" &amp; REGEXEXTRACT(B7347, ""/detail/([^/?]+)"") &amp; """""","""),"""lmncnhchelhjhiecgkeocomgbkjnmfgm"",")</f>
        <v>"lmncnhchelhjhiecgkeocomgbkjnmfgm",</v>
      </c>
    </row>
    <row r="7348">
      <c r="A7348" s="10" t="s">
        <v>26527</v>
      </c>
      <c r="B7348" s="4" t="s">
        <v>14629</v>
      </c>
      <c r="C7348" s="16" t="str">
        <f>IFERROR(__xludf.DUMMYFUNCTION(""""""""" &amp; REGEXEXTRACT(B7348, ""/detail/([^/?]+)"") &amp; """""","""),"""afnedldoicelogeopolcehamaelpagfd"",")</f>
        <v>"afnedldoicelogeopolcehamaelpagfd",</v>
      </c>
    </row>
    <row r="7349">
      <c r="A7349" s="4" t="s">
        <v>26528</v>
      </c>
      <c r="B7349" s="4" t="s">
        <v>14631</v>
      </c>
      <c r="C7349" s="16" t="str">
        <f>IFERROR(__xludf.DUMMYFUNCTION(""""""""" &amp; REGEXEXTRACT(B7349, ""/detail/([^/?]+)"") &amp; """""","""),"""apdbfgmgdliefllebjfkbdmmgcdgfmpp"",")</f>
        <v>"apdbfgmgdliefllebjfkbdmmgcdgfmpp",</v>
      </c>
    </row>
    <row r="7350">
      <c r="A7350" s="4" t="s">
        <v>26529</v>
      </c>
      <c r="B7350" s="4" t="s">
        <v>14633</v>
      </c>
      <c r="C7350" s="16" t="str">
        <f>IFERROR(__xludf.DUMMYFUNCTION(""""""""" &amp; REGEXEXTRACT(B7350, ""/detail/([^/?]+)"") &amp; """""","""),"""gfkelnilbjflkdjhhfeojhpbjogakifh"",")</f>
        <v>"gfkelnilbjflkdjhhfeojhpbjogakifh",</v>
      </c>
    </row>
    <row r="7351">
      <c r="A7351" s="4" t="s">
        <v>26530</v>
      </c>
      <c r="B7351" s="4" t="s">
        <v>14635</v>
      </c>
      <c r="C7351" s="16" t="str">
        <f>IFERROR(__xludf.DUMMYFUNCTION(""""""""" &amp; REGEXEXTRACT(B7351, ""/detail/([^/?]+)"") &amp; """""","""),"""bigmfjdfngafahnkjchgobejppekainl"",")</f>
        <v>"bigmfjdfngafahnkjchgobejppekainl",</v>
      </c>
    </row>
    <row r="7352">
      <c r="A7352" s="4" t="s">
        <v>26531</v>
      </c>
      <c r="B7352" s="4" t="s">
        <v>14637</v>
      </c>
      <c r="C7352" s="16" t="str">
        <f>IFERROR(__xludf.DUMMYFUNCTION(""""""""" &amp; REGEXEXTRACT(B7352, ""/detail/([^/?]+)"") &amp; """""","""),"""ekiibapogjgmlhlhpoalbppfhhgkcogc"",")</f>
        <v>"ekiibapogjgmlhlhpoalbppfhhgkcogc",</v>
      </c>
    </row>
    <row r="7353">
      <c r="A7353" s="4" t="s">
        <v>26532</v>
      </c>
      <c r="B7353" s="4" t="s">
        <v>14639</v>
      </c>
      <c r="C7353" s="16" t="str">
        <f>IFERROR(__xludf.DUMMYFUNCTION(""""""""" &amp; REGEXEXTRACT(B7353, ""/detail/([^/?]+)"") &amp; """""","""),"""mnfckoipoonlebfjfonlmpepbgifmnhm"",")</f>
        <v>"mnfckoipoonlebfjfonlmpepbgifmnhm",</v>
      </c>
    </row>
    <row r="7354">
      <c r="A7354" s="4" t="s">
        <v>26533</v>
      </c>
      <c r="B7354" s="4" t="s">
        <v>14641</v>
      </c>
      <c r="C7354" s="16" t="str">
        <f>IFERROR(__xludf.DUMMYFUNCTION(""""""""" &amp; REGEXEXTRACT(B7354, ""/detail/([^/?]+)"") &amp; """""","""),"""comfcmnenlmhdkhkjgokadlonincpidm"",")</f>
        <v>"comfcmnenlmhdkhkjgokadlonincpidm",</v>
      </c>
    </row>
    <row r="7355">
      <c r="A7355" s="4" t="s">
        <v>26534</v>
      </c>
      <c r="B7355" s="4" t="s">
        <v>14643</v>
      </c>
      <c r="C7355" s="16" t="str">
        <f>IFERROR(__xludf.DUMMYFUNCTION(""""""""" &amp; REGEXEXTRACT(B7355, ""/detail/([^/?]+)"") &amp; """""","""),"""onhnglhmledjhmniakhogfdpkmkinnfe"",")</f>
        <v>"onhnglhmledjhmniakhogfdpkmkinnfe",</v>
      </c>
    </row>
    <row r="7356">
      <c r="A7356" s="4" t="s">
        <v>26535</v>
      </c>
      <c r="B7356" s="4" t="s">
        <v>14645</v>
      </c>
      <c r="C7356" s="16" t="str">
        <f>IFERROR(__xludf.DUMMYFUNCTION(""""""""" &amp; REGEXEXTRACT(B7356, ""/detail/([^/?]+)"") &amp; """""","""),"""clnalilglegcjmlgenoppklmfppddien"",")</f>
        <v>"clnalilglegcjmlgenoppklmfppddien",</v>
      </c>
    </row>
    <row r="7357">
      <c r="A7357" s="4" t="s">
        <v>26536</v>
      </c>
      <c r="B7357" s="4" t="s">
        <v>14647</v>
      </c>
      <c r="C7357" s="16" t="str">
        <f>IFERROR(__xludf.DUMMYFUNCTION(""""""""" &amp; REGEXEXTRACT(B7357, ""/detail/([^/?]+)"") &amp; """""","""),"""kokpmlmpjlfgkpkbafjfcpebdnbhodlb"",")</f>
        <v>"kokpmlmpjlfgkpkbafjfcpebdnbhodlb",</v>
      </c>
    </row>
    <row r="7358">
      <c r="A7358" s="4" t="s">
        <v>26537</v>
      </c>
      <c r="B7358" s="4" t="s">
        <v>14649</v>
      </c>
      <c r="C7358" s="16" t="str">
        <f>IFERROR(__xludf.DUMMYFUNCTION(""""""""" &amp; REGEXEXTRACT(B7358, ""/detail/([^/?]+)"") &amp; """""","""),"""jglmompgeddkbcdamdknmebaimldkkbl"",")</f>
        <v>"jglmompgeddkbcdamdknmebaimldkkbl",</v>
      </c>
    </row>
    <row r="7359">
      <c r="A7359" s="4" t="s">
        <v>26538</v>
      </c>
      <c r="B7359" s="4" t="s">
        <v>14651</v>
      </c>
      <c r="C7359" s="16" t="str">
        <f>IFERROR(__xludf.DUMMYFUNCTION(""""""""" &amp; REGEXEXTRACT(B7359, ""/detail/([^/?]+)"") &amp; """""","""),"""kjolnndanembeldfjpchaipfopflpdph"",")</f>
        <v>"kjolnndanembeldfjpchaipfopflpdph",</v>
      </c>
    </row>
    <row r="7360">
      <c r="A7360" s="4" t="s">
        <v>26539</v>
      </c>
      <c r="B7360" s="4" t="s">
        <v>14653</v>
      </c>
      <c r="C7360" s="16" t="str">
        <f>IFERROR(__xludf.DUMMYFUNCTION(""""""""" &amp; REGEXEXTRACT(B7360, ""/detail/([^/?]+)"") &amp; """""","""),"""lkfmekffciaajeflkfegpmlhfapfholj"",")</f>
        <v>"lkfmekffciaajeflkfegpmlhfapfholj",</v>
      </c>
    </row>
    <row r="7361">
      <c r="A7361" s="4" t="s">
        <v>26540</v>
      </c>
      <c r="B7361" s="4" t="s">
        <v>14655</v>
      </c>
      <c r="C7361" s="16" t="str">
        <f>IFERROR(__xludf.DUMMYFUNCTION(""""""""" &amp; REGEXEXTRACT(B7361, ""/detail/([^/?]+)"") &amp; """""","""),"""lngoloonfgohfhnpcgkfgnfikeedbhgg"",")</f>
        <v>"lngoloonfgohfhnpcgkfgnfikeedbhgg",</v>
      </c>
    </row>
    <row r="7362">
      <c r="A7362" s="4" t="s">
        <v>26541</v>
      </c>
      <c r="B7362" s="4" t="s">
        <v>14657</v>
      </c>
      <c r="C7362" s="16" t="str">
        <f>IFERROR(__xludf.DUMMYFUNCTION(""""""""" &amp; REGEXEXTRACT(B7362, ""/detail/([^/?]+)"") &amp; """""","""),"""oepbpdamkigabminkagecahfgdgbbodc"",")</f>
        <v>"oepbpdamkigabminkagecahfgdgbbodc",</v>
      </c>
    </row>
    <row r="7363">
      <c r="A7363" s="4" t="s">
        <v>26542</v>
      </c>
      <c r="B7363" s="4" t="s">
        <v>14659</v>
      </c>
      <c r="C7363" s="16" t="str">
        <f>IFERROR(__xludf.DUMMYFUNCTION(""""""""" &amp; REGEXEXTRACT(B7363, ""/detail/([^/?]+)"") &amp; """""","""),"""plncnpocaddbiiggfiflhiabkgmklcge"",")</f>
        <v>"plncnpocaddbiiggfiflhiabkgmklcge",</v>
      </c>
    </row>
    <row r="7364">
      <c r="A7364" s="4" t="s">
        <v>26543</v>
      </c>
      <c r="B7364" s="4" t="s">
        <v>14661</v>
      </c>
      <c r="C7364" s="16" t="str">
        <f>IFERROR(__xludf.DUMMYFUNCTION(""""""""" &amp; REGEXEXTRACT(B7364, ""/detail/([^/?]+)"") &amp; """""","""),"""bkbkgpcacphidgmpbfcapoillheakfpi"",")</f>
        <v>"bkbkgpcacphidgmpbfcapoillheakfpi",</v>
      </c>
    </row>
    <row r="7365">
      <c r="A7365" s="4" t="s">
        <v>26544</v>
      </c>
      <c r="B7365" s="4" t="s">
        <v>14663</v>
      </c>
      <c r="C7365" s="16" t="str">
        <f>IFERROR(__xludf.DUMMYFUNCTION(""""""""" &amp; REGEXEXTRACT(B7365, ""/detail/([^/?]+)"") &amp; """""","""),"""dkmlhgmmfochpgplckjlfakepmmhpaep"",")</f>
        <v>"dkmlhgmmfochpgplckjlfakepmmhpaep",</v>
      </c>
    </row>
    <row r="7366">
      <c r="A7366" s="4" t="s">
        <v>26545</v>
      </c>
      <c r="B7366" s="4" t="s">
        <v>14665</v>
      </c>
      <c r="C7366" s="16" t="str">
        <f>IFERROR(__xludf.DUMMYFUNCTION(""""""""" &amp; REGEXEXTRACT(B7366, ""/detail/([^/?]+)"") &amp; """""","""),"""hpigbcfkeekdfkbabcohgljkgiggehag"",")</f>
        <v>"hpigbcfkeekdfkbabcohgljkgiggehag",</v>
      </c>
    </row>
    <row r="7367">
      <c r="A7367" s="4" t="s">
        <v>26546</v>
      </c>
      <c r="B7367" s="4" t="s">
        <v>14667</v>
      </c>
      <c r="C7367" s="16" t="str">
        <f>IFERROR(__xludf.DUMMYFUNCTION(""""""""" &amp; REGEXEXTRACT(B7367, ""/detail/([^/?]+)"") &amp; """""","""),"""iggfkakbafpkgjaocfjaoehcclhcjckb"",")</f>
        <v>"iggfkakbafpkgjaocfjaoehcclhcjckb",</v>
      </c>
    </row>
    <row r="7368">
      <c r="A7368" s="4" t="s">
        <v>26547</v>
      </c>
      <c r="B7368" s="4" t="s">
        <v>14669</v>
      </c>
      <c r="C7368" s="16" t="str">
        <f>IFERROR(__xludf.DUMMYFUNCTION(""""""""" &amp; REGEXEXTRACT(B7368, ""/detail/([^/?]+)"") &amp; """""","""),"""nabghppbcmjjflfemokkgocleeclijph"",")</f>
        <v>"nabghppbcmjjflfemokkgocleeclijph",</v>
      </c>
    </row>
    <row r="7369">
      <c r="A7369" s="4" t="s">
        <v>26548</v>
      </c>
      <c r="B7369" s="4" t="s">
        <v>14671</v>
      </c>
      <c r="C7369" s="16" t="str">
        <f>IFERROR(__xludf.DUMMYFUNCTION(""""""""" &amp; REGEXEXTRACT(B7369, ""/detail/([^/?]+)"") &amp; """""","""),"""nifbdojdggkboiifaklkamfpjcmgafpo"",")</f>
        <v>"nifbdojdggkboiifaklkamfpjcmgafpo",</v>
      </c>
    </row>
    <row r="7370">
      <c r="A7370" s="4" t="s">
        <v>26549</v>
      </c>
      <c r="B7370" s="4" t="s">
        <v>14673</v>
      </c>
      <c r="C7370" s="16" t="str">
        <f>IFERROR(__xludf.DUMMYFUNCTION(""""""""" &amp; REGEXEXTRACT(B7370, ""/detail/([^/?]+)"") &amp; """""","""),"""oocokpigpfnmcblelocddbadnclmfjeh"",")</f>
        <v>"oocokpigpfnmcblelocddbadnclmfjeh",</v>
      </c>
    </row>
    <row r="7371">
      <c r="A7371" s="4" t="s">
        <v>26550</v>
      </c>
      <c r="B7371" s="4" t="s">
        <v>14675</v>
      </c>
      <c r="C7371" s="16" t="str">
        <f>IFERROR(__xludf.DUMMYFUNCTION(""""""""" &amp; REGEXEXTRACT(B7371, ""/detail/([^/?]+)"") &amp; """""","""),"""efnhgdhfilhagkkfplapfkcfodhdgeoa"",")</f>
        <v>"efnhgdhfilhagkkfplapfkcfodhdgeoa",</v>
      </c>
    </row>
    <row r="7372">
      <c r="A7372" s="4" t="s">
        <v>26551</v>
      </c>
      <c r="B7372" s="4" t="s">
        <v>14677</v>
      </c>
      <c r="C7372" s="16" t="str">
        <f>IFERROR(__xludf.DUMMYFUNCTION(""""""""" &amp; REGEXEXTRACT(B7372, ""/detail/([^/?]+)"") &amp; """""","""),"""ejgkinembcbakgnmlejjcajkefnddlin"",")</f>
        <v>"ejgkinembcbakgnmlejjcajkefnddlin",</v>
      </c>
    </row>
    <row r="7373">
      <c r="A7373" s="4" t="s">
        <v>26552</v>
      </c>
      <c r="B7373" s="4" t="s">
        <v>14679</v>
      </c>
      <c r="C7373" s="16" t="str">
        <f>IFERROR(__xludf.DUMMYFUNCTION(""""""""" &amp; REGEXEXTRACT(B7373, ""/detail/([^/?]+)"") &amp; """""","""),"""pbfneacmjmcjdbeonggmoanjpaklahfk"",")</f>
        <v>"pbfneacmjmcjdbeonggmoanjpaklahfk",</v>
      </c>
    </row>
    <row r="7374">
      <c r="A7374" s="4" t="s">
        <v>26553</v>
      </c>
      <c r="B7374" s="4" t="s">
        <v>14681</v>
      </c>
      <c r="C7374" s="16" t="str">
        <f>IFERROR(__xludf.DUMMYFUNCTION(""""""""" &amp; REGEXEXTRACT(B7374, ""/detail/([^/?]+)"") &amp; """""","""),"""cjdeidnceplfnabgonejmggjhgjmlpff"",")</f>
        <v>"cjdeidnceplfnabgonejmggjhgjmlpff",</v>
      </c>
    </row>
    <row r="7375">
      <c r="A7375" s="4" t="s">
        <v>26554</v>
      </c>
      <c r="B7375" s="4" t="s">
        <v>14683</v>
      </c>
      <c r="C7375" s="16" t="str">
        <f>IFERROR(__xludf.DUMMYFUNCTION(""""""""" &amp; REGEXEXTRACT(B7375, ""/detail/([^/?]+)"") &amp; """""","""),"""dpealgnedanapbepaegeajlhpbidbifg"",")</f>
        <v>"dpealgnedanapbepaegeajlhpbidbifg",</v>
      </c>
    </row>
    <row r="7376">
      <c r="A7376" s="4" t="s">
        <v>26555</v>
      </c>
      <c r="B7376" s="4" t="s">
        <v>14685</v>
      </c>
      <c r="C7376" s="16" t="str">
        <f>IFERROR(__xludf.DUMMYFUNCTION(""""""""" &amp; REGEXEXTRACT(B7376, ""/detail/([^/?]+)"") &amp; """""","""),"""gcfemncaehdhehnidnegppgofnmomido"",")</f>
        <v>"gcfemncaehdhehnidnegppgofnmomido",</v>
      </c>
    </row>
    <row r="7377">
      <c r="A7377" s="4" t="s">
        <v>26556</v>
      </c>
      <c r="B7377" s="4" t="s">
        <v>14687</v>
      </c>
      <c r="C7377" s="16" t="str">
        <f>IFERROR(__xludf.DUMMYFUNCTION(""""""""" &amp; REGEXEXTRACT(B7377, ""/detail/([^/?]+)"") &amp; """""","""),"""nophchlleabfnhjonhnhjiacdjhjkghb"",")</f>
        <v>"nophchlleabfnhjonhnhjiacdjhjkghb",</v>
      </c>
    </row>
    <row r="7378">
      <c r="A7378" s="4" t="s">
        <v>26557</v>
      </c>
      <c r="B7378" s="4" t="s">
        <v>14689</v>
      </c>
      <c r="C7378" s="16" t="str">
        <f>IFERROR(__xludf.DUMMYFUNCTION(""""""""" &amp; REGEXEXTRACT(B7378, ""/detail/([^/?]+)"") &amp; """""","""),"""palhkglkelpleoalemmjdhbdckkikjmo"",")</f>
        <v>"palhkglkelpleoalemmjdhbdckkikjmo",</v>
      </c>
    </row>
    <row r="7379">
      <c r="A7379" s="4" t="s">
        <v>26558</v>
      </c>
      <c r="B7379" s="4" t="s">
        <v>14691</v>
      </c>
      <c r="C7379" s="16" t="str">
        <f>IFERROR(__xludf.DUMMYFUNCTION(""""""""" &amp; REGEXEXTRACT(B7379, ""/detail/([^/?]+)"") &amp; """""","""),"""ckjogkiieodbdmkeabpnhdaagilainco"",")</f>
        <v>"ckjogkiieodbdmkeabpnhdaagilainco",</v>
      </c>
    </row>
    <row r="7380">
      <c r="A7380" s="4" t="s">
        <v>26559</v>
      </c>
      <c r="B7380" s="4" t="s">
        <v>14693</v>
      </c>
      <c r="C7380" s="16" t="str">
        <f>IFERROR(__xludf.DUMMYFUNCTION(""""""""" &amp; REGEXEXTRACT(B7380, ""/detail/([^/?]+)"") &amp; """""","""),"""eafmdhegblfeilejhmieheapmlpdeklm"",")</f>
        <v>"eafmdhegblfeilejhmieheapmlpdeklm",</v>
      </c>
    </row>
    <row r="7381">
      <c r="A7381" s="4" t="s">
        <v>26560</v>
      </c>
      <c r="B7381" s="4" t="s">
        <v>14695</v>
      </c>
      <c r="C7381" s="16" t="str">
        <f>IFERROR(__xludf.DUMMYFUNCTION(""""""""" &amp; REGEXEXTRACT(B7381, ""/detail/([^/?]+)"") &amp; """""","""),"""ekjpkajimfmgjiammkidbhomndojnpbb"",")</f>
        <v>"ekjpkajimfmgjiammkidbhomndojnpbb",</v>
      </c>
    </row>
    <row r="7382">
      <c r="A7382" s="4" t="s">
        <v>26561</v>
      </c>
      <c r="B7382" s="4" t="s">
        <v>14697</v>
      </c>
      <c r="C7382" s="16" t="str">
        <f>IFERROR(__xludf.DUMMYFUNCTION(""""""""" &amp; REGEXEXTRACT(B7382, ""/detail/([^/?]+)"") &amp; """""","""),"""igccnpemgifkkpnlhbebglclbgofpemb"",")</f>
        <v>"igccnpemgifkkpnlhbebglclbgofpemb",</v>
      </c>
    </row>
    <row r="7383">
      <c r="A7383" s="4" t="s">
        <v>26562</v>
      </c>
      <c r="B7383" s="4" t="s">
        <v>14699</v>
      </c>
      <c r="C7383" s="16" t="str">
        <f>IFERROR(__xludf.DUMMYFUNCTION(""""""""" &amp; REGEXEXTRACT(B7383, ""/detail/([^/?]+)"") &amp; """""","""),"""mnjomdibnloobkbgdaaplldfihfhpnbm"",")</f>
        <v>"mnjomdibnloobkbgdaaplldfihfhpnbm",</v>
      </c>
    </row>
    <row r="7384">
      <c r="A7384" s="4" t="s">
        <v>26563</v>
      </c>
      <c r="B7384" s="4" t="s">
        <v>14701</v>
      </c>
      <c r="C7384" s="16" t="str">
        <f>IFERROR(__xludf.DUMMYFUNCTION(""""""""" &amp; REGEXEXTRACT(B7384, ""/detail/([^/?]+)"") &amp; """""","""),"""poannipkjoijnlchnpljlhgphaappbkf"",")</f>
        <v>"poannipkjoijnlchnpljlhgphaappbkf",</v>
      </c>
    </row>
    <row r="7385">
      <c r="A7385" s="4" t="s">
        <v>26564</v>
      </c>
      <c r="B7385" s="4" t="s">
        <v>14703</v>
      </c>
      <c r="C7385" s="16" t="str">
        <f>IFERROR(__xludf.DUMMYFUNCTION(""""""""" &amp; REGEXEXTRACT(B7385, ""/detail/([^/?]+)"") &amp; """""","""),"""poobeppenopkcbjejfjenbiepifcbclg"",")</f>
        <v>"poobeppenopkcbjejfjenbiepifcbclg",</v>
      </c>
    </row>
    <row r="7386">
      <c r="A7386" s="4" t="s">
        <v>26565</v>
      </c>
      <c r="B7386" s="4" t="s">
        <v>14705</v>
      </c>
      <c r="C7386" s="16" t="str">
        <f>IFERROR(__xludf.DUMMYFUNCTION(""""""""" &amp; REGEXEXTRACT(B7386, ""/detail/([^/?]+)"") &amp; """""","""),"""ppdjcaigbogfcfmakohpecocdjfjdopk"",")</f>
        <v>"ppdjcaigbogfcfmakohpecocdjfjdopk",</v>
      </c>
    </row>
    <row r="7387">
      <c r="A7387" s="4" t="s">
        <v>26566</v>
      </c>
      <c r="B7387" s="4" t="s">
        <v>14706</v>
      </c>
      <c r="C7387" s="16" t="str">
        <f>IFERROR(__xludf.DUMMYFUNCTION(""""""""" &amp; REGEXEXTRACT(B7387, ""/detail/([^/?]+)"") &amp; """""","""),"""gchapniglkpmdbgdgcglhddjpahiklpk"",")</f>
        <v>"gchapniglkpmdbgdgcglhddjpahiklpk",</v>
      </c>
    </row>
    <row r="7388">
      <c r="A7388" s="4" t="s">
        <v>26567</v>
      </c>
      <c r="B7388" s="4" t="s">
        <v>14707</v>
      </c>
      <c r="C7388" s="16" t="str">
        <f>IFERROR(__xludf.DUMMYFUNCTION(""""""""" &amp; REGEXEXTRACT(B7388, ""/detail/([^/?]+)"") &amp; """""","""),"""kcdjkpahilfbajemghhapfompnafeijf"",")</f>
        <v>"kcdjkpahilfbajemghhapfompnafeijf",</v>
      </c>
    </row>
    <row r="7389">
      <c r="A7389" s="4" t="s">
        <v>26568</v>
      </c>
      <c r="B7389" s="4" t="s">
        <v>14709</v>
      </c>
      <c r="C7389" s="16" t="str">
        <f>IFERROR(__xludf.DUMMYFUNCTION(""""""""" &amp; REGEXEXTRACT(B7389, ""/detail/([^/?]+)"") &amp; """""","""),"""kdhdgaemffmpfmceolgbfpnfiafbjdkp"",")</f>
        <v>"kdhdgaemffmpfmceolgbfpnfiafbjdkp",</v>
      </c>
    </row>
    <row r="7390">
      <c r="A7390" s="4" t="s">
        <v>26569</v>
      </c>
      <c r="B7390" s="4" t="s">
        <v>14711</v>
      </c>
      <c r="C7390" s="16" t="str">
        <f>IFERROR(__xludf.DUMMYFUNCTION(""""""""" &amp; REGEXEXTRACT(B7390, ""/detail/([^/?]+)"") &amp; """""","""),"""mbjafjdfamobncblnamcbfpkeelcihno"",")</f>
        <v>"mbjafjdfamobncblnamcbfpkeelcihno",</v>
      </c>
    </row>
    <row r="7391">
      <c r="A7391" s="4" t="s">
        <v>26570</v>
      </c>
      <c r="B7391" s="4" t="s">
        <v>14713</v>
      </c>
      <c r="C7391" s="16" t="str">
        <f>IFERROR(__xludf.DUMMYFUNCTION(""""""""" &amp; REGEXEXTRACT(B7391, ""/detail/([^/?]+)"") &amp; """""","""),"""obiogedpmdnfaldjdjmnbpmhjjfnghnj"",")</f>
        <v>"obiogedpmdnfaldjdjmnbpmhjjfnghnj",</v>
      </c>
    </row>
    <row r="7392">
      <c r="A7392" s="4" t="s">
        <v>26571</v>
      </c>
      <c r="B7392" s="4" t="s">
        <v>14715</v>
      </c>
      <c r="C7392" s="16" t="str">
        <f>IFERROR(__xludf.DUMMYFUNCTION(""""""""" &amp; REGEXEXTRACT(B7392, ""/detail/([^/?]+)"") &amp; """""","""),"""cnecfoeoohjnimhbcojcdfhhdllgleck"",")</f>
        <v>"cnecfoeoohjnimhbcojcdfhhdllgleck",</v>
      </c>
    </row>
    <row r="7393">
      <c r="A7393" s="4" t="s">
        <v>26572</v>
      </c>
      <c r="B7393" s="4" t="s">
        <v>14717</v>
      </c>
      <c r="C7393" s="16" t="str">
        <f>IFERROR(__xludf.DUMMYFUNCTION(""""""""" &amp; REGEXEXTRACT(B7393, ""/detail/([^/?]+)"") &amp; """""","""),"""dfnefpadkibojlglpobnjbphlaojobfg"",")</f>
        <v>"dfnefpadkibojlglpobnjbphlaojobfg",</v>
      </c>
    </row>
    <row r="7394">
      <c r="A7394" s="4" t="s">
        <v>26573</v>
      </c>
      <c r="B7394" s="4" t="s">
        <v>14719</v>
      </c>
      <c r="C7394" s="16" t="str">
        <f>IFERROR(__xludf.DUMMYFUNCTION(""""""""" &amp; REGEXEXTRACT(B7394, ""/detail/([^/?]+)"") &amp; """""","""),"""eecedcnoilljhbpblfpceoakfipemlgg"",")</f>
        <v>"eecedcnoilljhbpblfpceoakfipemlgg",</v>
      </c>
    </row>
    <row r="7395">
      <c r="A7395" s="4" t="s">
        <v>26574</v>
      </c>
      <c r="B7395" s="4" t="s">
        <v>14721</v>
      </c>
      <c r="C7395" s="16" t="str">
        <f>IFERROR(__xludf.DUMMYFUNCTION(""""""""" &amp; REGEXEXTRACT(B7395, ""/detail/([^/?]+)"") &amp; """""","""),"""fdegbhikbooibcahgagmcbkdecmelgfo"",")</f>
        <v>"fdegbhikbooibcahgagmcbkdecmelgfo",</v>
      </c>
    </row>
    <row r="7396">
      <c r="A7396" s="4" t="s">
        <v>26575</v>
      </c>
      <c r="B7396" s="4" t="s">
        <v>14723</v>
      </c>
      <c r="C7396" s="16" t="str">
        <f>IFERROR(__xludf.DUMMYFUNCTION(""""""""" &amp; REGEXEXTRACT(B7396, ""/detail/([^/?]+)"") &amp; """""","""),"""ocolinehgapgfghadjhmlfcdmmechadj"",")</f>
        <v>"ocolinehgapgfghadjhmlfcdmmechadj",</v>
      </c>
    </row>
    <row r="7397">
      <c r="A7397" s="4" t="s">
        <v>26576</v>
      </c>
      <c r="B7397" s="4" t="s">
        <v>14725</v>
      </c>
      <c r="C7397" s="16" t="str">
        <f>IFERROR(__xludf.DUMMYFUNCTION(""""""""" &amp; REGEXEXTRACT(B7397, ""/detail/([^/?]+)"") &amp; """""","""),"""opeaihddpcbkkecmmkeedgeofknfbfop"",")</f>
        <v>"opeaihddpcbkkecmmkeedgeofknfbfop",</v>
      </c>
    </row>
    <row r="7398">
      <c r="A7398" s="4" t="s">
        <v>26577</v>
      </c>
      <c r="B7398" s="4" t="s">
        <v>14727</v>
      </c>
      <c r="C7398" s="16" t="str">
        <f>IFERROR(__xludf.DUMMYFUNCTION(""""""""" &amp; REGEXEXTRACT(B7398, ""/detail/([^/?]+)"") &amp; """""","""),"""pdddoiidkiobfckceckklfooomlikihb"",")</f>
        <v>"pdddoiidkiobfckceckklfooomlikihb",</v>
      </c>
    </row>
    <row r="7399">
      <c r="A7399" s="4" t="s">
        <v>26578</v>
      </c>
      <c r="B7399" s="4" t="s">
        <v>14729</v>
      </c>
      <c r="C7399" s="16" t="str">
        <f>IFERROR(__xludf.DUMMYFUNCTION(""""""""" &amp; REGEXEXTRACT(B7399, ""/detail/([^/?]+)"") &amp; """""","""),"""plhdffccclnkdlolokgfdobocldbjdjn"",")</f>
        <v>"plhdffccclnkdlolokgfdobocldbjdjn",</v>
      </c>
    </row>
    <row r="7400">
      <c r="A7400" s="4" t="s">
        <v>26579</v>
      </c>
      <c r="B7400" s="4" t="s">
        <v>14731</v>
      </c>
      <c r="C7400" s="16" t="str">
        <f>IFERROR(__xludf.DUMMYFUNCTION(""""""""" &amp; REGEXEXTRACT(B7400, ""/detail/([^/?]+)"") &amp; """""","""),"""ppoobnoipkllpmpnnldhpghefjhiinoh"",")</f>
        <v>"ppoobnoipkllpmpnnldhpghefjhiinoh",</v>
      </c>
    </row>
    <row r="7401">
      <c r="A7401" s="4" t="s">
        <v>26580</v>
      </c>
      <c r="B7401" s="4" t="s">
        <v>14733</v>
      </c>
      <c r="C7401" s="16" t="str">
        <f>IFERROR(__xludf.DUMMYFUNCTION(""""""""" &amp; REGEXEXTRACT(B7401, ""/detail/([^/?]+)"") &amp; """""","""),"""adpfjochlgeifbpfnlchcdcmoaafnoim"",")</f>
        <v>"adpfjochlgeifbpfnlchcdcmoaafnoim",</v>
      </c>
    </row>
    <row r="7402">
      <c r="A7402" s="4" t="s">
        <v>26581</v>
      </c>
      <c r="B7402" s="4" t="s">
        <v>14735</v>
      </c>
      <c r="C7402" s="16" t="str">
        <f>IFERROR(__xludf.DUMMYFUNCTION(""""""""" &amp; REGEXEXTRACT(B7402, ""/detail/([^/?]+)"") &amp; """""","""),"""ahnaocfoepojfegbafgokdjnpnhajjgb"",")</f>
        <v>"ahnaocfoepojfegbafgokdjnpnhajjgb",</v>
      </c>
    </row>
    <row r="7403">
      <c r="A7403" s="4" t="s">
        <v>26582</v>
      </c>
      <c r="B7403" s="4" t="s">
        <v>14737</v>
      </c>
      <c r="C7403" s="16" t="str">
        <f>IFERROR(__xludf.DUMMYFUNCTION(""""""""" &amp; REGEXEXTRACT(B7403, ""/detail/([^/?]+)"") &amp; """""","""),"""fblembigbjdoeoicolcapnhacpfcajnl"",")</f>
        <v>"fblembigbjdoeoicolcapnhacpfcajnl",</v>
      </c>
    </row>
    <row r="7404">
      <c r="A7404" s="4" t="s">
        <v>26583</v>
      </c>
      <c r="B7404" s="4" t="s">
        <v>14739</v>
      </c>
      <c r="C7404" s="16" t="str">
        <f>IFERROR(__xludf.DUMMYFUNCTION(""""""""" &amp; REGEXEXTRACT(B7404, ""/detail/([^/?]+)"") &amp; """""","""),"""gflgpmojfnandipfkamhocgjdnjkdhlk"",")</f>
        <v>"gflgpmojfnandipfkamhocgjdnjkdhlk",</v>
      </c>
    </row>
    <row r="7405">
      <c r="A7405" s="4" t="s">
        <v>26584</v>
      </c>
      <c r="B7405" s="4" t="s">
        <v>14741</v>
      </c>
      <c r="C7405" s="16" t="str">
        <f>IFERROR(__xludf.DUMMYFUNCTION(""""""""" &amp; REGEXEXTRACT(B7405, ""/detail/([^/?]+)"") &amp; """""","""),"""llgeckbnbfmlfcpmcpjiimlcefgpmfac"",")</f>
        <v>"llgeckbnbfmlfcpmcpjiimlcefgpmfac",</v>
      </c>
    </row>
    <row r="7406">
      <c r="A7406" s="4" t="s">
        <v>26585</v>
      </c>
      <c r="B7406" s="4" t="s">
        <v>14743</v>
      </c>
      <c r="C7406" s="16" t="str">
        <f>IFERROR(__xludf.DUMMYFUNCTION(""""""""" &amp; REGEXEXTRACT(B7406, ""/detail/([^/?]+)"") &amp; """""","""),"""okodoejppedehahibmdngneledbkliap"",")</f>
        <v>"okodoejppedehahibmdngneledbkliap",</v>
      </c>
    </row>
    <row r="7407">
      <c r="A7407" s="4" t="s">
        <v>26586</v>
      </c>
      <c r="B7407" s="4" t="s">
        <v>14745</v>
      </c>
      <c r="C7407" s="16" t="str">
        <f>IFERROR(__xludf.DUMMYFUNCTION(""""""""" &amp; REGEXEXTRACT(B7407, ""/detail/([^/?]+)"") &amp; """""","""),"""pdlgekbegnmmhadkmoeiobdhpkamaene"",")</f>
        <v>"pdlgekbegnmmhadkmoeiobdhpkamaene",</v>
      </c>
    </row>
    <row r="7408">
      <c r="A7408" s="4" t="s">
        <v>26587</v>
      </c>
      <c r="B7408" s="4" t="s">
        <v>14747</v>
      </c>
      <c r="C7408" s="16" t="str">
        <f>IFERROR(__xludf.DUMMYFUNCTION(""""""""" &amp; REGEXEXTRACT(B7408, ""/detail/([^/?]+)"") &amp; """""","""),"""aoieokedbecedmpafmimaabhcpmefjdk"",")</f>
        <v>"aoieokedbecedmpafmimaabhcpmefjdk",</v>
      </c>
    </row>
    <row r="7409">
      <c r="A7409" s="4" t="s">
        <v>26588</v>
      </c>
      <c r="B7409" s="4" t="s">
        <v>14749</v>
      </c>
      <c r="C7409" s="16" t="str">
        <f>IFERROR(__xludf.DUMMYFUNCTION(""""""""" &amp; REGEXEXTRACT(B7409, ""/detail/([^/?]+)"") &amp; """""","""),"""nmdmdpkkcdahmailooblnbdbcbakmbkp"",")</f>
        <v>"nmdmdpkkcdahmailooblnbdbcbakmbkp",</v>
      </c>
    </row>
    <row r="7410">
      <c r="A7410" s="4" t="s">
        <v>26589</v>
      </c>
      <c r="B7410" s="4" t="s">
        <v>14751</v>
      </c>
      <c r="C7410" s="16" t="str">
        <f>IFERROR(__xludf.DUMMYFUNCTION(""""""""" &amp; REGEXEXTRACT(B7410, ""/detail/([^/?]+)"") &amp; """""","""),"""khkopiebhfmedlbmnhdohicienflooag"",")</f>
        <v>"khkopiebhfmedlbmnhdohicienflooag",</v>
      </c>
    </row>
    <row r="7411">
      <c r="A7411" s="4" t="s">
        <v>26590</v>
      </c>
      <c r="B7411" s="4" t="s">
        <v>14753</v>
      </c>
      <c r="C7411" s="16" t="str">
        <f>IFERROR(__xludf.DUMMYFUNCTION(""""""""" &amp; REGEXEXTRACT(B7411, ""/detail/([^/?]+)"") &amp; """""","""),"""llfpaibekbngemphkhllbbffpgopboec"",")</f>
        <v>"llfpaibekbngemphkhllbbffpgopboec",</v>
      </c>
    </row>
    <row r="7412">
      <c r="A7412" s="4" t="s">
        <v>26591</v>
      </c>
      <c r="B7412" s="4" t="s">
        <v>14755</v>
      </c>
      <c r="C7412" s="16" t="str">
        <f>IFERROR(__xludf.DUMMYFUNCTION(""""""""" &amp; REGEXEXTRACT(B7412, ""/detail/([^/?]+)"") &amp; """""","""),"""mbdmbjljdmkaefooomifpmmallfgdbec"",")</f>
        <v>"mbdmbjljdmkaefooomifpmmallfgdbec",</v>
      </c>
    </row>
    <row r="7413">
      <c r="A7413" s="4" t="s">
        <v>26592</v>
      </c>
      <c r="B7413" s="4" t="s">
        <v>14757</v>
      </c>
      <c r="C7413" s="16" t="str">
        <f>IFERROR(__xludf.DUMMYFUNCTION(""""""""" &amp; REGEXEXTRACT(B7413, ""/detail/([^/?]+)"") &amp; """""","""),"""plfkjhocdlikiendflhcgpbndefindap"",")</f>
        <v>"plfkjhocdlikiendflhcgpbndefindap",</v>
      </c>
    </row>
    <row r="7414">
      <c r="A7414" s="4" t="s">
        <v>26593</v>
      </c>
      <c r="B7414" s="4" t="s">
        <v>14759</v>
      </c>
      <c r="C7414" s="16" t="str">
        <f>IFERROR(__xludf.DUMMYFUNCTION(""""""""" &amp; REGEXEXTRACT(B7414, ""/detail/([^/?]+)"") &amp; """""","""),"""hnfhfloeaalhhbnbbgnlimemkjmaoedg"",")</f>
        <v>"hnfhfloeaalhhbnbbgnlimemkjmaoedg",</v>
      </c>
    </row>
    <row r="7415">
      <c r="A7415" s="4" t="s">
        <v>26594</v>
      </c>
      <c r="B7415" s="4" t="s">
        <v>14761</v>
      </c>
      <c r="C7415" s="16" t="str">
        <f>IFERROR(__xludf.DUMMYFUNCTION(""""""""" &amp; REGEXEXTRACT(B7415, ""/detail/([^/?]+)"") &amp; """""","""),"""ikoffjnnljahdalenipohfhdhlaihfme"",")</f>
        <v>"ikoffjnnljahdalenipohfhdhlaihfme",</v>
      </c>
    </row>
    <row r="7416">
      <c r="A7416" s="4" t="s">
        <v>26595</v>
      </c>
      <c r="B7416" s="4" t="s">
        <v>14763</v>
      </c>
      <c r="C7416" s="16" t="str">
        <f>IFERROR(__xludf.DUMMYFUNCTION(""""""""" &amp; REGEXEXTRACT(B7416, ""/detail/([^/?]+)"") &amp; """""","""),"""kijmjccaolmigiidffnnfbolbpnehhhp"",")</f>
        <v>"kijmjccaolmigiidffnnfbolbpnehhhp",</v>
      </c>
    </row>
    <row r="7417">
      <c r="A7417" s="4" t="s">
        <v>26596</v>
      </c>
      <c r="B7417" s="4" t="s">
        <v>14765</v>
      </c>
      <c r="C7417" s="16" t="str">
        <f>IFERROR(__xludf.DUMMYFUNCTION(""""""""" &amp; REGEXEXTRACT(B7417, ""/detail/([^/?]+)"") &amp; """""","""),"""pekdpppibljpmpbcjelehhnldnfbglgf"",")</f>
        <v>"pekdpppibljpmpbcjelehhnldnfbglgf",</v>
      </c>
    </row>
    <row r="7418">
      <c r="A7418" s="4" t="s">
        <v>26597</v>
      </c>
      <c r="B7418" s="4" t="s">
        <v>14767</v>
      </c>
      <c r="C7418" s="16" t="str">
        <f>IFERROR(__xludf.DUMMYFUNCTION(""""""""" &amp; REGEXEXTRACT(B7418, ""/detail/([^/?]+)"") &amp; """""","""),"""hafhilhhmfljhlgkcnpmkephidgbiman"",")</f>
        <v>"hafhilhhmfljhlgkcnpmkephidgbiman",</v>
      </c>
    </row>
    <row r="7419">
      <c r="A7419" s="4" t="s">
        <v>26598</v>
      </c>
      <c r="B7419" s="4" t="s">
        <v>14769</v>
      </c>
      <c r="C7419" s="16" t="str">
        <f>IFERROR(__xludf.DUMMYFUNCTION(""""""""" &amp; REGEXEXTRACT(B7419, ""/detail/([^/?]+)"") &amp; """""","""),"""cnmmkgiofmdjndakmiknefanjfpbljee"",")</f>
        <v>"cnmmkgiofmdjndakmiknefanjfpbljee",</v>
      </c>
    </row>
    <row r="7420">
      <c r="A7420" s="4" t="s">
        <v>26599</v>
      </c>
      <c r="B7420" s="4" t="s">
        <v>14771</v>
      </c>
      <c r="C7420" s="16" t="str">
        <f>IFERROR(__xludf.DUMMYFUNCTION(""""""""" &amp; REGEXEXTRACT(B7420, ""/detail/([^/?]+)"") &amp; """""","""),"""dgjafcfohanpcjdlejlklfcaiodolcdl"",")</f>
        <v>"dgjafcfohanpcjdlejlklfcaiodolcdl",</v>
      </c>
    </row>
    <row r="7421">
      <c r="A7421" s="4" t="s">
        <v>26600</v>
      </c>
      <c r="B7421" s="4" t="s">
        <v>14773</v>
      </c>
      <c r="C7421" s="16" t="str">
        <f>IFERROR(__xludf.DUMMYFUNCTION(""""""""" &amp; REGEXEXTRACT(B7421, ""/detail/([^/?]+)"") &amp; """""","""),"""dhgfjjjnmfkolfcmcmdppghhanopfine"",")</f>
        <v>"dhgfjjjnmfkolfcmcmdppghhanopfine",</v>
      </c>
    </row>
    <row r="7422">
      <c r="A7422" s="4" t="s">
        <v>26601</v>
      </c>
      <c r="B7422" s="4" t="s">
        <v>14775</v>
      </c>
      <c r="C7422" s="16" t="str">
        <f>IFERROR(__xludf.DUMMYFUNCTION(""""""""" &amp; REGEXEXTRACT(B7422, ""/detail/([^/?]+)"") &amp; """""","""),"""hajkkplnnaacmpkfpeoeepbgbdiihbjk"",")</f>
        <v>"hajkkplnnaacmpkfpeoeepbgbdiihbjk",</v>
      </c>
    </row>
    <row r="7423">
      <c r="A7423" s="4" t="s">
        <v>26602</v>
      </c>
      <c r="B7423" s="4" t="s">
        <v>14777</v>
      </c>
      <c r="C7423" s="16" t="str">
        <f>IFERROR(__xludf.DUMMYFUNCTION(""""""""" &amp; REGEXEXTRACT(B7423, ""/detail/([^/?]+)"") &amp; """""","""),"""chpcjpecheclldlaadmlmaclhoflalbd"",")</f>
        <v>"chpcjpecheclldlaadmlmaclhoflalbd",</v>
      </c>
    </row>
    <row r="7424">
      <c r="A7424" s="4" t="s">
        <v>26603</v>
      </c>
      <c r="B7424" s="4" t="s">
        <v>14779</v>
      </c>
      <c r="C7424" s="16" t="str">
        <f>IFERROR(__xludf.DUMMYFUNCTION(""""""""" &amp; REGEXEXTRACT(B7424, ""/detail/([^/?]+)"") &amp; """""","""),"""dchhcpcppkgonkhpgajbgempdofniibj"",")</f>
        <v>"dchhcpcppkgonkhpgajbgempdofniibj",</v>
      </c>
    </row>
    <row r="7425">
      <c r="A7425" s="4" t="s">
        <v>26604</v>
      </c>
      <c r="B7425" s="4" t="s">
        <v>14781</v>
      </c>
      <c r="C7425" s="16" t="str">
        <f>IFERROR(__xludf.DUMMYFUNCTION(""""""""" &amp; REGEXEXTRACT(B7425, ""/detail/([^/?]+)"") &amp; """""","""),"""eggafenfldlaaefokcbdbinjhifjgoda"",")</f>
        <v>"eggafenfldlaaefokcbdbinjhifjgoda",</v>
      </c>
    </row>
    <row r="7426">
      <c r="A7426" s="4" t="s">
        <v>26605</v>
      </c>
      <c r="B7426" s="4" t="s">
        <v>14783</v>
      </c>
      <c r="C7426" s="16" t="str">
        <f>IFERROR(__xludf.DUMMYFUNCTION(""""""""" &amp; REGEXEXTRACT(B7426, ""/detail/([^/?]+)"") &amp; """""","""),"""epenpjchljckbcfcmlahbhldaibgeolm"",")</f>
        <v>"epenpjchljckbcfcmlahbhldaibgeolm",</v>
      </c>
    </row>
    <row r="7427">
      <c r="A7427" s="4" t="s">
        <v>26606</v>
      </c>
      <c r="B7427" s="4" t="s">
        <v>14785</v>
      </c>
      <c r="C7427" s="16" t="str">
        <f>IFERROR(__xludf.DUMMYFUNCTION(""""""""" &amp; REGEXEXTRACT(B7427, ""/detail/([^/?]+)"") &amp; """""","""),"""jdkjckndecegekgnogmeobdajbnnmgng"",")</f>
        <v>"jdkjckndecegekgnogmeobdajbnnmgng",</v>
      </c>
    </row>
    <row r="7428">
      <c r="A7428" s="4" t="s">
        <v>26607</v>
      </c>
      <c r="B7428" s="4" t="s">
        <v>14787</v>
      </c>
      <c r="C7428" s="16" t="str">
        <f>IFERROR(__xludf.DUMMYFUNCTION(""""""""" &amp; REGEXEXTRACT(B7428, ""/detail/([^/?]+)"") &amp; """""","""),"""jfjjcakbilcniihnkmjdllfheoanjagh"",")</f>
        <v>"jfjjcakbilcniihnkmjdllfheoanjagh",</v>
      </c>
    </row>
    <row r="7429">
      <c r="A7429" s="4" t="s">
        <v>26608</v>
      </c>
      <c r="B7429" s="4" t="s">
        <v>14789</v>
      </c>
      <c r="C7429" s="16" t="str">
        <f>IFERROR(__xludf.DUMMYFUNCTION(""""""""" &amp; REGEXEXTRACT(B7429, ""/detail/([^/?]+)"") &amp; """""","""),"""kloffboieoflphfanokeeaffhmoladln"",")</f>
        <v>"kloffboieoflphfanokeeaffhmoladln",</v>
      </c>
    </row>
    <row r="7430">
      <c r="A7430" s="4" t="s">
        <v>26609</v>
      </c>
      <c r="B7430" s="4" t="s">
        <v>14791</v>
      </c>
      <c r="C7430" s="16" t="str">
        <f>IFERROR(__xludf.DUMMYFUNCTION(""""""""" &amp; REGEXEXTRACT(B7430, ""/detail/([^/?]+)"") &amp; """""","""),"""lpmakbbndaemdmmdpfijabdjdklhkkbd"",")</f>
        <v>"lpmakbbndaemdmmdpfijabdjdklhkkbd",</v>
      </c>
    </row>
    <row r="7431">
      <c r="A7431" s="4" t="s">
        <v>26610</v>
      </c>
      <c r="B7431" s="4" t="s">
        <v>14793</v>
      </c>
      <c r="C7431" s="16" t="str">
        <f>IFERROR(__xludf.DUMMYFUNCTION(""""""""" &amp; REGEXEXTRACT(B7431, ""/detail/([^/?]+)"") &amp; """""","""),"""ogflhjilpmfeejjdnelhakfokcldpfki"",")</f>
        <v>"ogflhjilpmfeejjdnelhakfokcldpfki",</v>
      </c>
    </row>
    <row r="7432">
      <c r="A7432" s="4" t="s">
        <v>26611</v>
      </c>
      <c r="B7432" s="4" t="s">
        <v>14795</v>
      </c>
      <c r="C7432" s="16" t="str">
        <f>IFERROR(__xludf.DUMMYFUNCTION(""""""""" &amp; REGEXEXTRACT(B7432, ""/detail/([^/?]+)"") &amp; """""","""),"""ojmmohmckbjmbpjpdohkfmhnkfedbofp"",")</f>
        <v>"ojmmohmckbjmbpjpdohkfmhnkfedbofp",</v>
      </c>
    </row>
    <row r="7433">
      <c r="A7433" s="4" t="s">
        <v>26612</v>
      </c>
      <c r="B7433" s="4" t="s">
        <v>14797</v>
      </c>
      <c r="C7433" s="16" t="str">
        <f>IFERROR(__xludf.DUMMYFUNCTION(""""""""" &amp; REGEXEXTRACT(B7433, ""/detail/([^/?]+)"") &amp; """""","""),"""eldkkiimeobmnkkiielcgemfkaadpchm"",")</f>
        <v>"eldkkiimeobmnkkiielcgemfkaadpchm",</v>
      </c>
    </row>
    <row r="7434">
      <c r="A7434" s="4" t="s">
        <v>26613</v>
      </c>
      <c r="B7434" s="4" t="s">
        <v>14799</v>
      </c>
      <c r="C7434" s="16" t="str">
        <f>IFERROR(__xludf.DUMMYFUNCTION(""""""""" &amp; REGEXEXTRACT(B7434, ""/detail/([^/?]+)"") &amp; """""","""),"""fnbghoijkcenbfhmnenlhdlbididmecl"",")</f>
        <v>"fnbghoijkcenbfhmnenlhdlbididmecl",</v>
      </c>
    </row>
    <row r="7435">
      <c r="A7435" s="4" t="s">
        <v>26614</v>
      </c>
      <c r="B7435" s="4" t="s">
        <v>14801</v>
      </c>
      <c r="C7435" s="16" t="str">
        <f>IFERROR(__xludf.DUMMYFUNCTION(""""""""" &amp; REGEXEXTRACT(B7435, ""/detail/([^/?]+)"") &amp; """""","""),"""lffnkibaadgoclbhfajpnhlobdoomfeh"",")</f>
        <v>"lffnkibaadgoclbhfajpnhlobdoomfeh",</v>
      </c>
    </row>
    <row r="7436">
      <c r="A7436" s="4" t="s">
        <v>26615</v>
      </c>
      <c r="B7436" s="4" t="s">
        <v>14803</v>
      </c>
      <c r="C7436" s="16" t="str">
        <f>IFERROR(__xludf.DUMMYFUNCTION(""""""""" &amp; REGEXEXTRACT(B7436, ""/detail/([^/?]+)"") &amp; """""","""),"""limeoeacpekfcanimjnnbgolggamkogd"",")</f>
        <v>"limeoeacpekfcanimjnnbgolggamkogd",</v>
      </c>
    </row>
    <row r="7437">
      <c r="A7437" s="4" t="s">
        <v>26616</v>
      </c>
      <c r="B7437" s="4" t="s">
        <v>14805</v>
      </c>
      <c r="C7437" s="16" t="str">
        <f>IFERROR(__xludf.DUMMYFUNCTION(""""""""" &amp; REGEXEXTRACT(B7437, ""/detail/([^/?]+)"") &amp; """""","""),"""bcikajlocgcppeihfloalfdnpgfibdpk"",")</f>
        <v>"bcikajlocgcppeihfloalfdnpgfibdpk",</v>
      </c>
    </row>
    <row r="7438">
      <c r="A7438" s="4" t="s">
        <v>26617</v>
      </c>
      <c r="B7438" s="4" t="s">
        <v>14807</v>
      </c>
      <c r="C7438" s="16" t="str">
        <f>IFERROR(__xludf.DUMMYFUNCTION(""""""""" &amp; REGEXEXTRACT(B7438, ""/detail/([^/?]+)"") &amp; """""","""),"""bneckalmjgjiocbgannjaffookadphna"",")</f>
        <v>"bneckalmjgjiocbgannjaffookadphna",</v>
      </c>
    </row>
    <row r="7439">
      <c r="A7439" s="4" t="s">
        <v>26618</v>
      </c>
      <c r="B7439" s="4" t="s">
        <v>14809</v>
      </c>
      <c r="C7439" s="16" t="str">
        <f>IFERROR(__xludf.DUMMYFUNCTION(""""""""" &amp; REGEXEXTRACT(B7439, ""/detail/([^/?]+)"") &amp; """""","""),"""dnjaaphbpdglnpphncoiefaglgpfpmne"",")</f>
        <v>"dnjaaphbpdglnpphncoiefaglgpfpmne",</v>
      </c>
    </row>
    <row r="7440">
      <c r="A7440" s="4" t="s">
        <v>26619</v>
      </c>
      <c r="B7440" s="4" t="s">
        <v>14811</v>
      </c>
      <c r="C7440" s="16" t="str">
        <f>IFERROR(__xludf.DUMMYFUNCTION(""""""""" &amp; REGEXEXTRACT(B7440, ""/detail/([^/?]+)"") &amp; """""","""),"""ecpkbbplpehkkgaojngfhmfjgpkjbnci"",")</f>
        <v>"ecpkbbplpehkkgaojngfhmfjgpkjbnci",</v>
      </c>
    </row>
    <row r="7441">
      <c r="A7441" s="4" t="s">
        <v>26620</v>
      </c>
      <c r="B7441" s="4" t="s">
        <v>14813</v>
      </c>
      <c r="C7441" s="16" t="str">
        <f>IFERROR(__xludf.DUMMYFUNCTION(""""""""" &amp; REGEXEXTRACT(B7441, ""/detail/([^/?]+)"") &amp; """""","""),"""epanejkfcekejmmfbcpbcbigfpefbnlb"",")</f>
        <v>"epanejkfcekejmmfbcpbcbigfpefbnlb",</v>
      </c>
    </row>
    <row r="7442">
      <c r="A7442" s="4" t="s">
        <v>26621</v>
      </c>
      <c r="B7442" s="4" t="s">
        <v>14815</v>
      </c>
      <c r="C7442" s="16" t="str">
        <f>IFERROR(__xludf.DUMMYFUNCTION(""""""""" &amp; REGEXEXTRACT(B7442, ""/detail/([^/?]+)"") &amp; """""","""),"""gdblpfiocmgbccolhonbgpilnfnjidgn"",")</f>
        <v>"gdblpfiocmgbccolhonbgpilnfnjidgn",</v>
      </c>
    </row>
    <row r="7443">
      <c r="A7443" s="4" t="s">
        <v>26622</v>
      </c>
      <c r="B7443" s="4" t="s">
        <v>14817</v>
      </c>
      <c r="C7443" s="16" t="str">
        <f>IFERROR(__xludf.DUMMYFUNCTION(""""""""" &amp; REGEXEXTRACT(B7443, ""/detail/([^/?]+)"") &amp; """""","""),"""iidnpfiaeiohlkmaehhjoiffcmjclpap"",")</f>
        <v>"iidnpfiaeiohlkmaehhjoiffcmjclpap",</v>
      </c>
    </row>
    <row r="7444">
      <c r="A7444" s="4" t="s">
        <v>26623</v>
      </c>
      <c r="B7444" s="4" t="s">
        <v>14819</v>
      </c>
      <c r="C7444" s="16" t="str">
        <f>IFERROR(__xludf.DUMMYFUNCTION(""""""""" &amp; REGEXEXTRACT(B7444, ""/detail/([^/?]+)"") &amp; """""","""),"""kdgcemcnbloklddniceknpobimmglbjm"",")</f>
        <v>"kdgcemcnbloklddniceknpobimmglbjm",</v>
      </c>
    </row>
    <row r="7445">
      <c r="A7445" s="4" t="s">
        <v>26624</v>
      </c>
      <c r="B7445" s="4" t="s">
        <v>14821</v>
      </c>
      <c r="C7445" s="16" t="str">
        <f>IFERROR(__xludf.DUMMYFUNCTION(""""""""" &amp; REGEXEXTRACT(B7445, ""/detail/([^/?]+)"") &amp; """""","""),"""npmoddlmdecogbedcedcnnaikakheell"",")</f>
        <v>"npmoddlmdecogbedcedcnnaikakheell",</v>
      </c>
    </row>
    <row r="7446">
      <c r="A7446" s="4" t="s">
        <v>26625</v>
      </c>
      <c r="B7446" s="4" t="s">
        <v>14823</v>
      </c>
      <c r="C7446" s="16" t="str">
        <f>IFERROR(__xludf.DUMMYFUNCTION(""""""""" &amp; REGEXEXTRACT(B7446, ""/detail/([^/?]+)"") &amp; """""","""),"""pocbegcjhdleffmjjkaookjioocjipoh"",")</f>
        <v>"pocbegcjhdleffmjjkaookjioocjipoh",</v>
      </c>
    </row>
    <row r="7447">
      <c r="A7447" s="4" t="s">
        <v>26626</v>
      </c>
      <c r="B7447" s="4" t="s">
        <v>14825</v>
      </c>
      <c r="C7447" s="16" t="str">
        <f>IFERROR(__xludf.DUMMYFUNCTION(""""""""" &amp; REGEXEXTRACT(B7447, ""/detail/([^/?]+)"") &amp; """""","""),"""ibakhgbldoealibhbnggdlhjalbceclj"",")</f>
        <v>"ibakhgbldoealibhbnggdlhjalbceclj",</v>
      </c>
    </row>
    <row r="7448">
      <c r="A7448" s="4" t="s">
        <v>26627</v>
      </c>
      <c r="B7448" s="4" t="s">
        <v>14827</v>
      </c>
      <c r="C7448" s="16" t="str">
        <f>IFERROR(__xludf.DUMMYFUNCTION(""""""""" &amp; REGEXEXTRACT(B7448, ""/detail/([^/?]+)"") &amp; """""","""),"""jbbiglmmnldnajjcnglcbaflpmkjlenh"",")</f>
        <v>"jbbiglmmnldnajjcnglcbaflpmkjlenh",</v>
      </c>
    </row>
    <row r="7449">
      <c r="A7449" s="4" t="s">
        <v>26628</v>
      </c>
      <c r="B7449" s="4" t="s">
        <v>14829</v>
      </c>
      <c r="C7449" s="16" t="str">
        <f>IFERROR(__xludf.DUMMYFUNCTION(""""""""" &amp; REGEXEXTRACT(B7449, ""/detail/([^/?]+)"") &amp; """""","""),"""mnflenlaoedijiilhimgcgndofcaofkh"",")</f>
        <v>"mnflenlaoedijiilhimgcgndofcaofkh",</v>
      </c>
    </row>
    <row r="7450">
      <c r="A7450" s="4" t="s">
        <v>26629</v>
      </c>
      <c r="B7450" s="4" t="s">
        <v>14831</v>
      </c>
      <c r="C7450" s="16" t="str">
        <f>IFERROR(__xludf.DUMMYFUNCTION(""""""""" &amp; REGEXEXTRACT(B7450, ""/detail/([^/?]+)"") &amp; """""","""),"""oejnidpeffnbdfgienfmebepolhicmgh"",")</f>
        <v>"oejnidpeffnbdfgienfmebepolhicmgh",</v>
      </c>
    </row>
    <row r="7451">
      <c r="A7451" s="4" t="s">
        <v>26630</v>
      </c>
      <c r="B7451" s="4" t="s">
        <v>14833</v>
      </c>
      <c r="C7451" s="16" t="str">
        <f>IFERROR(__xludf.DUMMYFUNCTION(""""""""" &amp; REGEXEXTRACT(B7451, ""/detail/([^/?]+)"") &amp; """""","""),"""pnnifppadimmgfkjhfiifmadbmoaamnk"",")</f>
        <v>"pnnifppadimmgfkjhfiifmadbmoaamnk",</v>
      </c>
    </row>
    <row r="7452">
      <c r="A7452" s="4" t="s">
        <v>26631</v>
      </c>
      <c r="B7452" s="4" t="s">
        <v>14835</v>
      </c>
      <c r="C7452" s="16" t="str">
        <f>IFERROR(__xludf.DUMMYFUNCTION(""""""""" &amp; REGEXEXTRACT(B7452, ""/detail/([^/?]+)"") &amp; """""","""),"""fgmiachbppgmenhaghkcmhhfipjanjpk"",")</f>
        <v>"fgmiachbppgmenhaghkcmhhfipjanjpk",</v>
      </c>
    </row>
    <row r="7453">
      <c r="A7453" s="4" t="s">
        <v>26632</v>
      </c>
      <c r="B7453" s="4" t="s">
        <v>14837</v>
      </c>
      <c r="C7453" s="16" t="str">
        <f>IFERROR(__xludf.DUMMYFUNCTION(""""""""" &amp; REGEXEXTRACT(B7453, ""/detail/([^/?]+)"") &amp; """""","""),"""hkeeobejbgjnpeceekbppnafmmnjllkn"",")</f>
        <v>"hkeeobejbgjnpeceekbppnafmmnjllkn",</v>
      </c>
    </row>
    <row r="7454">
      <c r="A7454" s="4" t="s">
        <v>26633</v>
      </c>
      <c r="B7454" s="4" t="s">
        <v>14839</v>
      </c>
      <c r="C7454" s="16" t="str">
        <f>IFERROR(__xludf.DUMMYFUNCTION(""""""""" &amp; REGEXEXTRACT(B7454, ""/detail/([^/?]+)"") &amp; """""","""),"""iiacjfkjpjmnapncgppmjijgmjlgldha"",")</f>
        <v>"iiacjfkjpjmnapncgppmjijgmjlgldha",</v>
      </c>
    </row>
    <row r="7455">
      <c r="A7455" s="4" t="s">
        <v>26634</v>
      </c>
      <c r="B7455" s="4" t="s">
        <v>14841</v>
      </c>
      <c r="C7455" s="16" t="str">
        <f>IFERROR(__xludf.DUMMYFUNCTION(""""""""" &amp; REGEXEXTRACT(B7455, ""/detail/([^/?]+)"") &amp; """""","""),"""jfjnfhfeibkcokofbeipmehclfdojpaa"",")</f>
        <v>"jfjnfhfeibkcokofbeipmehclfdojpaa",</v>
      </c>
    </row>
    <row r="7456">
      <c r="A7456" s="4" t="s">
        <v>26635</v>
      </c>
      <c r="B7456" s="4" t="s">
        <v>14843</v>
      </c>
      <c r="C7456" s="16" t="str">
        <f>IFERROR(__xludf.DUMMYFUNCTION(""""""""" &amp; REGEXEXTRACT(B7456, ""/detail/([^/?]+)"") &amp; """""","""),"""jnepdmcgobemcmfcdobmiajiigncnmlc"",")</f>
        <v>"jnepdmcgobemcmfcdobmiajiigncnmlc",</v>
      </c>
    </row>
    <row r="7457">
      <c r="A7457" s="4" t="s">
        <v>26636</v>
      </c>
      <c r="B7457" s="4" t="s">
        <v>14845</v>
      </c>
      <c r="C7457" s="16" t="str">
        <f>IFERROR(__xludf.DUMMYFUNCTION(""""""""" &amp; REGEXEXTRACT(B7457, ""/detail/([^/?]+)"") &amp; """""","""),"""jnpnmkjloegflknlbahemlbodogklned"",")</f>
        <v>"jnpnmkjloegflknlbahemlbodogklned",</v>
      </c>
    </row>
    <row r="7458">
      <c r="A7458" s="4" t="s">
        <v>26637</v>
      </c>
      <c r="B7458" s="4" t="s">
        <v>14847</v>
      </c>
      <c r="C7458" s="16" t="str">
        <f>IFERROR(__xludf.DUMMYFUNCTION(""""""""" &amp; REGEXEXTRACT(B7458, ""/detail/([^/?]+)"") &amp; """""","""),"""klcijojgndghhnmkifealgnjgmclghio"",")</f>
        <v>"klcijojgndghhnmkifealgnjgmclghio",</v>
      </c>
    </row>
    <row r="7459">
      <c r="A7459" s="4" t="s">
        <v>26638</v>
      </c>
      <c r="B7459" s="4" t="s">
        <v>14848</v>
      </c>
      <c r="C7459" s="16" t="str">
        <f>IFERROR(__xludf.DUMMYFUNCTION(""""""""" &amp; REGEXEXTRACT(B7459, ""/detail/([^/?]+)"") &amp; """""","""),"""aklgphppnaannfmmijfggcckafbkbihi"",")</f>
        <v>"aklgphppnaannfmmijfggcckafbkbihi",</v>
      </c>
    </row>
    <row r="7460">
      <c r="A7460" s="4" t="s">
        <v>26639</v>
      </c>
      <c r="B7460" s="4" t="s">
        <v>14850</v>
      </c>
      <c r="C7460" s="16" t="str">
        <f>IFERROR(__xludf.DUMMYFUNCTION(""""""""" &amp; REGEXEXTRACT(B7460, ""/detail/([^/?]+)"") &amp; """""","""),"""biefkddpeaninjbkipkgnncpdlbddkfl"",")</f>
        <v>"biefkddpeaninjbkipkgnncpdlbddkfl",</v>
      </c>
    </row>
    <row r="7461">
      <c r="A7461" s="4" t="s">
        <v>26640</v>
      </c>
      <c r="B7461" s="4" t="s">
        <v>14852</v>
      </c>
      <c r="C7461" s="16" t="str">
        <f>IFERROR(__xludf.DUMMYFUNCTION(""""""""" &amp; REGEXEXTRACT(B7461, ""/detail/([^/?]+)"") &amp; """""","""),"""ckclfldnjoefbibhhbdklbddhnehdgol"",")</f>
        <v>"ckclfldnjoefbibhhbdklbddhnehdgol",</v>
      </c>
    </row>
    <row r="7462">
      <c r="A7462" s="4" t="s">
        <v>26641</v>
      </c>
      <c r="B7462" s="4" t="s">
        <v>14854</v>
      </c>
      <c r="C7462" s="16" t="str">
        <f>IFERROR(__xludf.DUMMYFUNCTION(""""""""" &amp; REGEXEXTRACT(B7462, ""/detail/([^/?]+)"") &amp; """""","""),"""gcfbekmogelpbhgcepghlkdbmhpbaaig"",")</f>
        <v>"gcfbekmogelpbhgcepghlkdbmhpbaaig",</v>
      </c>
    </row>
    <row r="7463">
      <c r="A7463" s="4" t="s">
        <v>26642</v>
      </c>
      <c r="B7463" s="4" t="s">
        <v>14856</v>
      </c>
      <c r="C7463" s="16" t="str">
        <f>IFERROR(__xludf.DUMMYFUNCTION(""""""""" &amp; REGEXEXTRACT(B7463, ""/detail/([^/?]+)"") &amp; """""","""),"""jhaegbojocomemkcnmnpmoobbmnkijik"",")</f>
        <v>"jhaegbojocomemkcnmnpmoobbmnkijik",</v>
      </c>
    </row>
    <row r="7464">
      <c r="A7464" s="4" t="s">
        <v>26643</v>
      </c>
      <c r="B7464" s="4" t="s">
        <v>14858</v>
      </c>
      <c r="C7464" s="16" t="str">
        <f>IFERROR(__xludf.DUMMYFUNCTION(""""""""" &amp; REGEXEXTRACT(B7464, ""/detail/([^/?]+)"") &amp; """""","""),"""abpidkpcnhcdhahombmgajglihkdgoeh"",")</f>
        <v>"abpidkpcnhcdhahombmgajglihkdgoeh",</v>
      </c>
    </row>
    <row r="7465">
      <c r="A7465" s="4" t="s">
        <v>26644</v>
      </c>
      <c r="B7465" s="4" t="s">
        <v>14859</v>
      </c>
      <c r="C7465" s="16" t="str">
        <f>IFERROR(__xludf.DUMMYFUNCTION(""""""""" &amp; REGEXEXTRACT(B7465, ""/detail/([^/?]+)"") &amp; """""","""),"""agdeebidnlidokgnnkhiiccefldilcjp"",")</f>
        <v>"agdeebidnlidokgnnkhiiccefldilcjp",</v>
      </c>
    </row>
    <row r="7466">
      <c r="A7466" s="4" t="s">
        <v>26645</v>
      </c>
      <c r="B7466" s="4" t="s">
        <v>14861</v>
      </c>
      <c r="C7466" s="16" t="str">
        <f>IFERROR(__xludf.DUMMYFUNCTION(""""""""" &amp; REGEXEXTRACT(B7466, ""/detail/([^/?]+)"") &amp; """""","""),"""cfihjphppakcdhnkbnjboipgblbjapha"",")</f>
        <v>"cfihjphppakcdhnkbnjboipgblbjapha",</v>
      </c>
    </row>
    <row r="7467">
      <c r="A7467" s="4" t="s">
        <v>26646</v>
      </c>
      <c r="B7467" s="4" t="s">
        <v>14863</v>
      </c>
      <c r="C7467" s="16" t="str">
        <f>IFERROR(__xludf.DUMMYFUNCTION(""""""""" &amp; REGEXEXTRACT(B7467, ""/detail/([^/?]+)"") &amp; """""","""),"""jhfokplgdpcnopapfoandlhmbhdolefb"",")</f>
        <v>"jhfokplgdpcnopapfoandlhmbhdolefb",</v>
      </c>
    </row>
    <row r="7468">
      <c r="A7468" s="4" t="s">
        <v>26647</v>
      </c>
      <c r="B7468" s="4" t="s">
        <v>14865</v>
      </c>
      <c r="C7468" s="16" t="str">
        <f>IFERROR(__xludf.DUMMYFUNCTION(""""""""" &amp; REGEXEXTRACT(B7468, ""/detail/([^/?]+)"") &amp; """""","""),"""mnbkepgphamgbkiigedbddhfdbdmmahg"",")</f>
        <v>"mnbkepgphamgbkiigedbddhfdbdmmahg",</v>
      </c>
    </row>
    <row r="7469">
      <c r="A7469" s="4" t="s">
        <v>26648</v>
      </c>
      <c r="B7469" s="4" t="s">
        <v>14867</v>
      </c>
      <c r="C7469" s="16" t="str">
        <f>IFERROR(__xludf.DUMMYFUNCTION(""""""""" &amp; REGEXEXTRACT(B7469, ""/detail/([^/?]+)"") &amp; """""","""),"""cefbdpiapcpjjjdghhofmnfcpgdhcpec"",")</f>
        <v>"cefbdpiapcpjjjdghhofmnfcpgdhcpec",</v>
      </c>
    </row>
    <row r="7470">
      <c r="A7470" s="4" t="s">
        <v>26649</v>
      </c>
      <c r="B7470" s="4" t="s">
        <v>14869</v>
      </c>
      <c r="C7470" s="16" t="str">
        <f>IFERROR(__xludf.DUMMYFUNCTION(""""""""" &amp; REGEXEXTRACT(B7470, ""/detail/([^/?]+)"") &amp; """""","""),"""gbemhpiepdmmhiahaeijenpbbflafbha"",")</f>
        <v>"gbemhpiepdmmhiahaeijenpbbflafbha",</v>
      </c>
    </row>
    <row r="7471">
      <c r="A7471" s="10" t="s">
        <v>26650</v>
      </c>
      <c r="B7471" s="4" t="s">
        <v>14871</v>
      </c>
      <c r="C7471" s="16" t="str">
        <f>IFERROR(__xludf.DUMMYFUNCTION(""""""""" &amp; REGEXEXTRACT(B7471, ""/detail/([^/?]+)"") &amp; """""","""),"""chajkagpcfnnjhcggboigcmbfmgeijin"",")</f>
        <v>"chajkagpcfnnjhcggboigcmbfmgeijin",</v>
      </c>
    </row>
    <row r="7472">
      <c r="A7472" s="4" t="s">
        <v>26651</v>
      </c>
      <c r="B7472" s="4" t="s">
        <v>14873</v>
      </c>
      <c r="C7472" s="16" t="str">
        <f>IFERROR(__xludf.DUMMYFUNCTION(""""""""" &amp; REGEXEXTRACT(B7472, ""/detail/([^/?]+)"") &amp; """""","""),"""cheajkjbaknihaobmnjmbphjphoahhlp"",")</f>
        <v>"cheajkjbaknihaobmnjmbphjphoahhlp",</v>
      </c>
    </row>
    <row r="7473">
      <c r="A7473" s="4" t="s">
        <v>26652</v>
      </c>
      <c r="B7473" s="4" t="s">
        <v>14875</v>
      </c>
      <c r="C7473" s="16" t="str">
        <f>IFERROR(__xludf.DUMMYFUNCTION(""""""""" &amp; REGEXEXTRACT(B7473, ""/detail/([^/?]+)"") &amp; """""","""),"""eeddchiaakhophnaemblfgjcjifiahea"",")</f>
        <v>"eeddchiaakhophnaemblfgjcjifiahea",</v>
      </c>
    </row>
    <row r="7474">
      <c r="A7474" s="4" t="s">
        <v>26653</v>
      </c>
      <c r="B7474" s="4" t="s">
        <v>14877</v>
      </c>
      <c r="C7474" s="16" t="str">
        <f>IFERROR(__xludf.DUMMYFUNCTION(""""""""" &amp; REGEXEXTRACT(B7474, ""/detail/([^/?]+)"") &amp; """""","""),"""fcliafhfhbkfdeknlpdpojgajcknhecf"",")</f>
        <v>"fcliafhfhbkfdeknlpdpojgajcknhecf",</v>
      </c>
    </row>
    <row r="7475">
      <c r="A7475" s="4" t="s">
        <v>26654</v>
      </c>
      <c r="B7475" s="4" t="s">
        <v>14879</v>
      </c>
      <c r="C7475" s="16" t="str">
        <f>IFERROR(__xludf.DUMMYFUNCTION(""""""""" &amp; REGEXEXTRACT(B7475, ""/detail/([^/?]+)"") &amp; """""","""),"""ndjabeeahhkdpcihameofbojdhhgemdb"",")</f>
        <v>"ndjabeeahhkdpcihameofbojdhhgemdb",</v>
      </c>
    </row>
    <row r="7476">
      <c r="A7476" s="4" t="s">
        <v>26655</v>
      </c>
      <c r="B7476" s="4" t="s">
        <v>14881</v>
      </c>
      <c r="C7476" s="16" t="str">
        <f>IFERROR(__xludf.DUMMYFUNCTION(""""""""" &amp; REGEXEXTRACT(B7476, ""/detail/([^/?]+)"") &amp; """""","""),"""phbjaiacjbplfmapmlljdoacomhbpfoe"",")</f>
        <v>"phbjaiacjbplfmapmlljdoacomhbpfoe",</v>
      </c>
    </row>
    <row r="7477">
      <c r="A7477" s="4" t="s">
        <v>26656</v>
      </c>
      <c r="B7477" s="4" t="s">
        <v>14883</v>
      </c>
      <c r="C7477" s="16" t="str">
        <f>IFERROR(__xludf.DUMMYFUNCTION(""""""""" &amp; REGEXEXTRACT(B7477, ""/detail/([^/?]+)"") &amp; """""","""),"""bbkebkkkocmacciojigkliggadljbmai"",")</f>
        <v>"bbkebkkkocmacciojigkliggadljbmai",</v>
      </c>
    </row>
    <row r="7478">
      <c r="A7478" s="4" t="s">
        <v>26657</v>
      </c>
      <c r="B7478" s="4" t="s">
        <v>14885</v>
      </c>
      <c r="C7478" s="16" t="str">
        <f>IFERROR(__xludf.DUMMYFUNCTION(""""""""" &amp; REGEXEXTRACT(B7478, ""/detail/([^/?]+)"") &amp; """""","""),"""epkgcgdkdcihbmiapdajdhnkccaggbam"",")</f>
        <v>"epkgcgdkdcihbmiapdajdhnkccaggbam",</v>
      </c>
    </row>
    <row r="7479">
      <c r="A7479" s="4" t="s">
        <v>26658</v>
      </c>
      <c r="B7479" s="4" t="s">
        <v>14887</v>
      </c>
      <c r="C7479" s="16" t="str">
        <f>IFERROR(__xludf.DUMMYFUNCTION(""""""""" &amp; REGEXEXTRACT(B7479, ""/detail/([^/?]+)"") &amp; """""","""),"""nbofjmabmdnnjalpphahghiiblcpfloh"",")</f>
        <v>"nbofjmabmdnnjalpphahghiiblcpfloh",</v>
      </c>
    </row>
    <row r="7480">
      <c r="A7480" s="4" t="s">
        <v>26659</v>
      </c>
      <c r="B7480" s="4" t="s">
        <v>14889</v>
      </c>
      <c r="C7480" s="16" t="str">
        <f>IFERROR(__xludf.DUMMYFUNCTION(""""""""" &amp; REGEXEXTRACT(B7480, ""/detail/([^/?]+)"") &amp; """""","""),"""pfipgkbjbojfdhhidcomjfgaakehpfdk"",")</f>
        <v>"pfipgkbjbojfdhhidcomjfgaakehpfdk",</v>
      </c>
    </row>
    <row r="7481">
      <c r="A7481" s="4" t="s">
        <v>26660</v>
      </c>
      <c r="B7481" s="4" t="s">
        <v>14891</v>
      </c>
      <c r="C7481" s="16" t="str">
        <f>IFERROR(__xludf.DUMMYFUNCTION(""""""""" &amp; REGEXEXTRACT(B7481, ""/detail/([^/?]+)"") &amp; """""","""),"""dpcbdbpeiafniipmiedlceedbffiejek"",")</f>
        <v>"dpcbdbpeiafniipmiedlceedbffiejek",</v>
      </c>
    </row>
    <row r="7482">
      <c r="A7482" s="4" t="s">
        <v>26661</v>
      </c>
      <c r="B7482" s="4" t="s">
        <v>14893</v>
      </c>
      <c r="C7482" s="16" t="str">
        <f>IFERROR(__xludf.DUMMYFUNCTION(""""""""" &amp; REGEXEXTRACT(B7482, ""/detail/([^/?]+)"") &amp; """""","""),"""ddphaphiplikhjbjlfbnkkmppbfjgdah"",")</f>
        <v>"ddphaphiplikhjbjlfbnkkmppbfjgdah",</v>
      </c>
    </row>
    <row r="7483">
      <c r="A7483" s="4" t="s">
        <v>26662</v>
      </c>
      <c r="B7483" s="4" t="s">
        <v>14895</v>
      </c>
      <c r="C7483" s="16" t="str">
        <f>IFERROR(__xludf.DUMMYFUNCTION(""""""""" &amp; REGEXEXTRACT(B7483, ""/detail/([^/?]+)"") &amp; """""","""),"""ggonllaomlopoinanbapoaamhomlflao"",")</f>
        <v>"ggonllaomlopoinanbapoaamhomlflao",</v>
      </c>
    </row>
    <row r="7484">
      <c r="A7484" s="4" t="s">
        <v>26663</v>
      </c>
      <c r="B7484" s="4" t="s">
        <v>14897</v>
      </c>
      <c r="C7484" s="16" t="str">
        <f>IFERROR(__xludf.DUMMYFUNCTION(""""""""" &amp; REGEXEXTRACT(B7484, ""/detail/([^/?]+)"") &amp; """""","""),"""jejdbiedgkidmmbbnkekdlfkkklckbdd"",")</f>
        <v>"jejdbiedgkidmmbbnkekdlfkkklckbdd",</v>
      </c>
    </row>
    <row r="7485">
      <c r="A7485" s="4" t="s">
        <v>26664</v>
      </c>
      <c r="B7485" s="4" t="s">
        <v>14899</v>
      </c>
      <c r="C7485" s="16" t="str">
        <f>IFERROR(__xludf.DUMMYFUNCTION(""""""""" &amp; REGEXEXTRACT(B7485, ""/detail/([^/?]+)"") &amp; """""","""),"""blljhfopgephjiocmoddmjbpggogkfch"",")</f>
        <v>"blljhfopgephjiocmoddmjbpggogkfch",</v>
      </c>
    </row>
    <row r="7486">
      <c r="A7486" s="4" t="s">
        <v>26665</v>
      </c>
      <c r="B7486" s="4" t="s">
        <v>14901</v>
      </c>
      <c r="C7486" s="16" t="str">
        <f>IFERROR(__xludf.DUMMYFUNCTION(""""""""" &amp; REGEXEXTRACT(B7486, ""/detail/([^/?]+)"") &amp; """""","""),"""fjhhmciiekplggcfcmibkkahegdlmbln"",")</f>
        <v>"fjhhmciiekplggcfcmibkkahegdlmbln",</v>
      </c>
    </row>
    <row r="7487">
      <c r="A7487" s="4" t="s">
        <v>26666</v>
      </c>
      <c r="B7487" s="4" t="s">
        <v>14903</v>
      </c>
      <c r="C7487" s="16" t="str">
        <f>IFERROR(__xludf.DUMMYFUNCTION(""""""""" &amp; REGEXEXTRACT(B7487, ""/detail/([^/?]+)"") &amp; """""","""),"""nlbdfajoolkacbicncknldfoikncjdhb"",")</f>
        <v>"nlbdfajoolkacbicncknldfoikncjdhb",</v>
      </c>
    </row>
    <row r="7488">
      <c r="A7488" s="4" t="s">
        <v>26667</v>
      </c>
      <c r="B7488" s="4" t="s">
        <v>14905</v>
      </c>
      <c r="C7488" s="16" t="str">
        <f>IFERROR(__xludf.DUMMYFUNCTION(""""""""" &amp; REGEXEXTRACT(B7488, ""/detail/([^/?]+)"") &amp; """""","""),"""pggofmblkmahcmaafhcnppgcdhmejbci"",")</f>
        <v>"pggofmblkmahcmaafhcnppgcdhmejbci",</v>
      </c>
    </row>
    <row r="7489">
      <c r="A7489" s="4" t="s">
        <v>26668</v>
      </c>
      <c r="B7489" s="4" t="s">
        <v>14907</v>
      </c>
      <c r="C7489" s="16" t="str">
        <f>IFERROR(__xludf.DUMMYFUNCTION(""""""""" &amp; REGEXEXTRACT(B7489, ""/detail/([^/?]+)"") &amp; """""","""),"""cdeocdbeomkaegbihhleiikgkkmacgek"",")</f>
        <v>"cdeocdbeomkaegbihhleiikgkkmacgek",</v>
      </c>
    </row>
    <row r="7490">
      <c r="A7490" s="4" t="s">
        <v>26669</v>
      </c>
      <c r="B7490" s="4" t="s">
        <v>14909</v>
      </c>
      <c r="C7490" s="16" t="str">
        <f>IFERROR(__xludf.DUMMYFUNCTION(""""""""" &amp; REGEXEXTRACT(B7490, ""/detail/([^/?]+)"") &amp; """""","""),"""gkamnoiedmidgolhlihkamjpfccohilb"",")</f>
        <v>"gkamnoiedmidgolhlihkamjpfccohilb",</v>
      </c>
    </row>
    <row r="7491">
      <c r="A7491" s="4" t="s">
        <v>26670</v>
      </c>
      <c r="B7491" s="4" t="s">
        <v>14911</v>
      </c>
      <c r="C7491" s="16" t="str">
        <f>IFERROR(__xludf.DUMMYFUNCTION(""""""""" &amp; REGEXEXTRACT(B7491, ""/detail/([^/?]+)"") &amp; """""","""),"""lhfgjcfhkmijfeppjjokleldddlklpoc"",")</f>
        <v>"lhfgjcfhkmijfeppjjokleldddlklpoc",</v>
      </c>
    </row>
    <row r="7492">
      <c r="A7492" s="4" t="s">
        <v>26671</v>
      </c>
      <c r="B7492" s="4" t="s">
        <v>14913</v>
      </c>
      <c r="C7492" s="16" t="str">
        <f>IFERROR(__xludf.DUMMYFUNCTION(""""""""" &amp; REGEXEXTRACT(B7492, ""/detail/([^/?]+)"") &amp; """""","""),"""neadealkfeligebmmolcibhbcdfplhhg"",")</f>
        <v>"neadealkfeligebmmolcibhbcdfplhhg",</v>
      </c>
    </row>
    <row r="7493">
      <c r="A7493" s="4" t="s">
        <v>26672</v>
      </c>
      <c r="B7493" s="4" t="s">
        <v>14915</v>
      </c>
      <c r="C7493" s="16" t="str">
        <f>IFERROR(__xludf.DUMMYFUNCTION(""""""""" &amp; REGEXEXTRACT(B7493, ""/detail/([^/?]+)"") &amp; """""","""),"""bjjpnhdlhpfdebcbhdlmecafnokpjpce"",")</f>
        <v>"bjjpnhdlhpfdebcbhdlmecafnokpjpce",</v>
      </c>
    </row>
    <row r="7494">
      <c r="A7494" s="4" t="s">
        <v>26673</v>
      </c>
      <c r="B7494" s="4" t="s">
        <v>14917</v>
      </c>
      <c r="C7494" s="16" t="str">
        <f>IFERROR(__xludf.DUMMYFUNCTION(""""""""" &amp; REGEXEXTRACT(B7494, ""/detail/([^/?]+)"") &amp; """""","""),"""onglbhicnlbbljbhkilnnkbokcgoheej"",")</f>
        <v>"onglbhicnlbbljbhkilnnkbokcgoheej",</v>
      </c>
    </row>
    <row r="7495">
      <c r="A7495" s="4" t="s">
        <v>26674</v>
      </c>
      <c r="B7495" s="4" t="s">
        <v>14919</v>
      </c>
      <c r="C7495" s="16" t="str">
        <f>IFERROR(__xludf.DUMMYFUNCTION(""""""""" &amp; REGEXEXTRACT(B7495, ""/detail/([^/?]+)"") &amp; """""","""),"""ahjhijiiemjbhbpnmmhdkgjbhahjbnjj"",")</f>
        <v>"ahjhijiiemjbhbpnmmhdkgjbhahjbnjj",</v>
      </c>
    </row>
    <row r="7496">
      <c r="A7496" s="4" t="s">
        <v>26675</v>
      </c>
      <c r="B7496" s="4" t="s">
        <v>14921</v>
      </c>
      <c r="C7496" s="16" t="str">
        <f>IFERROR(__xludf.DUMMYFUNCTION(""""""""" &amp; REGEXEXTRACT(B7496, ""/detail/([^/?]+)"") &amp; """""","""),"""ipaflcbenfmebafanoplpnieoaaiieon"",")</f>
        <v>"ipaflcbenfmebafanoplpnieoaaiieon",</v>
      </c>
    </row>
    <row r="7497">
      <c r="A7497" s="4" t="s">
        <v>26676</v>
      </c>
      <c r="B7497" s="4" t="s">
        <v>14923</v>
      </c>
      <c r="C7497" s="16" t="str">
        <f>IFERROR(__xludf.DUMMYFUNCTION(""""""""" &amp; REGEXEXTRACT(B7497, ""/detail/([^/?]+)"") &amp; """""","""),"""nblmoonpiilkcfcckhhdaijolankohkj"",")</f>
        <v>"nblmoonpiilkcfcckhhdaijolankohkj",</v>
      </c>
    </row>
    <row r="7498">
      <c r="A7498" s="4" t="s">
        <v>26677</v>
      </c>
      <c r="B7498" s="4" t="s">
        <v>14925</v>
      </c>
      <c r="C7498" s="16" t="str">
        <f>IFERROR(__xludf.DUMMYFUNCTION(""""""""" &amp; REGEXEXTRACT(B7498, ""/detail/([^/?]+)"") &amp; """""","""),"""nikcbpbhlpdkbfekbiojeppjfiajfmmm"",")</f>
        <v>"nikcbpbhlpdkbfekbiojeppjfiajfmmm",</v>
      </c>
    </row>
    <row r="7499">
      <c r="A7499" s="4" t="s">
        <v>26678</v>
      </c>
      <c r="B7499" s="4" t="s">
        <v>14927</v>
      </c>
      <c r="C7499" s="16" t="str">
        <f>IFERROR(__xludf.DUMMYFUNCTION(""""""""" &amp; REGEXEXTRACT(B7499, ""/detail/([^/?]+)"") &amp; """""","""),"""gbpliecdabaekbhmncopnbkfpdippdnl"",")</f>
        <v>"gbpliecdabaekbhmncopnbkfpdippdnl",</v>
      </c>
    </row>
    <row r="7500">
      <c r="A7500" s="4" t="s">
        <v>26679</v>
      </c>
      <c r="B7500" s="4" t="s">
        <v>14929</v>
      </c>
      <c r="C7500" s="16" t="str">
        <f>IFERROR(__xludf.DUMMYFUNCTION(""""""""" &amp; REGEXEXTRACT(B7500, ""/detail/([^/?]+)"") &amp; """""","""),"""hffobopnjnagddkmcebaoamdfkijphhj"",")</f>
        <v>"hffobopnjnagddkmcebaoamdfkijphhj",</v>
      </c>
    </row>
    <row r="7501">
      <c r="A7501" s="4" t="s">
        <v>26680</v>
      </c>
      <c r="B7501" s="4" t="s">
        <v>14931</v>
      </c>
      <c r="C7501" s="16" t="str">
        <f>IFERROR(__xludf.DUMMYFUNCTION(""""""""" &amp; REGEXEXTRACT(B7501, ""/detail/([^/?]+)"") &amp; """""","""),"""nnmmefgfonjgeppijgkgnnibbmcbpedp"",")</f>
        <v>"nnmmefgfonjgeppijgkgnnibbmcbpedp",</v>
      </c>
    </row>
    <row r="7502">
      <c r="A7502" s="4" t="s">
        <v>26681</v>
      </c>
      <c r="B7502" s="4" t="s">
        <v>14933</v>
      </c>
      <c r="C7502" s="16" t="str">
        <f>IFERROR(__xludf.DUMMYFUNCTION(""""""""" &amp; REGEXEXTRACT(B7502, ""/detail/([^/?]+)"") &amp; """""","""),"""olphnbmahbbaiicbjalinblhmppmhafn"",")</f>
        <v>"olphnbmahbbaiicbjalinblhmppmhafn",</v>
      </c>
    </row>
    <row r="7503">
      <c r="A7503" s="4" t="s">
        <v>26682</v>
      </c>
      <c r="B7503" s="4" t="s">
        <v>14935</v>
      </c>
      <c r="C7503" s="16" t="str">
        <f>IFERROR(__xludf.DUMMYFUNCTION(""""""""" &amp; REGEXEXTRACT(B7503, ""/detail/([^/?]+)"") &amp; """""","""),"""pnjdaiogafolcpacbpfblaificeideab"",")</f>
        <v>"pnjdaiogafolcpacbpfblaificeideab",</v>
      </c>
    </row>
    <row r="7504">
      <c r="A7504" s="4" t="s">
        <v>26683</v>
      </c>
      <c r="B7504" s="4" t="s">
        <v>14937</v>
      </c>
      <c r="C7504" s="16" t="str">
        <f>IFERROR(__xludf.DUMMYFUNCTION(""""""""" &amp; REGEXEXTRACT(B7504, ""/detail/([^/?]+)"") &amp; """""","""),"""ahpnencomoimdlbgceinogcjpglcgnfh"",")</f>
        <v>"ahpnencomoimdlbgceinogcjpglcgnfh",</v>
      </c>
    </row>
    <row r="7505">
      <c r="A7505" s="4" t="s">
        <v>26684</v>
      </c>
      <c r="B7505" s="4" t="s">
        <v>14939</v>
      </c>
      <c r="C7505" s="16" t="str">
        <f>IFERROR(__xludf.DUMMYFUNCTION(""""""""" &amp; REGEXEXTRACT(B7505, ""/detail/([^/?]+)"") &amp; """""","""),"""ejnancobllppofpnnlenepgacncofooi"",")</f>
        <v>"ejnancobllppofpnnlenepgacncofooi",</v>
      </c>
    </row>
    <row r="7506">
      <c r="A7506" s="4" t="s">
        <v>26685</v>
      </c>
      <c r="B7506" s="4" t="s">
        <v>14941</v>
      </c>
      <c r="C7506" s="16" t="str">
        <f>IFERROR(__xludf.DUMMYFUNCTION(""""""""" &amp; REGEXEXTRACT(B7506, ""/detail/([^/?]+)"") &amp; """""","""),"""fnamipcehfmjomamkpgibdidlnlaobgf"",")</f>
        <v>"fnamipcehfmjomamkpgibdidlnlaobgf",</v>
      </c>
    </row>
    <row r="7507">
      <c r="A7507" s="4" t="s">
        <v>26686</v>
      </c>
      <c r="B7507" s="4" t="s">
        <v>14943</v>
      </c>
      <c r="C7507" s="16" t="str">
        <f>IFERROR(__xludf.DUMMYFUNCTION(""""""""" &amp; REGEXEXTRACT(B7507, ""/detail/([^/?]+)"") &amp; """""","""),"""ifdokboipgdinjaiokegelppjdchgehf"",")</f>
        <v>"ifdokboipgdinjaiokegelppjdchgehf",</v>
      </c>
    </row>
    <row r="7508">
      <c r="A7508" s="4" t="s">
        <v>26687</v>
      </c>
      <c r="B7508" s="4" t="s">
        <v>14945</v>
      </c>
      <c r="C7508" s="16" t="str">
        <f>IFERROR(__xludf.DUMMYFUNCTION(""""""""" &amp; REGEXEXTRACT(B7508, ""/detail/([^/?]+)"") &amp; """""","""),"""jonopcgchkfmoimjbajihfkiobolimpm"",")</f>
        <v>"jonopcgchkfmoimjbajihfkiobolimpm",</v>
      </c>
    </row>
    <row r="7509">
      <c r="A7509" s="4" t="s">
        <v>26688</v>
      </c>
      <c r="B7509" s="4" t="s">
        <v>14947</v>
      </c>
      <c r="C7509" s="16" t="str">
        <f>IFERROR(__xludf.DUMMYFUNCTION(""""""""" &amp; REGEXEXTRACT(B7509, ""/detail/([^/?]+)"") &amp; """""","""),"""dnglcfmkeagcfmjnhgboabkbjkdnkija"",")</f>
        <v>"dnglcfmkeagcfmjnhgboabkbjkdnkija",</v>
      </c>
    </row>
    <row r="7510">
      <c r="A7510" s="4" t="s">
        <v>26689</v>
      </c>
      <c r="B7510" s="4" t="s">
        <v>14949</v>
      </c>
      <c r="C7510" s="16" t="str">
        <f>IFERROR(__xludf.DUMMYFUNCTION(""""""""" &amp; REGEXEXTRACT(B7510, ""/detail/([^/?]+)"") &amp; """""","""),"""fdkjiocjncdhpmienmepiodnpbnedlmj"",")</f>
        <v>"fdkjiocjncdhpmienmepiodnpbnedlmj",</v>
      </c>
    </row>
    <row r="7511">
      <c r="A7511" s="4" t="s">
        <v>26690</v>
      </c>
      <c r="B7511" s="4" t="s">
        <v>14951</v>
      </c>
      <c r="C7511" s="16" t="str">
        <f>IFERROR(__xludf.DUMMYFUNCTION(""""""""" &amp; REGEXEXTRACT(B7511, ""/detail/([^/?]+)"") &amp; """""","""),"""jcildekmhnmopplgcncdohaffhiobimo"",")</f>
        <v>"jcildekmhnmopplgcncdohaffhiobimo",</v>
      </c>
    </row>
    <row r="7512">
      <c r="A7512" s="4" t="s">
        <v>26691</v>
      </c>
      <c r="B7512" s="4" t="s">
        <v>14953</v>
      </c>
      <c r="C7512" s="16" t="str">
        <f>IFERROR(__xludf.DUMMYFUNCTION(""""""""" &amp; REGEXEXTRACT(B7512, ""/detail/([^/?]+)"") &amp; """""","""),"""ocnmfcnkkcpojobfhhpokjccbjbbmplb"",")</f>
        <v>"ocnmfcnkkcpojobfhhpokjccbjbbmplb",</v>
      </c>
    </row>
    <row r="7513">
      <c r="A7513" s="4" t="s">
        <v>26692</v>
      </c>
      <c r="B7513" s="4" t="s">
        <v>14955</v>
      </c>
      <c r="C7513" s="16" t="str">
        <f>IFERROR(__xludf.DUMMYFUNCTION(""""""""" &amp; REGEXEXTRACT(B7513, ""/detail/([^/?]+)"") &amp; """""","""),"""kojnddpihdfgebnbpanjhnhpjaiiekkf"",")</f>
        <v>"kojnddpihdfgebnbpanjhnhpjaiiekkf",</v>
      </c>
    </row>
    <row r="7514">
      <c r="A7514" s="4" t="s">
        <v>26693</v>
      </c>
      <c r="B7514" s="4" t="s">
        <v>14957</v>
      </c>
      <c r="C7514" s="16" t="str">
        <f>IFERROR(__xludf.DUMMYFUNCTION(""""""""" &amp; REGEXEXTRACT(B7514, ""/detail/([^/?]+)"") &amp; """""","""),"""enefdmpkcjnemklamnmpdlafceaiogdf"",")</f>
        <v>"enefdmpkcjnemklamnmpdlafceaiogdf",</v>
      </c>
    </row>
    <row r="7515">
      <c r="A7515" s="4" t="s">
        <v>26694</v>
      </c>
      <c r="B7515" s="4" t="s">
        <v>14959</v>
      </c>
      <c r="C7515" s="16" t="str">
        <f>IFERROR(__xludf.DUMMYFUNCTION(""""""""" &amp; REGEXEXTRACT(B7515, ""/detail/([^/?]+)"") &amp; """""","""),"""fflaolblljkfjjigfpbokbkjnpeggcke"",")</f>
        <v>"fflaolblljkfjjigfpbokbkjnpeggcke",</v>
      </c>
    </row>
    <row r="7516">
      <c r="A7516" s="4" t="s">
        <v>26695</v>
      </c>
      <c r="B7516" s="4" t="s">
        <v>14961</v>
      </c>
      <c r="C7516" s="16" t="str">
        <f>IFERROR(__xludf.DUMMYFUNCTION(""""""""" &amp; REGEXEXTRACT(B7516, ""/detail/([^/?]+)"") &amp; """""","""),"""hiejfnfnpmajcbgpcnkaldmomchgnlln"",")</f>
        <v>"hiejfnfnpmajcbgpcnkaldmomchgnlln",</v>
      </c>
    </row>
    <row r="7517">
      <c r="A7517" s="4" t="s">
        <v>26696</v>
      </c>
      <c r="B7517" s="4" t="s">
        <v>14963</v>
      </c>
      <c r="C7517" s="16" t="str">
        <f>IFERROR(__xludf.DUMMYFUNCTION(""""""""" &amp; REGEXEXTRACT(B7517, ""/detail/([^/?]+)"") &amp; """""","""),"""offphobpedohkenckinejacpjodchgmn"",")</f>
        <v>"offphobpedohkenckinejacpjodchgmn",</v>
      </c>
    </row>
    <row r="7518">
      <c r="A7518" s="4" t="s">
        <v>26697</v>
      </c>
      <c r="B7518" s="4" t="s">
        <v>14965</v>
      </c>
      <c r="C7518" s="16" t="str">
        <f>IFERROR(__xludf.DUMMYFUNCTION(""""""""" &amp; REGEXEXTRACT(B7518, ""/detail/([^/?]+)"") &amp; """""","""),"""hdenpcfifhgoabfkmikpfbgoldfnddjk"",")</f>
        <v>"hdenpcfifhgoabfkmikpfbgoldfnddjk",</v>
      </c>
    </row>
    <row r="7519">
      <c r="A7519" s="4" t="s">
        <v>26698</v>
      </c>
      <c r="B7519" s="4" t="s">
        <v>14967</v>
      </c>
      <c r="C7519" s="16" t="str">
        <f>IFERROR(__xludf.DUMMYFUNCTION(""""""""" &amp; REGEXEXTRACT(B7519, ""/detail/([^/?]+)"") &amp; """""","""),"""oljmaangfgmmokjpnojhfblppgeijikp"",")</f>
        <v>"oljmaangfgmmokjpnojhfblppgeijikp",</v>
      </c>
    </row>
    <row r="7520">
      <c r="A7520" s="4" t="s">
        <v>26699</v>
      </c>
      <c r="B7520" s="4" t="s">
        <v>14969</v>
      </c>
      <c r="C7520" s="16" t="str">
        <f>IFERROR(__xludf.DUMMYFUNCTION(""""""""" &amp; REGEXEXTRACT(B7520, ""/detail/([^/?]+)"") &amp; """""","""),"""pclpbjpadbmgjnblbjfepihmkmnkpagj"",")</f>
        <v>"pclpbjpadbmgjnblbjfepihmkmnkpagj",</v>
      </c>
    </row>
    <row r="7521">
      <c r="A7521" s="4" t="s">
        <v>26700</v>
      </c>
      <c r="B7521" s="4" t="s">
        <v>14971</v>
      </c>
      <c r="C7521" s="16" t="str">
        <f>IFERROR(__xludf.DUMMYFUNCTION(""""""""" &amp; REGEXEXTRACT(B7521, ""/detail/([^/?]+)"") &amp; """""","""),"""pfiamephhdcbgkifdeejcjbhmolpjenj"",")</f>
        <v>"pfiamephhdcbgkifdeejcjbhmolpjenj",</v>
      </c>
    </row>
    <row r="7522">
      <c r="A7522" s="4" t="s">
        <v>26701</v>
      </c>
      <c r="B7522" s="4" t="s">
        <v>14973</v>
      </c>
      <c r="C7522" s="16" t="str">
        <f>IFERROR(__xludf.DUMMYFUNCTION(""""""""" &amp; REGEXEXTRACT(B7522, ""/detail/([^/?]+)"") &amp; """""","""),"""gbhlckmcjkpdhgkpbmkabcedbhjjpmbo"",")</f>
        <v>"gbhlckmcjkpdhgkpbmkabcedbhjjpmbo",</v>
      </c>
    </row>
    <row r="7523">
      <c r="A7523" s="4" t="s">
        <v>26702</v>
      </c>
      <c r="B7523" s="4" t="s">
        <v>14975</v>
      </c>
      <c r="C7523" s="16" t="str">
        <f>IFERROR(__xludf.DUMMYFUNCTION(""""""""" &amp; REGEXEXTRACT(B7523, ""/detail/([^/?]+)"") &amp; """""","""),"""iomnmncpnhloilggeiefebaokegohhdl"",")</f>
        <v>"iomnmncpnhloilggeiefebaokegohhdl",</v>
      </c>
    </row>
    <row r="7524">
      <c r="A7524" s="4" t="s">
        <v>26703</v>
      </c>
      <c r="B7524" s="4" t="s">
        <v>14977</v>
      </c>
      <c r="C7524" s="16" t="str">
        <f>IFERROR(__xludf.DUMMYFUNCTION(""""""""" &amp; REGEXEXTRACT(B7524, ""/detail/([^/?]+)"") &amp; """""","""),"""kgdgengffgmikoloefhbcphnalpicjkg"",")</f>
        <v>"kgdgengffgmikoloefhbcphnalpicjkg",</v>
      </c>
    </row>
    <row r="7525">
      <c r="A7525" s="4" t="s">
        <v>26704</v>
      </c>
      <c r="B7525" s="4" t="s">
        <v>14979</v>
      </c>
      <c r="C7525" s="16" t="str">
        <f>IFERROR(__xludf.DUMMYFUNCTION(""""""""" &amp; REGEXEXTRACT(B7525, ""/detail/([^/?]+)"") &amp; """""","""),"""ceofcicakflonbbmbdbdkbmmhnnfahli"",")</f>
        <v>"ceofcicakflonbbmbdbdkbmmhnnfahli",</v>
      </c>
    </row>
    <row r="7526">
      <c r="A7526" s="4" t="s">
        <v>26705</v>
      </c>
      <c r="B7526" s="4" t="s">
        <v>14980</v>
      </c>
      <c r="C7526" s="16" t="str">
        <f>IFERROR(__xludf.DUMMYFUNCTION(""""""""" &amp; REGEXEXTRACT(B7526, ""/detail/([^/?]+)"") &amp; """""","""),"""cpocpfccehgaoaefhgfgimjicohiecje"",")</f>
        <v>"cpocpfccehgaoaefhgfgimjicohiecje",</v>
      </c>
    </row>
    <row r="7527">
      <c r="A7527" s="4" t="s">
        <v>26706</v>
      </c>
      <c r="B7527" s="4" t="s">
        <v>14982</v>
      </c>
      <c r="C7527" s="16" t="str">
        <f>IFERROR(__xludf.DUMMYFUNCTION(""""""""" &amp; REGEXEXTRACT(B7527, ""/detail/([^/?]+)"") &amp; """""","""),"""jklkkahfncohfjgacjojgjhipioljjoh"",")</f>
        <v>"jklkkahfncohfjgacjojgjhipioljjoh",</v>
      </c>
    </row>
    <row r="7528">
      <c r="A7528" s="4" t="s">
        <v>26707</v>
      </c>
      <c r="B7528" s="4" t="s">
        <v>14984</v>
      </c>
      <c r="C7528" s="16" t="str">
        <f>IFERROR(__xludf.DUMMYFUNCTION(""""""""" &amp; REGEXEXTRACT(B7528, ""/detail/([^/?]+)"") &amp; """""","""),"""jlpfglbpgpbeiihgkelneefpmoedjjop"",")</f>
        <v>"jlpfglbpgpbeiihgkelneefpmoedjjop",</v>
      </c>
    </row>
    <row r="7529">
      <c r="A7529" s="4" t="s">
        <v>26708</v>
      </c>
      <c r="B7529" s="4" t="s">
        <v>14986</v>
      </c>
      <c r="C7529" s="16" t="str">
        <f>IFERROR(__xludf.DUMMYFUNCTION(""""""""" &amp; REGEXEXTRACT(B7529, ""/detail/([^/?]+)"") &amp; """""","""),"""lcaimjohajcgfkapahpkfpiijkaegccn"",")</f>
        <v>"lcaimjohajcgfkapahpkfpiijkaegccn",</v>
      </c>
    </row>
    <row r="7530">
      <c r="A7530" s="4" t="s">
        <v>26709</v>
      </c>
      <c r="B7530" s="4" t="s">
        <v>14988</v>
      </c>
      <c r="C7530" s="16" t="str">
        <f>IFERROR(__xludf.DUMMYFUNCTION(""""""""" &amp; REGEXEXTRACT(B7530, ""/detail/([^/?]+)"") &amp; """""","""),"""memnkhinbiilklahnhcpkpflpoplldng"",")</f>
        <v>"memnkhinbiilklahnhcpkpflpoplldng",</v>
      </c>
    </row>
    <row r="7531">
      <c r="A7531" s="4" t="s">
        <v>26710</v>
      </c>
      <c r="B7531" s="4" t="s">
        <v>14990</v>
      </c>
      <c r="C7531" s="16" t="str">
        <f>IFERROR(__xludf.DUMMYFUNCTION(""""""""" &amp; REGEXEXTRACT(B7531, ""/detail/([^/?]+)"") &amp; """""","""),"""cdedcjjdfckjnageanlcifalkpnjdbpg"",")</f>
        <v>"cdedcjjdfckjnageanlcifalkpnjdbpg",</v>
      </c>
    </row>
    <row r="7532">
      <c r="A7532" s="4" t="s">
        <v>26711</v>
      </c>
      <c r="B7532" s="4" t="s">
        <v>14992</v>
      </c>
      <c r="C7532" s="16" t="str">
        <f>IFERROR(__xludf.DUMMYFUNCTION(""""""""" &amp; REGEXEXTRACT(B7532, ""/detail/([^/?]+)"") &amp; """""","""),"""eaajehefbnkjhdbbolahieolfdnpnogm"",")</f>
        <v>"eaajehefbnkjhdbbolahieolfdnpnogm",</v>
      </c>
    </row>
    <row r="7533">
      <c r="A7533" s="4" t="s">
        <v>26712</v>
      </c>
      <c r="B7533" s="4" t="s">
        <v>14994</v>
      </c>
      <c r="C7533" s="16" t="str">
        <f>IFERROR(__xludf.DUMMYFUNCTION(""""""""" &amp; REGEXEXTRACT(B7533, ""/detail/([^/?]+)"") &amp; """""","""),"""hgklcaodfmndpkajdmcmlpihhoenhpbp"",")</f>
        <v>"hgklcaodfmndpkajdmcmlpihhoenhpbp",</v>
      </c>
    </row>
    <row r="7534">
      <c r="A7534" s="4" t="s">
        <v>26713</v>
      </c>
      <c r="B7534" s="4" t="s">
        <v>14996</v>
      </c>
      <c r="C7534" s="16" t="str">
        <f>IFERROR(__xludf.DUMMYFUNCTION(""""""""" &amp; REGEXEXTRACT(B7534, ""/detail/([^/?]+)"") &amp; """""","""),"""hmjkeajnlfhbjabboakcgimcnejnnbjj"",")</f>
        <v>"hmjkeajnlfhbjabboakcgimcnejnnbjj",</v>
      </c>
    </row>
    <row r="7535">
      <c r="A7535" s="4" t="s">
        <v>26714</v>
      </c>
      <c r="B7535" s="4" t="s">
        <v>14998</v>
      </c>
      <c r="C7535" s="16" t="str">
        <f>IFERROR(__xludf.DUMMYFUNCTION(""""""""" &amp; REGEXEXTRACT(B7535, ""/detail/([^/?]+)"") &amp; """""","""),"""meeijplnfjcihnhkpanepcaffklobaal"",")</f>
        <v>"meeijplnfjcihnhkpanepcaffklobaal",</v>
      </c>
    </row>
    <row r="7536">
      <c r="A7536" s="4" t="s">
        <v>26715</v>
      </c>
      <c r="B7536" s="4" t="s">
        <v>15000</v>
      </c>
      <c r="C7536" s="16" t="str">
        <f>IFERROR(__xludf.DUMMYFUNCTION(""""""""" &amp; REGEXEXTRACT(B7536, ""/detail/([^/?]+)"") &amp; """""","""),"""nlhdbldmdhcccholgnpaodephaaghoje"",")</f>
        <v>"nlhdbldmdhcccholgnpaodephaaghoje",</v>
      </c>
    </row>
    <row r="7537">
      <c r="A7537" s="4" t="s">
        <v>26716</v>
      </c>
      <c r="B7537" s="4" t="s">
        <v>15002</v>
      </c>
      <c r="C7537" s="16" t="str">
        <f>IFERROR(__xludf.DUMMYFUNCTION(""""""""" &amp; REGEXEXTRACT(B7537, ""/detail/([^/?]+)"") &amp; """""","""),"""pkbdojddadoogfnjcblknggopgcbdnhn"",")</f>
        <v>"pkbdojddadoogfnjcblknggopgcbdnhn",</v>
      </c>
    </row>
    <row r="7538">
      <c r="A7538" s="4" t="s">
        <v>26717</v>
      </c>
      <c r="B7538" s="4" t="s">
        <v>15004</v>
      </c>
      <c r="C7538" s="16" t="str">
        <f>IFERROR(__xludf.DUMMYFUNCTION(""""""""" &amp; REGEXEXTRACT(B7538, ""/detail/([^/?]+)"") &amp; """""","""),"""eaoefmgbepkgdmgnbhnpjfkfjdmpepcb"",")</f>
        <v>"eaoefmgbepkgdmgnbhnpjfkfjdmpepcb",</v>
      </c>
    </row>
    <row r="7539">
      <c r="A7539" s="4" t="s">
        <v>26718</v>
      </c>
      <c r="B7539" s="4" t="s">
        <v>15006</v>
      </c>
      <c r="C7539" s="16" t="str">
        <f>IFERROR(__xludf.DUMMYFUNCTION(""""""""" &amp; REGEXEXTRACT(B7539, ""/detail/([^/?]+)"") &amp; """""","""),"""backnpjeemenlgpdbdoddnlcofcjpcfj"",")</f>
        <v>"backnpjeemenlgpdbdoddnlcofcjpcfj",</v>
      </c>
    </row>
    <row r="7540">
      <c r="A7540" s="4" t="s">
        <v>26719</v>
      </c>
      <c r="B7540" s="4" t="s">
        <v>15008</v>
      </c>
      <c r="C7540" s="16" t="str">
        <f>IFERROR(__xludf.DUMMYFUNCTION(""""""""" &amp; REGEXEXTRACT(B7540, ""/detail/([^/?]+)"") &amp; """""","""),"""fidgoheifbbkckobaaabdjnjhacnioee"",")</f>
        <v>"fidgoheifbbkckobaaabdjnjhacnioee",</v>
      </c>
    </row>
    <row r="7541">
      <c r="A7541" s="4" t="s">
        <v>26720</v>
      </c>
      <c r="B7541" s="4" t="s">
        <v>15010</v>
      </c>
      <c r="C7541" s="16" t="str">
        <f>IFERROR(__xludf.DUMMYFUNCTION(""""""""" &amp; REGEXEXTRACT(B7541, ""/detail/([^/?]+)"") &amp; """""","""),"""gcngciildkejiapchdgpcniflijoiadf"",")</f>
        <v>"gcngciildkejiapchdgpcniflijoiadf",</v>
      </c>
    </row>
    <row r="7542">
      <c r="A7542" s="4" t="s">
        <v>26721</v>
      </c>
      <c r="B7542" s="4" t="s">
        <v>15012</v>
      </c>
      <c r="C7542" s="16" t="str">
        <f>IFERROR(__xludf.DUMMYFUNCTION(""""""""" &amp; REGEXEXTRACT(B7542, ""/detail/([^/?]+)"") &amp; """""","""),"""mbiacbhbjhoimiiplminicfnmnolmgih"",")</f>
        <v>"mbiacbhbjhoimiiplminicfnmnolmgih",</v>
      </c>
    </row>
    <row r="7543">
      <c r="A7543" s="4" t="s">
        <v>26722</v>
      </c>
      <c r="B7543" s="4" t="s">
        <v>15014</v>
      </c>
      <c r="C7543" s="16" t="str">
        <f>IFERROR(__xludf.DUMMYFUNCTION(""""""""" &amp; REGEXEXTRACT(B7543, ""/detail/([^/?]+)"") &amp; """""","""),"""nkclhplcadlpidaenlcbhlmjfhihinno"",")</f>
        <v>"nkclhplcadlpidaenlcbhlmjfhihinno",</v>
      </c>
    </row>
    <row r="7544">
      <c r="A7544" s="4" t="s">
        <v>26723</v>
      </c>
      <c r="B7544" s="4" t="s">
        <v>15016</v>
      </c>
      <c r="C7544" s="16" t="str">
        <f>IFERROR(__xludf.DUMMYFUNCTION(""""""""" &amp; REGEXEXTRACT(B7544, ""/detail/([^/?]+)"") &amp; """""","""),"""eeponikjeljlngckgbekknkoncmljfbf"",")</f>
        <v>"eeponikjeljlngckgbekknkoncmljfbf",</v>
      </c>
    </row>
    <row r="7545">
      <c r="A7545" s="4" t="s">
        <v>26724</v>
      </c>
      <c r="B7545" s="4" t="s">
        <v>15018</v>
      </c>
      <c r="C7545" s="16" t="str">
        <f>IFERROR(__xludf.DUMMYFUNCTION(""""""""" &amp; REGEXEXTRACT(B7545, ""/detail/([^/?]+)"") &amp; """""","""),"""kjgfkjidgcfgbabbhjephchohcghcdkf"",")</f>
        <v>"kjgfkjidgcfgbabbhjephchohcghcdkf",</v>
      </c>
    </row>
    <row r="7546">
      <c r="A7546" s="4" t="s">
        <v>26725</v>
      </c>
      <c r="B7546" s="4" t="s">
        <v>15020</v>
      </c>
      <c r="C7546" s="16" t="str">
        <f>IFERROR(__xludf.DUMMYFUNCTION(""""""""" &amp; REGEXEXTRACT(B7546, ""/detail/([^/?]+)"") &amp; """""","""),"""lpnpppcjhpdppibdojpmopaejakilljp"",")</f>
        <v>"lpnpppcjhpdppibdojpmopaejakilljp",</v>
      </c>
    </row>
    <row r="7547">
      <c r="A7547" s="4" t="s">
        <v>26726</v>
      </c>
      <c r="B7547" s="4" t="s">
        <v>15022</v>
      </c>
      <c r="C7547" s="16" t="str">
        <f>IFERROR(__xludf.DUMMYFUNCTION(""""""""" &amp; REGEXEXTRACT(B7547, ""/detail/([^/?]+)"") &amp; """""","""),"""beibjfkkheopnkifcgomndochmiilfda"",")</f>
        <v>"beibjfkkheopnkifcgomndochmiilfda",</v>
      </c>
    </row>
    <row r="7548">
      <c r="A7548" s="4" t="s">
        <v>26727</v>
      </c>
      <c r="B7548" s="4" t="s">
        <v>15024</v>
      </c>
      <c r="C7548" s="16" t="str">
        <f>IFERROR(__xludf.DUMMYFUNCTION(""""""""" &amp; REGEXEXTRACT(B7548, ""/detail/([^/?]+)"") &amp; """""","""),"""bfcanpejffolidoommjpiioaakhhofch"",")</f>
        <v>"bfcanpejffolidoommjpiioaakhhofch",</v>
      </c>
    </row>
    <row r="7549">
      <c r="A7549" s="4" t="s">
        <v>26728</v>
      </c>
      <c r="B7549" s="4" t="s">
        <v>15026</v>
      </c>
      <c r="C7549" s="16" t="str">
        <f>IFERROR(__xludf.DUMMYFUNCTION(""""""""" &amp; REGEXEXTRACT(B7549, ""/detail/([^/?]+)"") &amp; """""","""),"""bmpakblggjlmlahmhagoeocgllfikalp"",")</f>
        <v>"bmpakblggjlmlahmhagoeocgllfikalp",</v>
      </c>
    </row>
    <row r="7550">
      <c r="A7550" s="4" t="s">
        <v>26729</v>
      </c>
      <c r="B7550" s="4" t="s">
        <v>15028</v>
      </c>
      <c r="C7550" s="16" t="str">
        <f>IFERROR(__xludf.DUMMYFUNCTION(""""""""" &amp; REGEXEXTRACT(B7550, ""/detail/([^/?]+)"") &amp; """""","""),"""cdlcnnandndjkbbdcbpnjoimphmifkfn"",")</f>
        <v>"cdlcnnandndjkbbdcbpnjoimphmifkfn",</v>
      </c>
    </row>
    <row r="7551">
      <c r="A7551" s="4" t="s">
        <v>26730</v>
      </c>
      <c r="B7551" s="4" t="s">
        <v>15030</v>
      </c>
      <c r="C7551" s="16" t="str">
        <f>IFERROR(__xludf.DUMMYFUNCTION(""""""""" &amp; REGEXEXTRACT(B7551, ""/detail/([^/?]+)"") &amp; """""","""),"""cdjkehgklopnffaenjgmbmckkeiaengi"",")</f>
        <v>"cdjkehgklopnffaenjgmbmckkeiaengi",</v>
      </c>
    </row>
    <row r="7552">
      <c r="A7552" s="4" t="s">
        <v>26731</v>
      </c>
      <c r="B7552" s="4" t="s">
        <v>15032</v>
      </c>
      <c r="C7552" s="16" t="str">
        <f>IFERROR(__xludf.DUMMYFUNCTION(""""""""" &amp; REGEXEXTRACT(B7552, ""/detail/([^/?]+)"") &amp; """""","""),"""ibfmipfionldjoeidndeefcnnpdohhkh"",")</f>
        <v>"ibfmipfionldjoeidndeefcnnpdohhkh",</v>
      </c>
    </row>
    <row r="7553">
      <c r="A7553" s="4" t="s">
        <v>26732</v>
      </c>
      <c r="B7553" s="4" t="s">
        <v>15034</v>
      </c>
      <c r="C7553" s="16" t="str">
        <f>IFERROR(__xludf.DUMMYFUNCTION(""""""""" &amp; REGEXEXTRACT(B7553, ""/detail/([^/?]+)"") &amp; """""","""),"""jggjjeenacnfoklccefmpfkkjdocgkod"",")</f>
        <v>"jggjjeenacnfoklccefmpfkkjdocgkod",</v>
      </c>
    </row>
    <row r="7554">
      <c r="A7554" s="4" t="s">
        <v>26733</v>
      </c>
      <c r="B7554" s="4" t="s">
        <v>15036</v>
      </c>
      <c r="C7554" s="16" t="str">
        <f>IFERROR(__xludf.DUMMYFUNCTION(""""""""" &amp; REGEXEXTRACT(B7554, ""/detail/([^/?]+)"") &amp; """""","""),"""bkpcjokmnekbnkjldkiechmphnadngoj"",")</f>
        <v>"bkpcjokmnekbnkjldkiechmphnadngoj",</v>
      </c>
    </row>
    <row r="7555">
      <c r="A7555" s="4" t="s">
        <v>26734</v>
      </c>
      <c r="B7555" s="4" t="s">
        <v>15038</v>
      </c>
      <c r="C7555" s="16" t="str">
        <f>IFERROR(__xludf.DUMMYFUNCTION(""""""""" &amp; REGEXEXTRACT(B7555, ""/detail/([^/?]+)"") &amp; """""","""),"""jcmmnlmlpjkccjpdkjnjnglhhcnfbajd"",")</f>
        <v>"jcmmnlmlpjkccjpdkjnjnglhhcnfbajd",</v>
      </c>
    </row>
    <row r="7556">
      <c r="A7556" s="4" t="s">
        <v>26735</v>
      </c>
      <c r="B7556" s="4" t="s">
        <v>15040</v>
      </c>
      <c r="C7556" s="16" t="str">
        <f>IFERROR(__xludf.DUMMYFUNCTION(""""""""" &amp; REGEXEXTRACT(B7556, ""/detail/([^/?]+)"") &amp; """""","""),"""mpkooepgeekidcfpajdigolkggpidijn"",")</f>
        <v>"mpkooepgeekidcfpajdigolkggpidijn",</v>
      </c>
    </row>
    <row r="7557">
      <c r="A7557" s="4" t="s">
        <v>26736</v>
      </c>
      <c r="B7557" s="4" t="s">
        <v>15042</v>
      </c>
      <c r="C7557" s="16" t="str">
        <f>IFERROR(__xludf.DUMMYFUNCTION(""""""""" &amp; REGEXEXTRACT(B7557, ""/detail/([^/?]+)"") &amp; """""","""),"""ngfbfmhhkpknjodmiklpkipnlmolabee"",")</f>
        <v>"ngfbfmhhkpknjodmiklpkipnlmolabee",</v>
      </c>
    </row>
    <row r="7558">
      <c r="A7558" s="4" t="s">
        <v>26737</v>
      </c>
      <c r="B7558" s="4" t="s">
        <v>15044</v>
      </c>
      <c r="C7558" s="16" t="str">
        <f>IFERROR(__xludf.DUMMYFUNCTION(""""""""" &amp; REGEXEXTRACT(B7558, ""/detail/([^/?]+)"") &amp; """""","""),"""acieclflijheaejbikfnkpeikogkkgio"",")</f>
        <v>"acieclflijheaejbikfnkpeikogkkgio",</v>
      </c>
    </row>
    <row r="7559">
      <c r="A7559" s="4" t="s">
        <v>26738</v>
      </c>
      <c r="B7559" s="4" t="s">
        <v>15046</v>
      </c>
      <c r="C7559" s="16" t="str">
        <f>IFERROR(__xludf.DUMMYFUNCTION(""""""""" &amp; REGEXEXTRACT(B7559, ""/detail/([^/?]+)"") &amp; """""","""),"""epakcpjignfmdgmeifpallcnkiggbegd"",")</f>
        <v>"epakcpjignfmdgmeifpallcnkiggbegd",</v>
      </c>
    </row>
    <row r="7560">
      <c r="A7560" s="4" t="s">
        <v>26739</v>
      </c>
      <c r="B7560" s="4" t="s">
        <v>15048</v>
      </c>
      <c r="C7560" s="16" t="str">
        <f>IFERROR(__xludf.DUMMYFUNCTION(""""""""" &amp; REGEXEXTRACT(B7560, ""/detail/([^/?]+)"") &amp; """""","""),"""haplbihlmhnffbihdfjhgnickameiphd"",")</f>
        <v>"haplbihlmhnffbihdfjhgnickameiphd",</v>
      </c>
    </row>
    <row r="7561">
      <c r="A7561" s="4" t="s">
        <v>26740</v>
      </c>
      <c r="B7561" s="4" t="s">
        <v>15050</v>
      </c>
      <c r="C7561" s="16" t="str">
        <f>IFERROR(__xludf.DUMMYFUNCTION(""""""""" &amp; REGEXEXTRACT(B7561, ""/detail/([^/?]+)"") &amp; """""","""),"""immpookfmnhkhekgapcepemkdehdlgbb"",")</f>
        <v>"immpookfmnhkhekgapcepemkdehdlgbb",</v>
      </c>
    </row>
    <row r="7562">
      <c r="A7562" s="4" t="s">
        <v>26741</v>
      </c>
      <c r="B7562" s="4" t="s">
        <v>15052</v>
      </c>
      <c r="C7562" s="16" t="str">
        <f>IFERROR(__xludf.DUMMYFUNCTION(""""""""" &amp; REGEXEXTRACT(B7562, ""/detail/([^/?]+)"") &amp; """""","""),"""podpddhcepkggomgplkpkdhehckkllab"",")</f>
        <v>"podpddhcepkggomgplkpkdhehckkllab",</v>
      </c>
    </row>
    <row r="7563">
      <c r="A7563" s="4" t="s">
        <v>26742</v>
      </c>
      <c r="B7563" s="4" t="s">
        <v>15054</v>
      </c>
      <c r="C7563" s="16" t="str">
        <f>IFERROR(__xludf.DUMMYFUNCTION(""""""""" &amp; REGEXEXTRACT(B7563, ""/detail/([^/?]+)"") &amp; """""","""),"""bdhgcfmghkbbdmejdaadfdhhdjphogkp"",")</f>
        <v>"bdhgcfmghkbbdmejdaadfdhhdjphogkp",</v>
      </c>
    </row>
    <row r="7564">
      <c r="A7564" s="4" t="s">
        <v>26743</v>
      </c>
      <c r="B7564" s="4" t="s">
        <v>15056</v>
      </c>
      <c r="C7564" s="16" t="str">
        <f>IFERROR(__xludf.DUMMYFUNCTION(""""""""" &amp; REGEXEXTRACT(B7564, ""/detail/([^/?]+)"") &amp; """""","""),"""homgaeandhcohhcfbfdeohljedelgijc"",")</f>
        <v>"homgaeandhcohhcfbfdeohljedelgijc",</v>
      </c>
    </row>
    <row r="7565">
      <c r="A7565" s="4" t="s">
        <v>26744</v>
      </c>
      <c r="B7565" s="4" t="s">
        <v>15058</v>
      </c>
      <c r="C7565" s="16" t="str">
        <f>IFERROR(__xludf.DUMMYFUNCTION(""""""""" &amp; REGEXEXTRACT(B7565, ""/detail/([^/?]+)"") &amp; """""","""),"""kllohiclobgoaffphlofnjdlabflpgha"",")</f>
        <v>"kllohiclobgoaffphlofnjdlabflpgha",</v>
      </c>
    </row>
    <row r="7566">
      <c r="A7566" s="4" t="s">
        <v>26745</v>
      </c>
      <c r="B7566" s="4" t="s">
        <v>15060</v>
      </c>
      <c r="C7566" s="16" t="str">
        <f>IFERROR(__xludf.DUMMYFUNCTION(""""""""" &amp; REGEXEXTRACT(B7566, ""/detail/([^/?]+)"") &amp; """""","""),"""aphjepidficfgphkbggojoemgpmianhi"",")</f>
        <v>"aphjepidficfgphkbggojoemgpmianhi",</v>
      </c>
    </row>
    <row r="7567">
      <c r="A7567" s="4" t="s">
        <v>26746</v>
      </c>
      <c r="B7567" s="4" t="s">
        <v>15062</v>
      </c>
      <c r="C7567" s="16" t="str">
        <f>IFERROR(__xludf.DUMMYFUNCTION(""""""""" &amp; REGEXEXTRACT(B7567, ""/detail/([^/?]+)"") &amp; """""","""),"""naojedmfkkciajbfcehknfbcmimcjbhg"",")</f>
        <v>"naojedmfkkciajbfcehknfbcmimcjbhg",</v>
      </c>
    </row>
    <row r="7568">
      <c r="A7568" s="4" t="s">
        <v>26747</v>
      </c>
      <c r="B7568" s="4" t="s">
        <v>15064</v>
      </c>
      <c r="C7568" s="16" t="str">
        <f>IFERROR(__xludf.DUMMYFUNCTION(""""""""" &amp; REGEXEXTRACT(B7568, ""/detail/([^/?]+)"") &amp; """""","""),"""ahaclkcdfdcebbegimadgdlkccjdkmca"",")</f>
        <v>"ahaclkcdfdcebbegimadgdlkccjdkmca",</v>
      </c>
    </row>
    <row r="7569">
      <c r="A7569" s="4" t="s">
        <v>26748</v>
      </c>
      <c r="B7569" s="4" t="s">
        <v>15066</v>
      </c>
      <c r="C7569" s="16" t="str">
        <f>IFERROR(__xludf.DUMMYFUNCTION(""""""""" &amp; REGEXEXTRACT(B7569, ""/detail/([^/?]+)"") &amp; """""","""),"""gdjcjcbjnaelafcijbnceapahcgkpjkl"",")</f>
        <v>"gdjcjcbjnaelafcijbnceapahcgkpjkl",</v>
      </c>
    </row>
    <row r="7570">
      <c r="A7570" s="4" t="s">
        <v>26749</v>
      </c>
      <c r="B7570" s="4" t="s">
        <v>15068</v>
      </c>
      <c r="C7570" s="16" t="str">
        <f>IFERROR(__xludf.DUMMYFUNCTION(""""""""" &amp; REGEXEXTRACT(B7570, ""/detail/([^/?]+)"") &amp; """""","""),"""lhjaemlbbmojcmfcljjmbamecahgdlkp"",")</f>
        <v>"lhjaemlbbmojcmfcljjmbamecahgdlkp",</v>
      </c>
    </row>
    <row r="7571">
      <c r="A7571" s="4" t="s">
        <v>26750</v>
      </c>
      <c r="B7571" s="4" t="s">
        <v>15070</v>
      </c>
      <c r="C7571" s="16" t="str">
        <f>IFERROR(__xludf.DUMMYFUNCTION(""""""""" &amp; REGEXEXTRACT(B7571, ""/detail/([^/?]+)"") &amp; """""","""),"""ahiipffmcifaempjoeecollondfinbik"",")</f>
        <v>"ahiipffmcifaempjoeecollondfinbik",</v>
      </c>
    </row>
    <row r="7572">
      <c r="A7572" s="4" t="s">
        <v>26751</v>
      </c>
      <c r="B7572" s="4" t="s">
        <v>15072</v>
      </c>
      <c r="C7572" s="16" t="str">
        <f>IFERROR(__xludf.DUMMYFUNCTION(""""""""" &amp; REGEXEXTRACT(B7572, ""/detail/([^/?]+)"") &amp; """""","""),"""ebbkpmchomacmdjaoffadojmkinafemn"",")</f>
        <v>"ebbkpmchomacmdjaoffadojmkinafemn",</v>
      </c>
    </row>
    <row r="7573">
      <c r="A7573" s="4" t="s">
        <v>26752</v>
      </c>
      <c r="B7573" s="4" t="s">
        <v>15074</v>
      </c>
      <c r="C7573" s="16" t="str">
        <f>IFERROR(__xludf.DUMMYFUNCTION(""""""""" &amp; REGEXEXTRACT(B7573, ""/detail/([^/?]+)"") &amp; """""","""),"""fgjkdpncbpnlhbdbmelbhmapblgaamkl"",")</f>
        <v>"fgjkdpncbpnlhbdbmelbhmapblgaamkl",</v>
      </c>
    </row>
    <row r="7574">
      <c r="A7574" s="4" t="s">
        <v>26753</v>
      </c>
      <c r="B7574" s="4" t="s">
        <v>15076</v>
      </c>
      <c r="C7574" s="16" t="str">
        <f>IFERROR(__xludf.DUMMYFUNCTION(""""""""" &amp; REGEXEXTRACT(B7574, ""/detail/([^/?]+)"") &amp; """""","""),"""ifjngfpepgmgongpllodfdndmemnjgoc"",")</f>
        <v>"ifjngfpepgmgongpllodfdndmemnjgoc",</v>
      </c>
    </row>
    <row r="7575">
      <c r="A7575" s="4" t="s">
        <v>26754</v>
      </c>
      <c r="B7575" s="4" t="s">
        <v>15078</v>
      </c>
      <c r="C7575" s="16" t="str">
        <f>IFERROR(__xludf.DUMMYFUNCTION(""""""""" &amp; REGEXEXTRACT(B7575, ""/detail/([^/?]+)"") &amp; """""","""),"""jekgocfoijmbgcjejohdgmojaejofdpo"",")</f>
        <v>"jekgocfoijmbgcjejohdgmojaejofdpo",</v>
      </c>
    </row>
    <row r="7576">
      <c r="A7576" s="4" t="s">
        <v>26755</v>
      </c>
      <c r="B7576" s="4" t="s">
        <v>15080</v>
      </c>
      <c r="C7576" s="16" t="str">
        <f>IFERROR(__xludf.DUMMYFUNCTION(""""""""" &amp; REGEXEXTRACT(B7576, ""/detail/([^/?]+)"") &amp; """""","""),"""lcdgeiifbconcoiiinhednkdhoeafjjl"",")</f>
        <v>"lcdgeiifbconcoiiinhednkdhoeafjjl",</v>
      </c>
    </row>
    <row r="7577">
      <c r="A7577" s="4" t="s">
        <v>26756</v>
      </c>
      <c r="B7577" s="4" t="s">
        <v>15082</v>
      </c>
      <c r="C7577" s="16" t="str">
        <f>IFERROR(__xludf.DUMMYFUNCTION(""""""""" &amp; REGEXEXTRACT(B7577, ""/detail/([^/?]+)"") &amp; """""","""),"""oghohpnngiiaffelalcbfionkobcganp"",")</f>
        <v>"oghohpnngiiaffelalcbfionkobcganp",</v>
      </c>
    </row>
    <row r="7578">
      <c r="A7578" s="4" t="s">
        <v>26757</v>
      </c>
      <c r="B7578" s="4" t="s">
        <v>15084</v>
      </c>
      <c r="C7578" s="16" t="str">
        <f>IFERROR(__xludf.DUMMYFUNCTION(""""""""" &amp; REGEXEXTRACT(B7578, ""/detail/([^/?]+)"") &amp; """""","""),"""ehnmlbcepecoioeocjbdmmjggoanhpea"",")</f>
        <v>"ehnmlbcepecoioeocjbdmmjggoanhpea",</v>
      </c>
    </row>
    <row r="7579">
      <c r="A7579" s="4" t="s">
        <v>26758</v>
      </c>
      <c r="B7579" s="4" t="s">
        <v>15086</v>
      </c>
      <c r="C7579" s="16" t="str">
        <f>IFERROR(__xludf.DUMMYFUNCTION(""""""""" &amp; REGEXEXTRACT(B7579, ""/detail/([^/?]+)"") &amp; """""","""),"""okccjaoedfffkchmkcpphgkodojghdkp"",")</f>
        <v>"okccjaoedfffkchmkcpphgkodojghdkp",</v>
      </c>
    </row>
    <row r="7580">
      <c r="A7580" s="4" t="s">
        <v>26759</v>
      </c>
      <c r="B7580" s="4" t="s">
        <v>15088</v>
      </c>
      <c r="C7580" s="16" t="str">
        <f>IFERROR(__xludf.DUMMYFUNCTION(""""""""" &amp; REGEXEXTRACT(B7580, ""/detail/([^/?]+)"") &amp; """""","""),"""oifnhalickiahlaoacabfafjaibhhimo"",")</f>
        <v>"oifnhalickiahlaoacabfafjaibhhimo",</v>
      </c>
    </row>
    <row r="7581">
      <c r="A7581" s="4" t="s">
        <v>26760</v>
      </c>
      <c r="B7581" s="4" t="s">
        <v>15090</v>
      </c>
      <c r="C7581" s="16" t="str">
        <f>IFERROR(__xludf.DUMMYFUNCTION(""""""""" &amp; REGEXEXTRACT(B7581, ""/detail/([^/?]+)"") &amp; """""","""),"""aeflneddfelkgikdfnmgiabepophecje"",")</f>
        <v>"aeflneddfelkgikdfnmgiabepophecje",</v>
      </c>
    </row>
    <row r="7582">
      <c r="A7582" s="4" t="s">
        <v>26761</v>
      </c>
      <c r="B7582" s="4" t="s">
        <v>15092</v>
      </c>
      <c r="C7582" s="16" t="str">
        <f>IFERROR(__xludf.DUMMYFUNCTION(""""""""" &amp; REGEXEXTRACT(B7582, ""/detail/([^/?]+)"") &amp; """""","""),"""bejidemagjhbekdamhdfcgdaaiagmbdl"",")</f>
        <v>"bejidemagjhbekdamhdfcgdaaiagmbdl",</v>
      </c>
    </row>
    <row r="7583">
      <c r="A7583" s="4" t="s">
        <v>26762</v>
      </c>
      <c r="B7583" s="4" t="s">
        <v>15094</v>
      </c>
      <c r="C7583" s="16" t="str">
        <f>IFERROR(__xludf.DUMMYFUNCTION(""""""""" &amp; REGEXEXTRACT(B7583, ""/detail/([^/?]+)"") &amp; """""","""),"""dmoidpfmmhnchjngdjcbkpdjfmhkpnjg"",")</f>
        <v>"dmoidpfmmhnchjngdjcbkpdjfmhkpnjg",</v>
      </c>
    </row>
    <row r="7584">
      <c r="A7584" s="4" t="s">
        <v>26763</v>
      </c>
      <c r="B7584" s="4" t="s">
        <v>15096</v>
      </c>
      <c r="C7584" s="16" t="str">
        <f>IFERROR(__xludf.DUMMYFUNCTION(""""""""" &amp; REGEXEXTRACT(B7584, ""/detail/([^/?]+)"") &amp; """""","""),"""dnjgjckjnbdecolmjdooahpcmihdmked"",")</f>
        <v>"dnjgjckjnbdecolmjdooahpcmihdmked",</v>
      </c>
    </row>
    <row r="7585">
      <c r="A7585" s="4" t="s">
        <v>26764</v>
      </c>
      <c r="B7585" s="4" t="s">
        <v>15098</v>
      </c>
      <c r="C7585" s="16" t="str">
        <f>IFERROR(__xludf.DUMMYFUNCTION(""""""""" &amp; REGEXEXTRACT(B7585, ""/detail/([^/?]+)"") &amp; """""","""),"""eblobdnhbollnjjnfigjobhldpfeiejd"",")</f>
        <v>"eblobdnhbollnjjnfigjobhldpfeiejd",</v>
      </c>
    </row>
    <row r="7586">
      <c r="A7586" s="4" t="s">
        <v>26765</v>
      </c>
      <c r="B7586" s="4" t="s">
        <v>15100</v>
      </c>
      <c r="C7586" s="16" t="str">
        <f>IFERROR(__xludf.DUMMYFUNCTION(""""""""" &amp; REGEXEXTRACT(B7586, ""/detail/([^/?]+)"") &amp; """""","""),"""nfefoppdjaidappikcjaeapgdkdjlngp"",")</f>
        <v>"nfefoppdjaidappikcjaeapgdkdjlngp",</v>
      </c>
    </row>
    <row r="7587">
      <c r="A7587" s="4" t="s">
        <v>26766</v>
      </c>
      <c r="B7587" s="4" t="s">
        <v>15102</v>
      </c>
      <c r="C7587" s="16" t="str">
        <f>IFERROR(__xludf.DUMMYFUNCTION(""""""""" &amp; REGEXEXTRACT(B7587, ""/detail/([^/?]+)"") &amp; """""","""),"""ocndcadaneceimkfpidpepichhfgonem"",")</f>
        <v>"ocndcadaneceimkfpidpepichhfgonem",</v>
      </c>
    </row>
    <row r="7588">
      <c r="A7588" s="4" t="s">
        <v>26767</v>
      </c>
      <c r="B7588" s="4" t="s">
        <v>15104</v>
      </c>
      <c r="C7588" s="16" t="str">
        <f>IFERROR(__xludf.DUMMYFUNCTION(""""""""" &amp; REGEXEXTRACT(B7588, ""/detail/([^/?]+)"") &amp; """""","""),"""bjcbfemjpjpoiefolemocadinijjdmgd"",")</f>
        <v>"bjcbfemjpjpoiefolemocadinijjdmgd",</v>
      </c>
    </row>
    <row r="7589">
      <c r="A7589" s="4" t="s">
        <v>26768</v>
      </c>
      <c r="B7589" s="4" t="s">
        <v>15106</v>
      </c>
      <c r="C7589" s="16" t="str">
        <f>IFERROR(__xludf.DUMMYFUNCTION(""""""""" &amp; REGEXEXTRACT(B7589, ""/detail/([^/?]+)"") &amp; """""","""),"""ooaiehbfngcjjeaiedpffeajkeleikpl"",")</f>
        <v>"ooaiehbfngcjjeaiedpffeajkeleikpl",</v>
      </c>
    </row>
    <row r="7590">
      <c r="A7590" s="4" t="s">
        <v>26769</v>
      </c>
      <c r="B7590" s="4" t="s">
        <v>15108</v>
      </c>
      <c r="C7590" s="16" t="str">
        <f>IFERROR(__xludf.DUMMYFUNCTION(""""""""" &amp; REGEXEXTRACT(B7590, ""/detail/([^/?]+)"") &amp; """""","""),"""alannkadjimikdglagjkfdnmcdjkahhc"",")</f>
        <v>"alannkadjimikdglagjkfdnmcdjkahhc",</v>
      </c>
    </row>
    <row r="7591">
      <c r="A7591" s="4" t="s">
        <v>26770</v>
      </c>
      <c r="B7591" s="4" t="s">
        <v>15110</v>
      </c>
      <c r="C7591" s="16" t="str">
        <f>IFERROR(__xludf.DUMMYFUNCTION(""""""""" &amp; REGEXEXTRACT(B7591, ""/detail/([^/?]+)"") &amp; """""","""),"""bnbaljnenddkjfkifdlkjjobccebnone"",")</f>
        <v>"bnbaljnenddkjfkifdlkjjobccebnone",</v>
      </c>
    </row>
    <row r="7592">
      <c r="A7592" s="4" t="s">
        <v>26771</v>
      </c>
      <c r="B7592" s="4" t="s">
        <v>15112</v>
      </c>
      <c r="C7592" s="16" t="str">
        <f>IFERROR(__xludf.DUMMYFUNCTION(""""""""" &amp; REGEXEXTRACT(B7592, ""/detail/([^/?]+)"") &amp; """""","""),"""chgmjmpmfefgaiogdnnjbfcbgcflofgi"",")</f>
        <v>"chgmjmpmfefgaiogdnnjbfcbgcflofgi",</v>
      </c>
    </row>
    <row r="7593">
      <c r="A7593" s="10" t="s">
        <v>26772</v>
      </c>
      <c r="B7593" s="4" t="s">
        <v>15114</v>
      </c>
      <c r="C7593" s="16" t="str">
        <f>IFERROR(__xludf.DUMMYFUNCTION(""""""""" &amp; REGEXEXTRACT(B7593, ""/detail/([^/?]+)"") &amp; """""","""),"""nkldpaeekcifioadclceajbacngjippj"",")</f>
        <v>"nkldpaeekcifioadclceajbacngjippj",</v>
      </c>
    </row>
    <row r="7594">
      <c r="A7594" s="4" t="s">
        <v>26773</v>
      </c>
      <c r="B7594" s="4" t="s">
        <v>15116</v>
      </c>
      <c r="C7594" s="16" t="str">
        <f>IFERROR(__xludf.DUMMYFUNCTION(""""""""" &amp; REGEXEXTRACT(B7594, ""/detail/([^/?]+)"") &amp; """""","""),"""piechbhjioolbecaioglhamjjjkmbchj"",")</f>
        <v>"piechbhjioolbecaioglhamjjjkmbchj",</v>
      </c>
    </row>
    <row r="7595">
      <c r="A7595" s="4" t="s">
        <v>26774</v>
      </c>
      <c r="B7595" s="4" t="s">
        <v>15118</v>
      </c>
      <c r="C7595" s="16" t="str">
        <f>IFERROR(__xludf.DUMMYFUNCTION(""""""""" &amp; REGEXEXTRACT(B7595, ""/detail/([^/?]+)"") &amp; """""","""),"""akoiagmmfbjephlbkncmnpdakfklipjd"",")</f>
        <v>"akoiagmmfbjephlbkncmnpdakfklipjd",</v>
      </c>
    </row>
    <row r="7596">
      <c r="A7596" s="4" t="s">
        <v>26775</v>
      </c>
      <c r="B7596" s="4" t="s">
        <v>15120</v>
      </c>
      <c r="C7596" s="16" t="str">
        <f>IFERROR(__xludf.DUMMYFUNCTION(""""""""" &amp; REGEXEXTRACT(B7596, ""/detail/([^/?]+)"") &amp; """""","""),"""bjlhicepbkpkkejkaekdbdlanioklnlh"",")</f>
        <v>"bjlhicepbkpkkejkaekdbdlanioklnlh",</v>
      </c>
    </row>
    <row r="7597">
      <c r="A7597" s="4" t="s">
        <v>26776</v>
      </c>
      <c r="B7597" s="4" t="s">
        <v>15122</v>
      </c>
      <c r="C7597" s="16" t="str">
        <f>IFERROR(__xludf.DUMMYFUNCTION(""""""""" &amp; REGEXEXTRACT(B7597, ""/detail/([^/?]+)"") &amp; """""","""),"""cmpcfkahodbaemmenjllgkhhcihhinmk"",")</f>
        <v>"cmpcfkahodbaemmenjllgkhhcihhinmk",</v>
      </c>
    </row>
    <row r="7598">
      <c r="A7598" s="4" t="s">
        <v>26777</v>
      </c>
      <c r="B7598" s="4" t="s">
        <v>15124</v>
      </c>
      <c r="C7598" s="16" t="str">
        <f>IFERROR(__xludf.DUMMYFUNCTION(""""""""" &amp; REGEXEXTRACT(B7598, ""/detail/([^/?]+)"") &amp; """""","""),"""ddbjabcmjjifognjcopebcllgpbdjlbm"",")</f>
        <v>"ddbjabcmjjifognjcopebcllgpbdjlbm",</v>
      </c>
    </row>
    <row r="7599">
      <c r="A7599" s="4" t="s">
        <v>26778</v>
      </c>
      <c r="B7599" s="4" t="s">
        <v>15126</v>
      </c>
      <c r="C7599" s="16" t="str">
        <f>IFERROR(__xludf.DUMMYFUNCTION(""""""""" &amp; REGEXEXTRACT(B7599, ""/detail/([^/?]+)"") &amp; """""","""),"""jpdfbendalpmcbdekkmldlkcklpcafma"",")</f>
        <v>"jpdfbendalpmcbdekkmldlkcklpcafma",</v>
      </c>
    </row>
    <row r="7600">
      <c r="A7600" s="4" t="s">
        <v>26779</v>
      </c>
      <c r="B7600" s="4" t="s">
        <v>15128</v>
      </c>
      <c r="C7600" s="16" t="str">
        <f>IFERROR(__xludf.DUMMYFUNCTION(""""""""" &amp; REGEXEXTRACT(B7600, ""/detail/([^/?]+)"") &amp; """""","""),"""kghegibponmiflnifgdcgjbmkbjpibhc"",")</f>
        <v>"kghegibponmiflnifgdcgjbmkbjpibhc",</v>
      </c>
    </row>
    <row r="7601">
      <c r="A7601" s="4" t="s">
        <v>26780</v>
      </c>
      <c r="B7601" s="4" t="s">
        <v>15130</v>
      </c>
      <c r="C7601" s="16" t="str">
        <f>IFERROR(__xludf.DUMMYFUNCTION(""""""""" &amp; REGEXEXTRACT(B7601, ""/detail/([^/?]+)"") &amp; """""","""),"""kplmddgdeigcadlfohcelfefiinfghpi"",")</f>
        <v>"kplmddgdeigcadlfohcelfefiinfghpi",</v>
      </c>
    </row>
    <row r="7602">
      <c r="A7602" s="4" t="s">
        <v>26781</v>
      </c>
      <c r="B7602" s="4" t="s">
        <v>15132</v>
      </c>
      <c r="C7602" s="16" t="str">
        <f>IFERROR(__xludf.DUMMYFUNCTION(""""""""" &amp; REGEXEXTRACT(B7602, ""/detail/([^/?]+)"") &amp; """""","""),"""lljiafmnknbhhffbiglmibneedmlkahl"",")</f>
        <v>"lljiafmnknbhhffbiglmibneedmlkahl",</v>
      </c>
    </row>
    <row r="7603">
      <c r="A7603" s="4" t="s">
        <v>26782</v>
      </c>
      <c r="B7603" s="4" t="s">
        <v>15134</v>
      </c>
      <c r="C7603" s="16" t="str">
        <f>IFERROR(__xludf.DUMMYFUNCTION(""""""""" &amp; REGEXEXTRACT(B7603, ""/detail/([^/?]+)"") &amp; """""","""),"""gbeoaipiglfibhkgiodjkbgcfhjgiekd"",")</f>
        <v>"gbeoaipiglfibhkgiodjkbgcfhjgiekd",</v>
      </c>
    </row>
    <row r="7604">
      <c r="A7604" s="4" t="s">
        <v>26783</v>
      </c>
      <c r="B7604" s="4" t="s">
        <v>15136</v>
      </c>
      <c r="C7604" s="16" t="str">
        <f>IFERROR(__xludf.DUMMYFUNCTION(""""""""" &amp; REGEXEXTRACT(B7604, ""/detail/([^/?]+)"") &amp; """""","""),"""lcdbbcnacdhighpoilpfbccjjgjknjpg"",")</f>
        <v>"lcdbbcnacdhighpoilpfbccjjgjknjpg",</v>
      </c>
    </row>
    <row r="7605">
      <c r="A7605" s="4" t="s">
        <v>26784</v>
      </c>
      <c r="B7605" s="4" t="s">
        <v>15138</v>
      </c>
      <c r="C7605" s="16" t="str">
        <f>IFERROR(__xludf.DUMMYFUNCTION(""""""""" &amp; REGEXEXTRACT(B7605, ""/detail/([^/?]+)"") &amp; """""","""),"""lmgidnfcnjmijbmphpellnclmgahadjn"",")</f>
        <v>"lmgidnfcnjmijbmphpellnclmgahadjn",</v>
      </c>
    </row>
    <row r="7606">
      <c r="A7606" s="4" t="s">
        <v>26785</v>
      </c>
      <c r="B7606" s="4" t="s">
        <v>15140</v>
      </c>
      <c r="C7606" s="16" t="str">
        <f>IFERROR(__xludf.DUMMYFUNCTION(""""""""" &amp; REGEXEXTRACT(B7606, ""/detail/([^/?]+)"") &amp; """""","""),"""okielmjkemkemnliimmofopifejnbjel"",")</f>
        <v>"okielmjkemkemnliimmofopifejnbjel",</v>
      </c>
    </row>
    <row r="7607">
      <c r="A7607" s="4" t="s">
        <v>26786</v>
      </c>
      <c r="B7607" s="4" t="s">
        <v>15142</v>
      </c>
      <c r="C7607" s="16" t="str">
        <f>IFERROR(__xludf.DUMMYFUNCTION(""""""""" &amp; REGEXEXTRACT(B7607, ""/detail/([^/?]+)"") &amp; """""","""),"""bokmadidlcdmkcjpobcknkojgfjdhjpl"",")</f>
        <v>"bokmadidlcdmkcjpobcknkojgfjdhjpl",</v>
      </c>
    </row>
    <row r="7608">
      <c r="A7608" s="4" t="s">
        <v>26787</v>
      </c>
      <c r="B7608" s="4" t="s">
        <v>15144</v>
      </c>
      <c r="C7608" s="16" t="str">
        <f>IFERROR(__xludf.DUMMYFUNCTION(""""""""" &amp; REGEXEXTRACT(B7608, ""/detail/([^/?]+)"") &amp; """""","""),"""cpaihklfamokgdbpnkkmeihednbefmom"",")</f>
        <v>"cpaihklfamokgdbpnkkmeihednbefmom",</v>
      </c>
    </row>
    <row r="7609">
      <c r="A7609" s="4" t="s">
        <v>26788</v>
      </c>
      <c r="B7609" s="4" t="s">
        <v>15146</v>
      </c>
      <c r="C7609" s="16" t="str">
        <f>IFERROR(__xludf.DUMMYFUNCTION(""""""""" &amp; REGEXEXTRACT(B7609, ""/detail/([^/?]+)"") &amp; """""","""),"""iapmmomaihcdpgkblagkodelfkijckfn"",")</f>
        <v>"iapmmomaihcdpgkblagkodelfkijckfn",</v>
      </c>
    </row>
    <row r="7610">
      <c r="A7610" s="4" t="s">
        <v>26789</v>
      </c>
      <c r="B7610" s="4" t="s">
        <v>15148</v>
      </c>
      <c r="C7610" s="16" t="str">
        <f>IFERROR(__xludf.DUMMYFUNCTION(""""""""" &amp; REGEXEXTRACT(B7610, ""/detail/([^/?]+)"") &amp; """""","""),"""ddnipedkkjbiclaomlalefpeljjamhma"",")</f>
        <v>"ddnipedkkjbiclaomlalefpeljjamhma",</v>
      </c>
    </row>
    <row r="7611">
      <c r="A7611" s="4" t="s">
        <v>26790</v>
      </c>
      <c r="B7611" s="4" t="s">
        <v>15150</v>
      </c>
      <c r="C7611" s="16" t="str">
        <f>IFERROR(__xludf.DUMMYFUNCTION(""""""""" &amp; REGEXEXTRACT(B7611, ""/detail/([^/?]+)"") &amp; """""","""),"""ogdgigafmglfomohcijjjopobmenabed"",")</f>
        <v>"ogdgigafmglfomohcijjjopobmenabed",</v>
      </c>
    </row>
    <row r="7612">
      <c r="A7612" s="4" t="s">
        <v>26791</v>
      </c>
      <c r="B7612" s="4" t="s">
        <v>15152</v>
      </c>
      <c r="C7612" s="16" t="str">
        <f>IFERROR(__xludf.DUMMYFUNCTION(""""""""" &amp; REGEXEXTRACT(B7612, ""/detail/([^/?]+)"") &amp; """""","""),"""pjoibejadaddgagcjlibeacpnngdhlhi"",")</f>
        <v>"pjoibejadaddgagcjlibeacpnngdhlhi",</v>
      </c>
    </row>
    <row r="7613">
      <c r="A7613" s="4" t="s">
        <v>26792</v>
      </c>
      <c r="B7613" s="4" t="s">
        <v>15154</v>
      </c>
      <c r="C7613" s="16" t="str">
        <f>IFERROR(__xludf.DUMMYFUNCTION(""""""""" &amp; REGEXEXTRACT(B7613, ""/detail/([^/?]+)"") &amp; """""","""),"""bcmbdjphemaclhjbkaejcaffeddkmjco"",")</f>
        <v>"bcmbdjphemaclhjbkaejcaffeddkmjco",</v>
      </c>
    </row>
    <row r="7614">
      <c r="A7614" s="4" t="s">
        <v>26793</v>
      </c>
      <c r="B7614" s="4" t="s">
        <v>15156</v>
      </c>
      <c r="C7614" s="16" t="str">
        <f>IFERROR(__xludf.DUMMYFUNCTION(""""""""" &amp; REGEXEXTRACT(B7614, ""/detail/([^/?]+)"") &amp; """""","""),"""jphpicdnjkfdblcdbjklpeananfcodha"",")</f>
        <v>"jphpicdnjkfdblcdbjklpeananfcodha",</v>
      </c>
    </row>
    <row r="7615">
      <c r="A7615" s="4" t="s">
        <v>26794</v>
      </c>
      <c r="B7615" s="4" t="s">
        <v>15158</v>
      </c>
      <c r="C7615" s="16" t="str">
        <f>IFERROR(__xludf.DUMMYFUNCTION(""""""""" &amp; REGEXEXTRACT(B7615, ""/detail/([^/?]+)"") &amp; """""","""),"""kdnkcnookmaakjnlggihmijapnjonbng"",")</f>
        <v>"kdnkcnookmaakjnlggihmijapnjonbng",</v>
      </c>
    </row>
    <row r="7616">
      <c r="A7616" s="4" t="s">
        <v>26795</v>
      </c>
      <c r="B7616" s="4" t="s">
        <v>15160</v>
      </c>
      <c r="C7616" s="16" t="str">
        <f>IFERROR(__xludf.DUMMYFUNCTION(""""""""" &amp; REGEXEXTRACT(B7616, ""/detail/([^/?]+)"") &amp; """""","""),"""kppeghgjfhkpgbnjoacjjmicedhdmfmb"",")</f>
        <v>"kppeghgjfhkpgbnjoacjjmicedhdmfmb",</v>
      </c>
    </row>
    <row r="7617">
      <c r="A7617" s="4" t="s">
        <v>26796</v>
      </c>
      <c r="B7617" s="4" t="s">
        <v>15162</v>
      </c>
      <c r="C7617" s="16" t="str">
        <f>IFERROR(__xludf.DUMMYFUNCTION(""""""""" &amp; REGEXEXTRACT(B7617, ""/detail/([^/?]+)"") &amp; """""","""),"""meknbncbeioaffkoibipojfjibmfbnld"",")</f>
        <v>"meknbncbeioaffkoibipojfjibmfbnld",</v>
      </c>
    </row>
    <row r="7618">
      <c r="A7618" s="4" t="s">
        <v>26797</v>
      </c>
      <c r="B7618" s="4" t="s">
        <v>15164</v>
      </c>
      <c r="C7618" s="16" t="str">
        <f>IFERROR(__xludf.DUMMYFUNCTION(""""""""" &amp; REGEXEXTRACT(B7618, ""/detail/([^/?]+)"") &amp; """""","""),"""ccijmcaojoicndalnhngocagddcnpdln"",")</f>
        <v>"ccijmcaojoicndalnhngocagddcnpdln",</v>
      </c>
    </row>
    <row r="7619">
      <c r="A7619" s="4" t="s">
        <v>26798</v>
      </c>
      <c r="B7619" s="4" t="s">
        <v>15166</v>
      </c>
      <c r="C7619" s="16" t="str">
        <f>IFERROR(__xludf.DUMMYFUNCTION(""""""""" &amp; REGEXEXTRACT(B7619, ""/detail/([^/?]+)"") &amp; """""","""),"""hmdacajmldpieoadpgloddgkeamdhoka"",")</f>
        <v>"hmdacajmldpieoadpgloddgkeamdhoka",</v>
      </c>
    </row>
    <row r="7620">
      <c r="A7620" s="4" t="s">
        <v>26799</v>
      </c>
      <c r="B7620" s="4" t="s">
        <v>15168</v>
      </c>
      <c r="C7620" s="16" t="str">
        <f>IFERROR(__xludf.DUMMYFUNCTION(""""""""" &amp; REGEXEXTRACT(B7620, ""/detail/([^/?]+)"") &amp; """""","""),"""imhafmhikkdannadmlekonhplfmfdddf"",")</f>
        <v>"imhafmhikkdannadmlekonhplfmfdddf",</v>
      </c>
    </row>
    <row r="7621">
      <c r="A7621" s="4" t="s">
        <v>26800</v>
      </c>
      <c r="B7621" s="4" t="s">
        <v>15170</v>
      </c>
      <c r="C7621" s="16" t="str">
        <f>IFERROR(__xludf.DUMMYFUNCTION(""""""""" &amp; REGEXEXTRACT(B7621, ""/detail/([^/?]+)"") &amp; """""","""),"""khjjlmjkpgmabocimfcbkbpecnpiocae"",")</f>
        <v>"khjjlmjkpgmabocimfcbkbpecnpiocae",</v>
      </c>
    </row>
    <row r="7622">
      <c r="A7622" s="4" t="s">
        <v>26801</v>
      </c>
      <c r="B7622" s="4" t="s">
        <v>15172</v>
      </c>
      <c r="C7622" s="16" t="str">
        <f>IFERROR(__xludf.DUMMYFUNCTION(""""""""" &amp; REGEXEXTRACT(B7622, ""/detail/([^/?]+)"") &amp; """""","""),"""kknoembcnnnhefehcmegppchcmggaafo"",")</f>
        <v>"kknoembcnnnhefehcmegppchcmggaafo",</v>
      </c>
    </row>
    <row r="7623">
      <c r="A7623" s="4" t="s">
        <v>26802</v>
      </c>
      <c r="B7623" s="4" t="s">
        <v>15174</v>
      </c>
      <c r="C7623" s="16" t="str">
        <f>IFERROR(__xludf.DUMMYFUNCTION(""""""""" &amp; REGEXEXTRACT(B7623, ""/detail/([^/?]+)"") &amp; """""","""),"""lfjbbgdkogjkmkhdcnjeipnmceenjjhi"",")</f>
        <v>"lfjbbgdkogjkmkhdcnjeipnmceenjjhi",</v>
      </c>
    </row>
    <row r="7624">
      <c r="A7624" s="4" t="s">
        <v>26803</v>
      </c>
      <c r="B7624" s="4" t="s">
        <v>15176</v>
      </c>
      <c r="C7624" s="16" t="str">
        <f>IFERROR(__xludf.DUMMYFUNCTION(""""""""" &amp; REGEXEXTRACT(B7624, ""/detail/([^/?]+)"") &amp; """""","""),"""lgldfljbefcgfallmeiflghmgoklamnp"",")</f>
        <v>"lgldfljbefcgfallmeiflghmgoklamnp",</v>
      </c>
    </row>
    <row r="7625">
      <c r="A7625" s="4" t="s">
        <v>26804</v>
      </c>
      <c r="B7625" s="4" t="s">
        <v>15178</v>
      </c>
      <c r="C7625" s="16" t="str">
        <f>IFERROR(__xludf.DUMMYFUNCTION(""""""""" &amp; REGEXEXTRACT(B7625, ""/detail/([^/?]+)"") &amp; """""","""),"""dmgpiodabbkeicgkhpokecnlpjddjmah"",")</f>
        <v>"dmgpiodabbkeicgkhpokecnlpjddjmah",</v>
      </c>
    </row>
    <row r="7626">
      <c r="A7626" s="4" t="s">
        <v>26805</v>
      </c>
      <c r="B7626" s="4" t="s">
        <v>15180</v>
      </c>
      <c r="C7626" s="16" t="str">
        <f>IFERROR(__xludf.DUMMYFUNCTION(""""""""" &amp; REGEXEXTRACT(B7626, ""/detail/([^/?]+)"") &amp; """""","""),"""iekjfdepgjlgmcpcdcnndbhlohplepag"",")</f>
        <v>"iekjfdepgjlgmcpcdcnndbhlohplepag",</v>
      </c>
    </row>
    <row r="7627">
      <c r="A7627" s="4" t="s">
        <v>26806</v>
      </c>
      <c r="B7627" s="4" t="s">
        <v>15182</v>
      </c>
      <c r="C7627" s="16" t="str">
        <f>IFERROR(__xludf.DUMMYFUNCTION(""""""""" &amp; REGEXEXTRACT(B7627, ""/detail/([^/?]+)"") &amp; """""","""),"""ikcamkknjfdplkdjjncobgmpciklohjg"",")</f>
        <v>"ikcamkknjfdplkdjjncobgmpciklohjg",</v>
      </c>
    </row>
    <row r="7628">
      <c r="A7628" s="4" t="s">
        <v>26807</v>
      </c>
      <c r="B7628" s="4" t="s">
        <v>15184</v>
      </c>
      <c r="C7628" s="16" t="str">
        <f>IFERROR(__xludf.DUMMYFUNCTION(""""""""" &amp; REGEXEXTRACT(B7628, ""/detail/([^/?]+)"") &amp; """""","""),"""ljbnpeeemagmenbfmdodgflmdgdmcfhk"",")</f>
        <v>"ljbnpeeemagmenbfmdodgflmdgdmcfhk",</v>
      </c>
    </row>
    <row r="7629">
      <c r="A7629" s="4" t="s">
        <v>26808</v>
      </c>
      <c r="B7629" s="4" t="s">
        <v>15186</v>
      </c>
      <c r="C7629" s="16" t="str">
        <f>IFERROR(__xludf.DUMMYFUNCTION(""""""""" &amp; REGEXEXTRACT(B7629, ""/detail/([^/?]+)"") &amp; """""","""),"""oaihjfifleeodajknhocogepkoomgecm"",")</f>
        <v>"oaihjfifleeodajknhocogepkoomgecm",</v>
      </c>
    </row>
    <row r="7630">
      <c r="A7630" s="4" t="s">
        <v>26809</v>
      </c>
      <c r="B7630" s="4" t="s">
        <v>15188</v>
      </c>
      <c r="C7630" s="16" t="str">
        <f>IFERROR(__xludf.DUMMYFUNCTION(""""""""" &amp; REGEXEXTRACT(B7630, ""/detail/([^/?]+)"") &amp; """""","""),"""enfbeenkpdphfmgngblcghfndcnpopmf"",")</f>
        <v>"enfbeenkpdphfmgngblcghfndcnpopmf",</v>
      </c>
    </row>
    <row r="7631">
      <c r="A7631" s="4" t="s">
        <v>26810</v>
      </c>
      <c r="B7631" s="4" t="s">
        <v>15190</v>
      </c>
      <c r="C7631" s="16" t="str">
        <f>IFERROR(__xludf.DUMMYFUNCTION(""""""""" &amp; REGEXEXTRACT(B7631, ""/detail/([^/?]+)"") &amp; """""","""),"""ifhenecelemoiingiaipaicpnmkhiohn"",")</f>
        <v>"ifhenecelemoiingiaipaicpnmkhiohn",</v>
      </c>
    </row>
    <row r="7632">
      <c r="A7632" s="4" t="s">
        <v>26811</v>
      </c>
      <c r="B7632" s="4" t="s">
        <v>15192</v>
      </c>
      <c r="C7632" s="16" t="str">
        <f>IFERROR(__xludf.DUMMYFUNCTION(""""""""" &amp; REGEXEXTRACT(B7632, ""/detail/([^/?]+)"") &amp; """""","""),"""kbglaobalcgfdgbbjinnnfmnfafomdcl"",")</f>
        <v>"kbglaobalcgfdgbbjinnnfmnfafomdcl",</v>
      </c>
    </row>
    <row r="7633">
      <c r="A7633" s="4" t="s">
        <v>26812</v>
      </c>
      <c r="B7633" s="4" t="s">
        <v>15194</v>
      </c>
      <c r="C7633" s="16" t="str">
        <f>IFERROR(__xludf.DUMMYFUNCTION(""""""""" &amp; REGEXEXTRACT(B7633, ""/detail/([^/?]+)"") &amp; """""","""),"""nddpfgkpjnclmibmhoonganoagoccoeo"",")</f>
        <v>"nddpfgkpjnclmibmhoonganoagoccoeo",</v>
      </c>
    </row>
    <row r="7634">
      <c r="A7634" s="4" t="s">
        <v>26813</v>
      </c>
      <c r="B7634" s="4" t="s">
        <v>15196</v>
      </c>
      <c r="C7634" s="16" t="str">
        <f>IFERROR(__xludf.DUMMYFUNCTION(""""""""" &amp; REGEXEXTRACT(B7634, ""/detail/([^/?]+)"") &amp; """""","""),"""pdmkbfmeeijoafnndpcldheaimcibdln"",")</f>
        <v>"pdmkbfmeeijoafnndpcldheaimcibdln",</v>
      </c>
    </row>
    <row r="7635">
      <c r="A7635" s="4" t="s">
        <v>26814</v>
      </c>
      <c r="B7635" s="4" t="s">
        <v>15198</v>
      </c>
      <c r="C7635" s="16" t="str">
        <f>IFERROR(__xludf.DUMMYFUNCTION(""""""""" &amp; REGEXEXTRACT(B7635, ""/detail/([^/?]+)"") &amp; """""","""),"""phoocmemlibnehglfgjfhogfohjmglgh"",")</f>
        <v>"phoocmemlibnehglfgjfhogfohjmglgh",</v>
      </c>
    </row>
    <row r="7636">
      <c r="A7636" s="4" t="s">
        <v>26815</v>
      </c>
      <c r="B7636" s="4" t="s">
        <v>15200</v>
      </c>
      <c r="C7636" s="16" t="str">
        <f>IFERROR(__xludf.DUMMYFUNCTION(""""""""" &amp; REGEXEXTRACT(B7636, ""/detail/([^/?]+)"") &amp; """""","""),"""aikmakbdhkfnfjhjbhakiipegcminlco"",")</f>
        <v>"aikmakbdhkfnfjhjbhakiipegcminlco",</v>
      </c>
    </row>
    <row r="7637">
      <c r="A7637" s="4" t="s">
        <v>26816</v>
      </c>
      <c r="B7637" s="4" t="s">
        <v>15202</v>
      </c>
      <c r="C7637" s="16" t="str">
        <f>IFERROR(__xludf.DUMMYFUNCTION(""""""""" &amp; REGEXEXTRACT(B7637, ""/detail/([^/?]+)"") &amp; """""","""),"""hodmmnlcinpkhnkkmfdbblcdnfffakgk"",")</f>
        <v>"hodmmnlcinpkhnkkmfdbblcdnfffakgk",</v>
      </c>
    </row>
    <row r="7638">
      <c r="A7638" s="4" t="s">
        <v>26817</v>
      </c>
      <c r="B7638" s="4" t="s">
        <v>15204</v>
      </c>
      <c r="C7638" s="16" t="str">
        <f>IFERROR(__xludf.DUMMYFUNCTION(""""""""" &amp; REGEXEXTRACT(B7638, ""/detail/([^/?]+)"") &amp; """""","""),"""ihflmpjhkokbfgcjcamhpbibpccepmgp"",")</f>
        <v>"ihflmpjhkokbfgcjcamhpbibpccepmgp",</v>
      </c>
    </row>
    <row r="7639">
      <c r="A7639" s="4" t="s">
        <v>26818</v>
      </c>
      <c r="B7639" s="4" t="s">
        <v>15206</v>
      </c>
      <c r="C7639" s="16" t="str">
        <f>IFERROR(__xludf.DUMMYFUNCTION(""""""""" &amp; REGEXEXTRACT(B7639, ""/detail/([^/?]+)"") &amp; """""","""),"""jbdmdkcjhnceacdkahhpfpijcohplgaj"",")</f>
        <v>"jbdmdkcjhnceacdkahhpfpijcohplgaj",</v>
      </c>
    </row>
    <row r="7640">
      <c r="A7640" s="4" t="s">
        <v>26819</v>
      </c>
      <c r="B7640" s="4" t="s">
        <v>15208</v>
      </c>
      <c r="C7640" s="16" t="str">
        <f>IFERROR(__xludf.DUMMYFUNCTION(""""""""" &amp; REGEXEXTRACT(B7640, ""/detail/([^/?]+)"") &amp; """""","""),"""jdebomfefkcmclmmdcjjifflngionnaj"",")</f>
        <v>"jdebomfefkcmclmmdcjjifflngionnaj",</v>
      </c>
    </row>
    <row r="7641">
      <c r="A7641" s="4" t="s">
        <v>26820</v>
      </c>
      <c r="B7641" s="4" t="s">
        <v>15210</v>
      </c>
      <c r="C7641" s="16" t="str">
        <f>IFERROR(__xludf.DUMMYFUNCTION(""""""""" &amp; REGEXEXTRACT(B7641, ""/detail/([^/?]+)"") &amp; """""","""),"""lmhpcmdjibbhkebfmbomehkfccllefnd"",")</f>
        <v>"lmhpcmdjibbhkebfmbomehkfccllefnd",</v>
      </c>
    </row>
    <row r="7642">
      <c r="A7642" s="4" t="s">
        <v>26821</v>
      </c>
      <c r="B7642" s="4" t="s">
        <v>15212</v>
      </c>
      <c r="C7642" s="16" t="str">
        <f>IFERROR(__xludf.DUMMYFUNCTION(""""""""" &amp; REGEXEXTRACT(B7642, ""/detail/([^/?]+)"") &amp; """""","""),"""bapegenmjdffnjoccdfmcpbacdcngnkj"",")</f>
        <v>"bapegenmjdffnjoccdfmcpbacdcngnkj",</v>
      </c>
    </row>
    <row r="7643">
      <c r="A7643" s="4" t="s">
        <v>26822</v>
      </c>
      <c r="B7643" s="4" t="s">
        <v>15214</v>
      </c>
      <c r="C7643" s="16" t="str">
        <f>IFERROR(__xludf.DUMMYFUNCTION(""""""""" &amp; REGEXEXTRACT(B7643, ""/detail/([^/?]+)"") &amp; """""","""),"""cmdfdklimdbgkakbnplpohmekimalljl"",")</f>
        <v>"cmdfdklimdbgkakbnplpohmekimalljl",</v>
      </c>
    </row>
    <row r="7644">
      <c r="A7644" s="4" t="s">
        <v>26823</v>
      </c>
      <c r="B7644" s="4" t="s">
        <v>15216</v>
      </c>
      <c r="C7644" s="16" t="str">
        <f>IFERROR(__xludf.DUMMYFUNCTION(""""""""" &amp; REGEXEXTRACT(B7644, ""/detail/([^/?]+)"") &amp; """""","""),"""hmfmlgccdmgkcpegeljdiffgaemhopmi"",")</f>
        <v>"hmfmlgccdmgkcpegeljdiffgaemhopmi",</v>
      </c>
    </row>
    <row r="7645">
      <c r="A7645" s="4" t="s">
        <v>26824</v>
      </c>
      <c r="B7645" s="4" t="s">
        <v>15218</v>
      </c>
      <c r="C7645" s="16" t="str">
        <f>IFERROR(__xludf.DUMMYFUNCTION(""""""""" &amp; REGEXEXTRACT(B7645, ""/detail/([^/?]+)"") &amp; """""","""),"""dmfabgipdbmkdcijifjdegkilbckjcdn"",")</f>
        <v>"dmfabgipdbmkdcijifjdegkilbckjcdn",</v>
      </c>
    </row>
    <row r="7646">
      <c r="A7646" s="4" t="s">
        <v>26825</v>
      </c>
      <c r="B7646" s="4" t="s">
        <v>15220</v>
      </c>
      <c r="C7646" s="16" t="str">
        <f>IFERROR(__xludf.DUMMYFUNCTION(""""""""" &amp; REGEXEXTRACT(B7646, ""/detail/([^/?]+)"") &amp; """""","""),"""ebhiafmjpcihakkaafdbcdclonondkkp"",")</f>
        <v>"ebhiafmjpcihakkaafdbcdclonondkkp",</v>
      </c>
    </row>
    <row r="7647">
      <c r="A7647" s="4" t="s">
        <v>26826</v>
      </c>
      <c r="B7647" s="4" t="s">
        <v>15222</v>
      </c>
      <c r="C7647" s="16" t="str">
        <f>IFERROR(__xludf.DUMMYFUNCTION(""""""""" &amp; REGEXEXTRACT(B7647, ""/detail/([^/?]+)"") &amp; """""","""),"""fonhjbpoimjmgfgbboichngpjlmilbmk"",")</f>
        <v>"fonhjbpoimjmgfgbboichngpjlmilbmk",</v>
      </c>
    </row>
    <row r="7648">
      <c r="A7648" s="4" t="s">
        <v>26827</v>
      </c>
      <c r="B7648" s="4" t="s">
        <v>15224</v>
      </c>
      <c r="C7648" s="16" t="str">
        <f>IFERROR(__xludf.DUMMYFUNCTION(""""""""" &amp; REGEXEXTRACT(B7648, ""/detail/([^/?]+)"") &amp; """""","""),"""kiohppcjanbphmhoncnfodjdnlehibjk"",")</f>
        <v>"kiohppcjanbphmhoncnfodjdnlehibjk",</v>
      </c>
    </row>
    <row r="7649">
      <c r="A7649" s="4" t="s">
        <v>26828</v>
      </c>
      <c r="B7649" s="4" t="s">
        <v>15226</v>
      </c>
      <c r="C7649" s="16" t="str">
        <f>IFERROR(__xludf.DUMMYFUNCTION(""""""""" &amp; REGEXEXTRACT(B7649, ""/detail/([^/?]+)"") &amp; """""","""),"""jgahlokihlmhlhgkcjcjmbchfbgpomin"",")</f>
        <v>"jgahlokihlmhlhgkcjcjmbchfbgpomin",</v>
      </c>
    </row>
    <row r="7650">
      <c r="A7650" s="4" t="s">
        <v>26829</v>
      </c>
      <c r="B7650" s="4" t="s">
        <v>15228</v>
      </c>
      <c r="C7650" s="16" t="str">
        <f>IFERROR(__xludf.DUMMYFUNCTION(""""""""" &amp; REGEXEXTRACT(B7650, ""/detail/([^/?]+)"") &amp; """""","""),"""pahmjnapohdeedmdhmbeddgmhebhegme"",")</f>
        <v>"pahmjnapohdeedmdhmbeddgmhebhegme",</v>
      </c>
    </row>
    <row r="7651">
      <c r="A7651" s="4" t="s">
        <v>26830</v>
      </c>
      <c r="B7651" s="4" t="s">
        <v>15230</v>
      </c>
      <c r="C7651" s="16" t="str">
        <f>IFERROR(__xludf.DUMMYFUNCTION(""""""""" &amp; REGEXEXTRACT(B7651, ""/detail/([^/?]+)"") &amp; """""","""),"""gpbmppcfmalalknbfhafppomlckjhehd"",")</f>
        <v>"gpbmppcfmalalknbfhafppomlckjhehd",</v>
      </c>
    </row>
    <row r="7652">
      <c r="A7652" s="4" t="s">
        <v>26831</v>
      </c>
      <c r="B7652" s="4" t="s">
        <v>15232</v>
      </c>
      <c r="C7652" s="16" t="str">
        <f>IFERROR(__xludf.DUMMYFUNCTION(""""""""" &amp; REGEXEXTRACT(B7652, ""/detail/([^/?]+)"") &amp; """""","""),"""komegelldppbjndifhabfpjpddjaocfa"",")</f>
        <v>"komegelldppbjndifhabfpjpddjaocfa",</v>
      </c>
    </row>
    <row r="7653">
      <c r="A7653" s="4" t="s">
        <v>26832</v>
      </c>
      <c r="B7653" s="4" t="s">
        <v>15234</v>
      </c>
      <c r="C7653" s="16" t="str">
        <f>IFERROR(__xludf.DUMMYFUNCTION(""""""""" &amp; REGEXEXTRACT(B7653, ""/detail/([^/?]+)"") &amp; """""","""),"""iljlnbifckmihcloaildpbfapgnnhdbd"",")</f>
        <v>"iljlnbifckmihcloaildpbfapgnnhdbd",</v>
      </c>
    </row>
    <row r="7654">
      <c r="A7654" s="4" t="s">
        <v>26833</v>
      </c>
      <c r="B7654" s="4" t="s">
        <v>15236</v>
      </c>
      <c r="C7654" s="16" t="str">
        <f>IFERROR(__xludf.DUMMYFUNCTION(""""""""" &amp; REGEXEXTRACT(B7654, ""/detail/([^/?]+)"") &amp; """""","""),"""jdcmniiepfjinccadkbjliiopialnnmi"",")</f>
        <v>"jdcmniiepfjinccadkbjliiopialnnmi",</v>
      </c>
    </row>
    <row r="7655">
      <c r="A7655" s="4" t="s">
        <v>26834</v>
      </c>
      <c r="B7655" s="4" t="s">
        <v>15238</v>
      </c>
      <c r="C7655" s="16" t="str">
        <f>IFERROR(__xludf.DUMMYFUNCTION(""""""""" &amp; REGEXEXTRACT(B7655, ""/detail/([^/?]+)"") &amp; """""","""),"""kakjgkkadbegednbmgapjggcfljebdka"",")</f>
        <v>"kakjgkkadbegednbmgapjggcfljebdka",</v>
      </c>
    </row>
    <row r="7656">
      <c r="A7656" s="4" t="s">
        <v>26835</v>
      </c>
      <c r="B7656" s="4" t="s">
        <v>15240</v>
      </c>
      <c r="C7656" s="16" t="str">
        <f>IFERROR(__xludf.DUMMYFUNCTION(""""""""" &amp; REGEXEXTRACT(B7656, ""/detail/([^/?]+)"") &amp; """""","""),"""lojildlejeoemiiaolmkmfpeknonladk"",")</f>
        <v>"lojildlejeoemiiaolmkmfpeknonladk",</v>
      </c>
    </row>
    <row r="7657">
      <c r="A7657" s="4" t="s">
        <v>26836</v>
      </c>
      <c r="B7657" s="4" t="s">
        <v>15242</v>
      </c>
      <c r="C7657" s="16" t="str">
        <f>IFERROR(__xludf.DUMMYFUNCTION(""""""""" &amp; REGEXEXTRACT(B7657, ""/detail/([^/?]+)"") &amp; """""","""),"""opdfdiecheihfgilhekjfdbdjgejodie"",")</f>
        <v>"opdfdiecheihfgilhekjfdbdjgejodie",</v>
      </c>
    </row>
    <row r="7658">
      <c r="A7658" s="4" t="s">
        <v>26837</v>
      </c>
      <c r="B7658" s="4" t="s">
        <v>15244</v>
      </c>
      <c r="C7658" s="16" t="str">
        <f>IFERROR(__xludf.DUMMYFUNCTION(""""""""" &amp; REGEXEXTRACT(B7658, ""/detail/([^/?]+)"") &amp; """""","""),"""pbpmcajjiljgolfofjgbcfeikjeogpbo"",")</f>
        <v>"pbpmcajjiljgolfofjgbcfeikjeogpbo",</v>
      </c>
    </row>
    <row r="7659">
      <c r="A7659" s="4" t="s">
        <v>26838</v>
      </c>
      <c r="B7659" s="4" t="s">
        <v>15246</v>
      </c>
      <c r="C7659" s="16" t="str">
        <f>IFERROR(__xludf.DUMMYFUNCTION(""""""""" &amp; REGEXEXTRACT(B7659, ""/detail/([^/?]+)"") &amp; """""","""),"""ddplgjilhfboobldlegckoackmpgggbf"",")</f>
        <v>"ddplgjilhfboobldlegckoackmpgggbf",</v>
      </c>
    </row>
    <row r="7660">
      <c r="A7660" s="4" t="s">
        <v>26839</v>
      </c>
      <c r="B7660" s="4" t="s">
        <v>15248</v>
      </c>
      <c r="C7660" s="16" t="str">
        <f>IFERROR(__xludf.DUMMYFUNCTION(""""""""" &amp; REGEXEXTRACT(B7660, ""/detail/([^/?]+)"") &amp; """""","""),"""dhcffckfimabfhbbjdngnajhnlohfjeo"",")</f>
        <v>"dhcffckfimabfhbbjdngnajhnlohfjeo",</v>
      </c>
    </row>
    <row r="7661">
      <c r="A7661" s="4" t="s">
        <v>26840</v>
      </c>
      <c r="B7661" s="4" t="s">
        <v>15250</v>
      </c>
      <c r="C7661" s="16" t="str">
        <f>IFERROR(__xludf.DUMMYFUNCTION(""""""""" &amp; REGEXEXTRACT(B7661, ""/detail/([^/?]+)"") &amp; """""","""),"""ihoaepdiibjbifnhcjoaddgcnfgjmjdk"",")</f>
        <v>"ihoaepdiibjbifnhcjoaddgcnfgjmjdk",</v>
      </c>
    </row>
    <row r="7662">
      <c r="A7662" s="4" t="s">
        <v>26841</v>
      </c>
      <c r="B7662" s="4" t="s">
        <v>15252</v>
      </c>
      <c r="C7662" s="16" t="str">
        <f>IFERROR(__xludf.DUMMYFUNCTION(""""""""" &amp; REGEXEXTRACT(B7662, ""/detail/([^/?]+)"") &amp; """""","""),"""jfkknglaiapdhkgjpeiedhdkhlkmiglh"",")</f>
        <v>"jfkknglaiapdhkgjpeiedhdkhlkmiglh",</v>
      </c>
    </row>
    <row r="7663">
      <c r="A7663" s="4" t="s">
        <v>26842</v>
      </c>
      <c r="B7663" s="4" t="s">
        <v>15254</v>
      </c>
      <c r="C7663" s="16" t="str">
        <f>IFERROR(__xludf.DUMMYFUNCTION(""""""""" &amp; REGEXEXTRACT(B7663, ""/detail/([^/?]+)"") &amp; """""","""),"""cpmajpjgghbgnplkodkmapnlkapkgbog"",")</f>
        <v>"cpmajpjgghbgnplkodkmapnlkapkgbog",</v>
      </c>
    </row>
    <row r="7664">
      <c r="A7664" s="4" t="s">
        <v>26843</v>
      </c>
      <c r="B7664" s="4" t="s">
        <v>15256</v>
      </c>
      <c r="C7664" s="16" t="str">
        <f>IFERROR(__xludf.DUMMYFUNCTION(""""""""" &amp; REGEXEXTRACT(B7664, ""/detail/([^/?]+)"") &amp; """""","""),"""fgkbkepokoodbbcbcboiopdkfelpjhgi"",")</f>
        <v>"fgkbkepokoodbbcbcboiopdkfelpjhgi",</v>
      </c>
    </row>
    <row r="7665">
      <c r="A7665" s="4" t="s">
        <v>26844</v>
      </c>
      <c r="B7665" s="4" t="s">
        <v>15258</v>
      </c>
      <c r="C7665" s="16" t="str">
        <f>IFERROR(__xludf.DUMMYFUNCTION(""""""""" &amp; REGEXEXTRACT(B7665, ""/detail/([^/?]+)"") &amp; """""","""),"""khhogbhcofdjjccjhgganhkhokibnfnb"",")</f>
        <v>"khhogbhcofdjjccjhgganhkhokibnfnb",</v>
      </c>
    </row>
    <row r="7666">
      <c r="A7666" s="4" t="s">
        <v>26845</v>
      </c>
      <c r="B7666" s="4" t="s">
        <v>15260</v>
      </c>
      <c r="C7666" s="16" t="str">
        <f>IFERROR(__xludf.DUMMYFUNCTION(""""""""" &amp; REGEXEXTRACT(B7666, ""/detail/([^/?]+)"") &amp; """""","""),"""lkoelcpcjjehbjcchcbddggjmphfaiie"",")</f>
        <v>"lkoelcpcjjehbjcchcbddggjmphfaiie",</v>
      </c>
    </row>
    <row r="7667">
      <c r="A7667" s="4" t="s">
        <v>26846</v>
      </c>
      <c r="B7667" s="4" t="s">
        <v>15262</v>
      </c>
      <c r="C7667" s="16" t="str">
        <f>IFERROR(__xludf.DUMMYFUNCTION(""""""""" &amp; REGEXEXTRACT(B7667, ""/detail/([^/?]+)"") &amp; """""","""),"""mmamadaodppejbaffaagddokjjekifoe"",")</f>
        <v>"mmamadaodppejbaffaagddokjjekifoe",</v>
      </c>
    </row>
    <row r="7668">
      <c r="A7668" s="4" t="s">
        <v>26847</v>
      </c>
      <c r="B7668" s="4" t="s">
        <v>15264</v>
      </c>
      <c r="C7668" s="16" t="str">
        <f>IFERROR(__xludf.DUMMYFUNCTION(""""""""" &amp; REGEXEXTRACT(B7668, ""/detail/([^/?]+)"") &amp; """""","""),"""omchdkmkmadmhkaamhpojgldknpihgcg"",")</f>
        <v>"omchdkmkmadmhkaamhpojgldknpihgcg",</v>
      </c>
    </row>
    <row r="7669">
      <c r="A7669" s="4" t="s">
        <v>26848</v>
      </c>
      <c r="B7669" s="4" t="s">
        <v>15266</v>
      </c>
      <c r="C7669" s="16" t="str">
        <f>IFERROR(__xludf.DUMMYFUNCTION(""""""""" &amp; REGEXEXTRACT(B7669, ""/detail/([^/?]+)"") &amp; """""","""),"""cgdgnkkknckpbebomffdhhoklfgddacg"",")</f>
        <v>"cgdgnkkknckpbebomffdhhoklfgddacg",</v>
      </c>
    </row>
    <row r="7670">
      <c r="A7670" s="4" t="s">
        <v>26849</v>
      </c>
      <c r="B7670" s="4" t="s">
        <v>15268</v>
      </c>
      <c r="C7670" s="16" t="str">
        <f>IFERROR(__xludf.DUMMYFUNCTION(""""""""" &amp; REGEXEXTRACT(B7670, ""/detail/([^/?]+)"") &amp; """""","""),"""pbbaemjnonobaiglegdfamlbmngkjdeg"",")</f>
        <v>"pbbaemjnonobaiglegdfamlbmngkjdeg",</v>
      </c>
    </row>
    <row r="7671">
      <c r="A7671" s="4" t="s">
        <v>26850</v>
      </c>
      <c r="B7671" s="4" t="s">
        <v>15270</v>
      </c>
      <c r="C7671" s="16" t="str">
        <f>IFERROR(__xludf.DUMMYFUNCTION(""""""""" &amp; REGEXEXTRACT(B7671, ""/detail/([^/?]+)"") &amp; """""","""),"""pejmaahmbkcgbilcnckdadngeibiekbd"",")</f>
        <v>"pejmaahmbkcgbilcnckdadngeibiekbd",</v>
      </c>
    </row>
    <row r="7672">
      <c r="A7672" s="4" t="s">
        <v>26851</v>
      </c>
      <c r="B7672" s="4" t="s">
        <v>15272</v>
      </c>
      <c r="C7672" s="16" t="str">
        <f>IFERROR(__xludf.DUMMYFUNCTION(""""""""" &amp; REGEXEXTRACT(B7672, ""/detail/([^/?]+)"") &amp; """""","""),"""cmlkaihbnmcaalgjkeefklbpdlmdooel"",")</f>
        <v>"cmlkaihbnmcaalgjkeefklbpdlmdooel",</v>
      </c>
    </row>
    <row r="7673">
      <c r="A7673" s="4" t="s">
        <v>26852</v>
      </c>
      <c r="B7673" s="4" t="s">
        <v>15274</v>
      </c>
      <c r="C7673" s="16" t="str">
        <f>IFERROR(__xludf.DUMMYFUNCTION(""""""""" &amp; REGEXEXTRACT(B7673, ""/detail/([^/?]+)"") &amp; """""","""),"""neaifaakclhhlbfmpahdgbbpagolpfok"",")</f>
        <v>"neaifaakclhhlbfmpahdgbbpagolpfok",</v>
      </c>
    </row>
    <row r="7674">
      <c r="A7674" s="4" t="s">
        <v>26853</v>
      </c>
      <c r="B7674" s="4" t="s">
        <v>15276</v>
      </c>
      <c r="C7674" s="16" t="str">
        <f>IFERROR(__xludf.DUMMYFUNCTION(""""""""" &amp; REGEXEXTRACT(B7674, ""/detail/([^/?]+)"") &amp; """""","""),"""paeghpondmpmjbpgdkplhlcgnancifhh"",")</f>
        <v>"paeghpondmpmjbpgdkplhlcgnancifhh",</v>
      </c>
    </row>
    <row r="7675">
      <c r="A7675" s="4" t="s">
        <v>26854</v>
      </c>
      <c r="B7675" s="4" t="s">
        <v>15278</v>
      </c>
      <c r="C7675" s="16" t="str">
        <f>IFERROR(__xludf.DUMMYFUNCTION(""""""""" &amp; REGEXEXTRACT(B7675, ""/detail/([^/?]+)"") &amp; """""","""),"""peemgjdnpckhfcppmdgijnbfoohpjafp"",")</f>
        <v>"peemgjdnpckhfcppmdgijnbfoohpjafp",</v>
      </c>
    </row>
    <row r="7676">
      <c r="A7676" s="4" t="s">
        <v>26855</v>
      </c>
      <c r="B7676" s="4" t="s">
        <v>15280</v>
      </c>
      <c r="C7676" s="16" t="str">
        <f>IFERROR(__xludf.DUMMYFUNCTION(""""""""" &amp; REGEXEXTRACT(B7676, ""/detail/([^/?]+)"") &amp; """""","""),"""bdcmimoaamiebegembfipeegejikilha"",")</f>
        <v>"bdcmimoaamiebegembfipeegejikilha",</v>
      </c>
    </row>
    <row r="7677">
      <c r="A7677" s="4" t="s">
        <v>26856</v>
      </c>
      <c r="B7677" s="4" t="s">
        <v>15282</v>
      </c>
      <c r="C7677" s="16" t="str">
        <f>IFERROR(__xludf.DUMMYFUNCTION(""""""""" &amp; REGEXEXTRACT(B7677, ""/detail/([^/?]+)"") &amp; """""","""),"""cniimiiflgmmjmcohcgnofcdiifdifef"",")</f>
        <v>"cniimiiflgmmjmcohcgnofcdiifdifef",</v>
      </c>
    </row>
    <row r="7678">
      <c r="A7678" s="4" t="s">
        <v>26857</v>
      </c>
      <c r="B7678" s="4" t="s">
        <v>15284</v>
      </c>
      <c r="C7678" s="16" t="str">
        <f>IFERROR(__xludf.DUMMYFUNCTION(""""""""" &amp; REGEXEXTRACT(B7678, ""/detail/([^/?]+)"") &amp; """""","""),"""glbffpiffonfokkgfheanhbnleofjldc"",")</f>
        <v>"glbffpiffonfokkgfheanhbnleofjldc",</v>
      </c>
    </row>
    <row r="7679">
      <c r="A7679" s="4" t="s">
        <v>26858</v>
      </c>
      <c r="B7679" s="4" t="s">
        <v>15286</v>
      </c>
      <c r="C7679" s="16" t="str">
        <f>IFERROR(__xludf.DUMMYFUNCTION(""""""""" &amp; REGEXEXTRACT(B7679, ""/detail/([^/?]+)"") &amp; """""","""),"""hfmieanpcjmhneggofkdjhmlabjmbbaj"",")</f>
        <v>"hfmieanpcjmhneggofkdjhmlabjmbbaj",</v>
      </c>
    </row>
    <row r="7680">
      <c r="A7680" s="4" t="s">
        <v>26859</v>
      </c>
      <c r="B7680" s="4" t="s">
        <v>15288</v>
      </c>
      <c r="C7680" s="16" t="str">
        <f>IFERROR(__xludf.DUMMYFUNCTION(""""""""" &amp; REGEXEXTRACT(B7680, ""/detail/([^/?]+)"") &amp; """""","""),"""nnecmpmlkanlehaglkjbmiibipdcppol"",")</f>
        <v>"nnecmpmlkanlehaglkjbmiibipdcppol",</v>
      </c>
    </row>
    <row r="7681">
      <c r="A7681" s="4" t="s">
        <v>26860</v>
      </c>
      <c r="B7681" s="4" t="s">
        <v>15290</v>
      </c>
      <c r="C7681" s="16" t="str">
        <f>IFERROR(__xludf.DUMMYFUNCTION(""""""""" &amp; REGEXEXTRACT(B7681, ""/detail/([^/?]+)"") &amp; """""","""),"""ofneopaadiddcanpldoanpnmimjgnncd"",")</f>
        <v>"ofneopaadiddcanpldoanpnmimjgnncd",</v>
      </c>
    </row>
    <row r="7682">
      <c r="A7682" s="4" t="s">
        <v>26861</v>
      </c>
      <c r="B7682" s="4" t="s">
        <v>15292</v>
      </c>
      <c r="C7682" s="16" t="str">
        <f>IFERROR(__xludf.DUMMYFUNCTION(""""""""" &amp; REGEXEXTRACT(B7682, ""/detail/([^/?]+)"") &amp; """""","""),"""pndplpbljfioienjpiiplnmgcbeonkdm"",")</f>
        <v>"pndplpbljfioienjpiiplnmgcbeonkdm",</v>
      </c>
    </row>
    <row r="7683">
      <c r="A7683" s="4" t="s">
        <v>26862</v>
      </c>
      <c r="B7683" s="4" t="s">
        <v>15294</v>
      </c>
      <c r="C7683" s="16" t="str">
        <f>IFERROR(__xludf.DUMMYFUNCTION(""""""""" &amp; REGEXEXTRACT(B7683, ""/detail/([^/?]+)"") &amp; """""","""),"""kalncabcefgchiphkgoiiglapkoopeal"",")</f>
        <v>"kalncabcefgchiphkgoiiglapkoopeal",</v>
      </c>
    </row>
    <row r="7684">
      <c r="A7684" s="4" t="s">
        <v>26863</v>
      </c>
      <c r="B7684" s="4" t="s">
        <v>15296</v>
      </c>
      <c r="C7684" s="16" t="str">
        <f>IFERROR(__xludf.DUMMYFUNCTION(""""""""" &amp; REGEXEXTRACT(B7684, ""/detail/([^/?]+)"") &amp; """""","""),"""ogdpfpkkpipedlmoecjonhjpoggipgme"",")</f>
        <v>"ogdpfpkkpipedlmoecjonhjpoggipgme",</v>
      </c>
    </row>
    <row r="7685">
      <c r="A7685" s="4" t="s">
        <v>26864</v>
      </c>
      <c r="B7685" s="4" t="s">
        <v>15298</v>
      </c>
      <c r="C7685" s="16" t="str">
        <f>IFERROR(__xludf.DUMMYFUNCTION(""""""""" &amp; REGEXEXTRACT(B7685, ""/detail/([^/?]+)"") &amp; """""","""),"""cdoadjpmekajapjlkiemnmgokpimhbch"",")</f>
        <v>"cdoadjpmekajapjlkiemnmgokpimhbch",</v>
      </c>
    </row>
    <row r="7686">
      <c r="A7686" s="4" t="s">
        <v>26865</v>
      </c>
      <c r="B7686" s="4" t="s">
        <v>15300</v>
      </c>
      <c r="C7686" s="16" t="str">
        <f>IFERROR(__xludf.DUMMYFUNCTION(""""""""" &amp; REGEXEXTRACT(B7686, ""/detail/([^/?]+)"") &amp; """""","""),"""jdgfidddcehboihddlggjiiakhbpanpf"",")</f>
        <v>"jdgfidddcehboihddlggjiiakhbpanpf",</v>
      </c>
    </row>
    <row r="7687">
      <c r="A7687" s="4" t="s">
        <v>26866</v>
      </c>
      <c r="B7687" s="4" t="s">
        <v>15301</v>
      </c>
      <c r="C7687" s="16" t="str">
        <f>IFERROR(__xludf.DUMMYFUNCTION(""""""""" &amp; REGEXEXTRACT(B7687, ""/detail/([^/?]+)"") &amp; """""","""),"""logjdplmfjkcafcbffphgdelmmcfodkm"",")</f>
        <v>"logjdplmfjkcafcbffphgdelmmcfodkm",</v>
      </c>
    </row>
    <row r="7688">
      <c r="A7688" s="4" t="s">
        <v>26867</v>
      </c>
      <c r="B7688" s="4" t="s">
        <v>15303</v>
      </c>
      <c r="C7688" s="16" t="str">
        <f>IFERROR(__xludf.DUMMYFUNCTION(""""""""" &amp; REGEXEXTRACT(B7688, ""/detail/([^/?]+)"") &amp; """""","""),"""nnppckheibflkphjcgmlbiebgjfhgeie"",")</f>
        <v>"nnppckheibflkphjcgmlbiebgjfhgeie",</v>
      </c>
    </row>
    <row r="7689">
      <c r="A7689" s="4" t="s">
        <v>26868</v>
      </c>
      <c r="B7689" s="4" t="s">
        <v>15305</v>
      </c>
      <c r="C7689" s="16" t="str">
        <f>IFERROR(__xludf.DUMMYFUNCTION(""""""""" &amp; REGEXEXTRACT(B7689, ""/detail/([^/?]+)"") &amp; """""","""),"""hnhfoajneejhmbjkikjcneifjnjpbldf"",")</f>
        <v>"hnhfoajneejhmbjkikjcneifjnjpbldf",</v>
      </c>
    </row>
    <row r="7690">
      <c r="A7690" s="4" t="s">
        <v>26869</v>
      </c>
      <c r="B7690" s="4" t="s">
        <v>15307</v>
      </c>
      <c r="C7690" s="16" t="str">
        <f>IFERROR(__xludf.DUMMYFUNCTION(""""""""" &amp; REGEXEXTRACT(B7690, ""/detail/([^/?]+)"") &amp; """""","""),"""pndbiclnamhhdppgogjfogfpbhoahkkl"",")</f>
        <v>"pndbiclnamhhdppgogjfogfpbhoahkkl",</v>
      </c>
    </row>
    <row r="7691">
      <c r="A7691" s="4" t="s">
        <v>26870</v>
      </c>
      <c r="B7691" s="4" t="s">
        <v>15309</v>
      </c>
      <c r="C7691" s="16" t="str">
        <f>IFERROR(__xludf.DUMMYFUNCTION(""""""""" &amp; REGEXEXTRACT(B7691, ""/detail/([^/?]+)"") &amp; """""","""),"""bigoemfnjgidfijehdgillncneklifgb"",")</f>
        <v>"bigoemfnjgidfijehdgillncneklifgb",</v>
      </c>
    </row>
    <row r="7692">
      <c r="A7692" s="4" t="s">
        <v>26871</v>
      </c>
      <c r="B7692" s="4" t="s">
        <v>15311</v>
      </c>
      <c r="C7692" s="16" t="str">
        <f>IFERROR(__xludf.DUMMYFUNCTION(""""""""" &amp; REGEXEXTRACT(B7692, ""/detail/([^/?]+)"") &amp; """""","""),"""gfkfagdbfocppnpnjbcopfdidgkndkie"",")</f>
        <v>"gfkfagdbfocppnpnjbcopfdidgkndkie",</v>
      </c>
    </row>
    <row r="7693">
      <c r="A7693" s="4" t="s">
        <v>26872</v>
      </c>
      <c r="B7693" s="4" t="s">
        <v>15313</v>
      </c>
      <c r="C7693" s="16" t="str">
        <f>IFERROR(__xludf.DUMMYFUNCTION(""""""""" &amp; REGEXEXTRACT(B7693, ""/detail/([^/?]+)"") &amp; """""","""),"""iceehfhoipgiceeepgmecejmgcdckohb"",")</f>
        <v>"iceehfhoipgiceeepgmecejmgcdckohb",</v>
      </c>
    </row>
    <row r="7694">
      <c r="A7694" s="4" t="s">
        <v>26873</v>
      </c>
      <c r="B7694" s="4" t="s">
        <v>15315</v>
      </c>
      <c r="C7694" s="16" t="str">
        <f>IFERROR(__xludf.DUMMYFUNCTION(""""""""" &amp; REGEXEXTRACT(B7694, ""/detail/([^/?]+)"") &amp; """""","""),"""fhckbmeeagkjnabhfaindkhmofncedln"",")</f>
        <v>"fhckbmeeagkjnabhfaindkhmofncedln",</v>
      </c>
    </row>
    <row r="7695">
      <c r="A7695" s="4" t="s">
        <v>26874</v>
      </c>
      <c r="B7695" s="4" t="s">
        <v>15317</v>
      </c>
      <c r="C7695" s="16" t="str">
        <f>IFERROR(__xludf.DUMMYFUNCTION(""""""""" &amp; REGEXEXTRACT(B7695, ""/detail/([^/?]+)"") &amp; """""","""),"""hhgffaamginikggmhlgipghjkhcepnbk"",")</f>
        <v>"hhgffaamginikggmhlgipghjkhcepnbk",</v>
      </c>
    </row>
    <row r="7696">
      <c r="A7696" s="4" t="s">
        <v>26875</v>
      </c>
      <c r="B7696" s="4" t="s">
        <v>15319</v>
      </c>
      <c r="C7696" s="16" t="str">
        <f>IFERROR(__xludf.DUMMYFUNCTION(""""""""" &amp; REGEXEXTRACT(B7696, ""/detail/([^/?]+)"") &amp; """""","""),"""jeagkdepfcfablimaejcffahemdomeaf"",")</f>
        <v>"jeagkdepfcfablimaejcffahemdomeaf",</v>
      </c>
    </row>
    <row r="7697">
      <c r="A7697" s="4" t="s">
        <v>26876</v>
      </c>
      <c r="B7697" s="4" t="s">
        <v>15321</v>
      </c>
      <c r="C7697" s="16" t="str">
        <f>IFERROR(__xludf.DUMMYFUNCTION(""""""""" &amp; REGEXEXTRACT(B7697, ""/detail/([^/?]+)"") &amp; """""","""),"""kfmndfnbobcfhakpacjolccbcbhfppej"",")</f>
        <v>"kfmndfnbobcfhakpacjolccbcbhfppej",</v>
      </c>
    </row>
    <row r="7698">
      <c r="A7698" s="4" t="s">
        <v>26877</v>
      </c>
      <c r="B7698" s="4" t="s">
        <v>15323</v>
      </c>
      <c r="C7698" s="16" t="str">
        <f>IFERROR(__xludf.DUMMYFUNCTION(""""""""" &amp; REGEXEXTRACT(B7698, ""/detail/([^/?]+)"") &amp; """""","""),"""aleacfocnimnddplebbpbfedfagnckcc"",")</f>
        <v>"aleacfocnimnddplebbpbfedfagnckcc",</v>
      </c>
    </row>
    <row r="7699">
      <c r="A7699" s="4" t="s">
        <v>26878</v>
      </c>
      <c r="B7699" s="4" t="s">
        <v>15325</v>
      </c>
      <c r="C7699" s="16" t="str">
        <f>IFERROR(__xludf.DUMMYFUNCTION(""""""""" &amp; REGEXEXTRACT(B7699, ""/detail/([^/?]+)"") &amp; """""","""),"""amgdmokmcgdoodpfegebpahngimkafin"",")</f>
        <v>"amgdmokmcgdoodpfegebpahngimkafin",</v>
      </c>
    </row>
    <row r="7700">
      <c r="A7700" s="4" t="s">
        <v>26879</v>
      </c>
      <c r="B7700" s="4" t="s">
        <v>15327</v>
      </c>
      <c r="C7700" s="16" t="str">
        <f>IFERROR(__xludf.DUMMYFUNCTION(""""""""" &amp; REGEXEXTRACT(B7700, ""/detail/([^/?]+)"") &amp; """""","""),"""kaipnnmbgmeenlopbleehngolapgpmen"",")</f>
        <v>"kaipnnmbgmeenlopbleehngolapgpmen",</v>
      </c>
    </row>
    <row r="7701">
      <c r="A7701" s="4" t="s">
        <v>26880</v>
      </c>
      <c r="B7701" s="4" t="s">
        <v>15329</v>
      </c>
      <c r="C7701" s="16" t="str">
        <f>IFERROR(__xludf.DUMMYFUNCTION(""""""""" &amp; REGEXEXTRACT(B7701, ""/detail/([^/?]+)"") &amp; """""","""),"""mnmgabpfpeghmkiieighbcbcompbnbji"",")</f>
        <v>"mnmgabpfpeghmkiieighbcbcompbnbji",</v>
      </c>
    </row>
    <row r="7702">
      <c r="A7702" s="4" t="s">
        <v>26881</v>
      </c>
      <c r="B7702" s="4" t="s">
        <v>15331</v>
      </c>
      <c r="C7702" s="16" t="str">
        <f>IFERROR(__xludf.DUMMYFUNCTION(""""""""" &amp; REGEXEXTRACT(B7702, ""/detail/([^/?]+)"") &amp; """""","""),"""ndccpjjadppbehafiojmiknfihpmaodj"",")</f>
        <v>"ndccpjjadppbehafiojmiknfihpmaodj",</v>
      </c>
    </row>
    <row r="7703">
      <c r="A7703" s="4" t="s">
        <v>26882</v>
      </c>
      <c r="B7703" s="4" t="s">
        <v>15333</v>
      </c>
      <c r="C7703" s="16" t="str">
        <f>IFERROR(__xludf.DUMMYFUNCTION(""""""""" &amp; REGEXEXTRACT(B7703, ""/detail/([^/?]+)"") &amp; """""","""),"""neambpcjkehpbfgkipkcaigkndfllgbh"",")</f>
        <v>"neambpcjkehpbfgkipkcaigkndfllgbh",</v>
      </c>
    </row>
    <row r="7704">
      <c r="A7704" s="4" t="s">
        <v>26883</v>
      </c>
      <c r="B7704" s="4" t="s">
        <v>15335</v>
      </c>
      <c r="C7704" s="16" t="str">
        <f>IFERROR(__xludf.DUMMYFUNCTION(""""""""" &amp; REGEXEXTRACT(B7704, ""/detail/([^/?]+)"") &amp; """""","""),"""dmdbhcacalljmfmilnhmnhihdfoamdap"",")</f>
        <v>"dmdbhcacalljmfmilnhmnhihdfoamdap",</v>
      </c>
    </row>
    <row r="7705">
      <c r="A7705" s="4" t="s">
        <v>26884</v>
      </c>
      <c r="B7705" s="4" t="s">
        <v>15337</v>
      </c>
      <c r="C7705" s="16" t="str">
        <f>IFERROR(__xludf.DUMMYFUNCTION(""""""""" &amp; REGEXEXTRACT(B7705, ""/detail/([^/?]+)"") &amp; """""","""),"""eeedmlcepabknpceckocadjdaieobimp"",")</f>
        <v>"eeedmlcepabknpceckocadjdaieobimp",</v>
      </c>
    </row>
    <row r="7706">
      <c r="A7706" s="4" t="s">
        <v>26885</v>
      </c>
      <c r="B7706" s="4" t="s">
        <v>15339</v>
      </c>
      <c r="C7706" s="16" t="str">
        <f>IFERROR(__xludf.DUMMYFUNCTION(""""""""" &amp; REGEXEXTRACT(B7706, ""/detail/([^/?]+)"") &amp; """""","""),"""llkbempahblbohpipifajipejjackemi"",")</f>
        <v>"llkbempahblbohpipifajipejjackemi",</v>
      </c>
    </row>
    <row r="7707">
      <c r="A7707" s="4" t="s">
        <v>26886</v>
      </c>
      <c r="B7707" s="4" t="s">
        <v>15341</v>
      </c>
      <c r="C7707" s="16" t="str">
        <f>IFERROR(__xludf.DUMMYFUNCTION(""""""""" &amp; REGEXEXTRACT(B7707, ""/detail/([^/?]+)"") &amp; """""","""),"""mkeckgendkgcofhhenfkknonnkoboobm"",")</f>
        <v>"mkeckgendkgcofhhenfkknonnkoboobm",</v>
      </c>
    </row>
    <row r="7708">
      <c r="A7708" s="4" t="s">
        <v>26887</v>
      </c>
      <c r="B7708" s="4" t="s">
        <v>15343</v>
      </c>
      <c r="C7708" s="16" t="str">
        <f>IFERROR(__xludf.DUMMYFUNCTION(""""""""" &amp; REGEXEXTRACT(B7708, ""/detail/([^/?]+)"") &amp; """""","""),"""jjagagcgljmlnihcilbpbfcglnopepjb"",")</f>
        <v>"jjagagcgljmlnihcilbpbfcglnopepjb",</v>
      </c>
    </row>
    <row r="7709">
      <c r="A7709" s="4" t="s">
        <v>26888</v>
      </c>
      <c r="B7709" s="4" t="s">
        <v>15345</v>
      </c>
      <c r="C7709" s="16" t="str">
        <f>IFERROR(__xludf.DUMMYFUNCTION(""""""""" &amp; REGEXEXTRACT(B7709, ""/detail/([^/?]+)"") &amp; """""","""),"""kaaoklkabjagllelfbideekhpjifbkel"",")</f>
        <v>"kaaoklkabjagllelfbideekhpjifbkel",</v>
      </c>
    </row>
    <row r="7710">
      <c r="A7710" s="4" t="s">
        <v>26889</v>
      </c>
      <c r="B7710" s="4" t="s">
        <v>15347</v>
      </c>
      <c r="C7710" s="16" t="str">
        <f>IFERROR(__xludf.DUMMYFUNCTION(""""""""" &amp; REGEXEXTRACT(B7710, ""/detail/([^/?]+)"") &amp; """""","""),"""bicebchdpeichdlmoaflplakefkjkade"",")</f>
        <v>"bicebchdpeichdlmoaflplakefkjkade",</v>
      </c>
    </row>
    <row r="7711">
      <c r="A7711" s="4" t="s">
        <v>26890</v>
      </c>
      <c r="B7711" s="4" t="s">
        <v>15349</v>
      </c>
      <c r="C7711" s="16" t="str">
        <f>IFERROR(__xludf.DUMMYFUNCTION(""""""""" &amp; REGEXEXTRACT(B7711, ""/detail/([^/?]+)"") &amp; """""","""),"""hofjicknmidhbhmflllmmdaihmmggphg"",")</f>
        <v>"hofjicknmidhbhmflllmmdaihmmggphg",</v>
      </c>
    </row>
    <row r="7712">
      <c r="A7712" s="4" t="s">
        <v>26891</v>
      </c>
      <c r="B7712" s="4" t="s">
        <v>15351</v>
      </c>
      <c r="C7712" s="16" t="str">
        <f>IFERROR(__xludf.DUMMYFUNCTION(""""""""" &amp; REGEXEXTRACT(B7712, ""/detail/([^/?]+)"") &amp; """""","""),"""hombkmjjoapdaclgaaioldnljmhhliai"",")</f>
        <v>"hombkmjjoapdaclgaaioldnljmhhliai",</v>
      </c>
    </row>
    <row r="7713">
      <c r="A7713" s="4" t="s">
        <v>26892</v>
      </c>
      <c r="B7713" s="4" t="s">
        <v>15353</v>
      </c>
      <c r="C7713" s="16" t="str">
        <f>IFERROR(__xludf.DUMMYFUNCTION(""""""""" &amp; REGEXEXTRACT(B7713, ""/detail/([^/?]+)"") &amp; """""","""),"""nenppnbcodpelcnkbpelphheiddcdmff"",")</f>
        <v>"nenppnbcodpelcnkbpelphheiddcdmff",</v>
      </c>
    </row>
    <row r="7714">
      <c r="A7714" s="4" t="s">
        <v>26893</v>
      </c>
      <c r="B7714" s="4" t="s">
        <v>15355</v>
      </c>
      <c r="C7714" s="16" t="str">
        <f>IFERROR(__xludf.DUMMYFUNCTION(""""""""" &amp; REGEXEXTRACT(B7714, ""/detail/([^/?]+)"") &amp; """""","""),"""foimogngphjnehhefofocjlokefgppfj"",")</f>
        <v>"foimogngphjnehhefofocjlokefgppfj",</v>
      </c>
    </row>
    <row r="7715">
      <c r="A7715" s="4" t="s">
        <v>26894</v>
      </c>
      <c r="B7715" s="4" t="s">
        <v>15357</v>
      </c>
      <c r="C7715" s="16" t="str">
        <f>IFERROR(__xludf.DUMMYFUNCTION(""""""""" &amp; REGEXEXTRACT(B7715, ""/detail/([^/?]+)"") &amp; """""","""),"""ggpledkgjmbhndokhnakcgmnbgdenfgi"",")</f>
        <v>"ggpledkgjmbhndokhnakcgmnbgdenfgi",</v>
      </c>
    </row>
    <row r="7716">
      <c r="A7716" s="4" t="s">
        <v>26895</v>
      </c>
      <c r="B7716" s="4" t="s">
        <v>15359</v>
      </c>
      <c r="C7716" s="16" t="str">
        <f>IFERROR(__xludf.DUMMYFUNCTION(""""""""" &amp; REGEXEXTRACT(B7716, ""/detail/([^/?]+)"") &amp; """""","""),"""gophpkegccafhjahoijdembdkbjpiflb"",")</f>
        <v>"gophpkegccafhjahoijdembdkbjpiflb",</v>
      </c>
    </row>
    <row r="7717">
      <c r="A7717" s="4" t="s">
        <v>26896</v>
      </c>
      <c r="B7717" s="4" t="s">
        <v>15361</v>
      </c>
      <c r="C7717" s="16" t="str">
        <f>IFERROR(__xludf.DUMMYFUNCTION(""""""""" &amp; REGEXEXTRACT(B7717, ""/detail/([^/?]+)"") &amp; """""","""),"""ijkpnaifgolhlcfhcfamddnlnfjpjaji"",")</f>
        <v>"ijkpnaifgolhlcfhcfamddnlnfjpjaji",</v>
      </c>
    </row>
    <row r="7718">
      <c r="A7718" s="4" t="s">
        <v>26897</v>
      </c>
      <c r="B7718" s="4" t="s">
        <v>15363</v>
      </c>
      <c r="C7718" s="16" t="str">
        <f>IFERROR(__xludf.DUMMYFUNCTION(""""""""" &amp; REGEXEXTRACT(B7718, ""/detail/([^/?]+)"") &amp; """""","""),"""ikcleedhpnkajcggbaehhbpldeeogkkd"",")</f>
        <v>"ikcleedhpnkajcggbaehhbpldeeogkkd",</v>
      </c>
    </row>
    <row r="7719">
      <c r="A7719" s="4" t="s">
        <v>26898</v>
      </c>
      <c r="B7719" s="4" t="s">
        <v>15365</v>
      </c>
      <c r="C7719" s="16" t="str">
        <f>IFERROR(__xludf.DUMMYFUNCTION(""""""""" &amp; REGEXEXTRACT(B7719, ""/detail/([^/?]+)"") &amp; """""","""),"""mpgigiljfaoednoffglmjmbeafajcakb"",")</f>
        <v>"mpgigiljfaoednoffglmjmbeafajcakb",</v>
      </c>
    </row>
    <row r="7720">
      <c r="A7720" s="4" t="s">
        <v>26899</v>
      </c>
      <c r="B7720" s="4" t="s">
        <v>15367</v>
      </c>
      <c r="C7720" s="16" t="str">
        <f>IFERROR(__xludf.DUMMYFUNCTION(""""""""" &amp; REGEXEXTRACT(B7720, ""/detail/([^/?]+)"") &amp; """""","""),"""hkdjjblefenaffilobnkdekehpjfbein"",")</f>
        <v>"hkdjjblefenaffilobnkdekehpjfbein",</v>
      </c>
    </row>
    <row r="7721">
      <c r="A7721" s="4" t="s">
        <v>26900</v>
      </c>
      <c r="B7721" s="4" t="s">
        <v>15369</v>
      </c>
      <c r="C7721" s="16" t="str">
        <f>IFERROR(__xludf.DUMMYFUNCTION(""""""""" &amp; REGEXEXTRACT(B7721, ""/detail/([^/?]+)"") &amp; """""","""),"""ihonobiipipkjdeodacdamhkjobamdam"",")</f>
        <v>"ihonobiipipkjdeodacdamhkjobamdam",</v>
      </c>
    </row>
    <row r="7722">
      <c r="A7722" s="4" t="s">
        <v>26901</v>
      </c>
      <c r="B7722" s="4" t="s">
        <v>15371</v>
      </c>
      <c r="C7722" s="16" t="str">
        <f>IFERROR(__xludf.DUMMYFUNCTION(""""""""" &amp; REGEXEXTRACT(B7722, ""/detail/([^/?]+)"") &amp; """""","""),"""kcbffhdphjkfahmiakcgmeekbleoepde"",")</f>
        <v>"kcbffhdphjkfahmiakcgmeekbleoepde",</v>
      </c>
    </row>
    <row r="7723">
      <c r="A7723" s="4" t="s">
        <v>26902</v>
      </c>
      <c r="B7723" s="4" t="s">
        <v>15373</v>
      </c>
      <c r="C7723" s="16" t="str">
        <f>IFERROR(__xludf.DUMMYFUNCTION(""""""""" &amp; REGEXEXTRACT(B7723, ""/detail/([^/?]+)"") &amp; """""","""),"""akhcbndknelgdjnehlpnhenpdhnlepko"",")</f>
        <v>"akhcbndknelgdjnehlpnhenpdhnlepko",</v>
      </c>
    </row>
    <row r="7724">
      <c r="A7724" s="4" t="s">
        <v>26903</v>
      </c>
      <c r="B7724" s="4" t="s">
        <v>15375</v>
      </c>
      <c r="C7724" s="16" t="str">
        <f>IFERROR(__xludf.DUMMYFUNCTION(""""""""" &amp; REGEXEXTRACT(B7724, ""/detail/([^/?]+)"") &amp; """""","""),"""ankjnefclmaakpbgfglfegfekiofndkm"",")</f>
        <v>"ankjnefclmaakpbgfglfegfekiofndkm",</v>
      </c>
    </row>
    <row r="7725">
      <c r="A7725" s="4" t="s">
        <v>26904</v>
      </c>
      <c r="B7725" s="4" t="s">
        <v>15377</v>
      </c>
      <c r="C7725" s="16" t="str">
        <f>IFERROR(__xludf.DUMMYFUNCTION(""""""""" &amp; REGEXEXTRACT(B7725, ""/detail/([^/?]+)"") &amp; """""","""),"""njcdcnbfdnpbgeknnokdpenhkimaadjf"",")</f>
        <v>"njcdcnbfdnpbgeknnokdpenhkimaadjf",</v>
      </c>
    </row>
    <row r="7726">
      <c r="A7726" s="4" t="s">
        <v>26905</v>
      </c>
      <c r="B7726" s="4" t="s">
        <v>15379</v>
      </c>
      <c r="C7726" s="16" t="str">
        <f>IFERROR(__xludf.DUMMYFUNCTION(""""""""" &amp; REGEXEXTRACT(B7726, ""/detail/([^/?]+)"") &amp; """""","""),"""npkaienhmoflhlomhgffcnlfeeiilmcf"",")</f>
        <v>"npkaienhmoflhlomhgffcnlfeeiilmcf",</v>
      </c>
    </row>
    <row r="7727">
      <c r="A7727" s="4" t="s">
        <v>26906</v>
      </c>
      <c r="B7727" s="4" t="s">
        <v>15381</v>
      </c>
      <c r="C7727" s="16" t="str">
        <f>IFERROR(__xludf.DUMMYFUNCTION(""""""""" &amp; REGEXEXTRACT(B7727, ""/detail/([^/?]+)"") &amp; """""","""),"""calnfcidhlhdmmmnicdpddbmmjmfohem"",")</f>
        <v>"calnfcidhlhdmmmnicdpddbmmjmfohem",</v>
      </c>
    </row>
    <row r="7728">
      <c r="A7728" s="4" t="s">
        <v>26907</v>
      </c>
      <c r="B7728" s="4" t="s">
        <v>15383</v>
      </c>
      <c r="C7728" s="16" t="str">
        <f>IFERROR(__xludf.DUMMYFUNCTION(""""""""" &amp; REGEXEXTRACT(B7728, ""/detail/([^/?]+)"") &amp; """""","""),"""maibgninmecbokncboknddpeaedfioea"",")</f>
        <v>"maibgninmecbokncboknddpeaedfioea",</v>
      </c>
    </row>
    <row r="7729">
      <c r="A7729" s="4" t="s">
        <v>26908</v>
      </c>
      <c r="B7729" s="4" t="s">
        <v>15385</v>
      </c>
      <c r="C7729" s="16" t="str">
        <f>IFERROR(__xludf.DUMMYFUNCTION(""""""""" &amp; REGEXEXTRACT(B7729, ""/detail/([^/?]+)"") &amp; """""","""),"""mjgiimfdgnpbgkepacffhdpjbbfmcgnp"",")</f>
        <v>"mjgiimfdgnpbgkepacffhdpjbbfmcgnp",</v>
      </c>
    </row>
    <row r="7730">
      <c r="A7730" s="4" t="s">
        <v>26909</v>
      </c>
      <c r="B7730" s="4" t="s">
        <v>15387</v>
      </c>
      <c r="C7730" s="16" t="str">
        <f>IFERROR(__xludf.DUMMYFUNCTION(""""""""" &amp; REGEXEXTRACT(B7730, ""/detail/([^/?]+)"") &amp; """""","""),"""nhghokbojmbheijdiecnjkifnahakkcm"",")</f>
        <v>"nhghokbojmbheijdiecnjkifnahakkcm",</v>
      </c>
    </row>
    <row r="7731">
      <c r="A7731" s="4" t="s">
        <v>26910</v>
      </c>
      <c r="B7731" s="4" t="s">
        <v>15389</v>
      </c>
      <c r="C7731" s="16" t="str">
        <f>IFERROR(__xludf.DUMMYFUNCTION(""""""""" &amp; REGEXEXTRACT(B7731, ""/detail/([^/?]+)"") &amp; """""","""),"""bpfflaogkhdlflapgekofknjgmggmnbf"",")</f>
        <v>"bpfflaogkhdlflapgekofknjgmggmnbf",</v>
      </c>
    </row>
    <row r="7732">
      <c r="A7732" s="4" t="s">
        <v>26911</v>
      </c>
      <c r="B7732" s="4" t="s">
        <v>15391</v>
      </c>
      <c r="C7732" s="16" t="str">
        <f>IFERROR(__xludf.DUMMYFUNCTION(""""""""" &amp; REGEXEXTRACT(B7732, ""/detail/([^/?]+)"") &amp; """""","""),"""ebbplnackfijdgaocobghipflkadnejp"",")</f>
        <v>"ebbplnackfijdgaocobghipflkadnejp",</v>
      </c>
    </row>
    <row r="7733">
      <c r="A7733" s="4" t="s">
        <v>26912</v>
      </c>
      <c r="B7733" s="4" t="s">
        <v>15393</v>
      </c>
      <c r="C7733" s="16" t="str">
        <f>IFERROR(__xludf.DUMMYFUNCTION(""""""""" &amp; REGEXEXTRACT(B7733, ""/detail/([^/?]+)"") &amp; """""","""),"""fgdakcbkieoobadomnfjccmieclpoala"",")</f>
        <v>"fgdakcbkieoobadomnfjccmieclpoala",</v>
      </c>
    </row>
    <row r="7734">
      <c r="A7734" s="4" t="s">
        <v>26913</v>
      </c>
      <c r="B7734" s="4" t="s">
        <v>15395</v>
      </c>
      <c r="C7734" s="16" t="str">
        <f>IFERROR(__xludf.DUMMYFUNCTION(""""""""" &amp; REGEXEXTRACT(B7734, ""/detail/([^/?]+)"") &amp; """""","""),"""ehdbaonmnanalnmmlkgdnkkcdlppjhhc"",")</f>
        <v>"ehdbaonmnanalnmmlkgdnkkcdlppjhhc",</v>
      </c>
    </row>
    <row r="7735">
      <c r="A7735" s="4" t="s">
        <v>26914</v>
      </c>
      <c r="B7735" s="4" t="s">
        <v>15397</v>
      </c>
      <c r="C7735" s="16" t="str">
        <f>IFERROR(__xludf.DUMMYFUNCTION(""""""""" &amp; REGEXEXTRACT(B7735, ""/detail/([^/?]+)"") &amp; """""","""),"""ekjkjbodjcdjgafbkolhfjgpfgagdegj"",")</f>
        <v>"ekjkjbodjcdjgafbkolhfjgpfgagdegj",</v>
      </c>
    </row>
    <row r="7736">
      <c r="A7736" s="4" t="s">
        <v>26915</v>
      </c>
      <c r="B7736" s="4" t="s">
        <v>15399</v>
      </c>
      <c r="C7736" s="16" t="str">
        <f>IFERROR(__xludf.DUMMYFUNCTION(""""""""" &amp; REGEXEXTRACT(B7736, ""/detail/([^/?]+)"") &amp; """""","""),"""epmplkdcjhgigmnjmjibilpmekhgkbeg"",")</f>
        <v>"epmplkdcjhgigmnjmjibilpmekhgkbeg",</v>
      </c>
    </row>
    <row r="7737">
      <c r="A7737" s="4" t="s">
        <v>26916</v>
      </c>
      <c r="B7737" s="4" t="s">
        <v>15401</v>
      </c>
      <c r="C7737" s="16" t="str">
        <f>IFERROR(__xludf.DUMMYFUNCTION(""""""""" &amp; REGEXEXTRACT(B7737, ""/detail/([^/?]+)"") &amp; """""","""),"""gjklflifcllkcbnkalfcjpkbmifempna"",")</f>
        <v>"gjklflifcllkcbnkalfcjpkbmifempna",</v>
      </c>
    </row>
    <row r="7738">
      <c r="A7738" s="4" t="s">
        <v>26917</v>
      </c>
      <c r="B7738" s="4" t="s">
        <v>15403</v>
      </c>
      <c r="C7738" s="16" t="str">
        <f>IFERROR(__xludf.DUMMYFUNCTION(""""""""" &amp; REGEXEXTRACT(B7738, ""/detail/([^/?]+)"") &amp; """""","""),"""jfgbllgoiodkelaifljpjkdmendhhlcg"",")</f>
        <v>"jfgbllgoiodkelaifljpjkdmendhhlcg",</v>
      </c>
    </row>
    <row r="7739">
      <c r="A7739" s="4" t="s">
        <v>26918</v>
      </c>
      <c r="B7739" s="4" t="s">
        <v>15405</v>
      </c>
      <c r="C7739" s="16" t="str">
        <f>IFERROR(__xludf.DUMMYFUNCTION(""""""""" &amp; REGEXEXTRACT(B7739, ""/detail/([^/?]+)"") &amp; """""","""),"""mopkplcglehjfbedbngcglkmajhflnjk"",")</f>
        <v>"mopkplcglehjfbedbngcglkmajhflnjk",</v>
      </c>
    </row>
    <row r="7740">
      <c r="A7740" s="4" t="s">
        <v>26919</v>
      </c>
      <c r="B7740" s="4" t="s">
        <v>15406</v>
      </c>
      <c r="C7740" s="16" t="str">
        <f>IFERROR(__xludf.DUMMYFUNCTION(""""""""" &amp; REGEXEXTRACT(B7740, ""/detail/([^/?]+)"") &amp; """""","""),"""nibhmcokabkgmcgifpepmohpnfchpgda"",")</f>
        <v>"nibhmcokabkgmcgifpepmohpnfchpgda",</v>
      </c>
    </row>
    <row r="7741">
      <c r="A7741" s="4" t="s">
        <v>26920</v>
      </c>
      <c r="B7741" s="4" t="s">
        <v>15408</v>
      </c>
      <c r="C7741" s="16" t="str">
        <f>IFERROR(__xludf.DUMMYFUNCTION(""""""""" &amp; REGEXEXTRACT(B7741, ""/detail/([^/?]+)"") &amp; """""","""),"""ihajljlkkkgaigonbgkoncfaddnaafoj"",")</f>
        <v>"ihajljlkkkgaigonbgkoncfaddnaafoj",</v>
      </c>
    </row>
    <row r="7742">
      <c r="A7742" s="4" t="s">
        <v>26921</v>
      </c>
      <c r="B7742" s="4" t="s">
        <v>15410</v>
      </c>
      <c r="C7742" s="16" t="str">
        <f>IFERROR(__xludf.DUMMYFUNCTION(""""""""" &amp; REGEXEXTRACT(B7742, ""/detail/([^/?]+)"") &amp; """""","""),"""gemjflcbbfghpfenhikfidbjdkbkdljn"",")</f>
        <v>"gemjflcbbfghpfenhikfidbjdkbkdljn",</v>
      </c>
    </row>
    <row r="7743">
      <c r="A7743" s="4" t="s">
        <v>26922</v>
      </c>
      <c r="B7743" s="4" t="s">
        <v>15412</v>
      </c>
      <c r="C7743" s="16" t="str">
        <f>IFERROR(__xludf.DUMMYFUNCTION(""""""""" &amp; REGEXEXTRACT(B7743, ""/detail/([^/?]+)"") &amp; """""","""),"""plfmoahhnaoojlmlnjfbggfdblhdbkjp"",")</f>
        <v>"plfmoahhnaoojlmlnjfbggfdblhdbkjp",</v>
      </c>
    </row>
    <row r="7744">
      <c r="A7744" s="4" t="s">
        <v>26923</v>
      </c>
      <c r="B7744" s="4" t="s">
        <v>15414</v>
      </c>
      <c r="C7744" s="16" t="str">
        <f>IFERROR(__xludf.DUMMYFUNCTION(""""""""" &amp; REGEXEXTRACT(B7744, ""/detail/([^/?]+)"") &amp; """""","""),"""kbbmooglpoifkklpckgabiahlicnhnmo"",")</f>
        <v>"kbbmooglpoifkklpckgabiahlicnhnmo",</v>
      </c>
    </row>
    <row r="7745">
      <c r="A7745" s="4" t="s">
        <v>26924</v>
      </c>
      <c r="B7745" s="4" t="s">
        <v>15416</v>
      </c>
      <c r="C7745" s="16" t="str">
        <f>IFERROR(__xludf.DUMMYFUNCTION(""""""""" &amp; REGEXEXTRACT(B7745, ""/detail/([^/?]+)"") &amp; """""","""),"""lhehblheoabjhaoidpediiolhmlebckb"",")</f>
        <v>"lhehblheoabjhaoidpediiolhmlebckb",</v>
      </c>
    </row>
    <row r="7746">
      <c r="A7746" s="4" t="s">
        <v>26925</v>
      </c>
      <c r="B7746" s="4" t="s">
        <v>15418</v>
      </c>
      <c r="C7746" s="16" t="str">
        <f>IFERROR(__xludf.DUMMYFUNCTION(""""""""" &amp; REGEXEXTRACT(B7746, ""/detail/([^/?]+)"") &amp; """""","""),"""nmnehbfgpadbppbdlljpiibhiniehejd"",")</f>
        <v>"nmnehbfgpadbppbdlljpiibhiniehejd",</v>
      </c>
    </row>
    <row r="7747">
      <c r="A7747" s="4" t="s">
        <v>26926</v>
      </c>
      <c r="B7747" s="4" t="s">
        <v>15420</v>
      </c>
      <c r="C7747" s="16" t="str">
        <f>IFERROR(__xludf.DUMMYFUNCTION(""""""""" &amp; REGEXEXTRACT(B7747, ""/detail/([^/?]+)"") &amp; """""","""),"""palnodkhbhhnaoecdfbifdfpibklccdk"",")</f>
        <v>"palnodkhbhhnaoecdfbifdfpibklccdk",</v>
      </c>
    </row>
    <row r="7748">
      <c r="A7748" s="4" t="s">
        <v>26927</v>
      </c>
      <c r="B7748" s="4" t="s">
        <v>15422</v>
      </c>
      <c r="C7748" s="16" t="str">
        <f>IFERROR(__xludf.DUMMYFUNCTION(""""""""" &amp; REGEXEXTRACT(B7748, ""/detail/([^/?]+)"") &amp; """""","""),"""epjlelpgajbfpcdohkbaeaindpcjpfhi"",")</f>
        <v>"epjlelpgajbfpcdohkbaeaindpcjpfhi",</v>
      </c>
    </row>
    <row r="7749">
      <c r="A7749" s="4" t="s">
        <v>26928</v>
      </c>
      <c r="B7749" s="4" t="s">
        <v>15424</v>
      </c>
      <c r="C7749" s="16" t="str">
        <f>IFERROR(__xludf.DUMMYFUNCTION(""""""""" &amp; REGEXEXTRACT(B7749, ""/detail/([^/?]+)"") &amp; """""","""),"""goeiakeofnlpkioeadcbocfifmgkidpb"",")</f>
        <v>"goeiakeofnlpkioeadcbocfifmgkidpb",</v>
      </c>
    </row>
    <row r="7750">
      <c r="A7750" s="4" t="s">
        <v>26929</v>
      </c>
      <c r="B7750" s="4" t="s">
        <v>15426</v>
      </c>
      <c r="C7750" s="16" t="str">
        <f>IFERROR(__xludf.DUMMYFUNCTION(""""""""" &amp; REGEXEXTRACT(B7750, ""/detail/([^/?]+)"") &amp; """""","""),"""lbjiebgdlgngeojjlebihchdmnaeehdg"",")</f>
        <v>"lbjiebgdlgngeojjlebihchdmnaeehdg",</v>
      </c>
    </row>
    <row r="7751">
      <c r="A7751" s="10" t="s">
        <v>26930</v>
      </c>
      <c r="B7751" s="4" t="s">
        <v>15428</v>
      </c>
      <c r="C7751" s="16" t="str">
        <f>IFERROR(__xludf.DUMMYFUNCTION(""""""""" &amp; REGEXEXTRACT(B7751, ""/detail/([^/?]+)"") &amp; """""","""),"""nhonlochieibnkmfpombklkgjpkeckhi"",")</f>
        <v>"nhonlochieibnkmfpombklkgjpkeckhi",</v>
      </c>
    </row>
    <row r="7752">
      <c r="A7752" s="4" t="s">
        <v>26931</v>
      </c>
      <c r="B7752" s="4" t="s">
        <v>15430</v>
      </c>
      <c r="C7752" s="16" t="str">
        <f>IFERROR(__xludf.DUMMYFUNCTION(""""""""" &amp; REGEXEXTRACT(B7752, ""/detail/([^/?]+)"") &amp; """""","""),"""abgoaphadkcmbkapnamhkcgkaddlmfal"",")</f>
        <v>"abgoaphadkcmbkapnamhkcgkaddlmfal",</v>
      </c>
    </row>
    <row r="7753">
      <c r="A7753" s="4" t="s">
        <v>26932</v>
      </c>
      <c r="B7753" s="4" t="s">
        <v>15432</v>
      </c>
      <c r="C7753" s="16" t="str">
        <f>IFERROR(__xludf.DUMMYFUNCTION(""""""""" &amp; REGEXEXTRACT(B7753, ""/detail/([^/?]+)"") &amp; """""","""),"""fmgnifabmkdembnfmhppkflgamojpodf"",")</f>
        <v>"fmgnifabmkdembnfmhppkflgamojpodf",</v>
      </c>
    </row>
    <row r="7754">
      <c r="A7754" s="4" t="s">
        <v>26933</v>
      </c>
      <c r="B7754" s="4" t="s">
        <v>15434</v>
      </c>
      <c r="C7754" s="16" t="str">
        <f>IFERROR(__xludf.DUMMYFUNCTION(""""""""" &amp; REGEXEXTRACT(B7754, ""/detail/([^/?]+)"") &amp; """""","""),"""ihcibdneoammialnfkheajplgddmijji"",")</f>
        <v>"ihcibdneoammialnfkheajplgddmijji",</v>
      </c>
    </row>
    <row r="7755">
      <c r="A7755" s="4" t="s">
        <v>26934</v>
      </c>
      <c r="B7755" s="4" t="s">
        <v>15436</v>
      </c>
      <c r="C7755" s="16" t="str">
        <f>IFERROR(__xludf.DUMMYFUNCTION(""""""""" &amp; REGEXEXTRACT(B7755, ""/detail/([^/?]+)"") &amp; """""","""),"""gpppkkkidmlbdenkajgcpfkjocmdbock"",")</f>
        <v>"gpppkkkidmlbdenkajgcpfkjocmdbock",</v>
      </c>
    </row>
    <row r="7756">
      <c r="A7756" s="4" t="s">
        <v>26935</v>
      </c>
      <c r="B7756" s="4" t="s">
        <v>15438</v>
      </c>
      <c r="C7756" s="16" t="str">
        <f>IFERROR(__xludf.DUMMYFUNCTION(""""""""" &amp; REGEXEXTRACT(B7756, ""/detail/([^/?]+)"") &amp; """""","""),"""cbfkaanjhpcchfkdplljghhggpjbjjhk"",")</f>
        <v>"cbfkaanjhpcchfkdplljghhggpjbjjhk",</v>
      </c>
    </row>
    <row r="7757">
      <c r="A7757" s="4" t="s">
        <v>26936</v>
      </c>
      <c r="B7757" s="4" t="s">
        <v>15440</v>
      </c>
      <c r="C7757" s="16" t="str">
        <f>IFERROR(__xludf.DUMMYFUNCTION(""""""""" &amp; REGEXEXTRACT(B7757, ""/detail/([^/?]+)"") &amp; """""","""),"""emfpfmjldkffpibmfhdfmjdbkphccaom"",")</f>
        <v>"emfpfmjldkffpibmfhdfmjdbkphccaom",</v>
      </c>
    </row>
    <row r="7758">
      <c r="A7758" s="4" t="s">
        <v>26937</v>
      </c>
      <c r="B7758" s="4" t="s">
        <v>15442</v>
      </c>
      <c r="C7758" s="16" t="str">
        <f>IFERROR(__xludf.DUMMYFUNCTION(""""""""" &amp; REGEXEXTRACT(B7758, ""/detail/([^/?]+)"") &amp; """""","""),"""fgcpnflfkoclnkgkkimfpbehjopdfdem"",")</f>
        <v>"fgcpnflfkoclnkgkkimfpbehjopdfdem",</v>
      </c>
    </row>
    <row r="7759">
      <c r="A7759" s="4" t="s">
        <v>26938</v>
      </c>
      <c r="B7759" s="4" t="s">
        <v>15444</v>
      </c>
      <c r="C7759" s="16" t="str">
        <f>IFERROR(__xludf.DUMMYFUNCTION(""""""""" &amp; REGEXEXTRACT(B7759, ""/detail/([^/?]+)"") &amp; """""","""),"""mhjfmpoapdmndhmeoojjedmopafcecfn"",")</f>
        <v>"mhjfmpoapdmndhmeoojjedmopafcecfn",</v>
      </c>
    </row>
    <row r="7760">
      <c r="A7760" s="4" t="s">
        <v>26939</v>
      </c>
      <c r="B7760" s="4" t="s">
        <v>15446</v>
      </c>
      <c r="C7760" s="16" t="str">
        <f>IFERROR(__xludf.DUMMYFUNCTION(""""""""" &amp; REGEXEXTRACT(B7760, ""/detail/([^/?]+)"") &amp; """""","""),"""nfanbbpnoaomnehhkkkfmahbfbomflbj"",")</f>
        <v>"nfanbbpnoaomnehhkkkfmahbfbomflbj",</v>
      </c>
    </row>
    <row r="7761">
      <c r="A7761" s="4" t="s">
        <v>26940</v>
      </c>
      <c r="B7761" s="4" t="s">
        <v>15448</v>
      </c>
      <c r="C7761" s="16" t="str">
        <f>IFERROR(__xludf.DUMMYFUNCTION(""""""""" &amp; REGEXEXTRACT(B7761, ""/detail/([^/?]+)"") &amp; """""","""),"""panfmicmhbfbgmihhgikpobeoeiaeoam"",")</f>
        <v>"panfmicmhbfbgmihhgikpobeoeiaeoam",</v>
      </c>
    </row>
    <row r="7762">
      <c r="A7762" s="4" t="s">
        <v>26941</v>
      </c>
      <c r="B7762" s="4" t="s">
        <v>15450</v>
      </c>
      <c r="C7762" s="16" t="str">
        <f>IFERROR(__xludf.DUMMYFUNCTION(""""""""" &amp; REGEXEXTRACT(B7762, ""/detail/([^/?]+)"") &amp; """""","""),"""cnonkgapmofblpkobcagimkjidigjpib"",")</f>
        <v>"cnonkgapmofblpkobcagimkjidigjpib",</v>
      </c>
    </row>
    <row r="7763">
      <c r="A7763" s="4" t="s">
        <v>26942</v>
      </c>
      <c r="B7763" s="4" t="s">
        <v>15452</v>
      </c>
      <c r="C7763" s="16" t="str">
        <f>IFERROR(__xludf.DUMMYFUNCTION(""""""""" &amp; REGEXEXTRACT(B7763, ""/detail/([^/?]+)"") &amp; """""","""),"""ibpbamgbgdeaiabiedppnlpiegijnbdp"",")</f>
        <v>"ibpbamgbgdeaiabiedppnlpiegijnbdp",</v>
      </c>
    </row>
    <row r="7764">
      <c r="A7764" s="4" t="s">
        <v>26943</v>
      </c>
      <c r="B7764" s="4" t="s">
        <v>15454</v>
      </c>
      <c r="C7764" s="16" t="str">
        <f>IFERROR(__xludf.DUMMYFUNCTION(""""""""" &amp; REGEXEXTRACT(B7764, ""/detail/([^/?]+)"") &amp; """""","""),"""lpbdnabmlikokalkbdoadccamhcfmnga"",")</f>
        <v>"lpbdnabmlikokalkbdoadccamhcfmnga",</v>
      </c>
    </row>
    <row r="7765">
      <c r="A7765" s="4" t="s">
        <v>26944</v>
      </c>
      <c r="B7765" s="4" t="s">
        <v>15456</v>
      </c>
      <c r="C7765" s="16" t="str">
        <f>IFERROR(__xludf.DUMMYFUNCTION(""""""""" &amp; REGEXEXTRACT(B7765, ""/detail/([^/?]+)"") &amp; """""","""),"""alnjkmbmogcjljncjoencmadbiboedfp"",")</f>
        <v>"alnjkmbmogcjljncjoencmadbiboedfp",</v>
      </c>
    </row>
    <row r="7766">
      <c r="A7766" s="4" t="s">
        <v>26945</v>
      </c>
      <c r="B7766" s="4" t="s">
        <v>15458</v>
      </c>
      <c r="C7766" s="16" t="str">
        <f>IFERROR(__xludf.DUMMYFUNCTION(""""""""" &amp; REGEXEXTRACT(B7766, ""/detail/([^/?]+)"") &amp; """""","""),"""caomgpcmfhfocdnmledbkifhklganjef"",")</f>
        <v>"caomgpcmfhfocdnmledbkifhklganjef",</v>
      </c>
    </row>
    <row r="7767">
      <c r="A7767" s="4" t="s">
        <v>26946</v>
      </c>
      <c r="B7767" s="4" t="s">
        <v>15460</v>
      </c>
      <c r="C7767" s="16" t="str">
        <f>IFERROR(__xludf.DUMMYFUNCTION(""""""""" &amp; REGEXEXTRACT(B7767, ""/detail/([^/?]+)"") &amp; """""","""),"""cnelmenogjgobndnoddckekbojgginbn"",")</f>
        <v>"cnelmenogjgobndnoddckekbojgginbn",</v>
      </c>
    </row>
    <row r="7768">
      <c r="A7768" s="4" t="s">
        <v>26947</v>
      </c>
      <c r="B7768" s="4" t="s">
        <v>15462</v>
      </c>
      <c r="C7768" s="16" t="str">
        <f>IFERROR(__xludf.DUMMYFUNCTION(""""""""" &amp; REGEXEXTRACT(B7768, ""/detail/([^/?]+)"") &amp; """""","""),"""ejkfpcfaajhhgaegdkgmdfgaookckeac"",")</f>
        <v>"ejkfpcfaajhhgaegdkgmdfgaookckeac",</v>
      </c>
    </row>
    <row r="7769">
      <c r="A7769" s="4" t="s">
        <v>26948</v>
      </c>
      <c r="B7769" s="4" t="s">
        <v>15464</v>
      </c>
      <c r="C7769" s="16" t="str">
        <f>IFERROR(__xludf.DUMMYFUNCTION(""""""""" &amp; REGEXEXTRACT(B7769, ""/detail/([^/?]+)"") &amp; """""","""),"""fabaimpklfkedhgiaciiggiihfmmeaio"",")</f>
        <v>"fabaimpklfkedhgiaciiggiihfmmeaio",</v>
      </c>
    </row>
    <row r="7770">
      <c r="A7770" s="4" t="s">
        <v>26949</v>
      </c>
      <c r="B7770" s="4" t="s">
        <v>15466</v>
      </c>
      <c r="C7770" s="16" t="str">
        <f>IFERROR(__xludf.DUMMYFUNCTION(""""""""" &amp; REGEXEXTRACT(B7770, ""/detail/([^/?]+)"") &amp; """""","""),"""fbohjeijkanpeamijojloonklakpncef"",")</f>
        <v>"fbohjeijkanpeamijojloonklakpncef",</v>
      </c>
    </row>
    <row r="7771">
      <c r="A7771" s="4" t="s">
        <v>26950</v>
      </c>
      <c r="B7771" s="4" t="s">
        <v>15468</v>
      </c>
      <c r="C7771" s="16" t="str">
        <f>IFERROR(__xludf.DUMMYFUNCTION(""""""""" &amp; REGEXEXTRACT(B7771, ""/detail/([^/?]+)"") &amp; """""","""),"""geefpmbdhidciekkfocjinkbefjegmkn"",")</f>
        <v>"geefpmbdhidciekkfocjinkbefjegmkn",</v>
      </c>
    </row>
    <row r="7772">
      <c r="A7772" s="4" t="s">
        <v>26951</v>
      </c>
      <c r="B7772" s="4" t="s">
        <v>15470</v>
      </c>
      <c r="C7772" s="16" t="str">
        <f>IFERROR(__xludf.DUMMYFUNCTION(""""""""" &amp; REGEXEXTRACT(B7772, ""/detail/([^/?]+)"") &amp; """""","""),"""hgngfllcalefeagkohnhehfdallpglcm"",")</f>
        <v>"hgngfllcalefeagkohnhehfdallpglcm",</v>
      </c>
    </row>
    <row r="7773">
      <c r="A7773" s="4" t="s">
        <v>26952</v>
      </c>
      <c r="B7773" s="4" t="s">
        <v>15472</v>
      </c>
      <c r="C7773" s="16" t="str">
        <f>IFERROR(__xludf.DUMMYFUNCTION(""""""""" &amp; REGEXEXTRACT(B7773, ""/detail/([^/?]+)"") &amp; """""","""),"""khglcidcgogfgjmobbgapfobkplbhcgg"",")</f>
        <v>"khglcidcgogfgjmobbgapfobkplbhcgg",</v>
      </c>
    </row>
    <row r="7774">
      <c r="A7774" s="4" t="s">
        <v>26953</v>
      </c>
      <c r="B7774" s="4" t="s">
        <v>15474</v>
      </c>
      <c r="C7774" s="16" t="str">
        <f>IFERROR(__xludf.DUMMYFUNCTION(""""""""" &amp; REGEXEXTRACT(B7774, ""/detail/([^/?]+)"") &amp; """""","""),"""elfbcdococbdgeaolelhgdghjgkkhndf"",")</f>
        <v>"elfbcdococbdgeaolelhgdghjgkkhndf",</v>
      </c>
    </row>
    <row r="7775">
      <c r="A7775" s="4" t="s">
        <v>26954</v>
      </c>
      <c r="B7775" s="4" t="s">
        <v>15476</v>
      </c>
      <c r="C7775" s="16" t="str">
        <f>IFERROR(__xludf.DUMMYFUNCTION(""""""""" &amp; REGEXEXTRACT(B7775, ""/detail/([^/?]+)"") &amp; """""","""),"""jimnnpmaanbiglfmjaheajeehclekjoc"",")</f>
        <v>"jimnnpmaanbiglfmjaheajeehclekjoc",</v>
      </c>
    </row>
    <row r="7776">
      <c r="A7776" s="4" t="s">
        <v>26955</v>
      </c>
      <c r="B7776" s="4" t="s">
        <v>15478</v>
      </c>
      <c r="C7776" s="16" t="str">
        <f>IFERROR(__xludf.DUMMYFUNCTION(""""""""" &amp; REGEXEXTRACT(B7776, ""/detail/([^/?]+)"") &amp; """""","""),"""kgjndbjllboloebaeglimdfjgmdlgika"",")</f>
        <v>"kgjndbjllboloebaeglimdfjgmdlgika",</v>
      </c>
    </row>
    <row r="7777">
      <c r="A7777" s="4" t="s">
        <v>26956</v>
      </c>
      <c r="B7777" s="4" t="s">
        <v>15480</v>
      </c>
      <c r="C7777" s="16" t="str">
        <f>IFERROR(__xludf.DUMMYFUNCTION(""""""""" &amp; REGEXEXTRACT(B7777, ""/detail/([^/?]+)"") &amp; """""","""),"""koiffgdgddhndlejbbgolhcmefdedgpp"",")</f>
        <v>"koiffgdgddhndlejbbgolhcmefdedgpp",</v>
      </c>
    </row>
    <row r="7778">
      <c r="A7778" s="4" t="s">
        <v>26957</v>
      </c>
      <c r="B7778" s="4" t="s">
        <v>15482</v>
      </c>
      <c r="C7778" s="16" t="str">
        <f>IFERROR(__xludf.DUMMYFUNCTION(""""""""" &amp; REGEXEXTRACT(B7778, ""/detail/([^/?]+)"") &amp; """""","""),"""lkifhkgedjabhdpbogaobhkgajndjihg"",")</f>
        <v>"lkifhkgedjabhdpbogaobhkgajndjihg",</v>
      </c>
    </row>
    <row r="7779">
      <c r="A7779" s="4" t="s">
        <v>26958</v>
      </c>
      <c r="B7779" s="4" t="s">
        <v>15484</v>
      </c>
      <c r="C7779" s="16" t="str">
        <f>IFERROR(__xludf.DUMMYFUNCTION(""""""""" &amp; REGEXEXTRACT(B7779, ""/detail/([^/?]+)"") &amp; """""","""),"""aallcmelejdfkmcdijkklloblonbeiap"",")</f>
        <v>"aallcmelejdfkmcdijkklloblonbeiap",</v>
      </c>
    </row>
    <row r="7780">
      <c r="A7780" s="4" t="s">
        <v>26959</v>
      </c>
      <c r="B7780" s="4" t="s">
        <v>15486</v>
      </c>
      <c r="C7780" s="16" t="str">
        <f>IFERROR(__xludf.DUMMYFUNCTION(""""""""" &amp; REGEXEXTRACT(B7780, ""/detail/([^/?]+)"") &amp; """""","""),"""abdhmkeccbnobbpdmfkfjlmlgbmbmhja"",")</f>
        <v>"abdhmkeccbnobbpdmfkfjlmlgbmbmhja",</v>
      </c>
    </row>
    <row r="7781">
      <c r="A7781" s="4" t="s">
        <v>26960</v>
      </c>
      <c r="B7781" s="4" t="s">
        <v>15488</v>
      </c>
      <c r="C7781" s="16" t="str">
        <f>IFERROR(__xludf.DUMMYFUNCTION(""""""""" &amp; REGEXEXTRACT(B7781, ""/detail/([^/?]+)"") &amp; """""","""),"""cpclcgemnnjhnemgndddgjglogjpnine"",")</f>
        <v>"cpclcgemnnjhnemgndddgjglogjpnine",</v>
      </c>
    </row>
    <row r="7782">
      <c r="A7782" s="4" t="s">
        <v>26961</v>
      </c>
      <c r="B7782" s="4" t="s">
        <v>15490</v>
      </c>
      <c r="C7782" s="16" t="str">
        <f>IFERROR(__xludf.DUMMYFUNCTION(""""""""" &amp; REGEXEXTRACT(B7782, ""/detail/([^/?]+)"") &amp; """""","""),"""hdaipepmdljmnbenbclhfahgfjfcpmhk"",")</f>
        <v>"hdaipepmdljmnbenbclhfahgfjfcpmhk",</v>
      </c>
    </row>
    <row r="7783">
      <c r="A7783" s="4" t="s">
        <v>26962</v>
      </c>
      <c r="B7783" s="4" t="s">
        <v>15492</v>
      </c>
      <c r="C7783" s="16" t="str">
        <f>IFERROR(__xludf.DUMMYFUNCTION(""""""""" &amp; REGEXEXTRACT(B7783, ""/detail/([^/?]+)"") &amp; """""","""),"""kidhoiknbmmepbgjjkonimlnphohhdno"",")</f>
        <v>"kidhoiknbmmepbgjjkonimlnphohhdno",</v>
      </c>
    </row>
    <row r="7784">
      <c r="A7784" s="4" t="s">
        <v>26963</v>
      </c>
      <c r="B7784" s="4" t="s">
        <v>15494</v>
      </c>
      <c r="C7784" s="16" t="str">
        <f>IFERROR(__xludf.DUMMYFUNCTION(""""""""" &amp; REGEXEXTRACT(B7784, ""/detail/([^/?]+)"") &amp; """""","""),"""ldahcfljppchbfgdokomobmfdfplaman"",")</f>
        <v>"ldahcfljppchbfgdokomobmfdfplaman",</v>
      </c>
    </row>
    <row r="7785">
      <c r="A7785" s="4" t="s">
        <v>26964</v>
      </c>
      <c r="B7785" s="4" t="s">
        <v>15496</v>
      </c>
      <c r="C7785" s="16" t="str">
        <f>IFERROR(__xludf.DUMMYFUNCTION(""""""""" &amp; REGEXEXTRACT(B7785, ""/detail/([^/?]+)"") &amp; """""","""),"""nmnncnpkicfomcilcdeiegppleiicfig"",")</f>
        <v>"nmnncnpkicfomcilcdeiegppleiicfig",</v>
      </c>
    </row>
    <row r="7786">
      <c r="A7786" s="4" t="s">
        <v>26965</v>
      </c>
      <c r="B7786" s="4" t="s">
        <v>15498</v>
      </c>
      <c r="C7786" s="16" t="str">
        <f>IFERROR(__xludf.DUMMYFUNCTION(""""""""" &amp; REGEXEXTRACT(B7786, ""/detail/([^/?]+)"") &amp; """""","""),"""pakphhpnneopheifihmjcjnbdbhaaiaa"",")</f>
        <v>"pakphhpnneopheifihmjcjnbdbhaaiaa",</v>
      </c>
    </row>
    <row r="7787">
      <c r="A7787" s="4" t="s">
        <v>26966</v>
      </c>
      <c r="B7787" s="4" t="s">
        <v>15500</v>
      </c>
      <c r="C7787" s="16" t="str">
        <f>IFERROR(__xludf.DUMMYFUNCTION(""""""""" &amp; REGEXEXTRACT(B7787, ""/detail/([^/?]+)"") &amp; """""","""),"""phgnljhcfaiimdbmpbphhfoplhleaghn"",")</f>
        <v>"phgnljhcfaiimdbmpbphhfoplhleaghn",</v>
      </c>
    </row>
    <row r="7788">
      <c r="A7788" s="4" t="s">
        <v>26967</v>
      </c>
      <c r="B7788" s="4" t="s">
        <v>15502</v>
      </c>
      <c r="C7788" s="16" t="str">
        <f>IFERROR(__xludf.DUMMYFUNCTION(""""""""" &amp; REGEXEXTRACT(B7788, ""/detail/([^/?]+)"") &amp; """""","""),"""hkmfjcihoiailllcblejlhgaeedaephl"",")</f>
        <v>"hkmfjcihoiailllcblejlhgaeedaephl",</v>
      </c>
    </row>
    <row r="7789">
      <c r="A7789" s="4" t="s">
        <v>26968</v>
      </c>
      <c r="B7789" s="4" t="s">
        <v>15504</v>
      </c>
      <c r="C7789" s="16" t="str">
        <f>IFERROR(__xludf.DUMMYFUNCTION(""""""""" &amp; REGEXEXTRACT(B7789, ""/detail/([^/?]+)"") &amp; """""","""),"""mjcamldajgnpgjcpacomkgfhccnibldg"",")</f>
        <v>"mjcamldajgnpgjcpacomkgfhccnibldg",</v>
      </c>
    </row>
    <row r="7790">
      <c r="A7790" s="4" t="s">
        <v>26969</v>
      </c>
      <c r="B7790" s="4" t="s">
        <v>15506</v>
      </c>
      <c r="C7790" s="16" t="str">
        <f>IFERROR(__xludf.DUMMYFUNCTION(""""""""" &amp; REGEXEXTRACT(B7790, ""/detail/([^/?]+)"") &amp; """""","""),"""dknndpinklaamkckfjfjdnmnmgaakcaf"",")</f>
        <v>"dknndpinklaamkckfjfjdnmnmgaakcaf",</v>
      </c>
    </row>
    <row r="7791">
      <c r="A7791" s="4" t="s">
        <v>26970</v>
      </c>
      <c r="B7791" s="4" t="s">
        <v>15508</v>
      </c>
      <c r="C7791" s="16" t="str">
        <f>IFERROR(__xludf.DUMMYFUNCTION(""""""""" &amp; REGEXEXTRACT(B7791, ""/detail/([^/?]+)"") &amp; """""","""),"""phpopkefffapdkbajahlbmnniaogmjje"",")</f>
        <v>"phpopkefffapdkbajahlbmnniaogmjje",</v>
      </c>
    </row>
    <row r="7792">
      <c r="A7792" s="4" t="s">
        <v>26971</v>
      </c>
      <c r="B7792" s="4" t="s">
        <v>15510</v>
      </c>
      <c r="C7792" s="16" t="str">
        <f>IFERROR(__xludf.DUMMYFUNCTION(""""""""" &amp; REGEXEXTRACT(B7792, ""/detail/([^/?]+)"") &amp; """""","""),"""aibjdgijmohdfebdndikpikimadfpghg"",")</f>
        <v>"aibjdgijmohdfebdndikpikimadfpghg",</v>
      </c>
    </row>
    <row r="7793">
      <c r="A7793" s="4" t="s">
        <v>26972</v>
      </c>
      <c r="B7793" s="4" t="s">
        <v>15512</v>
      </c>
      <c r="C7793" s="16" t="str">
        <f>IFERROR(__xludf.DUMMYFUNCTION(""""""""" &amp; REGEXEXTRACT(B7793, ""/detail/([^/?]+)"") &amp; """""","""),"""cpfpkpfdmfbmbhjokmiahlefkfhimpob"",")</f>
        <v>"cpfpkpfdmfbmbhjokmiahlefkfhimpob",</v>
      </c>
    </row>
    <row r="7794">
      <c r="A7794" s="4" t="s">
        <v>26973</v>
      </c>
      <c r="B7794" s="4" t="s">
        <v>15514</v>
      </c>
      <c r="C7794" s="16" t="str">
        <f>IFERROR(__xludf.DUMMYFUNCTION(""""""""" &amp; REGEXEXTRACT(B7794, ""/detail/([^/?]+)"") &amp; """""","""),"""enkmbkhkbdiaafkmofbmdahclajelgfh"",")</f>
        <v>"enkmbkhkbdiaafkmofbmdahclajelgfh",</v>
      </c>
    </row>
    <row r="7795">
      <c r="A7795" s="4" t="s">
        <v>26974</v>
      </c>
      <c r="B7795" s="4" t="s">
        <v>15516</v>
      </c>
      <c r="C7795" s="16" t="str">
        <f>IFERROR(__xludf.DUMMYFUNCTION(""""""""" &amp; REGEXEXTRACT(B7795, ""/detail/([^/?]+)"") &amp; """""","""),"""hcfahcbjaolpfghelfanfepghajfbkdg"",")</f>
        <v>"hcfahcbjaolpfghelfanfepghajfbkdg",</v>
      </c>
    </row>
    <row r="7796">
      <c r="A7796" s="4" t="s">
        <v>26975</v>
      </c>
      <c r="B7796" s="4" t="s">
        <v>15518</v>
      </c>
      <c r="C7796" s="16" t="str">
        <f>IFERROR(__xludf.DUMMYFUNCTION(""""""""" &amp; REGEXEXTRACT(B7796, ""/detail/([^/?]+)"") &amp; """""","""),"""mlnbdkndimgjfpfjokkcfgghmmmknhlj"",")</f>
        <v>"mlnbdkndimgjfpfjokkcfgghmmmknhlj",</v>
      </c>
    </row>
    <row r="7797">
      <c r="A7797" s="4" t="s">
        <v>26976</v>
      </c>
      <c r="B7797" s="4" t="s">
        <v>15520</v>
      </c>
      <c r="C7797" s="16" t="str">
        <f>IFERROR(__xludf.DUMMYFUNCTION(""""""""" &amp; REGEXEXTRACT(B7797, ""/detail/([^/?]+)"") &amp; """""","""),"""ejlghibhonddakjbgfmdpeifcoljnlob"",")</f>
        <v>"ejlghibhonddakjbgfmdpeifcoljnlob",</v>
      </c>
    </row>
    <row r="7798">
      <c r="A7798" s="4" t="s">
        <v>26977</v>
      </c>
      <c r="B7798" s="4" t="s">
        <v>15522</v>
      </c>
      <c r="C7798" s="16" t="str">
        <f>IFERROR(__xludf.DUMMYFUNCTION(""""""""" &amp; REGEXEXTRACT(B7798, ""/detail/([^/?]+)"") &amp; """""","""),"""ldmhlfmikjfnpepnkcnepibmobdoeklc"",")</f>
        <v>"ldmhlfmikjfnpepnkcnepibmobdoeklc",</v>
      </c>
    </row>
    <row r="7799">
      <c r="A7799" s="4" t="s">
        <v>26978</v>
      </c>
      <c r="B7799" s="4" t="s">
        <v>15524</v>
      </c>
      <c r="C7799" s="16" t="str">
        <f>IFERROR(__xludf.DUMMYFUNCTION(""""""""" &amp; REGEXEXTRACT(B7799, ""/detail/([^/?]+)"") &amp; """""","""),"""jdocohkgkgpminecekdnkoljcffebkgc"",")</f>
        <v>"jdocohkgkgpminecekdnkoljcffebkgc",</v>
      </c>
    </row>
    <row r="7800">
      <c r="A7800" s="4" t="s">
        <v>26979</v>
      </c>
      <c r="B7800" s="4" t="s">
        <v>15526</v>
      </c>
      <c r="C7800" s="16" t="str">
        <f>IFERROR(__xludf.DUMMYFUNCTION(""""""""" &amp; REGEXEXTRACT(B7800, ""/detail/([^/?]+)"") &amp; """""","""),"""kngmdnkaeiaodchlfljkkinpphgfmkfg"",")</f>
        <v>"kngmdnkaeiaodchlfljkkinpphgfmkfg",</v>
      </c>
    </row>
    <row r="7801">
      <c r="A7801" s="4" t="s">
        <v>26980</v>
      </c>
      <c r="B7801" s="4" t="s">
        <v>15528</v>
      </c>
      <c r="C7801" s="16" t="str">
        <f>IFERROR(__xludf.DUMMYFUNCTION(""""""""" &amp; REGEXEXTRACT(B7801, ""/detail/([^/?]+)"") &amp; """""","""),"""ljhkfklbohndemkbafegonhpanfajeae"",")</f>
        <v>"ljhkfklbohndemkbafegonhpanfajeae",</v>
      </c>
    </row>
    <row r="7802">
      <c r="A7802" s="4" t="s">
        <v>26981</v>
      </c>
      <c r="B7802" s="4" t="s">
        <v>15530</v>
      </c>
      <c r="C7802" s="16" t="str">
        <f>IFERROR(__xludf.DUMMYFUNCTION(""""""""" &amp; REGEXEXTRACT(B7802, ""/detail/([^/?]+)"") &amp; """""","""),"""mdoifndjjoblccpefkbdicgahkbbcfdk"",")</f>
        <v>"mdoifndjjoblccpefkbdicgahkbbcfdk",</v>
      </c>
    </row>
    <row r="7803">
      <c r="A7803" s="4" t="s">
        <v>26982</v>
      </c>
      <c r="B7803" s="4" t="s">
        <v>15532</v>
      </c>
      <c r="C7803" s="16" t="str">
        <f>IFERROR(__xludf.DUMMYFUNCTION(""""""""" &amp; REGEXEXTRACT(B7803, ""/detail/([^/?]+)"") &amp; """""","""),"""caidggjajppheihpeoeokndacpgjncmn"",")</f>
        <v>"caidggjajppheihpeoeokndacpgjncmn",</v>
      </c>
    </row>
    <row r="7804">
      <c r="A7804" s="4" t="s">
        <v>26983</v>
      </c>
      <c r="B7804" s="4" t="s">
        <v>15534</v>
      </c>
      <c r="C7804" s="16" t="str">
        <f>IFERROR(__xludf.DUMMYFUNCTION(""""""""" &amp; REGEXEXTRACT(B7804, ""/detail/([^/?]+)"") &amp; """""","""),"""eogdfgnbobifjiebhcalcmaofkeponng"",")</f>
        <v>"eogdfgnbobifjiebhcalcmaofkeponng",</v>
      </c>
    </row>
    <row r="7805">
      <c r="A7805" s="4" t="s">
        <v>26984</v>
      </c>
      <c r="B7805" s="4" t="s">
        <v>15536</v>
      </c>
      <c r="C7805" s="16" t="str">
        <f>IFERROR(__xludf.DUMMYFUNCTION(""""""""" &amp; REGEXEXTRACT(B7805, ""/detail/([^/?]+)"") &amp; """""","""),"""fimecghnlpkdjcjhpaemckklaimbafae"",")</f>
        <v>"fimecghnlpkdjcjhpaemckklaimbafae",</v>
      </c>
    </row>
    <row r="7806">
      <c r="A7806" s="4" t="s">
        <v>26985</v>
      </c>
      <c r="B7806" s="4" t="s">
        <v>15538</v>
      </c>
      <c r="C7806" s="16" t="str">
        <f>IFERROR(__xludf.DUMMYFUNCTION(""""""""" &amp; REGEXEXTRACT(B7806, ""/detail/([^/?]+)"") &amp; """""","""),"""hfdidojhnkdibahcndapblampeicghfd"",")</f>
        <v>"hfdidojhnkdibahcndapblampeicghfd",</v>
      </c>
    </row>
    <row r="7807">
      <c r="A7807" s="4" t="s">
        <v>26986</v>
      </c>
      <c r="B7807" s="4" t="s">
        <v>15540</v>
      </c>
      <c r="C7807" s="16" t="str">
        <f>IFERROR(__xludf.DUMMYFUNCTION(""""""""" &amp; REGEXEXTRACT(B7807, ""/detail/([^/?]+)"") &amp; """""","""),"""ikdalniioengaefjkpkhfcgjemdfhpfg"",")</f>
        <v>"ikdalniioengaefjkpkhfcgjemdfhpfg",</v>
      </c>
    </row>
    <row r="7808">
      <c r="A7808" s="4" t="s">
        <v>26987</v>
      </c>
      <c r="B7808" s="4" t="s">
        <v>15542</v>
      </c>
      <c r="C7808" s="16" t="str">
        <f>IFERROR(__xludf.DUMMYFUNCTION(""""""""" &amp; REGEXEXTRACT(B7808, ""/detail/([^/?]+)"") &amp; """""","""),"""ldfacjglncaooacfoiikhphjmbobimij"",")</f>
        <v>"ldfacjglncaooacfoiikhphjmbobimij",</v>
      </c>
    </row>
    <row r="7809">
      <c r="A7809" s="4" t="s">
        <v>26988</v>
      </c>
      <c r="B7809" s="4" t="s">
        <v>15544</v>
      </c>
      <c r="C7809" s="16" t="str">
        <f>IFERROR(__xludf.DUMMYFUNCTION(""""""""" &amp; REGEXEXTRACT(B7809, ""/detail/([^/?]+)"") &amp; """""","""),"""oacpifbefgeacllmohgglfjmgchadkjh"",")</f>
        <v>"oacpifbefgeacllmohgglfjmgchadkjh",</v>
      </c>
    </row>
    <row r="7810">
      <c r="A7810" s="4" t="s">
        <v>26989</v>
      </c>
      <c r="B7810" s="4" t="s">
        <v>15546</v>
      </c>
      <c r="C7810" s="16" t="str">
        <f>IFERROR(__xludf.DUMMYFUNCTION(""""""""" &amp; REGEXEXTRACT(B7810, ""/detail/([^/?]+)"") &amp; """""","""),"""pnbnpemckkkiilpamimpoadnfjkchfjo"",")</f>
        <v>"pnbnpemckkkiilpamimpoadnfjkchfjo",</v>
      </c>
    </row>
    <row r="7811">
      <c r="A7811" s="4" t="s">
        <v>26990</v>
      </c>
      <c r="B7811" s="4" t="s">
        <v>15548</v>
      </c>
      <c r="C7811" s="16" t="str">
        <f>IFERROR(__xludf.DUMMYFUNCTION(""""""""" &amp; REGEXEXTRACT(B7811, ""/detail/([^/?]+)"") &amp; """""","""),"""bblomhfgjpijldhajjihjaiioaadbhck"",")</f>
        <v>"bblomhfgjpijldhajjihjaiioaadbhck",</v>
      </c>
    </row>
    <row r="7812">
      <c r="A7812" s="4" t="s">
        <v>26991</v>
      </c>
      <c r="B7812" s="4" t="s">
        <v>15550</v>
      </c>
      <c r="C7812" s="16" t="str">
        <f>IFERROR(__xludf.DUMMYFUNCTION(""""""""" &amp; REGEXEXTRACT(B7812, ""/detail/([^/?]+)"") &amp; """""","""),"""cemmbegipoglnffhabpjekghghlefenn"",")</f>
        <v>"cemmbegipoglnffhabpjekghghlefenn",</v>
      </c>
    </row>
    <row r="7813">
      <c r="A7813" s="4" t="s">
        <v>26992</v>
      </c>
      <c r="B7813" s="4" t="s">
        <v>15552</v>
      </c>
      <c r="C7813" s="16" t="str">
        <f>IFERROR(__xludf.DUMMYFUNCTION(""""""""" &amp; REGEXEXTRACT(B7813, ""/detail/([^/?]+)"") &amp; """""","""),"""gghbgdecnkcekoinhhffonnmoejbaddj"",")</f>
        <v>"gghbgdecnkcekoinhhffonnmoejbaddj",</v>
      </c>
    </row>
    <row r="7814">
      <c r="A7814" s="4" t="s">
        <v>26993</v>
      </c>
      <c r="B7814" s="4" t="s">
        <v>15554</v>
      </c>
      <c r="C7814" s="16" t="str">
        <f>IFERROR(__xludf.DUMMYFUNCTION(""""""""" &amp; REGEXEXTRACT(B7814, ""/detail/([^/?]+)"") &amp; """""","""),"""hbgeikbbpfjgcicclnjcokjapbgkkfkd"",")</f>
        <v>"hbgeikbbpfjgcicclnjcokjapbgkkfkd",</v>
      </c>
    </row>
    <row r="7815">
      <c r="A7815" s="4" t="s">
        <v>26994</v>
      </c>
      <c r="B7815" s="4" t="s">
        <v>15556</v>
      </c>
      <c r="C7815" s="16" t="str">
        <f>IFERROR(__xludf.DUMMYFUNCTION(""""""""" &amp; REGEXEXTRACT(B7815, ""/detail/([^/?]+)"") &amp; """""","""),"""homgapmnacbmbflidhpenianmeidfcjp"",")</f>
        <v>"homgapmnacbmbflidhpenianmeidfcjp",</v>
      </c>
    </row>
    <row r="7816">
      <c r="A7816" s="4" t="s">
        <v>26995</v>
      </c>
      <c r="B7816" s="4" t="s">
        <v>15558</v>
      </c>
      <c r="C7816" s="16" t="str">
        <f>IFERROR(__xludf.DUMMYFUNCTION(""""""""" &amp; REGEXEXTRACT(B7816, ""/detail/([^/?]+)"") &amp; """""","""),"""mfikcokdfehaofebfhoehbajfgbofdpk"",")</f>
        <v>"mfikcokdfehaofebfhoehbajfgbofdpk",</v>
      </c>
    </row>
    <row r="7817">
      <c r="A7817" s="4" t="s">
        <v>26996</v>
      </c>
      <c r="B7817" s="4" t="s">
        <v>15560</v>
      </c>
      <c r="C7817" s="16" t="str">
        <f>IFERROR(__xludf.DUMMYFUNCTION(""""""""" &amp; REGEXEXTRACT(B7817, ""/detail/([^/?]+)"") &amp; """""","""),"""cfkddjlocfecchnemnnmmpdjcohgmkij"",")</f>
        <v>"cfkddjlocfecchnemnnmmpdjcohgmkij",</v>
      </c>
    </row>
    <row r="7818">
      <c r="A7818" s="4" t="s">
        <v>26997</v>
      </c>
      <c r="B7818" s="4" t="s">
        <v>15562</v>
      </c>
      <c r="C7818" s="16" t="str">
        <f>IFERROR(__xludf.DUMMYFUNCTION(""""""""" &amp; REGEXEXTRACT(B7818, ""/detail/([^/?]+)"") &amp; """""","""),"""fpolgnklaplaakjhefmibfpikoacfacj"",")</f>
        <v>"fpolgnklaplaakjhefmibfpikoacfacj",</v>
      </c>
    </row>
    <row r="7819">
      <c r="A7819" s="4" t="s">
        <v>26998</v>
      </c>
      <c r="B7819" s="4" t="s">
        <v>15564</v>
      </c>
      <c r="C7819" s="16" t="str">
        <f>IFERROR(__xludf.DUMMYFUNCTION(""""""""" &amp; REGEXEXTRACT(B7819, ""/detail/([^/?]+)"") &amp; """""","""),"""mmbkacbempildiaidjlgkfjooejeinib"",")</f>
        <v>"mmbkacbempildiaidjlgkfjooejeinib",</v>
      </c>
    </row>
    <row r="7820">
      <c r="A7820" s="4" t="s">
        <v>26999</v>
      </c>
      <c r="B7820" s="4" t="s">
        <v>15566</v>
      </c>
      <c r="C7820" s="16" t="str">
        <f>IFERROR(__xludf.DUMMYFUNCTION(""""""""" &amp; REGEXEXTRACT(B7820, ""/detail/([^/?]+)"") &amp; """""","""),"""afeijlgmanpjidpdpbdjjhphchafgccg"",")</f>
        <v>"afeijlgmanpjidpdpbdjjhphchafgccg",</v>
      </c>
    </row>
    <row r="7821">
      <c r="A7821" s="4" t="s">
        <v>27000</v>
      </c>
      <c r="B7821" s="4" t="s">
        <v>15568</v>
      </c>
      <c r="C7821" s="16" t="str">
        <f>IFERROR(__xludf.DUMMYFUNCTION(""""""""" &amp; REGEXEXTRACT(B7821, ""/detail/([^/?]+)"") &amp; """""","""),"""apgmgifljeljdmgkgklphgmckihimami"",")</f>
        <v>"apgmgifljeljdmgkgklphgmckihimami",</v>
      </c>
    </row>
    <row r="7822">
      <c r="A7822" s="4" t="s">
        <v>27001</v>
      </c>
      <c r="B7822" s="4" t="s">
        <v>15570</v>
      </c>
      <c r="C7822" s="16" t="str">
        <f>IFERROR(__xludf.DUMMYFUNCTION(""""""""" &amp; REGEXEXTRACT(B7822, ""/detail/([^/?]+)"") &amp; """""","""),"""dpaoeoomjbnkcognlcnlflilidjdlmoi"",")</f>
        <v>"dpaoeoomjbnkcognlcnlflilidjdlmoi",</v>
      </c>
    </row>
    <row r="7823">
      <c r="A7823" s="4" t="s">
        <v>27002</v>
      </c>
      <c r="B7823" s="4" t="s">
        <v>15572</v>
      </c>
      <c r="C7823" s="16" t="str">
        <f>IFERROR(__xludf.DUMMYFUNCTION(""""""""" &amp; REGEXEXTRACT(B7823, ""/detail/([^/?]+)"") &amp; """""","""),"""fihdnfkfpjmipmlggdknalpfjjnjbboj"",")</f>
        <v>"fihdnfkfpjmipmlggdknalpfjjnjbboj",</v>
      </c>
    </row>
    <row r="7824">
      <c r="A7824" s="4" t="s">
        <v>27003</v>
      </c>
      <c r="B7824" s="4" t="s">
        <v>15574</v>
      </c>
      <c r="C7824" s="16" t="str">
        <f>IFERROR(__xludf.DUMMYFUNCTION(""""""""" &amp; REGEXEXTRACT(B7824, ""/detail/([^/?]+)"") &amp; """""","""),"""fmhmlfpagkjohbpcnpkdofohamkpoenc"",")</f>
        <v>"fmhmlfpagkjohbpcnpkdofohamkpoenc",</v>
      </c>
    </row>
    <row r="7825">
      <c r="A7825" s="4" t="s">
        <v>27004</v>
      </c>
      <c r="B7825" s="4" t="s">
        <v>15576</v>
      </c>
      <c r="C7825" s="16" t="str">
        <f>IFERROR(__xludf.DUMMYFUNCTION(""""""""" &amp; REGEXEXTRACT(B7825, ""/detail/([^/?]+)"") &amp; """""","""),"""hplajapbnicfielfbpefhfnkcokkidmh"",")</f>
        <v>"hplajapbnicfielfbpefhfnkcokkidmh",</v>
      </c>
    </row>
    <row r="7826">
      <c r="A7826" s="4" t="s">
        <v>27005</v>
      </c>
      <c r="B7826" s="4" t="s">
        <v>15578</v>
      </c>
      <c r="C7826" s="16" t="str">
        <f>IFERROR(__xludf.DUMMYFUNCTION(""""""""" &amp; REGEXEXTRACT(B7826, ""/detail/([^/?]+)"") &amp; """""","""),"""iiobjlckmlifihapcmkjfhjhldhijphf"",")</f>
        <v>"iiobjlckmlifihapcmkjfhjhldhijphf",</v>
      </c>
    </row>
    <row r="7827">
      <c r="A7827" s="4" t="s">
        <v>27006</v>
      </c>
      <c r="B7827" s="4" t="s">
        <v>15580</v>
      </c>
      <c r="C7827" s="16" t="str">
        <f>IFERROR(__xludf.DUMMYFUNCTION(""""""""" &amp; REGEXEXTRACT(B7827, ""/detail/([^/?]+)"") &amp; """""","""),"""jjbnhkmkgmkgmioeilekhfjdkkdchcni"",")</f>
        <v>"jjbnhkmkgmkgmioeilekhfjdkkdchcni",</v>
      </c>
    </row>
    <row r="7828">
      <c r="A7828" s="4" t="s">
        <v>27007</v>
      </c>
      <c r="B7828" s="4" t="s">
        <v>15582</v>
      </c>
      <c r="C7828" s="16" t="str">
        <f>IFERROR(__xludf.DUMMYFUNCTION(""""""""" &amp; REGEXEXTRACT(B7828, ""/detail/([^/?]+)"") &amp; """""","""),"""mkeknbhnbobknhphlbmhoeibadjpflma"",")</f>
        <v>"mkeknbhnbobknhphlbmhoeibadjpflma",</v>
      </c>
    </row>
    <row r="7829">
      <c r="A7829" s="4" t="s">
        <v>27008</v>
      </c>
      <c r="B7829" s="4" t="s">
        <v>15584</v>
      </c>
      <c r="C7829" s="16" t="str">
        <f>IFERROR(__xludf.DUMMYFUNCTION(""""""""" &amp; REGEXEXTRACT(B7829, ""/detail/([^/?]+)"") &amp; """""","""),"""nklpckeghehienbnedfnkhjalkkebjcm"",")</f>
        <v>"nklpckeghehienbnedfnkhjalkkebjcm",</v>
      </c>
    </row>
    <row r="7830">
      <c r="A7830" s="4" t="s">
        <v>27009</v>
      </c>
      <c r="B7830" s="4" t="s">
        <v>15586</v>
      </c>
      <c r="C7830" s="16" t="str">
        <f>IFERROR(__xludf.DUMMYFUNCTION(""""""""" &amp; REGEXEXTRACT(B7830, ""/detail/([^/?]+)"") &amp; """""","""),"""cbjbkhibmlbpphlahafcocjoabmfofkd"",")</f>
        <v>"cbjbkhibmlbpphlahafcocjoabmfofkd",</v>
      </c>
    </row>
    <row r="7831">
      <c r="A7831" s="4" t="s">
        <v>27010</v>
      </c>
      <c r="B7831" s="4" t="s">
        <v>15588</v>
      </c>
      <c r="C7831" s="16" t="str">
        <f>IFERROR(__xludf.DUMMYFUNCTION(""""""""" &amp; REGEXEXTRACT(B7831, ""/detail/([^/?]+)"") &amp; """""","""),"""dmnhgbenglfffoaodbgpfoihfnbdbfcb"",")</f>
        <v>"dmnhgbenglfffoaodbgpfoihfnbdbfcb",</v>
      </c>
    </row>
    <row r="7832">
      <c r="A7832" s="4" t="s">
        <v>27011</v>
      </c>
      <c r="B7832" s="4" t="s">
        <v>15590</v>
      </c>
      <c r="C7832" s="16" t="str">
        <f>IFERROR(__xludf.DUMMYFUNCTION(""""""""" &amp; REGEXEXTRACT(B7832, ""/detail/([^/?]+)"") &amp; """""","""),"""gmeifladpehcngpnildmklfaofdmmnie"",")</f>
        <v>"gmeifladpehcngpnildmklfaofdmmnie",</v>
      </c>
    </row>
    <row r="7833">
      <c r="A7833" s="4" t="s">
        <v>27012</v>
      </c>
      <c r="B7833" s="4" t="s">
        <v>15592</v>
      </c>
      <c r="C7833" s="16" t="str">
        <f>IFERROR(__xludf.DUMMYFUNCTION(""""""""" &amp; REGEXEXTRACT(B7833, ""/detail/([^/?]+)"") &amp; """""","""),"""lppcdmiilphgdakoehkoofiedkehidmo"",")</f>
        <v>"lppcdmiilphgdakoehkoofiedkehidmo",</v>
      </c>
    </row>
    <row r="7834">
      <c r="A7834" s="4" t="s">
        <v>27013</v>
      </c>
      <c r="B7834" s="4" t="s">
        <v>15594</v>
      </c>
      <c r="C7834" s="16" t="str">
        <f>IFERROR(__xludf.DUMMYFUNCTION(""""""""" &amp; REGEXEXTRACT(B7834, ""/detail/([^/?]+)"") &amp; """""","""),"""nlafhefelnfmdpkkhhcckfhnphjcgepm"",")</f>
        <v>"nlafhefelnfmdpkkhhcckfhnphjcgepm",</v>
      </c>
    </row>
    <row r="7835">
      <c r="A7835" s="4" t="s">
        <v>27014</v>
      </c>
      <c r="B7835" s="4" t="s">
        <v>15596</v>
      </c>
      <c r="C7835" s="16" t="str">
        <f>IFERROR(__xludf.DUMMYFUNCTION(""""""""" &amp; REGEXEXTRACT(B7835, ""/detail/([^/?]+)"") &amp; """""","""),"""dbhabmcjpihjecdnfabogbojhbllhpjj"",")</f>
        <v>"dbhabmcjpihjecdnfabogbojhbllhpjj",</v>
      </c>
    </row>
    <row r="7836">
      <c r="A7836" s="4" t="s">
        <v>27015</v>
      </c>
      <c r="B7836" s="4" t="s">
        <v>15598</v>
      </c>
      <c r="C7836" s="16" t="str">
        <f>IFERROR(__xludf.DUMMYFUNCTION(""""""""" &amp; REGEXEXTRACT(B7836, ""/detail/([^/?]+)"") &amp; """""","""),"""foopodbofoiekihkibckjlaokmcikcjm"",")</f>
        <v>"foopodbofoiekihkibckjlaokmcikcjm",</v>
      </c>
    </row>
    <row r="7837">
      <c r="A7837" s="4" t="s">
        <v>27016</v>
      </c>
      <c r="B7837" s="4" t="s">
        <v>15600</v>
      </c>
      <c r="C7837" s="16" t="str">
        <f>IFERROR(__xludf.DUMMYFUNCTION(""""""""" &amp; REGEXEXTRACT(B7837, ""/detail/([^/?]+)"") &amp; """""","""),"""gaeipjkcdkpbfdfmakonllgiboaonopp"",")</f>
        <v>"gaeipjkcdkpbfdfmakonllgiboaonopp",</v>
      </c>
    </row>
    <row r="7838">
      <c r="A7838" s="4" t="s">
        <v>27017</v>
      </c>
      <c r="B7838" s="4" t="s">
        <v>15602</v>
      </c>
      <c r="C7838" s="16" t="str">
        <f>IFERROR(__xludf.DUMMYFUNCTION(""""""""" &amp; REGEXEXTRACT(B7838, ""/detail/([^/?]+)"") &amp; """""","""),"""hnjmbbjbamghemdgkpmcmgkifadfgadb"",")</f>
        <v>"hnjmbbjbamghemdgkpmcmgkifadfgadb",</v>
      </c>
    </row>
    <row r="7839">
      <c r="A7839" s="4" t="s">
        <v>27018</v>
      </c>
      <c r="B7839" s="4" t="s">
        <v>15604</v>
      </c>
      <c r="C7839" s="16" t="str">
        <f>IFERROR(__xludf.DUMMYFUNCTION(""""""""" &amp; REGEXEXTRACT(B7839, ""/detail/([^/?]+)"") &amp; """""","""),"""jpgnbiffpoelgpegopldffmpbmfdojga"",")</f>
        <v>"jpgnbiffpoelgpegopldffmpbmfdojga",</v>
      </c>
    </row>
    <row r="7840">
      <c r="A7840" s="4" t="s">
        <v>27019</v>
      </c>
      <c r="B7840" s="4" t="s">
        <v>15606</v>
      </c>
      <c r="C7840" s="16" t="str">
        <f>IFERROR(__xludf.DUMMYFUNCTION(""""""""" &amp; REGEXEXTRACT(B7840, ""/detail/([^/?]+)"") &amp; """""","""),"""mlenfedpcojbeegkmpnhjlndjelijpij"",")</f>
        <v>"mlenfedpcojbeegkmpnhjlndjelijpij",</v>
      </c>
    </row>
    <row r="7841">
      <c r="A7841" s="4" t="s">
        <v>27020</v>
      </c>
      <c r="B7841" s="4" t="s">
        <v>15608</v>
      </c>
      <c r="C7841" s="16" t="str">
        <f>IFERROR(__xludf.DUMMYFUNCTION(""""""""" &amp; REGEXEXTRACT(B7841, ""/detail/([^/?]+)"") &amp; """""","""),"""nidmklgpplnfghikfnkbdgldlkdgddcn"",")</f>
        <v>"nidmklgpplnfghikfnkbdgldlkdgddcn",</v>
      </c>
    </row>
    <row r="7842">
      <c r="A7842" s="4" t="s">
        <v>27021</v>
      </c>
      <c r="B7842" s="4" t="s">
        <v>15610</v>
      </c>
      <c r="C7842" s="16" t="str">
        <f>IFERROR(__xludf.DUMMYFUNCTION(""""""""" &amp; REGEXEXTRACT(B7842, ""/detail/([^/?]+)"") &amp; """""","""),"""pmlcphbonjlghdmgmlbdbfpgbcfadgje"",")</f>
        <v>"pmlcphbonjlghdmgmlbdbfpgbcfadgje",</v>
      </c>
    </row>
    <row r="7843">
      <c r="A7843" s="4" t="s">
        <v>27022</v>
      </c>
      <c r="B7843" s="4" t="s">
        <v>15612</v>
      </c>
      <c r="C7843" s="16" t="str">
        <f>IFERROR(__xludf.DUMMYFUNCTION(""""""""" &amp; REGEXEXTRACT(B7843, ""/detail/([^/?]+)"") &amp; """""","""),"""gjahfhmgpcmhanglnegapfchicccjfmp"",")</f>
        <v>"gjahfhmgpcmhanglnegapfchicccjfmp",</v>
      </c>
    </row>
    <row r="7844">
      <c r="A7844" s="4" t="s">
        <v>27023</v>
      </c>
      <c r="B7844" s="4" t="s">
        <v>15614</v>
      </c>
      <c r="C7844" s="16" t="str">
        <f>IFERROR(__xludf.DUMMYFUNCTION(""""""""" &amp; REGEXEXTRACT(B7844, ""/detail/([^/?]+)"") &amp; """""","""),"""hipnehepikeibdofmddlciccfkijjphf"",")</f>
        <v>"hipnehepikeibdofmddlciccfkijjphf",</v>
      </c>
    </row>
    <row r="7845">
      <c r="A7845" s="4" t="s">
        <v>27024</v>
      </c>
      <c r="B7845" s="4" t="s">
        <v>15616</v>
      </c>
      <c r="C7845" s="16" t="str">
        <f>IFERROR(__xludf.DUMMYFUNCTION(""""""""" &amp; REGEXEXTRACT(B7845, ""/detail/([^/?]+)"") &amp; """""","""),"""keobkeaihgkidbpfjojklhjjlfjgaejp"",")</f>
        <v>"keobkeaihgkidbpfjojklhjjlfjgaejp",</v>
      </c>
    </row>
    <row r="7846">
      <c r="A7846" s="4" t="s">
        <v>27025</v>
      </c>
      <c r="B7846" s="4" t="s">
        <v>15618</v>
      </c>
      <c r="C7846" s="16" t="str">
        <f>IFERROR(__xludf.DUMMYFUNCTION(""""""""" &amp; REGEXEXTRACT(B7846, ""/detail/([^/?]+)"") &amp; """""","""),"""efladpoendbckpfaecbojpbeobmkjcna"",")</f>
        <v>"efladpoendbckpfaecbojpbeobmkjcna",</v>
      </c>
    </row>
    <row r="7847">
      <c r="A7847" s="4" t="s">
        <v>27026</v>
      </c>
      <c r="B7847" s="4" t="s">
        <v>15620</v>
      </c>
      <c r="C7847" s="16" t="str">
        <f>IFERROR(__xludf.DUMMYFUNCTION(""""""""" &amp; REGEXEXTRACT(B7847, ""/detail/([^/?]+)"") &amp; """""","""),"""fpfopfkmppdokphaignimakbaglmbegn"",")</f>
        <v>"fpfopfkmppdokphaignimakbaglmbegn",</v>
      </c>
    </row>
    <row r="7848">
      <c r="A7848" s="4" t="s">
        <v>27027</v>
      </c>
      <c r="B7848" s="4" t="s">
        <v>15622</v>
      </c>
      <c r="C7848" s="16" t="str">
        <f>IFERROR(__xludf.DUMMYFUNCTION(""""""""" &amp; REGEXEXTRACT(B7848, ""/detail/([^/?]+)"") &amp; """""","""),"""hiaddgihenoiohaoelnclcbjgjjflfhc"",")</f>
        <v>"hiaddgihenoiohaoelnclcbjgjjflfhc",</v>
      </c>
    </row>
    <row r="7849">
      <c r="A7849" s="4" t="s">
        <v>27028</v>
      </c>
      <c r="B7849" s="4" t="s">
        <v>15624</v>
      </c>
      <c r="C7849" s="16" t="str">
        <f>IFERROR(__xludf.DUMMYFUNCTION(""""""""" &amp; REGEXEXTRACT(B7849, ""/detail/([^/?]+)"") &amp; """""","""),"""hieblbgldolbjjogogbdeogdegncnkep"",")</f>
        <v>"hieblbgldolbjjogogbdeogdegncnkep",</v>
      </c>
    </row>
    <row r="7850">
      <c r="A7850" s="4" t="s">
        <v>27029</v>
      </c>
      <c r="B7850" s="4" t="s">
        <v>15626</v>
      </c>
      <c r="C7850" s="16" t="str">
        <f>IFERROR(__xludf.DUMMYFUNCTION(""""""""" &amp; REGEXEXTRACT(B7850, ""/detail/([^/?]+)"") &amp; """""","""),"""ldoeffoadpangcpkdbegpjnldhcbogpd"",")</f>
        <v>"ldoeffoadpangcpkdbegpjnldhcbogpd",</v>
      </c>
    </row>
    <row r="7851">
      <c r="A7851" s="4" t="s">
        <v>27030</v>
      </c>
      <c r="B7851" s="4" t="s">
        <v>15628</v>
      </c>
      <c r="C7851" s="16" t="str">
        <f>IFERROR(__xludf.DUMMYFUNCTION(""""""""" &amp; REGEXEXTRACT(B7851, ""/detail/([^/?]+)"") &amp; """""","""),"""aeecoplkhlfpclbiabnfkjlfkbhpbcjd"",")</f>
        <v>"aeecoplkhlfpclbiabnfkjlfkbhpbcjd",</v>
      </c>
    </row>
    <row r="7852">
      <c r="A7852" s="4" t="s">
        <v>27031</v>
      </c>
      <c r="B7852" s="4" t="s">
        <v>15630</v>
      </c>
      <c r="C7852" s="16" t="str">
        <f>IFERROR(__xludf.DUMMYFUNCTION(""""""""" &amp; REGEXEXTRACT(B7852, ""/detail/([^/?]+)"") &amp; """""","""),"""aepfgjfmiifeijhnhmlmieninjpjgnlg"",")</f>
        <v>"aepfgjfmiifeijhnhmlmieninjpjgnlg",</v>
      </c>
    </row>
    <row r="7853">
      <c r="A7853" s="4" t="s">
        <v>27032</v>
      </c>
      <c r="B7853" s="4" t="s">
        <v>15632</v>
      </c>
      <c r="C7853" s="16" t="str">
        <f>IFERROR(__xludf.DUMMYFUNCTION(""""""""" &amp; REGEXEXTRACT(B7853, ""/detail/([^/?]+)"") &amp; """""","""),"""amecdgjendemfplkokhllpbmmlpddoaf"",")</f>
        <v>"amecdgjendemfplkokhllpbmmlpddoaf",</v>
      </c>
    </row>
    <row r="7854">
      <c r="A7854" s="4" t="s">
        <v>27033</v>
      </c>
      <c r="B7854" s="4" t="s">
        <v>15634</v>
      </c>
      <c r="C7854" s="16" t="str">
        <f>IFERROR(__xludf.DUMMYFUNCTION(""""""""" &amp; REGEXEXTRACT(B7854, ""/detail/([^/?]+)"") &amp; """""","""),"""cgolaobglebjonjiblcjagnpmdmlgmda"",")</f>
        <v>"cgolaobglebjonjiblcjagnpmdmlgmda",</v>
      </c>
    </row>
    <row r="7855">
      <c r="A7855" s="4" t="s">
        <v>27034</v>
      </c>
      <c r="B7855" s="4" t="s">
        <v>15636</v>
      </c>
      <c r="C7855" s="16" t="str">
        <f>IFERROR(__xludf.DUMMYFUNCTION(""""""""" &amp; REGEXEXTRACT(B7855, ""/detail/([^/?]+)"") &amp; """""","""),"""jbnhcgfdngapcelfhekkfmnnlpobhkkb"",")</f>
        <v>"jbnhcgfdngapcelfhekkfmnnlpobhkkb",</v>
      </c>
    </row>
    <row r="7856">
      <c r="A7856" s="4" t="s">
        <v>27035</v>
      </c>
      <c r="B7856" s="4" t="s">
        <v>15638</v>
      </c>
      <c r="C7856" s="16" t="str">
        <f>IFERROR(__xludf.DUMMYFUNCTION(""""""""" &amp; REGEXEXTRACT(B7856, ""/detail/([^/?]+)"") &amp; """""","""),"""lmdhgpbbmafnmlkpeaafegpohagkoikd"",")</f>
        <v>"lmdhgpbbmafnmlkpeaafegpohagkoikd",</v>
      </c>
    </row>
    <row r="7857">
      <c r="A7857" s="4" t="s">
        <v>27036</v>
      </c>
      <c r="B7857" s="4" t="s">
        <v>15640</v>
      </c>
      <c r="C7857" s="16" t="str">
        <f>IFERROR(__xludf.DUMMYFUNCTION(""""""""" &amp; REGEXEXTRACT(B7857, ""/detail/([^/?]+)"") &amp; """""","""),"""epkbohiekmlncnpcbjdjdjdppdonndph"",")</f>
        <v>"epkbohiekmlncnpcbjdjdjdppdonndph",</v>
      </c>
    </row>
    <row r="7858">
      <c r="A7858" s="4" t="s">
        <v>27037</v>
      </c>
      <c r="B7858" s="4" t="s">
        <v>15642</v>
      </c>
      <c r="C7858" s="16" t="str">
        <f>IFERROR(__xludf.DUMMYFUNCTION(""""""""" &amp; REGEXEXTRACT(B7858, ""/detail/([^/?]+)"") &amp; """""","""),"""okaafikclepnpjlcdbafakiiffbccmkb"",")</f>
        <v>"okaafikclepnpjlcdbafakiiffbccmkb",</v>
      </c>
    </row>
    <row r="7859">
      <c r="A7859" s="4" t="s">
        <v>27038</v>
      </c>
      <c r="B7859" s="4" t="s">
        <v>15644</v>
      </c>
      <c r="C7859" s="16" t="str">
        <f>IFERROR(__xludf.DUMMYFUNCTION(""""""""" &amp; REGEXEXTRACT(B7859, ""/detail/([^/?]+)"") &amp; """""","""),"""giaepkpgacklikcdgcoiniapegeakgad"",")</f>
        <v>"giaepkpgacklikcdgcoiniapegeakgad",</v>
      </c>
    </row>
    <row r="7860">
      <c r="A7860" s="4" t="s">
        <v>27039</v>
      </c>
      <c r="B7860" s="4" t="s">
        <v>15646</v>
      </c>
      <c r="C7860" s="16" t="str">
        <f>IFERROR(__xludf.DUMMYFUNCTION(""""""""" &amp; REGEXEXTRACT(B7860, ""/detail/([^/?]+)"") &amp; """""","""),"""kncpohgclhdhcjcfbpfclpnohckakaie"",")</f>
        <v>"kncpohgclhdhcjcfbpfclpnohckakaie",</v>
      </c>
    </row>
    <row r="7861">
      <c r="A7861" s="4" t="s">
        <v>27040</v>
      </c>
      <c r="B7861" s="4" t="s">
        <v>15648</v>
      </c>
      <c r="C7861" s="16" t="str">
        <f>IFERROR(__xludf.DUMMYFUNCTION(""""""""" &amp; REGEXEXTRACT(B7861, ""/detail/([^/?]+)"") &amp; """""","""),"""mbfippfpgoaonnkdckaademcmflcnpda"",")</f>
        <v>"mbfippfpgoaonnkdckaademcmflcnpda",</v>
      </c>
    </row>
    <row r="7862">
      <c r="A7862" s="4" t="s">
        <v>27041</v>
      </c>
      <c r="B7862" s="4" t="s">
        <v>15650</v>
      </c>
      <c r="C7862" s="16" t="str">
        <f>IFERROR(__xludf.DUMMYFUNCTION(""""""""" &amp; REGEXEXTRACT(B7862, ""/detail/([^/?]+)"") &amp; """""","""),"""bhjhkhppcacjglakljgngpinoeljejjd"",")</f>
        <v>"bhjhkhppcacjglakljgngpinoeljejjd",</v>
      </c>
    </row>
    <row r="7863">
      <c r="A7863" s="4" t="s">
        <v>27042</v>
      </c>
      <c r="B7863" s="4" t="s">
        <v>15652</v>
      </c>
      <c r="C7863" s="16" t="str">
        <f>IFERROR(__xludf.DUMMYFUNCTION(""""""""" &amp; REGEXEXTRACT(B7863, ""/detail/([^/?]+)"") &amp; """""","""),"""eiingmhoibigiplopcmepmahoihedjnk"",")</f>
        <v>"eiingmhoibigiplopcmepmahoihedjnk",</v>
      </c>
    </row>
    <row r="7864">
      <c r="A7864" s="4" t="s">
        <v>27043</v>
      </c>
      <c r="B7864" s="4" t="s">
        <v>15654</v>
      </c>
      <c r="C7864" s="16" t="str">
        <f>IFERROR(__xludf.DUMMYFUNCTION(""""""""" &amp; REGEXEXTRACT(B7864, ""/detail/([^/?]+)"") &amp; """""","""),"""ginlmldponabcjidalfoboonnmloeolj"",")</f>
        <v>"ginlmldponabcjidalfoboonnmloeolj",</v>
      </c>
    </row>
    <row r="7865">
      <c r="A7865" s="4" t="s">
        <v>27044</v>
      </c>
      <c r="B7865" s="4" t="s">
        <v>15656</v>
      </c>
      <c r="C7865" s="16" t="str">
        <f>IFERROR(__xludf.DUMMYFUNCTION(""""""""" &amp; REGEXEXTRACT(B7865, ""/detail/([^/?]+)"") &amp; """""","""),"""jekcpjegemgakiacfgiplacomhabclce"",")</f>
        <v>"jekcpjegemgakiacfgiplacomhabclce",</v>
      </c>
    </row>
    <row r="7866">
      <c r="A7866" s="4" t="s">
        <v>27045</v>
      </c>
      <c r="B7866" s="4" t="s">
        <v>15658</v>
      </c>
      <c r="C7866" s="16" t="str">
        <f>IFERROR(__xludf.DUMMYFUNCTION(""""""""" &amp; REGEXEXTRACT(B7866, ""/detail/([^/?]+)"") &amp; """""","""),"""jfoaoghgpkaklamhphfihiaifckkanlf"",")</f>
        <v>"jfoaoghgpkaklamhphfihiaifckkanlf",</v>
      </c>
    </row>
    <row r="7867">
      <c r="A7867" s="4" t="s">
        <v>27046</v>
      </c>
      <c r="B7867" s="4" t="s">
        <v>15659</v>
      </c>
      <c r="C7867" s="16" t="str">
        <f>IFERROR(__xludf.DUMMYFUNCTION(""""""""" &amp; REGEXEXTRACT(B7867, ""/detail/([^/?]+)"") &amp; """""","""),"""kafbpkaodnkapgalobfodcpbioffcngc"",")</f>
        <v>"kafbpkaodnkapgalobfodcpbioffcngc",</v>
      </c>
    </row>
    <row r="7868">
      <c r="A7868" s="4" t="s">
        <v>27047</v>
      </c>
      <c r="B7868" s="4" t="s">
        <v>15661</v>
      </c>
      <c r="C7868" s="16" t="str">
        <f>IFERROR(__xludf.DUMMYFUNCTION(""""""""" &amp; REGEXEXTRACT(B7868, ""/detail/([^/?]+)"") &amp; """""","""),"""lncidbbcmjegllbdlpbmgdelncdpgpkc"",")</f>
        <v>"lncidbbcmjegllbdlpbmgdelncdpgpkc",</v>
      </c>
    </row>
    <row r="7869">
      <c r="A7869" s="4" t="s">
        <v>27048</v>
      </c>
      <c r="B7869" s="4" t="s">
        <v>15663</v>
      </c>
      <c r="C7869" s="16" t="str">
        <f>IFERROR(__xludf.DUMMYFUNCTION(""""""""" &amp; REGEXEXTRACT(B7869, ""/detail/([^/?]+)"") &amp; """""","""),"""onajnlcpcfhahbmnppgkajefblapkhln"",")</f>
        <v>"onajnlcpcfhahbmnppgkajefblapkhln",</v>
      </c>
    </row>
    <row r="7870">
      <c r="A7870" s="4" t="s">
        <v>27049</v>
      </c>
      <c r="B7870" s="4" t="s">
        <v>15665</v>
      </c>
      <c r="C7870" s="16" t="str">
        <f>IFERROR(__xludf.DUMMYFUNCTION(""""""""" &amp; REGEXEXTRACT(B7870, ""/detail/([^/?]+)"") &amp; """""","""),"""pbipgkaadgdbakhonngkopmnofndhdem"",")</f>
        <v>"pbipgkaadgdbakhonngkopmnofndhdem",</v>
      </c>
    </row>
    <row r="7871">
      <c r="A7871" s="4" t="s">
        <v>27050</v>
      </c>
      <c r="B7871" s="4" t="s">
        <v>15667</v>
      </c>
      <c r="C7871" s="16" t="str">
        <f>IFERROR(__xludf.DUMMYFUNCTION(""""""""" &amp; REGEXEXTRACT(B7871, ""/detail/([^/?]+)"") &amp; """""","""),"""fglfhelnlhemjigjdokjojihfeapoipl"",")</f>
        <v>"fglfhelnlhemjigjdokjojihfeapoipl",</v>
      </c>
    </row>
    <row r="7872">
      <c r="A7872" s="4" t="s">
        <v>27051</v>
      </c>
      <c r="B7872" s="4" t="s">
        <v>15669</v>
      </c>
      <c r="C7872" s="16" t="str">
        <f>IFERROR(__xludf.DUMMYFUNCTION(""""""""" &amp; REGEXEXTRACT(B7872, ""/detail/([^/?]+)"") &amp; """""","""),"""ibjednfgajknahjpfoafmeiehmeaofnc"",")</f>
        <v>"ibjednfgajknahjpfoafmeiehmeaofnc",</v>
      </c>
    </row>
    <row r="7873">
      <c r="A7873" s="4" t="s">
        <v>27052</v>
      </c>
      <c r="B7873" s="4" t="s">
        <v>15671</v>
      </c>
      <c r="C7873" s="16" t="str">
        <f>IFERROR(__xludf.DUMMYFUNCTION(""""""""" &amp; REGEXEXTRACT(B7873, ""/detail/([^/?]+)"") &amp; """""","""),"""fbhgegkipgjamncghhbfojfecmkfbglm"",")</f>
        <v>"fbhgegkipgjamncghhbfojfecmkfbglm",</v>
      </c>
    </row>
    <row r="7874">
      <c r="A7874" s="4" t="s">
        <v>27053</v>
      </c>
      <c r="B7874" s="4" t="s">
        <v>15673</v>
      </c>
      <c r="C7874" s="16" t="str">
        <f>IFERROR(__xludf.DUMMYFUNCTION(""""""""" &amp; REGEXEXTRACT(B7874, ""/detail/([^/?]+)"") &amp; """""","""),"""jfeiechecdangjmpojnjplngpociajeh"",")</f>
        <v>"jfeiechecdangjmpojnjplngpociajeh",</v>
      </c>
    </row>
    <row r="7875">
      <c r="A7875" s="4" t="s">
        <v>27054</v>
      </c>
      <c r="B7875" s="4" t="s">
        <v>15675</v>
      </c>
      <c r="C7875" s="16" t="str">
        <f>IFERROR(__xludf.DUMMYFUNCTION(""""""""" &amp; REGEXEXTRACT(B7875, ""/detail/([^/?]+)"") &amp; """""","""),"""ikmkicnmahfdilneilgibeppbnolgkaf"",")</f>
        <v>"ikmkicnmahfdilneilgibeppbnolgkaf",</v>
      </c>
    </row>
    <row r="7876">
      <c r="A7876" s="4" t="s">
        <v>27055</v>
      </c>
      <c r="B7876" s="4" t="s">
        <v>15677</v>
      </c>
      <c r="C7876" s="16" t="str">
        <f>IFERROR(__xludf.DUMMYFUNCTION(""""""""" &amp; REGEXEXTRACT(B7876, ""/detail/([^/?]+)"") &amp; """""","""),"""jgbdhmicbegjppohlonbfohpphkcnflb"",")</f>
        <v>"jgbdhmicbegjppohlonbfohpphkcnflb",</v>
      </c>
    </row>
    <row r="7877">
      <c r="A7877" s="4" t="s">
        <v>27056</v>
      </c>
      <c r="B7877" s="4" t="s">
        <v>15679</v>
      </c>
      <c r="C7877" s="16" t="str">
        <f>IFERROR(__xludf.DUMMYFUNCTION(""""""""" &amp; REGEXEXTRACT(B7877, ""/detail/([^/?]+)"") &amp; """""","""),"""mbflckojhjfboffiknejjmmnoipndeab"",")</f>
        <v>"mbflckojhjfboffiknejjmmnoipndeab",</v>
      </c>
    </row>
    <row r="7878">
      <c r="A7878" s="4" t="s">
        <v>27057</v>
      </c>
      <c r="B7878" s="4" t="s">
        <v>15681</v>
      </c>
      <c r="C7878" s="16" t="str">
        <f>IFERROR(__xludf.DUMMYFUNCTION(""""""""" &amp; REGEXEXTRACT(B7878, ""/detail/([^/?]+)"") &amp; """""","""),"""dlmmgckeognpojabkkcablldnlfnfgpo"",")</f>
        <v>"dlmmgckeognpojabkkcablldnlfnfgpo",</v>
      </c>
    </row>
    <row r="7879">
      <c r="A7879" s="4" t="s">
        <v>27058</v>
      </c>
      <c r="B7879" s="4" t="s">
        <v>15683</v>
      </c>
      <c r="C7879" s="16" t="str">
        <f>IFERROR(__xludf.DUMMYFUNCTION(""""""""" &amp; REGEXEXTRACT(B7879, ""/detail/([^/?]+)"") &amp; """""","""),"""inlgpfbideakmipghjmkfmhmapaholok"",")</f>
        <v>"inlgpfbideakmipghjmkfmhmapaholok",</v>
      </c>
    </row>
    <row r="7880">
      <c r="A7880" s="4" t="s">
        <v>27059</v>
      </c>
      <c r="B7880" s="4" t="s">
        <v>15685</v>
      </c>
      <c r="C7880" s="16" t="str">
        <f>IFERROR(__xludf.DUMMYFUNCTION(""""""""" &amp; REGEXEXTRACT(B7880, ""/detail/([^/?]+)"") &amp; """""","""),"""kpdaolkakefdigaoijmjllkfnmmekfad"",")</f>
        <v>"kpdaolkakefdigaoijmjllkfnmmekfad",</v>
      </c>
    </row>
    <row r="7881">
      <c r="A7881" s="4" t="s">
        <v>27060</v>
      </c>
      <c r="B7881" s="4" t="s">
        <v>15687</v>
      </c>
      <c r="C7881" s="16" t="str">
        <f>IFERROR(__xludf.DUMMYFUNCTION(""""""""" &amp; REGEXEXTRACT(B7881, ""/detail/([^/?]+)"") &amp; """""","""),"""lknhpplgahpbindnnocglcjonpahfikn"",")</f>
        <v>"lknhpplgahpbindnnocglcjonpahfikn",</v>
      </c>
    </row>
    <row r="7882">
      <c r="A7882" s="4" t="s">
        <v>27061</v>
      </c>
      <c r="B7882" s="4" t="s">
        <v>15689</v>
      </c>
      <c r="C7882" s="16" t="str">
        <f>IFERROR(__xludf.DUMMYFUNCTION(""""""""" &amp; REGEXEXTRACT(B7882, ""/detail/([^/?]+)"") &amp; """""","""),"""mnmmifodhaffbmhplackgideaammgjjb"",")</f>
        <v>"mnmmifodhaffbmhplackgideaammgjjb",</v>
      </c>
    </row>
    <row r="7883">
      <c r="A7883" s="4" t="s">
        <v>27062</v>
      </c>
      <c r="B7883" s="4" t="s">
        <v>15691</v>
      </c>
      <c r="C7883" s="16" t="str">
        <f>IFERROR(__xludf.DUMMYFUNCTION(""""""""" &amp; REGEXEXTRACT(B7883, ""/detail/([^/?]+)"") &amp; """""","""),"""ndnffckeceebpmkkfeadfdoldeeidlbm"",")</f>
        <v>"ndnffckeceebpmkkfeadfdoldeeidlbm",</v>
      </c>
    </row>
    <row r="7884">
      <c r="A7884" s="4" t="s">
        <v>27063</v>
      </c>
      <c r="B7884" s="4" t="s">
        <v>15693</v>
      </c>
      <c r="C7884" s="16" t="str">
        <f>IFERROR(__xludf.DUMMYFUNCTION(""""""""" &amp; REGEXEXTRACT(B7884, ""/detail/([^/?]+)"") &amp; """""","""),"""ogalcpfdhfjhheepeojicjfnhdlkgkdb"",")</f>
        <v>"ogalcpfdhfjhheepeojicjfnhdlkgkdb",</v>
      </c>
    </row>
    <row r="7885">
      <c r="A7885" s="4" t="s">
        <v>27064</v>
      </c>
      <c r="B7885" s="4" t="s">
        <v>15694</v>
      </c>
      <c r="C7885" s="16" t="str">
        <f>IFERROR(__xludf.DUMMYFUNCTION(""""""""" &amp; REGEXEXTRACT(B7885, ""/detail/([^/?]+)"") &amp; """""","""),"""pgaaplkccmgbkncfaeiekjlbchmmciak"",")</f>
        <v>"pgaaplkccmgbkncfaeiekjlbchmmciak",</v>
      </c>
    </row>
    <row r="7886">
      <c r="A7886" s="4" t="s">
        <v>27065</v>
      </c>
      <c r="B7886" s="4" t="s">
        <v>15696</v>
      </c>
      <c r="C7886" s="16" t="str">
        <f>IFERROR(__xludf.DUMMYFUNCTION(""""""""" &amp; REGEXEXTRACT(B7886, ""/detail/([^/?]+)"") &amp; """""","""),"""bfmmmagdadlahlofkabfaohncnpfcjbn"",")</f>
        <v>"bfmmmagdadlahlofkabfaohncnpfcjbn",</v>
      </c>
    </row>
    <row r="7887">
      <c r="A7887" s="4" t="s">
        <v>27066</v>
      </c>
      <c r="B7887" s="4" t="s">
        <v>15698</v>
      </c>
      <c r="C7887" s="16" t="str">
        <f>IFERROR(__xludf.DUMMYFUNCTION(""""""""" &amp; REGEXEXTRACT(B7887, ""/detail/([^/?]+)"") &amp; """""","""),"""edcajbacgdcdeecojhlllbgingbjfbmk"",")</f>
        <v>"edcajbacgdcdeecojhlllbgingbjfbmk",</v>
      </c>
    </row>
    <row r="7888">
      <c r="A7888" s="4" t="s">
        <v>27067</v>
      </c>
      <c r="B7888" s="4" t="s">
        <v>15700</v>
      </c>
      <c r="C7888" s="16" t="str">
        <f>IFERROR(__xludf.DUMMYFUNCTION(""""""""" &amp; REGEXEXTRACT(B7888, ""/detail/([^/?]+)"") &amp; """""","""),"""egmfmidppapjfoehpdmaknheodbikjhj"",")</f>
        <v>"egmfmidppapjfoehpdmaknheodbikjhj",</v>
      </c>
    </row>
    <row r="7889">
      <c r="A7889" s="4" t="s">
        <v>27068</v>
      </c>
      <c r="B7889" s="4" t="s">
        <v>15702</v>
      </c>
      <c r="C7889" s="16" t="str">
        <f>IFERROR(__xludf.DUMMYFUNCTION(""""""""" &amp; REGEXEXTRACT(B7889, ""/detail/([^/?]+)"") &amp; """""","""),"""kbomhfjppdgllelhnikpdcocckadacia"",")</f>
        <v>"kbomhfjppdgllelhnikpdcocckadacia",</v>
      </c>
    </row>
    <row r="7890">
      <c r="A7890" s="4" t="s">
        <v>27069</v>
      </c>
      <c r="B7890" s="4" t="s">
        <v>15704</v>
      </c>
      <c r="C7890" s="16" t="str">
        <f>IFERROR(__xludf.DUMMYFUNCTION(""""""""" &amp; REGEXEXTRACT(B7890, ""/detail/([^/?]+)"") &amp; """""","""),"""nfbpakgdmfeimjgaolnijnccdighjiho"",")</f>
        <v>"nfbpakgdmfeimjgaolnijnccdighjiho",</v>
      </c>
    </row>
    <row r="7891">
      <c r="A7891" s="4" t="s">
        <v>27070</v>
      </c>
      <c r="B7891" s="4" t="s">
        <v>15706</v>
      </c>
      <c r="C7891" s="16" t="str">
        <f>IFERROR(__xludf.DUMMYFUNCTION(""""""""" &amp; REGEXEXTRACT(B7891, ""/detail/([^/?]+)"") &amp; """""","""),"""dmebaaellaamjeejfmjnmemlfghlhpik"",")</f>
        <v>"dmebaaellaamjeejfmjnmemlfghlhpik",</v>
      </c>
    </row>
    <row r="7892">
      <c r="A7892" s="4" t="s">
        <v>27071</v>
      </c>
      <c r="B7892" s="4" t="s">
        <v>15708</v>
      </c>
      <c r="C7892" s="16" t="str">
        <f>IFERROR(__xludf.DUMMYFUNCTION(""""""""" &amp; REGEXEXTRACT(B7892, ""/detail/([^/?]+)"") &amp; """""","""),"""ghkcdlbpfmckamjkkmcniedgbcijpepd"",")</f>
        <v>"ghkcdlbpfmckamjkkmcniedgbcijpepd",</v>
      </c>
    </row>
    <row r="7893">
      <c r="A7893" s="4" t="s">
        <v>27072</v>
      </c>
      <c r="B7893" s="4" t="s">
        <v>15710</v>
      </c>
      <c r="C7893" s="16" t="str">
        <f>IFERROR(__xludf.DUMMYFUNCTION(""""""""" &amp; REGEXEXTRACT(B7893, ""/detail/([^/?]+)"") &amp; """""","""),"""hcggkglhggiegnomijleedobpnmgklim"",")</f>
        <v>"hcggkglhggiegnomijleedobpnmgklim",</v>
      </c>
    </row>
    <row r="7894">
      <c r="A7894" s="4" t="s">
        <v>27073</v>
      </c>
      <c r="B7894" s="4" t="s">
        <v>15712</v>
      </c>
      <c r="C7894" s="16" t="str">
        <f>IFERROR(__xludf.DUMMYFUNCTION(""""""""" &amp; REGEXEXTRACT(B7894, ""/detail/([^/?]+)"") &amp; """""","""),"""ndphngghkckfnhpgjghgmecfkhkkpklj"",")</f>
        <v>"ndphngghkckfnhpgjghgmecfkhkkpklj",</v>
      </c>
    </row>
    <row r="7895">
      <c r="A7895" s="4" t="s">
        <v>27074</v>
      </c>
      <c r="B7895" s="4" t="s">
        <v>15714</v>
      </c>
      <c r="C7895" s="16" t="str">
        <f>IFERROR(__xludf.DUMMYFUNCTION(""""""""" &amp; REGEXEXTRACT(B7895, ""/detail/([^/?]+)"") &amp; """""","""),"""cakkhjlegolkdggdepipdjnahkpelbpi"",")</f>
        <v>"cakkhjlegolkdggdepipdjnahkpelbpi",</v>
      </c>
    </row>
    <row r="7896">
      <c r="A7896" s="4" t="s">
        <v>27075</v>
      </c>
      <c r="B7896" s="4" t="s">
        <v>15716</v>
      </c>
      <c r="C7896" s="16" t="str">
        <f>IFERROR(__xludf.DUMMYFUNCTION(""""""""" &amp; REGEXEXTRACT(B7896, ""/detail/([^/?]+)"") &amp; """""","""),"""fhfmfaokjdlpcbbofolnncfegfhgoafk"",")</f>
        <v>"fhfmfaokjdlpcbbofolnncfegfhgoafk",</v>
      </c>
    </row>
    <row r="7897">
      <c r="A7897" s="4" t="s">
        <v>27076</v>
      </c>
      <c r="B7897" s="4" t="s">
        <v>15718</v>
      </c>
      <c r="C7897" s="16" t="str">
        <f>IFERROR(__xludf.DUMMYFUNCTION(""""""""" &amp; REGEXEXTRACT(B7897, ""/detail/([^/?]+)"") &amp; """""","""),"""fjekfkbibnnjlkfjaeifgecjfmpmdaad"",")</f>
        <v>"fjekfkbibnnjlkfjaeifgecjfmpmdaad",</v>
      </c>
    </row>
    <row r="7898">
      <c r="A7898" s="4" t="s">
        <v>27077</v>
      </c>
      <c r="B7898" s="4" t="s">
        <v>15720</v>
      </c>
      <c r="C7898" s="16" t="str">
        <f>IFERROR(__xludf.DUMMYFUNCTION(""""""""" &amp; REGEXEXTRACT(B7898, ""/detail/([^/?]+)"") &amp; """""","""),"""goiifbijipfnhegpnppmkdhoehkaiggn"",")</f>
        <v>"goiifbijipfnhegpnppmkdhoehkaiggn",</v>
      </c>
    </row>
    <row r="7899">
      <c r="A7899" s="4" t="s">
        <v>27078</v>
      </c>
      <c r="B7899" s="4" t="s">
        <v>15722</v>
      </c>
      <c r="C7899" s="16" t="str">
        <f>IFERROR(__xludf.DUMMYFUNCTION(""""""""" &amp; REGEXEXTRACT(B7899, ""/detail/([^/?]+)"") &amp; """""","""),"""kdpfkmkiaknkheelgdkhdbkjdenghcjo"",")</f>
        <v>"kdpfkmkiaknkheelgdkhdbkjdenghcjo",</v>
      </c>
    </row>
    <row r="7900">
      <c r="A7900" s="4" t="s">
        <v>27079</v>
      </c>
      <c r="B7900" s="4" t="s">
        <v>15724</v>
      </c>
      <c r="C7900" s="16" t="str">
        <f>IFERROR(__xludf.DUMMYFUNCTION(""""""""" &amp; REGEXEXTRACT(B7900, ""/detail/([^/?]+)"") &amp; """""","""),"""lekfgahkjfpgjmpbbppdllkamcjdjgfm"",")</f>
        <v>"lekfgahkjfpgjmpbbppdllkamcjdjgfm",</v>
      </c>
    </row>
    <row r="7901">
      <c r="A7901" s="4" t="s">
        <v>27080</v>
      </c>
      <c r="B7901" s="4" t="s">
        <v>15726</v>
      </c>
      <c r="C7901" s="16" t="str">
        <f>IFERROR(__xludf.DUMMYFUNCTION(""""""""" &amp; REGEXEXTRACT(B7901, ""/detail/([^/?]+)"") &amp; """""","""),"""nekcnoeamnleegdapjhnmnlplolelnab"",")</f>
        <v>"nekcnoeamnleegdapjhnmnlplolelnab",</v>
      </c>
    </row>
    <row r="7902">
      <c r="A7902" s="4" t="s">
        <v>27081</v>
      </c>
      <c r="B7902" s="4" t="s">
        <v>15728</v>
      </c>
      <c r="C7902" s="16" t="str">
        <f>IFERROR(__xludf.DUMMYFUNCTION(""""""""" &amp; REGEXEXTRACT(B7902, ""/detail/([^/?]+)"") &amp; """""","""),"""npfkncfachgpmimogndpnmgfipfomjki"",")</f>
        <v>"npfkncfachgpmimogndpnmgfipfomjki",</v>
      </c>
    </row>
    <row r="7903">
      <c r="A7903" s="4" t="s">
        <v>27082</v>
      </c>
      <c r="B7903" s="4" t="s">
        <v>15730</v>
      </c>
      <c r="C7903" s="16" t="str">
        <f>IFERROR(__xludf.DUMMYFUNCTION(""""""""" &amp; REGEXEXTRACT(B7903, ""/detail/([^/?]+)"") &amp; """""","""),"""gjkkmhdgiombhhgkklidllgenonicehh"",")</f>
        <v>"gjkkmhdgiombhhgkklidllgenonicehh",</v>
      </c>
    </row>
    <row r="7904">
      <c r="A7904" s="4" t="s">
        <v>27083</v>
      </c>
      <c r="B7904" s="4" t="s">
        <v>15732</v>
      </c>
      <c r="C7904" s="16" t="str">
        <f>IFERROR(__xludf.DUMMYFUNCTION(""""""""" &amp; REGEXEXTRACT(B7904, ""/detail/([^/?]+)"") &amp; """""","""),"""kmfdcifchfmhgpmglolfgablnmeajcbd"",")</f>
        <v>"kmfdcifchfmhgpmglolfgablnmeajcbd",</v>
      </c>
    </row>
    <row r="7905">
      <c r="A7905" s="4" t="s">
        <v>27084</v>
      </c>
      <c r="B7905" s="4" t="s">
        <v>15734</v>
      </c>
      <c r="C7905" s="16" t="str">
        <f>IFERROR(__xludf.DUMMYFUNCTION(""""""""" &amp; REGEXEXTRACT(B7905, ""/detail/([^/?]+)"") &amp; """""","""),"""ngfibjjjgckccbpbppikkgipcpknbglf"",")</f>
        <v>"ngfibjjjgckccbpbppikkgipcpknbglf",</v>
      </c>
    </row>
    <row r="7906">
      <c r="A7906" s="4" t="s">
        <v>27085</v>
      </c>
      <c r="B7906" s="4" t="s">
        <v>15736</v>
      </c>
      <c r="C7906" s="16" t="str">
        <f>IFERROR(__xludf.DUMMYFUNCTION(""""""""" &amp; REGEXEXTRACT(B7906, ""/detail/([^/?]+)"") &amp; """""","""),"""phjpbdjgpgaabhgnlapcenieplnlkphd"",")</f>
        <v>"phjpbdjgpgaabhgnlapcenieplnlkphd",</v>
      </c>
    </row>
    <row r="7907">
      <c r="A7907" s="4" t="s">
        <v>27086</v>
      </c>
      <c r="B7907" s="4" t="s">
        <v>15738</v>
      </c>
      <c r="C7907" s="16" t="str">
        <f>IFERROR(__xludf.DUMMYFUNCTION(""""""""" &amp; REGEXEXTRACT(B7907, ""/detail/([^/?]+)"") &amp; """""","""),"""dffbbheconicccgghdddjeklbneimlmf"",")</f>
        <v>"dffbbheconicccgghdddjeklbneimlmf",</v>
      </c>
    </row>
    <row r="7908">
      <c r="A7908" s="4" t="s">
        <v>27087</v>
      </c>
      <c r="B7908" s="4" t="s">
        <v>15740</v>
      </c>
      <c r="C7908" s="16" t="str">
        <f>IFERROR(__xludf.DUMMYFUNCTION(""""""""" &amp; REGEXEXTRACT(B7908, ""/detail/([^/?]+)"") &amp; """""","""),"""fecgbkpogfcghjebjhpggnkmchofiolh"",")</f>
        <v>"fecgbkpogfcghjebjhpggnkmchofiolh",</v>
      </c>
    </row>
    <row r="7909">
      <c r="A7909" s="4" t="s">
        <v>27088</v>
      </c>
      <c r="B7909" s="4" t="s">
        <v>15742</v>
      </c>
      <c r="C7909" s="16" t="str">
        <f>IFERROR(__xludf.DUMMYFUNCTION(""""""""" &amp; REGEXEXTRACT(B7909, ""/detail/([^/?]+)"") &amp; """""","""),"""hfggcpfepgbdjcpbbgckllhjmnpnhbcc"",")</f>
        <v>"hfggcpfepgbdjcpbbgckllhjmnpnhbcc",</v>
      </c>
    </row>
    <row r="7910">
      <c r="A7910" s="4" t="s">
        <v>27089</v>
      </c>
      <c r="B7910" s="4" t="s">
        <v>15744</v>
      </c>
      <c r="C7910" s="16" t="str">
        <f>IFERROR(__xludf.DUMMYFUNCTION(""""""""" &amp; REGEXEXTRACT(B7910, ""/detail/([^/?]+)"") &amp; """""","""),"""ifhilckbhneppbcbpkimbgeahhijhdpj"",")</f>
        <v>"ifhilckbhneppbcbpkimbgeahhijhdpj",</v>
      </c>
    </row>
    <row r="7911">
      <c r="A7911" s="4" t="s">
        <v>27090</v>
      </c>
      <c r="B7911" s="4" t="s">
        <v>15746</v>
      </c>
      <c r="C7911" s="16" t="str">
        <f>IFERROR(__xludf.DUMMYFUNCTION(""""""""" &amp; REGEXEXTRACT(B7911, ""/detail/([^/?]+)"") &amp; """""","""),"""megdibgjimdgcjgdjocdldjchhfmhacb"",")</f>
        <v>"megdibgjimdgcjgdjocdldjchhfmhacb",</v>
      </c>
    </row>
    <row r="7912">
      <c r="A7912" s="4" t="s">
        <v>27091</v>
      </c>
      <c r="B7912" s="4" t="s">
        <v>15748</v>
      </c>
      <c r="C7912" s="16" t="str">
        <f>IFERROR(__xludf.DUMMYFUNCTION(""""""""" &amp; REGEXEXTRACT(B7912, ""/detail/([^/?]+)"") &amp; """""","""),"""nidkgaaedkeepdalkdcmhhnpfgekjbpm"",")</f>
        <v>"nidkgaaedkeepdalkdcmhhnpfgekjbpm",</v>
      </c>
    </row>
    <row r="7913">
      <c r="A7913" s="4" t="s">
        <v>27092</v>
      </c>
      <c r="B7913" s="4" t="s">
        <v>15750</v>
      </c>
      <c r="C7913" s="16" t="str">
        <f>IFERROR(__xludf.DUMMYFUNCTION(""""""""" &amp; REGEXEXTRACT(B7913, ""/detail/([^/?]+)"") &amp; """""","""),"""ofmcimekgccbifblgaiobcbcglihncem"",")</f>
        <v>"ofmcimekgccbifblgaiobcbcglihncem",</v>
      </c>
    </row>
    <row r="7914">
      <c r="A7914" s="4" t="s">
        <v>27093</v>
      </c>
      <c r="B7914" s="4" t="s">
        <v>15752</v>
      </c>
      <c r="C7914" s="16" t="str">
        <f>IFERROR(__xludf.DUMMYFUNCTION(""""""""" &amp; REGEXEXTRACT(B7914, ""/detail/([^/?]+)"") &amp; """""","""),"""pifoihkipgckedfddhjmmpddibjenieb"",")</f>
        <v>"pifoihkipgckedfddhjmmpddibjenieb",</v>
      </c>
    </row>
    <row r="7915">
      <c r="A7915" s="4" t="s">
        <v>27094</v>
      </c>
      <c r="B7915" s="4" t="s">
        <v>15754</v>
      </c>
      <c r="C7915" s="16" t="str">
        <f>IFERROR(__xludf.DUMMYFUNCTION(""""""""" &amp; REGEXEXTRACT(B7915, ""/detail/([^/?]+)"") &amp; """""","""),"""gegdkoobknknikkhmnbkpnejehkchcom"",")</f>
        <v>"gegdkoobknknikkhmnbkpnejehkchcom",</v>
      </c>
    </row>
    <row r="7916">
      <c r="A7916" s="4" t="s">
        <v>27095</v>
      </c>
      <c r="B7916" s="4" t="s">
        <v>15756</v>
      </c>
      <c r="C7916" s="16" t="str">
        <f>IFERROR(__xludf.DUMMYFUNCTION(""""""""" &amp; REGEXEXTRACT(B7916, ""/detail/([^/?]+)"") &amp; """""","""),"""jidbibpgnkfcgbkmkdigiecmnakkheae"",")</f>
        <v>"jidbibpgnkfcgbkmkdigiecmnakkheae",</v>
      </c>
    </row>
    <row r="7917">
      <c r="A7917" s="4" t="s">
        <v>27096</v>
      </c>
      <c r="B7917" s="4" t="s">
        <v>15758</v>
      </c>
      <c r="C7917" s="16" t="str">
        <f>IFERROR(__xludf.DUMMYFUNCTION(""""""""" &amp; REGEXEXTRACT(B7917, ""/detail/([^/?]+)"") &amp; """""","""),"""amlkddagjlidoklgogkcokgcdkoplbfm"",")</f>
        <v>"amlkddagjlidoklgogkcokgcdkoplbfm",</v>
      </c>
    </row>
    <row r="7918">
      <c r="A7918" s="4" t="s">
        <v>27097</v>
      </c>
      <c r="B7918" s="4" t="s">
        <v>15760</v>
      </c>
      <c r="C7918" s="16" t="str">
        <f>IFERROR(__xludf.DUMMYFUNCTION(""""""""" &amp; REGEXEXTRACT(B7918, ""/detail/([^/?]+)"") &amp; """""","""),"""onofabbbjgjempkcbidiacgldbdbojil"",")</f>
        <v>"onofabbbjgjempkcbidiacgldbdbojil",</v>
      </c>
    </row>
    <row r="7919">
      <c r="A7919" s="4" t="s">
        <v>27098</v>
      </c>
      <c r="B7919" s="4" t="s">
        <v>15762</v>
      </c>
      <c r="C7919" s="16" t="str">
        <f>IFERROR(__xludf.DUMMYFUNCTION(""""""""" &amp; REGEXEXTRACT(B7919, ""/detail/([^/?]+)"") &amp; """""","""),"""bcbebckcfnbhmhcghnnhhldcombkloaf"",")</f>
        <v>"bcbebckcfnbhmhcghnnhhldcombkloaf",</v>
      </c>
    </row>
    <row r="7920">
      <c r="A7920" s="4" t="s">
        <v>27099</v>
      </c>
      <c r="B7920" s="4" t="s">
        <v>15764</v>
      </c>
      <c r="C7920" s="16" t="str">
        <f>IFERROR(__xludf.DUMMYFUNCTION(""""""""" &amp; REGEXEXTRACT(B7920, ""/detail/([^/?]+)"") &amp; """""","""),"""ebolamfalknccebghdocaokplkfpkhbf"",")</f>
        <v>"ebolamfalknccebghdocaokplkfpkhbf",</v>
      </c>
    </row>
    <row r="7921">
      <c r="A7921" s="4" t="s">
        <v>27100</v>
      </c>
      <c r="B7921" s="4" t="s">
        <v>15766</v>
      </c>
      <c r="C7921" s="16" t="str">
        <f>IFERROR(__xludf.DUMMYFUNCTION(""""""""" &amp; REGEXEXTRACT(B7921, ""/detail/([^/?]+)"") &amp; """""","""),"""haogjblnnpemjmomfbkicmgklaegmmhc"",")</f>
        <v>"haogjblnnpemjmomfbkicmgklaegmmhc",</v>
      </c>
    </row>
    <row r="7922">
      <c r="A7922" s="4" t="s">
        <v>27101</v>
      </c>
      <c r="B7922" s="4" t="s">
        <v>15768</v>
      </c>
      <c r="C7922" s="16" t="str">
        <f>IFERROR(__xludf.DUMMYFUNCTION(""""""""" &amp; REGEXEXTRACT(B7922, ""/detail/([^/?]+)"") &amp; """""","""),"""hddplepddicnloeicfmihmldbpllgmaf"",")</f>
        <v>"hddplepddicnloeicfmihmldbpllgmaf",</v>
      </c>
    </row>
    <row r="7923">
      <c r="A7923" s="4" t="s">
        <v>27102</v>
      </c>
      <c r="B7923" s="4" t="s">
        <v>15770</v>
      </c>
      <c r="C7923" s="16" t="str">
        <f>IFERROR(__xludf.DUMMYFUNCTION(""""""""" &amp; REGEXEXTRACT(B7923, ""/detail/([^/?]+)"") &amp; """""","""),"""nmiejanhomgcihofiaipfpgenalpjnmp"",")</f>
        <v>"nmiejanhomgcihofiaipfpgenalpjnmp",</v>
      </c>
    </row>
    <row r="7924">
      <c r="A7924" s="4" t="s">
        <v>27103</v>
      </c>
      <c r="B7924" s="4" t="s">
        <v>15772</v>
      </c>
      <c r="C7924" s="16" t="str">
        <f>IFERROR(__xludf.DUMMYFUNCTION(""""""""" &amp; REGEXEXTRACT(B7924, ""/detail/([^/?]+)"") &amp; """""","""),"""ocncmnlemplfdjckmhflkhjebhlkkepl"",")</f>
        <v>"ocncmnlemplfdjckmhflkhjebhlkkepl",</v>
      </c>
    </row>
    <row r="7925">
      <c r="A7925" s="4" t="s">
        <v>27104</v>
      </c>
      <c r="B7925" s="4" t="s">
        <v>15774</v>
      </c>
      <c r="C7925" s="16" t="str">
        <f>IFERROR(__xludf.DUMMYFUNCTION(""""""""" &amp; REGEXEXTRACT(B7925, ""/detail/([^/?]+)"") &amp; """""","""),"""ocnjckohbfdjdlhfgmnocamdfdkfclmk"",")</f>
        <v>"ocnjckohbfdjdlhfgmnocamdfdkfclmk",</v>
      </c>
    </row>
    <row r="7926">
      <c r="A7926" s="4" t="s">
        <v>27105</v>
      </c>
      <c r="B7926" s="4" t="s">
        <v>15776</v>
      </c>
      <c r="C7926" s="16" t="str">
        <f>IFERROR(__xludf.DUMMYFUNCTION(""""""""" &amp; REGEXEXTRACT(B7926, ""/detail/([^/?]+)"") &amp; """""","""),"""eogpejkjgbbhikkebmpbcdglbnjllfai"",")</f>
        <v>"eogpejkjgbbhikkebmpbcdglbnjllfai",</v>
      </c>
    </row>
    <row r="7927">
      <c r="A7927" s="4" t="s">
        <v>27106</v>
      </c>
      <c r="B7927" s="4" t="s">
        <v>15778</v>
      </c>
      <c r="C7927" s="16" t="str">
        <f>IFERROR(__xludf.DUMMYFUNCTION(""""""""" &amp; REGEXEXTRACT(B7927, ""/detail/([^/?]+)"") &amp; """""","""),"""hmeejpepihngockjpcappgappbepggip"",")</f>
        <v>"hmeejpepihngockjpcappgappbepggip",</v>
      </c>
    </row>
    <row r="7928">
      <c r="A7928" s="4" t="s">
        <v>27107</v>
      </c>
      <c r="B7928" s="4" t="s">
        <v>15780</v>
      </c>
      <c r="C7928" s="16" t="str">
        <f>IFERROR(__xludf.DUMMYFUNCTION(""""""""" &amp; REGEXEXTRACT(B7928, ""/detail/([^/?]+)"") &amp; """""","""),"""ioapfajjckangiinhjnhphkjdjfgkkgc"",")</f>
        <v>"ioapfajjckangiinhjnhphkjdjfgkkgc",</v>
      </c>
    </row>
    <row r="7929">
      <c r="A7929" s="4" t="s">
        <v>27108</v>
      </c>
      <c r="B7929" s="4" t="s">
        <v>15782</v>
      </c>
      <c r="C7929" s="16" t="str">
        <f>IFERROR(__xludf.DUMMYFUNCTION(""""""""" &amp; REGEXEXTRACT(B7929, ""/detail/([^/?]+)"") &amp; """""","""),"""kfbjgcdnobfffhgnlokmdmlnhikneoki"",")</f>
        <v>"kfbjgcdnobfffhgnlokmdmlnhikneoki",</v>
      </c>
    </row>
    <row r="7930">
      <c r="A7930" s="4" t="s">
        <v>27109</v>
      </c>
      <c r="B7930" s="4" t="s">
        <v>15784</v>
      </c>
      <c r="C7930" s="16" t="str">
        <f>IFERROR(__xludf.DUMMYFUNCTION(""""""""" &amp; REGEXEXTRACT(B7930, ""/detail/([^/?]+)"") &amp; """""","""),"""mkpcepodmbdmbpenhmmkipbijpblfjik"",")</f>
        <v>"mkpcepodmbdmbpenhmmkipbijpblfjik",</v>
      </c>
    </row>
    <row r="7931">
      <c r="A7931" s="4" t="s">
        <v>27110</v>
      </c>
      <c r="B7931" s="4" t="s">
        <v>15786</v>
      </c>
      <c r="C7931" s="16" t="str">
        <f>IFERROR(__xludf.DUMMYFUNCTION(""""""""" &amp; REGEXEXTRACT(B7931, ""/detail/([^/?]+)"") &amp; """""","""),"""phokmbaffndjgejhemchophkkpdmpeln"",")</f>
        <v>"phokmbaffndjgejhemchophkkpdmpeln",</v>
      </c>
    </row>
    <row r="7932">
      <c r="A7932" s="4" t="s">
        <v>27111</v>
      </c>
      <c r="B7932" s="4" t="s">
        <v>15788</v>
      </c>
      <c r="C7932" s="16" t="str">
        <f>IFERROR(__xludf.DUMMYFUNCTION(""""""""" &amp; REGEXEXTRACT(B7932, ""/detail/([^/?]+)"") &amp; """""","""),"""fpkdjcbfpcjhkjgdebpilkojicboeick"",")</f>
        <v>"fpkdjcbfpcjhkjgdebpilkojicboeick",</v>
      </c>
    </row>
    <row r="7933">
      <c r="A7933" s="4" t="s">
        <v>27112</v>
      </c>
      <c r="B7933" s="4" t="s">
        <v>15790</v>
      </c>
      <c r="C7933" s="16" t="str">
        <f>IFERROR(__xludf.DUMMYFUNCTION(""""""""" &amp; REGEXEXTRACT(B7933, ""/detail/([^/?]+)"") &amp; """""","""),"""hefcmbkgejfdgalommcceebgodchffke"",")</f>
        <v>"hefcmbkgejfdgalommcceebgodchffke",</v>
      </c>
    </row>
    <row r="7934">
      <c r="A7934" s="4" t="s">
        <v>27113</v>
      </c>
      <c r="B7934" s="4" t="s">
        <v>15792</v>
      </c>
      <c r="C7934" s="16" t="str">
        <f>IFERROR(__xludf.DUMMYFUNCTION(""""""""" &amp; REGEXEXTRACT(B7934, ""/detail/([^/?]+)"") &amp; """""","""),"""iafhjdlaghjpnpgddlhoiokipfpchnkc"",")</f>
        <v>"iafhjdlaghjpnpgddlhoiokipfpchnkc",</v>
      </c>
    </row>
    <row r="7935">
      <c r="A7935" s="4" t="s">
        <v>27114</v>
      </c>
      <c r="B7935" s="4" t="s">
        <v>15794</v>
      </c>
      <c r="C7935" s="16" t="str">
        <f>IFERROR(__xludf.DUMMYFUNCTION(""""""""" &amp; REGEXEXTRACT(B7935, ""/detail/([^/?]+)"") &amp; """""","""),"""incaoikdbplldggiaakikmhaeafapfpo"",")</f>
        <v>"incaoikdbplldggiaakikmhaeafapfpo",</v>
      </c>
    </row>
    <row r="7936">
      <c r="A7936" s="4" t="s">
        <v>27115</v>
      </c>
      <c r="B7936" s="4" t="s">
        <v>15796</v>
      </c>
      <c r="C7936" s="16" t="str">
        <f>IFERROR(__xludf.DUMMYFUNCTION(""""""""" &amp; REGEXEXTRACT(B7936, ""/detail/([^/?]+)"") &amp; """""","""),"""lbgdgffkmahmodcbdgaokjiccogmfkel"",")</f>
        <v>"lbgdgffkmahmodcbdgaokjiccogmfkel",</v>
      </c>
    </row>
    <row r="7937">
      <c r="A7937" s="4" t="s">
        <v>27116</v>
      </c>
      <c r="B7937" s="4" t="s">
        <v>15798</v>
      </c>
      <c r="C7937" s="16" t="str">
        <f>IFERROR(__xludf.DUMMYFUNCTION(""""""""" &amp; REGEXEXTRACT(B7937, ""/detail/([^/?]+)"") &amp; """""","""),"""nmnkcdhmgffolgjmohbbdahpebdpglkp"",")</f>
        <v>"nmnkcdhmgffolgjmohbbdahpebdpglkp",</v>
      </c>
    </row>
    <row r="7938">
      <c r="A7938" s="4" t="s">
        <v>27117</v>
      </c>
      <c r="B7938" s="4" t="s">
        <v>15800</v>
      </c>
      <c r="C7938" s="16" t="str">
        <f>IFERROR(__xludf.DUMMYFUNCTION(""""""""" &amp; REGEXEXTRACT(B7938, ""/detail/([^/?]+)"") &amp; """""","""),"""affklpjfehnkiekjdoalajogpbmjgajk"",")</f>
        <v>"affklpjfehnkiekjdoalajogpbmjgajk",</v>
      </c>
    </row>
    <row r="7939">
      <c r="A7939" s="4" t="s">
        <v>27118</v>
      </c>
      <c r="B7939" s="4" t="s">
        <v>15802</v>
      </c>
      <c r="C7939" s="16" t="str">
        <f>IFERROR(__xludf.DUMMYFUNCTION(""""""""" &amp; REGEXEXTRACT(B7939, ""/detail/([^/?]+)"") &amp; """""","""),"""clenlcdnkhcmilhodbibgldkmldgpboi"",")</f>
        <v>"clenlcdnkhcmilhodbibgldkmldgpboi",</v>
      </c>
    </row>
    <row r="7940">
      <c r="A7940" s="4" t="s">
        <v>27119</v>
      </c>
      <c r="B7940" s="4" t="s">
        <v>15804</v>
      </c>
      <c r="C7940" s="16" t="str">
        <f>IFERROR(__xludf.DUMMYFUNCTION(""""""""" &amp; REGEXEXTRACT(B7940, ""/detail/([^/?]+)"") &amp; """""","""),"""ighnlholdodepefajbkbjcedobmggmlk"",")</f>
        <v>"ighnlholdodepefajbkbjcedobmggmlk",</v>
      </c>
    </row>
    <row r="7941">
      <c r="A7941" s="4" t="s">
        <v>27120</v>
      </c>
      <c r="B7941" s="4" t="s">
        <v>15806</v>
      </c>
      <c r="C7941" s="16" t="str">
        <f>IFERROR(__xludf.DUMMYFUNCTION(""""""""" &amp; REGEXEXTRACT(B7941, ""/detail/([^/?]+)"") &amp; """""","""),"""ldaiicpiaelfkcmflimecpfjlejgnfoo"",")</f>
        <v>"ldaiicpiaelfkcmflimecpfjlejgnfoo",</v>
      </c>
    </row>
    <row r="7942">
      <c r="A7942" s="4" t="s">
        <v>27121</v>
      </c>
      <c r="B7942" s="4" t="s">
        <v>15808</v>
      </c>
      <c r="C7942" s="16" t="str">
        <f>IFERROR(__xludf.DUMMYFUNCTION(""""""""" &amp; REGEXEXTRACT(B7942, ""/detail/([^/?]+)"") &amp; """""","""),"""dlbgdlmfkjiffjkchlipihnmbmhnapja"",")</f>
        <v>"dlbgdlmfkjiffjkchlipihnmbmhnapja",</v>
      </c>
    </row>
    <row r="7943">
      <c r="A7943" s="4" t="s">
        <v>27122</v>
      </c>
      <c r="B7943" s="4" t="s">
        <v>15810</v>
      </c>
      <c r="C7943" s="16" t="str">
        <f>IFERROR(__xludf.DUMMYFUNCTION(""""""""" &amp; REGEXEXTRACT(B7943, ""/detail/([^/?]+)"") &amp; """""","""),"""dmjhgmbjmadknbcgggacmdnmmbkjhcoh"",")</f>
        <v>"dmjhgmbjmadknbcgggacmdnmmbkjhcoh",</v>
      </c>
    </row>
    <row r="7944">
      <c r="A7944" s="4" t="s">
        <v>27123</v>
      </c>
      <c r="B7944" s="4" t="s">
        <v>15812</v>
      </c>
      <c r="C7944" s="16" t="str">
        <f>IFERROR(__xludf.DUMMYFUNCTION(""""""""" &amp; REGEXEXTRACT(B7944, ""/detail/([^/?]+)"") &amp; """""","""),"""heffmihflilcadjdebaijhmmbccdmigg"",")</f>
        <v>"heffmihflilcadjdebaijhmmbccdmigg",</v>
      </c>
    </row>
    <row r="7945">
      <c r="A7945" s="4" t="s">
        <v>27124</v>
      </c>
      <c r="B7945" s="4" t="s">
        <v>15814</v>
      </c>
      <c r="C7945" s="16" t="str">
        <f>IFERROR(__xludf.DUMMYFUNCTION(""""""""" &amp; REGEXEXTRACT(B7945, ""/detail/([^/?]+)"") &amp; """""","""),"""kkijalhkcfebhahlagllhlpocfehbfok"",")</f>
        <v>"kkijalhkcfebhahlagllhlpocfehbfok",</v>
      </c>
    </row>
    <row r="7946">
      <c r="A7946" s="4" t="s">
        <v>27125</v>
      </c>
      <c r="B7946" s="4" t="s">
        <v>15816</v>
      </c>
      <c r="C7946" s="16" t="str">
        <f>IFERROR(__xludf.DUMMYFUNCTION(""""""""" &amp; REGEXEXTRACT(B7946, ""/detail/([^/?]+)"") &amp; """""","""),"""mcbkdemjpfgkelnhcnbkoafaljnblcjd"",")</f>
        <v>"mcbkdemjpfgkelnhcnbkoafaljnblcjd",</v>
      </c>
    </row>
    <row r="7947">
      <c r="A7947" s="4" t="s">
        <v>27126</v>
      </c>
      <c r="B7947" s="4" t="s">
        <v>15818</v>
      </c>
      <c r="C7947" s="16" t="str">
        <f>IFERROR(__xludf.DUMMYFUNCTION(""""""""" &amp; REGEXEXTRACT(B7947, ""/detail/([^/?]+)"") &amp; """""","""),"""acijagaddpagpgcjdcoigjkmeiengplp"",")</f>
        <v>"acijagaddpagpgcjdcoigjkmeiengplp",</v>
      </c>
    </row>
    <row r="7948">
      <c r="A7948" s="4" t="s">
        <v>27127</v>
      </c>
      <c r="B7948" s="4" t="s">
        <v>15820</v>
      </c>
      <c r="C7948" s="16" t="str">
        <f>IFERROR(__xludf.DUMMYFUNCTION(""""""""" &amp; REGEXEXTRACT(B7948, ""/detail/([^/?]+)"") &amp; """""","""),"""dncgjknchhlpnhebhabokhoippnmiloi"",")</f>
        <v>"dncgjknchhlpnhebhabokhoippnmiloi",</v>
      </c>
    </row>
    <row r="7949">
      <c r="A7949" s="4" t="s">
        <v>27128</v>
      </c>
      <c r="B7949" s="4" t="s">
        <v>15822</v>
      </c>
      <c r="C7949" s="16" t="str">
        <f>IFERROR(__xludf.DUMMYFUNCTION(""""""""" &amp; REGEXEXTRACT(B7949, ""/detail/([^/?]+)"") &amp; """""","""),"""fegcpknnjjbjekicabkhmjldhokgjmoa"",")</f>
        <v>"fegcpknnjjbjekicabkhmjldhokgjmoa",</v>
      </c>
    </row>
    <row r="7950">
      <c r="A7950" s="4" t="s">
        <v>27129</v>
      </c>
      <c r="B7950" s="4" t="s">
        <v>15824</v>
      </c>
      <c r="C7950" s="16" t="str">
        <f>IFERROR(__xludf.DUMMYFUNCTION(""""""""" &amp; REGEXEXTRACT(B7950, ""/detail/([^/?]+)"") &amp; """""","""),"""bkhonkbidgpbiiocpcmakmheigldfkdj"",")</f>
        <v>"bkhonkbidgpbiiocpcmakmheigldfkdj",</v>
      </c>
    </row>
    <row r="7951">
      <c r="A7951" s="4" t="s">
        <v>27130</v>
      </c>
      <c r="B7951" s="4" t="s">
        <v>15826</v>
      </c>
      <c r="C7951" s="16" t="str">
        <f>IFERROR(__xludf.DUMMYFUNCTION(""""""""" &amp; REGEXEXTRACT(B7951, ""/detail/([^/?]+)"") &amp; """""","""),"""blklnljefnfkonpnmknbbglbbhbhjieg"",")</f>
        <v>"blklnljefnfkonpnmknbbglbbhbhjieg",</v>
      </c>
    </row>
    <row r="7952">
      <c r="A7952" s="4" t="s">
        <v>27131</v>
      </c>
      <c r="B7952" s="4" t="s">
        <v>15828</v>
      </c>
      <c r="C7952" s="16" t="str">
        <f>IFERROR(__xludf.DUMMYFUNCTION(""""""""" &amp; REGEXEXTRACT(B7952, ""/detail/([^/?]+)"") &amp; """""","""),"""docmpmaaknodeakimnnbnodgaopgidjj"",")</f>
        <v>"docmpmaaknodeakimnnbnodgaopgidjj",</v>
      </c>
    </row>
    <row r="7953">
      <c r="A7953" s="4" t="s">
        <v>27132</v>
      </c>
      <c r="B7953" s="4" t="s">
        <v>15830</v>
      </c>
      <c r="C7953" s="16" t="str">
        <f>IFERROR(__xludf.DUMMYFUNCTION(""""""""" &amp; REGEXEXTRACT(B7953, ""/detail/([^/?]+)"") &amp; """""","""),"""endnddbohopbmapkpghdigekfngmjldj"",")</f>
        <v>"endnddbohopbmapkpghdigekfngmjldj",</v>
      </c>
    </row>
    <row r="7954">
      <c r="A7954" s="4" t="s">
        <v>27133</v>
      </c>
      <c r="B7954" s="4" t="s">
        <v>15832</v>
      </c>
      <c r="C7954" s="16" t="str">
        <f>IFERROR(__xludf.DUMMYFUNCTION(""""""""" &amp; REGEXEXTRACT(B7954, ""/detail/([^/?]+)"") &amp; """""","""),"""ikfphehapjecfjflnjagoaapglaihehn"",")</f>
        <v>"ikfphehapjecfjflnjagoaapglaihehn",</v>
      </c>
    </row>
    <row r="7955">
      <c r="A7955" s="4" t="s">
        <v>27134</v>
      </c>
      <c r="B7955" s="4" t="s">
        <v>15834</v>
      </c>
      <c r="C7955" s="16" t="str">
        <f>IFERROR(__xludf.DUMMYFUNCTION(""""""""" &amp; REGEXEXTRACT(B7955, ""/detail/([^/?]+)"") &amp; """""","""),"""nblmokgbialjjgfhfofbgfcghhbkejac"",")</f>
        <v>"nblmokgbialjjgfhfofbgfcghhbkejac",</v>
      </c>
    </row>
    <row r="7956">
      <c r="A7956" s="4" t="s">
        <v>27135</v>
      </c>
      <c r="B7956" s="4" t="s">
        <v>15836</v>
      </c>
      <c r="C7956" s="16" t="str">
        <f>IFERROR(__xludf.DUMMYFUNCTION(""""""""" &amp; REGEXEXTRACT(B7956, ""/detail/([^/?]+)"") &amp; """""","""),"""biaodlmdjlkhhllcdgabfipilkjjekhh"",")</f>
        <v>"biaodlmdjlkhhllcdgabfipilkjjekhh",</v>
      </c>
    </row>
    <row r="7957">
      <c r="A7957" s="4" t="s">
        <v>27136</v>
      </c>
      <c r="B7957" s="4" t="s">
        <v>15838</v>
      </c>
      <c r="C7957" s="16" t="str">
        <f>IFERROR(__xludf.DUMMYFUNCTION(""""""""" &amp; REGEXEXTRACT(B7957, ""/detail/([^/?]+)"") &amp; """""","""),"""mhppgjeghhhfdeemdkfcfkcnmopmcnkf"",")</f>
        <v>"mhppgjeghhhfdeemdkfcfkcnmopmcnkf",</v>
      </c>
    </row>
    <row r="7958">
      <c r="A7958" s="4" t="s">
        <v>27137</v>
      </c>
      <c r="B7958" s="4" t="s">
        <v>15840</v>
      </c>
      <c r="C7958" s="16" t="str">
        <f>IFERROR(__xludf.DUMMYFUNCTION(""""""""" &amp; REGEXEXTRACT(B7958, ""/detail/([^/?]+)"") &amp; """""","""),"""mjehedmoboadebjmbmobpedkdgenmlhd"",")</f>
        <v>"mjehedmoboadebjmbmobpedkdgenmlhd",</v>
      </c>
    </row>
    <row r="7959">
      <c r="A7959" s="4" t="s">
        <v>27138</v>
      </c>
      <c r="B7959" s="4" t="s">
        <v>15842</v>
      </c>
      <c r="C7959" s="16" t="str">
        <f>IFERROR(__xludf.DUMMYFUNCTION(""""""""" &amp; REGEXEXTRACT(B7959, ""/detail/([^/?]+)"") &amp; """""","""),"""ngecnggngjbaedajbnmbmppmbflgnpmp"",")</f>
        <v>"ngecnggngjbaedajbnmbmppmbflgnpmp",</v>
      </c>
    </row>
    <row r="7960">
      <c r="A7960" s="4" t="s">
        <v>27139</v>
      </c>
      <c r="B7960" s="4" t="s">
        <v>15844</v>
      </c>
      <c r="C7960" s="16" t="str">
        <f>IFERROR(__xludf.DUMMYFUNCTION(""""""""" &amp; REGEXEXTRACT(B7960, ""/detail/([^/?]+)"") &amp; """""","""),"""bkddolgokpghlbhhkflbbhhjghjdojck"",")</f>
        <v>"bkddolgokpghlbhhkflbbhhjghjdojck",</v>
      </c>
    </row>
    <row r="7961">
      <c r="A7961" s="4" t="s">
        <v>27140</v>
      </c>
      <c r="B7961" s="4" t="s">
        <v>15846</v>
      </c>
      <c r="C7961" s="16" t="str">
        <f>IFERROR(__xludf.DUMMYFUNCTION(""""""""" &amp; REGEXEXTRACT(B7961, ""/detail/([^/?]+)"") &amp; """""","""),"""bpfibgbdeacmameoklggiabcekheipei"",")</f>
        <v>"bpfibgbdeacmameoklggiabcekheipei",</v>
      </c>
    </row>
    <row r="7962">
      <c r="A7962" s="4" t="s">
        <v>27141</v>
      </c>
      <c r="B7962" s="4" t="s">
        <v>15848</v>
      </c>
      <c r="C7962" s="16" t="str">
        <f>IFERROR(__xludf.DUMMYFUNCTION(""""""""" &amp; REGEXEXTRACT(B7962, ""/detail/([^/?]+)"") &amp; """""","""),"""eijldmakpkmhciipnjchmhimcjcpahde"",")</f>
        <v>"eijldmakpkmhciipnjchmhimcjcpahde",</v>
      </c>
    </row>
    <row r="7963">
      <c r="A7963" s="4" t="s">
        <v>27142</v>
      </c>
      <c r="B7963" s="4" t="s">
        <v>15850</v>
      </c>
      <c r="C7963" s="16" t="str">
        <f>IFERROR(__xludf.DUMMYFUNCTION(""""""""" &amp; REGEXEXTRACT(B7963, ""/detail/([^/?]+)"") &amp; """""","""),"""gkobgglgpfmapkcacekjjdncldlajlhn"",")</f>
        <v>"gkobgglgpfmapkcacekjjdncldlajlhn",</v>
      </c>
    </row>
    <row r="7964">
      <c r="A7964" s="4" t="s">
        <v>27143</v>
      </c>
      <c r="B7964" s="4" t="s">
        <v>15852</v>
      </c>
      <c r="C7964" s="16" t="str">
        <f>IFERROR(__xludf.DUMMYFUNCTION(""""""""" &amp; REGEXEXTRACT(B7964, ""/detail/([^/?]+)"") &amp; """""","""),"""kpjegcemlcajkehigehjegohoplbfmpm"",")</f>
        <v>"kpjegcemlcajkehigehjegohoplbfmpm",</v>
      </c>
    </row>
    <row r="7965">
      <c r="A7965" s="4" t="s">
        <v>27144</v>
      </c>
      <c r="B7965" s="4" t="s">
        <v>15854</v>
      </c>
      <c r="C7965" s="16" t="str">
        <f>IFERROR(__xludf.DUMMYFUNCTION(""""""""" &amp; REGEXEXTRACT(B7965, ""/detail/([^/?]+)"") &amp; """""","""),"""cieofhhbpplmgpdlebmoocmoecneaolc"",")</f>
        <v>"cieofhhbpplmgpdlebmoocmoecneaolc",</v>
      </c>
    </row>
    <row r="7966">
      <c r="A7966" s="4" t="s">
        <v>27145</v>
      </c>
      <c r="B7966" s="4" t="s">
        <v>15856</v>
      </c>
      <c r="C7966" s="16" t="str">
        <f>IFERROR(__xludf.DUMMYFUNCTION(""""""""" &amp; REGEXEXTRACT(B7966, ""/detail/([^/?]+)"") &amp; """""","""),"""djfmjecpknbihjjjeijgmdfhcbflahgb"",")</f>
        <v>"djfmjecpknbihjjjeijgmdfhcbflahgb",</v>
      </c>
    </row>
    <row r="7967">
      <c r="A7967" s="4" t="s">
        <v>27146</v>
      </c>
      <c r="B7967" s="4" t="s">
        <v>15858</v>
      </c>
      <c r="C7967" s="16" t="str">
        <f>IFERROR(__xludf.DUMMYFUNCTION(""""""""" &amp; REGEXEXTRACT(B7967, ""/detail/([^/?]+)"") &amp; """""","""),"""gcmmghdaojpilacbjnhikophkjhemmbi"",")</f>
        <v>"gcmmghdaojpilacbjnhikophkjhemmbi",</v>
      </c>
    </row>
    <row r="7968">
      <c r="A7968" s="4" t="s">
        <v>27147</v>
      </c>
      <c r="B7968" s="4" t="s">
        <v>15860</v>
      </c>
      <c r="C7968" s="16" t="str">
        <f>IFERROR(__xludf.DUMMYFUNCTION(""""""""" &amp; REGEXEXTRACT(B7968, ""/detail/([^/?]+)"") &amp; """""","""),"""jlbeloojpkfehgnmfgneodpbhepgojkf"",")</f>
        <v>"jlbeloojpkfehgnmfgneodpbhepgojkf",</v>
      </c>
    </row>
    <row r="7969">
      <c r="A7969" s="4" t="s">
        <v>27148</v>
      </c>
      <c r="B7969" s="4" t="s">
        <v>15862</v>
      </c>
      <c r="C7969" s="16" t="str">
        <f>IFERROR(__xludf.DUMMYFUNCTION(""""""""" &amp; REGEXEXTRACT(B7969, ""/detail/([^/?]+)"") &amp; """""","""),"""mofhphpaefijhjcidmcibbihfgdemooa"",")</f>
        <v>"mofhphpaefijhjcidmcibbihfgdemooa",</v>
      </c>
    </row>
    <row r="7970">
      <c r="A7970" s="4" t="s">
        <v>27149</v>
      </c>
      <c r="B7970" s="4" t="s">
        <v>15864</v>
      </c>
      <c r="C7970" s="16" t="str">
        <f>IFERROR(__xludf.DUMMYFUNCTION(""""""""" &amp; REGEXEXTRACT(B7970, ""/detail/([^/?]+)"") &amp; """""","""),"""bppfgbihmmcmdiokmoafejejgahilmom"",")</f>
        <v>"bppfgbihmmcmdiokmoafejejgahilmom",</v>
      </c>
    </row>
    <row r="7971">
      <c r="A7971" s="4" t="s">
        <v>27150</v>
      </c>
      <c r="B7971" s="4" t="s">
        <v>15866</v>
      </c>
      <c r="C7971" s="16" t="str">
        <f>IFERROR(__xludf.DUMMYFUNCTION(""""""""" &amp; REGEXEXTRACT(B7971, ""/detail/([^/?]+)"") &amp; """""","""),"""cenpoaamfdlkmfhagmklphodcadlejnh"",")</f>
        <v>"cenpoaamfdlkmfhagmklphodcadlejnh",</v>
      </c>
    </row>
    <row r="7972">
      <c r="A7972" s="4" t="s">
        <v>27151</v>
      </c>
      <c r="B7972" s="4" t="s">
        <v>15868</v>
      </c>
      <c r="C7972" s="16" t="str">
        <f>IFERROR(__xludf.DUMMYFUNCTION(""""""""" &amp; REGEXEXTRACT(B7972, ""/detail/([^/?]+)"") &amp; """""","""),"""fmbchninojmfdlimbakaohgodgjpihcc"",")</f>
        <v>"fmbchninojmfdlimbakaohgodgjpihcc",</v>
      </c>
    </row>
    <row r="7973">
      <c r="A7973" s="4" t="s">
        <v>27152</v>
      </c>
      <c r="B7973" s="4" t="s">
        <v>15870</v>
      </c>
      <c r="C7973" s="16" t="str">
        <f>IFERROR(__xludf.DUMMYFUNCTION(""""""""" &amp; REGEXEXTRACT(B7973, ""/detail/([^/?]+)"") &amp; """""","""),"""kboeaaibapmekfoncghackichkpfhdoh"",")</f>
        <v>"kboeaaibapmekfoncghackichkpfhdoh",</v>
      </c>
    </row>
    <row r="7974">
      <c r="A7974" s="4" t="s">
        <v>27153</v>
      </c>
      <c r="B7974" s="4" t="s">
        <v>15872</v>
      </c>
      <c r="C7974" s="16" t="str">
        <f>IFERROR(__xludf.DUMMYFUNCTION(""""""""" &amp; REGEXEXTRACT(B7974, ""/detail/([^/?]+)"") &amp; """""","""),"""picalhhlpcjhonibabfigihelpmpadel"",")</f>
        <v>"picalhhlpcjhonibabfigihelpmpadel",</v>
      </c>
    </row>
    <row r="7975">
      <c r="A7975" s="4" t="s">
        <v>27154</v>
      </c>
      <c r="B7975" s="4" t="s">
        <v>15874</v>
      </c>
      <c r="C7975" s="16" t="str">
        <f>IFERROR(__xludf.DUMMYFUNCTION(""""""""" &amp; REGEXEXTRACT(B7975, ""/detail/([^/?]+)"") &amp; """""","""),"""cnccnjdknbhcdcenjmelmlkpklbhlieg"",")</f>
        <v>"cnccnjdknbhcdcenjmelmlkpklbhlieg",</v>
      </c>
    </row>
    <row r="7976">
      <c r="A7976" s="4" t="s">
        <v>27155</v>
      </c>
      <c r="B7976" s="4" t="s">
        <v>15876</v>
      </c>
      <c r="C7976" s="16" t="str">
        <f>IFERROR(__xludf.DUMMYFUNCTION(""""""""" &amp; REGEXEXTRACT(B7976, ""/detail/([^/?]+)"") &amp; """""","""),"""gchkodmdjkonohhibomiolgndijceoij"",")</f>
        <v>"gchkodmdjkonohhibomiolgndijceoij",</v>
      </c>
    </row>
    <row r="7977">
      <c r="A7977" s="4" t="s">
        <v>27156</v>
      </c>
      <c r="B7977" s="4" t="s">
        <v>15878</v>
      </c>
      <c r="C7977" s="16" t="str">
        <f>IFERROR(__xludf.DUMMYFUNCTION(""""""""" &amp; REGEXEXTRACT(B7977, ""/detail/([^/?]+)"") &amp; """""","""),"""mhmpcpfhhfdoeiejndcmogmnlomkfdkk"",")</f>
        <v>"mhmpcpfhhfdoeiejndcmogmnlomkfdkk",</v>
      </c>
    </row>
    <row r="7978">
      <c r="A7978" s="4" t="s">
        <v>27157</v>
      </c>
      <c r="B7978" s="4" t="s">
        <v>15880</v>
      </c>
      <c r="C7978" s="16" t="str">
        <f>IFERROR(__xludf.DUMMYFUNCTION(""""""""" &amp; REGEXEXTRACT(B7978, ""/detail/([^/?]+)"") &amp; """""","""),"""mlacoffeehmpkkdajjgmhgcpfkonlnjn"",")</f>
        <v>"mlacoffeehmpkkdajjgmhgcpfkonlnjn",</v>
      </c>
    </row>
    <row r="7979">
      <c r="A7979" s="4" t="s">
        <v>27158</v>
      </c>
      <c r="B7979" s="4" t="s">
        <v>15882</v>
      </c>
      <c r="C7979" s="16" t="str">
        <f>IFERROR(__xludf.DUMMYFUNCTION(""""""""" &amp; REGEXEXTRACT(B7979, ""/detail/([^/?]+)"") &amp; """""","""),"""nfhpbeacfmdhhlhmolfcdlknnmalnled"",")</f>
        <v>"nfhpbeacfmdhhlhmolfcdlknnmalnled",</v>
      </c>
    </row>
    <row r="7980">
      <c r="A7980" s="4" t="s">
        <v>27159</v>
      </c>
      <c r="B7980" s="4" t="s">
        <v>15886</v>
      </c>
      <c r="C7980" s="16" t="str">
        <f>IFERROR(__xludf.DUMMYFUNCTION(""""""""" &amp; REGEXEXTRACT(B7980, ""/detail/([^/?]+)"") &amp; """""","""),"""adafilbceehejjehoccladhbkgbjmica"",")</f>
        <v>"adafilbceehejjehoccladhbkgbjmica",</v>
      </c>
    </row>
    <row r="7981">
      <c r="A7981" s="4" t="s">
        <v>27160</v>
      </c>
      <c r="B7981" s="4" t="s">
        <v>15888</v>
      </c>
      <c r="C7981" s="16" t="str">
        <f>IFERROR(__xludf.DUMMYFUNCTION(""""""""" &amp; REGEXEXTRACT(B7981, ""/detail/([^/?]+)"") &amp; """""","""),"""hpocmjkijiifppldckmofghmhjmmmcdk"",")</f>
        <v>"hpocmjkijiifppldckmofghmhjmmmcdk",</v>
      </c>
    </row>
    <row r="7982">
      <c r="A7982" s="4" t="s">
        <v>27161</v>
      </c>
      <c r="B7982" s="4" t="s">
        <v>15890</v>
      </c>
      <c r="C7982" s="16" t="str">
        <f>IFERROR(__xludf.DUMMYFUNCTION(""""""""" &amp; REGEXEXTRACT(B7982, ""/detail/([^/?]+)"") &amp; """""","""),"""naeclkbhbhakmocfailmfffhdooeadpj"",")</f>
        <v>"naeclkbhbhakmocfailmfffhdooeadpj",</v>
      </c>
    </row>
    <row r="7983">
      <c r="A7983" s="4" t="s">
        <v>27162</v>
      </c>
      <c r="B7983" s="4" t="s">
        <v>15892</v>
      </c>
      <c r="C7983" s="16" t="str">
        <f>IFERROR(__xludf.DUMMYFUNCTION(""""""""" &amp; REGEXEXTRACT(B7983, ""/detail/([^/?]+)"") &amp; """""","""),"""baemnbkeofdleidjnpjfoleobieckdlk"",")</f>
        <v>"baemnbkeofdleidjnpjfoleobieckdlk",</v>
      </c>
    </row>
    <row r="7984">
      <c r="A7984" s="4" t="s">
        <v>27163</v>
      </c>
      <c r="B7984" s="4" t="s">
        <v>15894</v>
      </c>
      <c r="C7984" s="16" t="str">
        <f>IFERROR(__xludf.DUMMYFUNCTION(""""""""" &amp; REGEXEXTRACT(B7984, ""/detail/([^/?]+)"") &amp; """""","""),"""hbambmdimfhkndanjdhfopdodgkfclhb"",")</f>
        <v>"hbambmdimfhkndanjdhfopdodgkfclhb",</v>
      </c>
    </row>
    <row r="7985">
      <c r="A7985" s="4" t="s">
        <v>27164</v>
      </c>
      <c r="B7985" s="4" t="s">
        <v>15896</v>
      </c>
      <c r="C7985" s="16" t="str">
        <f>IFERROR(__xludf.DUMMYFUNCTION(""""""""" &amp; REGEXEXTRACT(B7985, ""/detail/([^/?]+)"") &amp; """""","""),"""mkmdicbdlgeglfpnkbjlhooegdmkbgmn"",")</f>
        <v>"mkmdicbdlgeglfpnkbjlhooegdmkbgmn",</v>
      </c>
    </row>
    <row r="7986">
      <c r="A7986" s="4" t="s">
        <v>27165</v>
      </c>
      <c r="B7986" s="4" t="s">
        <v>15898</v>
      </c>
      <c r="C7986" s="16" t="str">
        <f>IFERROR(__xludf.DUMMYFUNCTION(""""""""" &amp; REGEXEXTRACT(B7986, ""/detail/([^/?]+)"") &amp; """""","""),"""bngjiednbfbcmmdnhbfabgkkjgjhlbac"",")</f>
        <v>"bngjiednbfbcmmdnhbfabgkkjgjhlbac",</v>
      </c>
    </row>
    <row r="7987">
      <c r="A7987" s="4" t="s">
        <v>27166</v>
      </c>
      <c r="B7987" s="4" t="s">
        <v>15900</v>
      </c>
      <c r="C7987" s="16" t="str">
        <f>IFERROR(__xludf.DUMMYFUNCTION(""""""""" &amp; REGEXEXTRACT(B7987, ""/detail/([^/?]+)"") &amp; """""","""),"""dnonpndeibhdojmapddbfjkldgidolml"",")</f>
        <v>"dnonpndeibhdojmapddbfjkldgidolml",</v>
      </c>
    </row>
    <row r="7988">
      <c r="A7988" s="4" t="s">
        <v>27167</v>
      </c>
      <c r="B7988" s="4" t="s">
        <v>15902</v>
      </c>
      <c r="C7988" s="16" t="str">
        <f>IFERROR(__xludf.DUMMYFUNCTION(""""""""" &amp; REGEXEXTRACT(B7988, ""/detail/([^/?]+)"") &amp; """""","""),"""egpjbhchaakkfmhkmclejpeeigahhhlj"",")</f>
        <v>"egpjbhchaakkfmhkmclejpeeigahhhlj",</v>
      </c>
    </row>
    <row r="7989">
      <c r="A7989" s="4" t="s">
        <v>27168</v>
      </c>
      <c r="B7989" s="4" t="s">
        <v>15904</v>
      </c>
      <c r="C7989" s="16" t="str">
        <f>IFERROR(__xludf.DUMMYFUNCTION(""""""""" &amp; REGEXEXTRACT(B7989, ""/detail/([^/?]+)"") &amp; """""","""),"""fcgkcfeognaadiinfndapngidgpnkjnf"",")</f>
        <v>"fcgkcfeognaadiinfndapngidgpnkjnf",</v>
      </c>
    </row>
    <row r="7990">
      <c r="A7990" s="4" t="s">
        <v>27169</v>
      </c>
      <c r="B7990" s="4" t="s">
        <v>15906</v>
      </c>
      <c r="C7990" s="16" t="str">
        <f>IFERROR(__xludf.DUMMYFUNCTION(""""""""" &amp; REGEXEXTRACT(B7990, ""/detail/([^/?]+)"") &amp; """""","""),"""hcmgmocihecidijbefmiecboedfegcgk"",")</f>
        <v>"hcmgmocihecidijbefmiecboedfegcgk",</v>
      </c>
    </row>
    <row r="7991">
      <c r="A7991" s="4" t="s">
        <v>27170</v>
      </c>
      <c r="B7991" s="4" t="s">
        <v>15908</v>
      </c>
      <c r="C7991" s="16" t="str">
        <f>IFERROR(__xludf.DUMMYFUNCTION(""""""""" &amp; REGEXEXTRACT(B7991, ""/detail/([^/?]+)"") &amp; """""","""),"""heecooojlcebffhjpmipceockeamgohd"",")</f>
        <v>"heecooojlcebffhjpmipceockeamgohd",</v>
      </c>
    </row>
    <row r="7992">
      <c r="A7992" s="4" t="s">
        <v>27171</v>
      </c>
      <c r="B7992" s="4" t="s">
        <v>15910</v>
      </c>
      <c r="C7992" s="16" t="str">
        <f>IFERROR(__xludf.DUMMYFUNCTION(""""""""" &amp; REGEXEXTRACT(B7992, ""/detail/([^/?]+)"") &amp; """""","""),"""iojlafmhhbgcoojblnfhioadhinpckgm"",")</f>
        <v>"iojlafmhhbgcoojblnfhioadhinpckgm",</v>
      </c>
    </row>
    <row r="7993">
      <c r="A7993" s="4" t="s">
        <v>27172</v>
      </c>
      <c r="B7993" s="4" t="s">
        <v>15912</v>
      </c>
      <c r="C7993" s="16" t="str">
        <f>IFERROR(__xludf.DUMMYFUNCTION(""""""""" &amp; REGEXEXTRACT(B7993, ""/detail/([^/?]+)"") &amp; """""","""),"""jlpkmcnaabibpmimadpdpocakebgcjnd"",")</f>
        <v>"jlpkmcnaabibpmimadpdpocakebgcjnd",</v>
      </c>
    </row>
    <row r="7994">
      <c r="A7994" s="4" t="s">
        <v>27173</v>
      </c>
      <c r="B7994" s="4" t="s">
        <v>15914</v>
      </c>
      <c r="C7994" s="16" t="str">
        <f>IFERROR(__xludf.DUMMYFUNCTION(""""""""" &amp; REGEXEXTRACT(B7994, ""/detail/([^/?]+)"") &amp; """""","""),"""kppmigaaekiicjfcnbjnchjjjhfodeej"",")</f>
        <v>"kppmigaaekiicjfcnbjnchjjjhfodeej",</v>
      </c>
    </row>
    <row r="7995">
      <c r="A7995" s="4" t="s">
        <v>27174</v>
      </c>
      <c r="B7995" s="4" t="s">
        <v>15916</v>
      </c>
      <c r="C7995" s="16" t="str">
        <f>IFERROR(__xludf.DUMMYFUNCTION(""""""""" &amp; REGEXEXTRACT(B7995, ""/detail/([^/?]+)"") &amp; """""","""),"""ajfhmidimnkpbhnkcckllicmhhdipmoo"",")</f>
        <v>"ajfhmidimnkpbhnkcckllicmhhdipmoo",</v>
      </c>
    </row>
    <row r="7996">
      <c r="A7996" s="4" t="s">
        <v>27175</v>
      </c>
      <c r="B7996" s="4" t="s">
        <v>15918</v>
      </c>
      <c r="C7996" s="16" t="str">
        <f>IFERROR(__xludf.DUMMYFUNCTION(""""""""" &amp; REGEXEXTRACT(B7996, ""/detail/([^/?]+)"") &amp; """""","""),"""eompkohifnhnjdchhaieegileekehjhn"",")</f>
        <v>"eompkohifnhnjdchhaieegileekehjhn",</v>
      </c>
    </row>
    <row r="7997">
      <c r="A7997" s="4" t="s">
        <v>27176</v>
      </c>
      <c r="B7997" s="4" t="s">
        <v>15920</v>
      </c>
      <c r="C7997" s="16" t="str">
        <f>IFERROR(__xludf.DUMMYFUNCTION(""""""""" &amp; REGEXEXTRACT(B7997, ""/detail/([^/?]+)"") &amp; """""","""),"""lbbnflmcjoiccbnphomocoiomkcaohlb"",")</f>
        <v>"lbbnflmcjoiccbnphomocoiomkcaohlb",</v>
      </c>
    </row>
    <row r="7998">
      <c r="A7998" s="4" t="s">
        <v>27177</v>
      </c>
      <c r="B7998" s="4" t="s">
        <v>15921</v>
      </c>
      <c r="C7998" s="16" t="str">
        <f>IFERROR(__xludf.DUMMYFUNCTION(""""""""" &amp; REGEXEXTRACT(B7998, ""/detail/([^/?]+)"") &amp; """""","""),"""mmngbmmjfjannofkffhoindghfbhcool"",")</f>
        <v>"mmngbmmjfjannofkffhoindghfbhcool",</v>
      </c>
    </row>
    <row r="7999">
      <c r="A7999" s="4" t="s">
        <v>27178</v>
      </c>
      <c r="B7999" s="4" t="s">
        <v>15923</v>
      </c>
      <c r="C7999" s="16" t="str">
        <f>IFERROR(__xludf.DUMMYFUNCTION(""""""""" &amp; REGEXEXTRACT(B7999, ""/detail/([^/?]+)"") &amp; """""","""),"""jkgihpigffcfeebgedpklldebdibbnne"",")</f>
        <v>"jkgihpigffcfeebgedpklldebdibbnne",</v>
      </c>
    </row>
    <row r="8000">
      <c r="A8000" s="4" t="s">
        <v>27179</v>
      </c>
      <c r="B8000" s="4" t="s">
        <v>15925</v>
      </c>
      <c r="C8000" s="16" t="str">
        <f>IFERROR(__xludf.DUMMYFUNCTION(""""""""" &amp; REGEXEXTRACT(B8000, ""/detail/([^/?]+)"") &amp; """""","""),"""kbjbjdhcadgapllledgnnllgfhjkldmc"",")</f>
        <v>"kbjbjdhcadgapllledgnnllgfhjkldmc",</v>
      </c>
    </row>
    <row r="8001">
      <c r="A8001" s="4" t="s">
        <v>27180</v>
      </c>
      <c r="B8001" s="4" t="s">
        <v>15927</v>
      </c>
      <c r="C8001" s="16" t="str">
        <f>IFERROR(__xludf.DUMMYFUNCTION(""""""""" &amp; REGEXEXTRACT(B8001, ""/detail/([^/?]+)"") &amp; """""","""),"""ndhdjddnbbjnojdjbglbpenimlpnlpbl"",")</f>
        <v>"ndhdjddnbbjnojdjbglbpenimlpnlpbl",</v>
      </c>
    </row>
    <row r="8002">
      <c r="A8002" s="4" t="s">
        <v>27181</v>
      </c>
      <c r="B8002" s="4" t="s">
        <v>15929</v>
      </c>
      <c r="C8002" s="16" t="str">
        <f>IFERROR(__xludf.DUMMYFUNCTION(""""""""" &amp; REGEXEXTRACT(B8002, ""/detail/([^/?]+)"") &amp; """""","""),"""nkbflgdoljijfdopjgfnbjdcedjkbfnm"",")</f>
        <v>"nkbflgdoljijfdopjgfnbjdcedjkbfnm",</v>
      </c>
    </row>
    <row r="8003">
      <c r="A8003" s="4" t="s">
        <v>27182</v>
      </c>
      <c r="B8003" s="4" t="s">
        <v>15931</v>
      </c>
      <c r="C8003" s="16" t="str">
        <f>IFERROR(__xludf.DUMMYFUNCTION(""""""""" &amp; REGEXEXTRACT(B8003, ""/detail/([^/?]+)"") &amp; """""","""),"""ogaaeaoebonhcfbcjeommaodhmilomii"",")</f>
        <v>"ogaaeaoebonhcfbcjeommaodhmilomii",</v>
      </c>
    </row>
    <row r="8004">
      <c r="A8004" s="4" t="s">
        <v>27183</v>
      </c>
      <c r="B8004" s="4" t="s">
        <v>15933</v>
      </c>
      <c r="C8004" s="16" t="str">
        <f>IFERROR(__xludf.DUMMYFUNCTION(""""""""" &amp; REGEXEXTRACT(B8004, ""/detail/([^/?]+)"") &amp; """""","""),"""cjifmfjjelmmfknfijnfdciabkblgame"",")</f>
        <v>"cjifmfjjelmmfknfijnfdciabkblgame",</v>
      </c>
    </row>
    <row r="8005">
      <c r="A8005" s="4" t="s">
        <v>27184</v>
      </c>
      <c r="B8005" s="4" t="s">
        <v>15935</v>
      </c>
      <c r="C8005" s="16" t="str">
        <f>IFERROR(__xludf.DUMMYFUNCTION(""""""""" &amp; REGEXEXTRACT(B8005, ""/detail/([^/?]+)"") &amp; """""","""),"""mjnnnhalapjjgmplloheopnbkdgjpdfk"",")</f>
        <v>"mjnnnhalapjjgmplloheopnbkdgjpdfk",</v>
      </c>
    </row>
    <row r="8006">
      <c r="A8006" s="4" t="s">
        <v>27185</v>
      </c>
      <c r="B8006" s="4" t="s">
        <v>15937</v>
      </c>
      <c r="C8006" s="16" t="str">
        <f>IFERROR(__xludf.DUMMYFUNCTION(""""""""" &amp; REGEXEXTRACT(B8006, ""/detail/([^/?]+)"") &amp; """""","""),"""mlekifkggmodhopdfdpiofjnipnonmfn"",")</f>
        <v>"mlekifkggmodhopdfdpiofjnipnonmfn",</v>
      </c>
    </row>
    <row r="8007">
      <c r="A8007" s="4" t="s">
        <v>27186</v>
      </c>
      <c r="B8007" s="4" t="s">
        <v>15939</v>
      </c>
      <c r="C8007" s="16" t="str">
        <f>IFERROR(__xludf.DUMMYFUNCTION(""""""""" &amp; REGEXEXTRACT(B8007, ""/detail/([^/?]+)"") &amp; """""","""),"""ngplfhblfejgjnaapcajgiccnapfhchi"",")</f>
        <v>"ngplfhblfejgjnaapcajgiccnapfhchi",</v>
      </c>
    </row>
    <row r="8008">
      <c r="A8008" s="4" t="s">
        <v>27187</v>
      </c>
      <c r="B8008" s="4" t="s">
        <v>15941</v>
      </c>
      <c r="C8008" s="16" t="str">
        <f>IFERROR(__xludf.DUMMYFUNCTION(""""""""" &amp; REGEXEXTRACT(B8008, ""/detail/([^/?]+)"") &amp; """""","""),"""nlepkjdljbdlgblopipfdcebcclcjngc"",")</f>
        <v>"nlepkjdljbdlgblopipfdcebcclcjngc",</v>
      </c>
    </row>
    <row r="8009">
      <c r="A8009" s="4" t="s">
        <v>27188</v>
      </c>
      <c r="B8009" s="4" t="s">
        <v>15943</v>
      </c>
      <c r="C8009" s="16" t="str">
        <f>IFERROR(__xludf.DUMMYFUNCTION(""""""""" &amp; REGEXEXTRACT(B8009, ""/detail/([^/?]+)"") &amp; """""","""),"""cbkfbpldkdcackefdcehbinedcmefbon"",")</f>
        <v>"cbkfbpldkdcackefdcehbinedcmefbon",</v>
      </c>
    </row>
    <row r="8010">
      <c r="A8010" s="4" t="s">
        <v>27189</v>
      </c>
      <c r="B8010" s="4" t="s">
        <v>15945</v>
      </c>
      <c r="C8010" s="16" t="str">
        <f>IFERROR(__xludf.DUMMYFUNCTION(""""""""" &amp; REGEXEXTRACT(B8010, ""/detail/([^/?]+)"") &amp; """""","""),"""ofcakejhikahjhchhgohnmckooafbjam"",")</f>
        <v>"ofcakejhikahjhchhgohnmckooafbjam",</v>
      </c>
    </row>
    <row r="8011">
      <c r="A8011" s="4" t="s">
        <v>27190</v>
      </c>
      <c r="B8011" s="4" t="s">
        <v>15947</v>
      </c>
      <c r="C8011" s="16" t="str">
        <f>IFERROR(__xludf.DUMMYFUNCTION(""""""""" &amp; REGEXEXTRACT(B8011, ""/detail/([^/?]+)"") &amp; """""","""),"""albefehmnhpifecdlhjojlenkjpnnamk"",")</f>
        <v>"albefehmnhpifecdlhjojlenkjpnnamk",</v>
      </c>
    </row>
    <row r="8012">
      <c r="A8012" s="4" t="s">
        <v>27191</v>
      </c>
      <c r="B8012" s="4" t="s">
        <v>15949</v>
      </c>
      <c r="C8012" s="16" t="str">
        <f>IFERROR(__xludf.DUMMYFUNCTION(""""""""" &amp; REGEXEXTRACT(B8012, ""/detail/([^/?]+)"") &amp; """""","""),"""apdodcbnnfkiohphgedncobeejeccjbk"",")</f>
        <v>"apdodcbnnfkiohphgedncobeejeccjbk",</v>
      </c>
    </row>
    <row r="8013">
      <c r="A8013" s="4" t="s">
        <v>27192</v>
      </c>
      <c r="B8013" s="4" t="s">
        <v>15951</v>
      </c>
      <c r="C8013" s="16" t="str">
        <f>IFERROR(__xludf.DUMMYFUNCTION(""""""""" &amp; REGEXEXTRACT(B8013, ""/detail/([^/?]+)"") &amp; """""","""),"""dnggapdaebddmmnpegfopeocoecimcaa"",")</f>
        <v>"dnggapdaebddmmnpegfopeocoecimcaa",</v>
      </c>
    </row>
    <row r="8014">
      <c r="A8014" s="4" t="s">
        <v>27193</v>
      </c>
      <c r="B8014" s="4" t="s">
        <v>15953</v>
      </c>
      <c r="C8014" s="16" t="str">
        <f>IFERROR(__xludf.DUMMYFUNCTION(""""""""" &amp; REGEXEXTRACT(B8014, ""/detail/([^/?]+)"") &amp; """""","""),"""fdngjphcahnpgejdhledgcfggjokekgl"",")</f>
        <v>"fdngjphcahnpgejdhledgcfggjokekgl",</v>
      </c>
    </row>
    <row r="8015">
      <c r="A8015" s="4" t="s">
        <v>27194</v>
      </c>
      <c r="B8015" s="4" t="s">
        <v>15954</v>
      </c>
      <c r="C8015" s="16" t="str">
        <f>IFERROR(__xludf.DUMMYFUNCTION(""""""""" &amp; REGEXEXTRACT(B8015, ""/detail/([^/?]+)"") &amp; """""","""),"""fkccjmkhdcnogpgaojnglaheohcjodno"",")</f>
        <v>"fkccjmkhdcnogpgaojnglaheohcjodno",</v>
      </c>
    </row>
    <row r="8016">
      <c r="A8016" s="4" t="s">
        <v>27195</v>
      </c>
      <c r="B8016" s="4" t="s">
        <v>15956</v>
      </c>
      <c r="C8016" s="16" t="str">
        <f>IFERROR(__xludf.DUMMYFUNCTION(""""""""" &amp; REGEXEXTRACT(B8016, ""/detail/([^/?]+)"") &amp; """""","""),"""ilbjnijjaidemeofigoeapbnnplenmaj"",")</f>
        <v>"ilbjnijjaidemeofigoeapbnnplenmaj",</v>
      </c>
    </row>
    <row r="8017">
      <c r="A8017" s="4" t="s">
        <v>27196</v>
      </c>
      <c r="B8017" s="4" t="s">
        <v>15958</v>
      </c>
      <c r="C8017" s="16" t="str">
        <f>IFERROR(__xludf.DUMMYFUNCTION(""""""""" &amp; REGEXEXTRACT(B8017, ""/detail/([^/?]+)"") &amp; """""","""),"""nfbfgaldeonhcepgjpaboikblamoodea"",")</f>
        <v>"nfbfgaldeonhcepgjpaboikblamoodea",</v>
      </c>
    </row>
    <row r="8018">
      <c r="A8018" s="4" t="s">
        <v>27197</v>
      </c>
      <c r="B8018" s="4" t="s">
        <v>15960</v>
      </c>
      <c r="C8018" s="16" t="str">
        <f>IFERROR(__xludf.DUMMYFUNCTION(""""""""" &amp; REGEXEXTRACT(B8018, ""/detail/([^/?]+)"") &amp; """""","""),"""nnimbegadieahkenpkmdlmadcbkbehao"",")</f>
        <v>"nnimbegadieahkenpkmdlmadcbkbehao",</v>
      </c>
    </row>
    <row r="8019">
      <c r="A8019" s="4" t="s">
        <v>27198</v>
      </c>
      <c r="B8019" s="4" t="s">
        <v>15962</v>
      </c>
      <c r="C8019" s="16" t="str">
        <f>IFERROR(__xludf.DUMMYFUNCTION(""""""""" &amp; REGEXEXTRACT(B8019, ""/detail/([^/?]+)"") &amp; """""","""),"""difblhehhojpopenmmmdlmfcjdbghkno"",")</f>
        <v>"difblhehhojpopenmmmdlmfcjdbghkno",</v>
      </c>
    </row>
    <row r="8020">
      <c r="A8020" s="4" t="s">
        <v>27199</v>
      </c>
      <c r="B8020" s="4" t="s">
        <v>15964</v>
      </c>
      <c r="C8020" s="16" t="str">
        <f>IFERROR(__xludf.DUMMYFUNCTION(""""""""" &amp; REGEXEXTRACT(B8020, ""/detail/([^/?]+)"") &amp; """""","""),"""dipbdmjcnihnpjpignoilhljekeimlkp"",")</f>
        <v>"dipbdmjcnihnpjpignoilhljekeimlkp",</v>
      </c>
    </row>
    <row r="8021">
      <c r="A8021" s="4" t="s">
        <v>27200</v>
      </c>
      <c r="B8021" s="4" t="s">
        <v>15966</v>
      </c>
      <c r="C8021" s="16" t="str">
        <f>IFERROR(__xludf.DUMMYFUNCTION(""""""""" &amp; REGEXEXTRACT(B8021, ""/detail/([^/?]+)"") &amp; """""","""),"""jnnmldnjikpokpfohpbcieipcmklhebb"",")</f>
        <v>"jnnmldnjikpokpfohpbcieipcmklhebb",</v>
      </c>
    </row>
    <row r="8022">
      <c r="A8022" s="4" t="s">
        <v>27201</v>
      </c>
      <c r="B8022" s="4" t="s">
        <v>15968</v>
      </c>
      <c r="C8022" s="16" t="str">
        <f>IFERROR(__xludf.DUMMYFUNCTION(""""""""" &amp; REGEXEXTRACT(B8022, ""/detail/([^/?]+)"") &amp; """""","""),"""afoceahbjknneljdddlkhmcjmblokede"",")</f>
        <v>"afoceahbjknneljdddlkhmcjmblokede",</v>
      </c>
    </row>
    <row r="8023">
      <c r="A8023" s="4" t="s">
        <v>27202</v>
      </c>
      <c r="B8023" s="4" t="s">
        <v>15970</v>
      </c>
      <c r="C8023" s="16" t="str">
        <f>IFERROR(__xludf.DUMMYFUNCTION(""""""""" &amp; REGEXEXTRACT(B8023, ""/detail/([^/?]+)"") &amp; """""","""),"""ehklcgfhalhkgjmjbpbdaligajmpofli"",")</f>
        <v>"ehklcgfhalhkgjmjbpbdaligajmpofli",</v>
      </c>
    </row>
    <row r="8024">
      <c r="A8024" s="4" t="s">
        <v>27203</v>
      </c>
      <c r="B8024" s="4" t="s">
        <v>15972</v>
      </c>
      <c r="C8024" s="16" t="str">
        <f>IFERROR(__xludf.DUMMYFUNCTION(""""""""" &amp; REGEXEXTRACT(B8024, ""/detail/([^/?]+)"") &amp; """""","""),"""hoglpfllfgiennflpdodjpaaecpfodpe"",")</f>
        <v>"hoglpfllfgiennflpdodjpaaecpfodpe",</v>
      </c>
    </row>
    <row r="8025">
      <c r="A8025" s="4" t="s">
        <v>27204</v>
      </c>
      <c r="B8025" s="4" t="s">
        <v>15974</v>
      </c>
      <c r="C8025" s="16" t="str">
        <f>IFERROR(__xludf.DUMMYFUNCTION(""""""""" &amp; REGEXEXTRACT(B8025, ""/detail/([^/?]+)"") &amp; """""","""),"""kofakgibcdhniefjoapcgamdhjjaaidf"",")</f>
        <v>"kofakgibcdhniefjoapcgamdhjjaaidf",</v>
      </c>
    </row>
    <row r="8026">
      <c r="A8026" s="4" t="s">
        <v>27205</v>
      </c>
      <c r="B8026" s="4" t="s">
        <v>15976</v>
      </c>
      <c r="C8026" s="16" t="str">
        <f>IFERROR(__xludf.DUMMYFUNCTION(""""""""" &amp; REGEXEXTRACT(B8026, ""/detail/([^/?]+)"") &amp; """""","""),"""lihkjpmkolenlpmecejhbkdmcfhbaogf"",")</f>
        <v>"lihkjpmkolenlpmecejhbkdmcfhbaogf",</v>
      </c>
    </row>
    <row r="8027">
      <c r="A8027" s="4" t="s">
        <v>27206</v>
      </c>
      <c r="B8027" s="4" t="s">
        <v>15978</v>
      </c>
      <c r="C8027" s="16" t="str">
        <f>IFERROR(__xludf.DUMMYFUNCTION(""""""""" &amp; REGEXEXTRACT(B8027, ""/detail/([^/?]+)"") &amp; """""","""),"""oijiikmgkljldpbpddpmhiblpgkciobn"",")</f>
        <v>"oijiikmgkljldpbpddpmhiblpgkciobn",</v>
      </c>
    </row>
    <row r="8028">
      <c r="A8028" s="4" t="s">
        <v>27207</v>
      </c>
      <c r="B8028" s="4" t="s">
        <v>15980</v>
      </c>
      <c r="C8028" s="16" t="str">
        <f>IFERROR(__xludf.DUMMYFUNCTION(""""""""" &amp; REGEXEXTRACT(B8028, ""/detail/([^/?]+)"") &amp; """""","""),"""akhdojncgcgflecepkmdhbdgnacgjbhg"",")</f>
        <v>"akhdojncgcgflecepkmdhbdgnacgjbhg",</v>
      </c>
    </row>
    <row r="8029">
      <c r="A8029" s="4" t="s">
        <v>27208</v>
      </c>
      <c r="B8029" s="4" t="s">
        <v>15982</v>
      </c>
      <c r="C8029" s="16" t="str">
        <f>IFERROR(__xludf.DUMMYFUNCTION(""""""""" &amp; REGEXEXTRACT(B8029, ""/detail/([^/?]+)"") &amp; """""","""),"""bgbodedmnofjkldbogikhhbggijiebgm"",")</f>
        <v>"bgbodedmnofjkldbogikhhbggijiebgm",</v>
      </c>
    </row>
    <row r="8030">
      <c r="A8030" s="4" t="s">
        <v>27209</v>
      </c>
      <c r="B8030" s="4" t="s">
        <v>15984</v>
      </c>
      <c r="C8030" s="16" t="str">
        <f>IFERROR(__xludf.DUMMYFUNCTION(""""""""" &amp; REGEXEXTRACT(B8030, ""/detail/([^/?]+)"") &amp; """""","""),"""dopkjjecbigomblmonkbbadicpbehdgh"",")</f>
        <v>"dopkjjecbigomblmonkbbadicpbehdgh",</v>
      </c>
    </row>
    <row r="8031">
      <c r="A8031" s="4" t="s">
        <v>27210</v>
      </c>
      <c r="B8031" s="4" t="s">
        <v>15986</v>
      </c>
      <c r="C8031" s="16" t="str">
        <f>IFERROR(__xludf.DUMMYFUNCTION(""""""""" &amp; REGEXEXTRACT(B8031, ""/detail/([^/?]+)"") &amp; """""","""),"""fpjhoibmllbklaapilcdhnbdicilaeed"",")</f>
        <v>"fpjhoibmllbklaapilcdhnbdicilaeed",</v>
      </c>
    </row>
    <row r="8032">
      <c r="A8032" s="4" t="s">
        <v>27211</v>
      </c>
      <c r="B8032" s="4" t="s">
        <v>15988</v>
      </c>
      <c r="C8032" s="16" t="str">
        <f>IFERROR(__xludf.DUMMYFUNCTION(""""""""" &amp; REGEXEXTRACT(B8032, ""/detail/([^/?]+)"") &amp; """""","""),"""ipbndnchcohcdddecocielghdlkfhjgb"",")</f>
        <v>"ipbndnchcohcdddecocielghdlkfhjgb",</v>
      </c>
    </row>
    <row r="8033">
      <c r="A8033" s="4" t="s">
        <v>27212</v>
      </c>
      <c r="B8033" s="4" t="s">
        <v>15990</v>
      </c>
      <c r="C8033" s="16" t="str">
        <f>IFERROR(__xludf.DUMMYFUNCTION(""""""""" &amp; REGEXEXTRACT(B8033, ""/detail/([^/?]+)"") &amp; """""","""),"""pkmbaacpdcnaaeeddokcpdahdokceppb"",")</f>
        <v>"pkmbaacpdcnaaeeddokcpdahdokceppb",</v>
      </c>
    </row>
    <row r="8034">
      <c r="A8034" s="4" t="s">
        <v>27213</v>
      </c>
      <c r="B8034" s="4" t="s">
        <v>15992</v>
      </c>
      <c r="C8034" s="16" t="str">
        <f>IFERROR(__xludf.DUMMYFUNCTION(""""""""" &amp; REGEXEXTRACT(B8034, ""/detail/([^/?]+)"") &amp; """""","""),"""bdefieggjaidlmdhcaheokahplifomoa"",")</f>
        <v>"bdefieggjaidlmdhcaheokahplifomoa",</v>
      </c>
    </row>
    <row r="8035">
      <c r="A8035" s="4" t="s">
        <v>27214</v>
      </c>
      <c r="B8035" s="4" t="s">
        <v>15994</v>
      </c>
      <c r="C8035" s="16" t="str">
        <f>IFERROR(__xludf.DUMMYFUNCTION(""""""""" &amp; REGEXEXTRACT(B8035, ""/detail/([^/?]+)"") &amp; """""","""),"""fnfpnjjgpfifiilkencadlekjebpmbph"",")</f>
        <v>"fnfpnjjgpfifiilkencadlekjebpmbph",</v>
      </c>
    </row>
    <row r="8036">
      <c r="A8036" s="4" t="s">
        <v>27215</v>
      </c>
      <c r="B8036" s="4" t="s">
        <v>15996</v>
      </c>
      <c r="C8036" s="16" t="str">
        <f>IFERROR(__xludf.DUMMYFUNCTION(""""""""" &amp; REGEXEXTRACT(B8036, ""/detail/([^/?]+)"") &amp; """""","""),"""ggcfcaiiadodpdfnphnejkocgjejcbic"",")</f>
        <v>"ggcfcaiiadodpdfnphnejkocgjejcbic",</v>
      </c>
    </row>
    <row r="8037">
      <c r="A8037" s="4" t="s">
        <v>27216</v>
      </c>
      <c r="B8037" s="4" t="s">
        <v>15998</v>
      </c>
      <c r="C8037" s="16" t="str">
        <f>IFERROR(__xludf.DUMMYFUNCTION(""""""""" &amp; REGEXEXTRACT(B8037, ""/detail/([^/?]+)"") &amp; """""","""),"""gnflplbfnfekejfoalgbcikilalbloec"",")</f>
        <v>"gnflplbfnfekejfoalgbcikilalbloec",</v>
      </c>
    </row>
    <row r="8038">
      <c r="A8038" s="4" t="s">
        <v>27217</v>
      </c>
      <c r="B8038" s="4" t="s">
        <v>16000</v>
      </c>
      <c r="C8038" s="16" t="str">
        <f>IFERROR(__xludf.DUMMYFUNCTION(""""""""" &amp; REGEXEXTRACT(B8038, ""/detail/([^/?]+)"") &amp; """""","""),"""lbmkcdphcmlokbdpgnjdpghmbednmhch"",")</f>
        <v>"lbmkcdphcmlokbdpgnjdpghmbednmhch",</v>
      </c>
    </row>
    <row r="8039">
      <c r="A8039" s="4" t="s">
        <v>27218</v>
      </c>
      <c r="B8039" s="4" t="s">
        <v>16002</v>
      </c>
      <c r="C8039" s="16" t="str">
        <f>IFERROR(__xludf.DUMMYFUNCTION(""""""""" &amp; REGEXEXTRACT(B8039, ""/detail/([^/?]+)"") &amp; """""","""),"""opejkjehcoahdkeemeamadblglgabknf"",")</f>
        <v>"opejkjehcoahdkeemeamadblglgabknf",</v>
      </c>
    </row>
    <row r="8040">
      <c r="A8040" s="4" t="s">
        <v>27219</v>
      </c>
      <c r="B8040" s="4" t="s">
        <v>16004</v>
      </c>
      <c r="C8040" s="16" t="str">
        <f>IFERROR(__xludf.DUMMYFUNCTION(""""""""" &amp; REGEXEXTRACT(B8040, ""/detail/([^/?]+)"") &amp; """""","""),"""ehpdicggenhgapiikfpnmppdonadlnmp"",")</f>
        <v>"ehpdicggenhgapiikfpnmppdonadlnmp",</v>
      </c>
    </row>
    <row r="8041">
      <c r="A8041" s="4" t="s">
        <v>27220</v>
      </c>
      <c r="B8041" s="4" t="s">
        <v>16006</v>
      </c>
      <c r="C8041" s="16" t="str">
        <f>IFERROR(__xludf.DUMMYFUNCTION(""""""""" &amp; REGEXEXTRACT(B8041, ""/detail/([^/?]+)"") &amp; """""","""),"""ibggmlahcckfbcghmbnbdmkmolmaejfc"",")</f>
        <v>"ibggmlahcckfbcghmbnbdmkmolmaejfc",</v>
      </c>
    </row>
    <row r="8042">
      <c r="A8042" s="4" t="s">
        <v>27221</v>
      </c>
      <c r="B8042" s="4" t="s">
        <v>16008</v>
      </c>
      <c r="C8042" s="16" t="str">
        <f>IFERROR(__xludf.DUMMYFUNCTION(""""""""" &amp; REGEXEXTRACT(B8042, ""/detail/([^/?]+)"") &amp; """""","""),"""mnkgahiafhiphkelfiignncoifadhpnd"",")</f>
        <v>"mnkgahiafhiphkelfiignncoifadhpnd",</v>
      </c>
    </row>
    <row r="8043">
      <c r="A8043" s="4" t="s">
        <v>27222</v>
      </c>
      <c r="B8043" s="4" t="s">
        <v>16010</v>
      </c>
      <c r="C8043" s="16" t="str">
        <f>IFERROR(__xludf.DUMMYFUNCTION(""""""""" &amp; REGEXEXTRACT(B8043, ""/detail/([^/?]+)"") &amp; """""","""),"""madpgppmbhecemnaicfpkokbookighmg"",")</f>
        <v>"madpgppmbhecemnaicfpkokbookighmg",</v>
      </c>
    </row>
    <row r="8044">
      <c r="A8044" s="4" t="s">
        <v>27223</v>
      </c>
      <c r="B8044" s="4" t="s">
        <v>16012</v>
      </c>
      <c r="C8044" s="16" t="str">
        <f>IFERROR(__xludf.DUMMYFUNCTION(""""""""" &amp; REGEXEXTRACT(B8044, ""/detail/([^/?]+)"") &amp; """""","""),"""oagdkccjchnflfcikaagcelgipminjhd"",")</f>
        <v>"oagdkccjchnflfcikaagcelgipminjhd",</v>
      </c>
    </row>
    <row r="8045">
      <c r="A8045" s="4" t="s">
        <v>27224</v>
      </c>
      <c r="B8045" s="4" t="s">
        <v>16014</v>
      </c>
      <c r="C8045" s="16" t="str">
        <f>IFERROR(__xludf.DUMMYFUNCTION(""""""""" &amp; REGEXEXTRACT(B8045, ""/detail/([^/?]+)"") &amp; """""","""),"""oakefghfmmcnejnpgpehidmbjgkelmdm"",")</f>
        <v>"oakefghfmmcnejnpgpehidmbjgkelmdm",</v>
      </c>
    </row>
    <row r="8046">
      <c r="A8046" s="4" t="s">
        <v>27225</v>
      </c>
      <c r="B8046" s="4" t="s">
        <v>16016</v>
      </c>
      <c r="C8046" s="16" t="str">
        <f>IFERROR(__xludf.DUMMYFUNCTION(""""""""" &amp; REGEXEXTRACT(B8046, ""/detail/([^/?]+)"") &amp; """""","""),"""cglnpjdjjinnbaioncegaiaifdpildne"",")</f>
        <v>"cglnpjdjjinnbaioncegaiaifdpildne",</v>
      </c>
    </row>
    <row r="8047">
      <c r="A8047" s="4" t="s">
        <v>27226</v>
      </c>
      <c r="B8047" s="4" t="s">
        <v>16018</v>
      </c>
      <c r="C8047" s="16" t="str">
        <f>IFERROR(__xludf.DUMMYFUNCTION(""""""""" &amp; REGEXEXTRACT(B8047, ""/detail/([^/?]+)"") &amp; """""","""),"""ialodjkaifigeaffjdbifgeimoaccidp"",")</f>
        <v>"ialodjkaifigeaffjdbifgeimoaccidp",</v>
      </c>
    </row>
    <row r="8048">
      <c r="A8048" s="4" t="s">
        <v>27227</v>
      </c>
      <c r="B8048" s="4" t="s">
        <v>16020</v>
      </c>
      <c r="C8048" s="16" t="str">
        <f>IFERROR(__xludf.DUMMYFUNCTION(""""""""" &amp; REGEXEXTRACT(B8048, ""/detail/([^/?]+)"") &amp; """""","""),"""ikogmikbjiooajfagjhobaopmehnooko"",")</f>
        <v>"ikogmikbjiooajfagjhobaopmehnooko",</v>
      </c>
    </row>
    <row r="8049">
      <c r="A8049" s="4" t="s">
        <v>27228</v>
      </c>
      <c r="B8049" s="4" t="s">
        <v>16022</v>
      </c>
      <c r="C8049" s="16" t="str">
        <f>IFERROR(__xludf.DUMMYFUNCTION(""""""""" &amp; REGEXEXTRACT(B8049, ""/detail/([^/?]+)"") &amp; """""","""),"""ndlpokknholbnmpamepplidpkfnmplgf"",")</f>
        <v>"ndlpokknholbnmpamepplidpkfnmplgf",</v>
      </c>
    </row>
    <row r="8050">
      <c r="A8050" s="4" t="s">
        <v>27229</v>
      </c>
      <c r="B8050" s="4" t="s">
        <v>16024</v>
      </c>
      <c r="C8050" s="16" t="str">
        <f>IFERROR(__xludf.DUMMYFUNCTION(""""""""" &amp; REGEXEXTRACT(B8050, ""/detail/([^/?]+)"") &amp; """""","""),"""apoejkbnhcajliaadjmnomdfhhpojnak"",")</f>
        <v>"apoejkbnhcajliaadjmnomdfhhpojnak",</v>
      </c>
    </row>
    <row r="8051">
      <c r="A8051" s="4" t="s">
        <v>27230</v>
      </c>
      <c r="B8051" s="4" t="s">
        <v>16026</v>
      </c>
      <c r="C8051" s="16" t="str">
        <f>IFERROR(__xludf.DUMMYFUNCTION(""""""""" &amp; REGEXEXTRACT(B8051, ""/detail/([^/?]+)"") &amp; """""","""),"""ecofnlndicmgjgodcoiggbjlaipjmenb"",")</f>
        <v>"ecofnlndicmgjgodcoiggbjlaipjmenb",</v>
      </c>
    </row>
    <row r="8052">
      <c r="A8052" s="4" t="s">
        <v>27231</v>
      </c>
      <c r="B8052" s="4" t="s">
        <v>16028</v>
      </c>
      <c r="C8052" s="16" t="str">
        <f>IFERROR(__xludf.DUMMYFUNCTION(""""""""" &amp; REGEXEXTRACT(B8052, ""/detail/([^/?]+)"") &amp; """""","""),"""ehiookjpopjjpogmbhhmhiikdincggnh"",")</f>
        <v>"ehiookjpopjjpogmbhhmhiikdincggnh",</v>
      </c>
    </row>
    <row r="8053">
      <c r="A8053" s="4" t="s">
        <v>27232</v>
      </c>
      <c r="B8053" s="4" t="s">
        <v>16030</v>
      </c>
      <c r="C8053" s="16" t="str">
        <f>IFERROR(__xludf.DUMMYFUNCTION(""""""""" &amp; REGEXEXTRACT(B8053, ""/detail/([^/?]+)"") &amp; """""","""),"""phacgaokecahmpcfcbpelnbpbjcglapd"",")</f>
        <v>"phacgaokecahmpcfcbpelnbpbjcglapd",</v>
      </c>
    </row>
    <row r="8054">
      <c r="A8054" s="4" t="s">
        <v>27233</v>
      </c>
      <c r="B8054" s="4" t="s">
        <v>16032</v>
      </c>
      <c r="C8054" s="16" t="str">
        <f>IFERROR(__xludf.DUMMYFUNCTION(""""""""" &amp; REGEXEXTRACT(B8054, ""/detail/([^/?]+)"") &amp; """""","""),"""aamdbafophajiecmhbnbakndfgjkfpce"",")</f>
        <v>"aamdbafophajiecmhbnbakndfgjkfpce",</v>
      </c>
    </row>
    <row r="8055">
      <c r="A8055" s="4" t="s">
        <v>27234</v>
      </c>
      <c r="B8055" s="4" t="s">
        <v>16034</v>
      </c>
      <c r="C8055" s="16" t="str">
        <f>IFERROR(__xludf.DUMMYFUNCTION(""""""""" &amp; REGEXEXTRACT(B8055, ""/detail/([^/?]+)"") &amp; """""","""),"""bafhnpibhakejchipdcnhbdpejphjiem"",")</f>
        <v>"bafhnpibhakejchipdcnhbdpejphjiem",</v>
      </c>
    </row>
    <row r="8056">
      <c r="A8056" s="4" t="s">
        <v>27235</v>
      </c>
      <c r="B8056" s="4" t="s">
        <v>16036</v>
      </c>
      <c r="C8056" s="16" t="str">
        <f>IFERROR(__xludf.DUMMYFUNCTION(""""""""" &amp; REGEXEXTRACT(B8056, ""/detail/([^/?]+)"") &amp; """""","""),"""cbebgcijnnddaopldijabckkahpbimgi"",")</f>
        <v>"cbebgcijnnddaopldijabckkahpbimgi",</v>
      </c>
    </row>
    <row r="8057">
      <c r="A8057" s="4" t="s">
        <v>27236</v>
      </c>
      <c r="B8057" s="4" t="s">
        <v>16038</v>
      </c>
      <c r="C8057" s="16" t="str">
        <f>IFERROR(__xludf.DUMMYFUNCTION(""""""""" &amp; REGEXEXTRACT(B8057, ""/detail/([^/?]+)"") &amp; """""","""),"""ckfphpmobmoadbdkmffnffngagjohjmf"",")</f>
        <v>"ckfphpmobmoadbdkmffnffngagjohjmf",</v>
      </c>
    </row>
    <row r="8058">
      <c r="A8058" s="4" t="s">
        <v>27237</v>
      </c>
      <c r="B8058" s="4" t="s">
        <v>16040</v>
      </c>
      <c r="C8058" s="16" t="str">
        <f>IFERROR(__xludf.DUMMYFUNCTION(""""""""" &amp; REGEXEXTRACT(B8058, ""/detail/([^/?]+)"") &amp; """""","""),"""igfghgmlefpidcbinpcifhknoifdamdj"",")</f>
        <v>"igfghgmlefpidcbinpcifhknoifdamdj",</v>
      </c>
    </row>
    <row r="8059">
      <c r="A8059" s="4" t="s">
        <v>27238</v>
      </c>
      <c r="B8059" s="4" t="s">
        <v>16042</v>
      </c>
      <c r="C8059" s="16" t="str">
        <f>IFERROR(__xludf.DUMMYFUNCTION(""""""""" &amp; REGEXEXTRACT(B8059, ""/detail/([^/?]+)"") &amp; """""","""),"""jilkhaondmaoalimddiaeiahpfkkchkf"",")</f>
        <v>"jilkhaondmaoalimddiaeiahpfkkchkf",</v>
      </c>
    </row>
    <row r="8060">
      <c r="A8060" s="4" t="s">
        <v>27239</v>
      </c>
      <c r="B8060" s="4" t="s">
        <v>16044</v>
      </c>
      <c r="C8060" s="16" t="str">
        <f>IFERROR(__xludf.DUMMYFUNCTION(""""""""" &amp; REGEXEXTRACT(B8060, ""/detail/([^/?]+)"") &amp; """""","""),"""kgljgnbhcigffgoifhjbbifhbdkapmgm"",")</f>
        <v>"kgljgnbhcigffgoifhjbbifhbdkapmgm",</v>
      </c>
    </row>
    <row r="8061">
      <c r="A8061" s="4" t="s">
        <v>27240</v>
      </c>
      <c r="B8061" s="4" t="s">
        <v>16046</v>
      </c>
      <c r="C8061" s="16" t="str">
        <f>IFERROR(__xludf.DUMMYFUNCTION(""""""""" &amp; REGEXEXTRACT(B8061, ""/detail/([^/?]+)"") &amp; """""","""),"""knammbkafbpckgibgjilgpcnpacmecme"",")</f>
        <v>"knammbkafbpckgibgjilgpcnpacmecme",</v>
      </c>
    </row>
    <row r="8062">
      <c r="A8062" s="4" t="s">
        <v>27241</v>
      </c>
      <c r="B8062" s="4" t="s">
        <v>16048</v>
      </c>
      <c r="C8062" s="16" t="str">
        <f>IFERROR(__xludf.DUMMYFUNCTION(""""""""" &amp; REGEXEXTRACT(B8062, ""/detail/([^/?]+)"") &amp; """""","""),"""kcgmdmiklefbbknlajdlngofclkianjp"",")</f>
        <v>"kcgmdmiklefbbknlajdlngofclkianjp",</v>
      </c>
    </row>
    <row r="8063">
      <c r="A8063" s="4" t="s">
        <v>27242</v>
      </c>
      <c r="B8063" s="4" t="s">
        <v>16050</v>
      </c>
      <c r="C8063" s="16" t="str">
        <f>IFERROR(__xludf.DUMMYFUNCTION(""""""""" &amp; REGEXEXTRACT(B8063, ""/detail/([^/?]+)"") &amp; """""","""),"""pafeplegibgoknhlkemcfeemoghbamfj"",")</f>
        <v>"pafeplegibgoknhlkemcfeemoghbamfj",</v>
      </c>
    </row>
    <row r="8064">
      <c r="A8064" s="4" t="s">
        <v>27243</v>
      </c>
      <c r="B8064" s="4" t="s">
        <v>16052</v>
      </c>
      <c r="C8064" s="16" t="str">
        <f>IFERROR(__xludf.DUMMYFUNCTION(""""""""" &amp; REGEXEXTRACT(B8064, ""/detail/([^/?]+)"") &amp; """""","""),"""cdmpmfcgepijfiaaojbahpmpjfkgdgja"",")</f>
        <v>"cdmpmfcgepijfiaaojbahpmpjfkgdgja",</v>
      </c>
    </row>
    <row r="8065">
      <c r="A8065" s="4" t="s">
        <v>27244</v>
      </c>
      <c r="B8065" s="4" t="s">
        <v>16054</v>
      </c>
      <c r="C8065" s="16" t="str">
        <f>IFERROR(__xludf.DUMMYFUNCTION(""""""""" &amp; REGEXEXTRACT(B8065, ""/detail/([^/?]+)"") &amp; """""","""),"""hkhlmkflfapnfamjjldmemkbgplfhbnl"",")</f>
        <v>"hkhlmkflfapnfamjjldmemkbgplfhbnl",</v>
      </c>
    </row>
    <row r="8066">
      <c r="A8066" s="4" t="s">
        <v>27245</v>
      </c>
      <c r="B8066" s="4" t="s">
        <v>16056</v>
      </c>
      <c r="C8066" s="16" t="str">
        <f>IFERROR(__xludf.DUMMYFUNCTION(""""""""" &amp; REGEXEXTRACT(B8066, ""/detail/([^/?]+)"") &amp; """""","""),"""libajdoapablnccbiakfbjjoofohelah"",")</f>
        <v>"libajdoapablnccbiakfbjjoofohelah",</v>
      </c>
    </row>
    <row r="8067">
      <c r="A8067" s="4" t="s">
        <v>27246</v>
      </c>
      <c r="B8067" s="4" t="s">
        <v>16058</v>
      </c>
      <c r="C8067" s="16" t="str">
        <f>IFERROR(__xludf.DUMMYFUNCTION(""""""""" &amp; REGEXEXTRACT(B8067, ""/detail/([^/?]+)"") &amp; """""","""),"""aiickpjplakbajmoglephfflijahgblj"",")</f>
        <v>"aiickpjplakbajmoglephfflijahgblj",</v>
      </c>
    </row>
    <row r="8068">
      <c r="A8068" s="4" t="s">
        <v>27247</v>
      </c>
      <c r="B8068" s="4" t="s">
        <v>16060</v>
      </c>
      <c r="C8068" s="16" t="str">
        <f>IFERROR(__xludf.DUMMYFUNCTION(""""""""" &amp; REGEXEXTRACT(B8068, ""/detail/([^/?]+)"") &amp; """""","""),"""bomipglfgpeaeailgdcgkcppjhkgbhoh"",")</f>
        <v>"bomipglfgpeaeailgdcgkcppjhkgbhoh",</v>
      </c>
    </row>
    <row r="8069">
      <c r="A8069" s="4" t="s">
        <v>27248</v>
      </c>
      <c r="B8069" s="4" t="s">
        <v>16062</v>
      </c>
      <c r="C8069" s="16" t="str">
        <f>IFERROR(__xludf.DUMMYFUNCTION(""""""""" &amp; REGEXEXTRACT(B8069, ""/detail/([^/?]+)"") &amp; """""","""),"""eafdoeojplandfjbmjkglljhlckoajcg"",")</f>
        <v>"eafdoeojplandfjbmjkglljhlckoajcg",</v>
      </c>
    </row>
    <row r="8070">
      <c r="A8070" s="4" t="s">
        <v>27249</v>
      </c>
      <c r="B8070" s="4" t="s">
        <v>16064</v>
      </c>
      <c r="C8070" s="16" t="str">
        <f>IFERROR(__xludf.DUMMYFUNCTION(""""""""" &amp; REGEXEXTRACT(B8070, ""/detail/([^/?]+)"") &amp; """""","""),"""fhdjnnbfgbgheebemnjaopachfanifhh"",")</f>
        <v>"fhdjnnbfgbgheebemnjaopachfanifhh",</v>
      </c>
    </row>
    <row r="8071">
      <c r="A8071" s="4" t="s">
        <v>27250</v>
      </c>
      <c r="B8071" s="4" t="s">
        <v>16066</v>
      </c>
      <c r="C8071" s="16" t="str">
        <f>IFERROR(__xludf.DUMMYFUNCTION(""""""""" &amp; REGEXEXTRACT(B8071, ""/detail/([^/?]+)"") &amp; """""","""),"""mkgeplonhadmdlocjaneefkldpfdcago"",")</f>
        <v>"mkgeplonhadmdlocjaneefkldpfdcago",</v>
      </c>
    </row>
    <row r="8072">
      <c r="A8072" s="4" t="s">
        <v>27251</v>
      </c>
      <c r="B8072" s="4" t="s">
        <v>16068</v>
      </c>
      <c r="C8072" s="16" t="str">
        <f>IFERROR(__xludf.DUMMYFUNCTION(""""""""" &amp; REGEXEXTRACT(B8072, ""/detail/([^/?]+)"") &amp; """""","""),"""mpflpgaobfpjcpefkdnpalfdodifkkgc"",")</f>
        <v>"mpflpgaobfpjcpefkdnpalfdodifkkgc",</v>
      </c>
    </row>
    <row r="8073">
      <c r="A8073" s="4" t="s">
        <v>27252</v>
      </c>
      <c r="B8073" s="4" t="s">
        <v>16070</v>
      </c>
      <c r="C8073" s="16" t="str">
        <f>IFERROR(__xludf.DUMMYFUNCTION(""""""""" &amp; REGEXEXTRACT(B8073, ""/detail/([^/?]+)"") &amp; """""","""),"""odgmkhgpjabofenjcinopoocomeaepej"",")</f>
        <v>"odgmkhgpjabofenjcinopoocomeaepej",</v>
      </c>
    </row>
    <row r="8074">
      <c r="A8074" s="4" t="s">
        <v>27253</v>
      </c>
      <c r="B8074" s="4" t="s">
        <v>16072</v>
      </c>
      <c r="C8074" s="16" t="str">
        <f>IFERROR(__xludf.DUMMYFUNCTION(""""""""" &amp; REGEXEXTRACT(B8074, ""/detail/([^/?]+)"") &amp; """""","""),"""cdlcldfkcgmpndknbabgmhfkeeampkcn"",")</f>
        <v>"cdlcldfkcgmpndknbabgmhfkeeampkcn",</v>
      </c>
    </row>
    <row r="8075">
      <c r="A8075" s="4" t="s">
        <v>27254</v>
      </c>
      <c r="B8075" s="4" t="s">
        <v>16074</v>
      </c>
      <c r="C8075" s="16" t="str">
        <f>IFERROR(__xludf.DUMMYFUNCTION(""""""""" &amp; REGEXEXTRACT(B8075, ""/detail/([^/?]+)"") &amp; """""","""),"""eaemaefgnoddejclbjbkdjhnejojlnda"",")</f>
        <v>"eaemaefgnoddejclbjbkdjhnejojlnda",</v>
      </c>
    </row>
    <row r="8076">
      <c r="A8076" s="4" t="s">
        <v>27255</v>
      </c>
      <c r="B8076" s="4" t="s">
        <v>16076</v>
      </c>
      <c r="C8076" s="16" t="str">
        <f>IFERROR(__xludf.DUMMYFUNCTION(""""""""" &amp; REGEXEXTRACT(B8076, ""/detail/([^/?]+)"") &amp; """""","""),"""ekgbhfcaocclbckaiodiegejdinnndja"",")</f>
        <v>"ekgbhfcaocclbckaiodiegejdinnndja",</v>
      </c>
    </row>
    <row r="8077">
      <c r="A8077" s="4" t="s">
        <v>27256</v>
      </c>
      <c r="B8077" s="4" t="s">
        <v>16078</v>
      </c>
      <c r="C8077" s="16" t="str">
        <f>IFERROR(__xludf.DUMMYFUNCTION(""""""""" &amp; REGEXEXTRACT(B8077, ""/detail/([^/?]+)"") &amp; """""","""),"""kcmgccejanjgdkfdhcjohbepjlbefdje"",")</f>
        <v>"kcmgccejanjgdkfdhcjohbepjlbefdje",</v>
      </c>
    </row>
    <row r="8078">
      <c r="A8078" s="4" t="s">
        <v>27257</v>
      </c>
      <c r="B8078" s="4" t="s">
        <v>16080</v>
      </c>
      <c r="C8078" s="16" t="str">
        <f>IFERROR(__xludf.DUMMYFUNCTION(""""""""" &amp; REGEXEXTRACT(B8078, ""/detail/([^/?]+)"") &amp; """""","""),"""ldgmbjnnjnjjnkllaffafcdgblhaijnh"",")</f>
        <v>"ldgmbjnnjnjjnkllaffafcdgblhaijnh",</v>
      </c>
    </row>
    <row r="8079">
      <c r="A8079" s="4" t="s">
        <v>27258</v>
      </c>
      <c r="B8079" s="4" t="s">
        <v>16082</v>
      </c>
      <c r="C8079" s="16" t="str">
        <f>IFERROR(__xludf.DUMMYFUNCTION(""""""""" &amp; REGEXEXTRACT(B8079, ""/detail/([^/?]+)"") &amp; """""","""),"""mcfkanphaccondbcfdenamohbpfbploe"",")</f>
        <v>"mcfkanphaccondbcfdenamohbpfbploe",</v>
      </c>
    </row>
    <row r="8080">
      <c r="A8080" s="4" t="s">
        <v>27259</v>
      </c>
      <c r="B8080" s="4" t="s">
        <v>16084</v>
      </c>
      <c r="C8080" s="16" t="str">
        <f>IFERROR(__xludf.DUMMYFUNCTION(""""""""" &amp; REGEXEXTRACT(B8080, ""/detail/([^/?]+)"") &amp; """""","""),"""fgpecdgiijcjpcammohmmjmanehafffc"",")</f>
        <v>"fgpecdgiijcjpcammohmmjmanehafffc",</v>
      </c>
    </row>
    <row r="8081">
      <c r="A8081" s="4" t="s">
        <v>27260</v>
      </c>
      <c r="B8081" s="4" t="s">
        <v>16086</v>
      </c>
      <c r="C8081" s="16" t="str">
        <f>IFERROR(__xludf.DUMMYFUNCTION(""""""""" &amp; REGEXEXTRACT(B8081, ""/detail/([^/?]+)"") &amp; """""","""),"""fhaodkdhmbgaogggcaaihcpinapofffk"",")</f>
        <v>"fhaodkdhmbgaogggcaaihcpinapofffk",</v>
      </c>
    </row>
    <row r="8082">
      <c r="A8082" s="4" t="s">
        <v>27261</v>
      </c>
      <c r="B8082" s="4" t="s">
        <v>16088</v>
      </c>
      <c r="C8082" s="16" t="str">
        <f>IFERROR(__xludf.DUMMYFUNCTION(""""""""" &amp; REGEXEXTRACT(B8082, ""/detail/([^/?]+)"") &amp; """""","""),"""fkjnfffkjhkpnogngcclhloiafjcpmbf"",")</f>
        <v>"fkjnfffkjhkpnogngcclhloiafjcpmbf",</v>
      </c>
    </row>
    <row r="8083">
      <c r="A8083" s="4" t="s">
        <v>27262</v>
      </c>
      <c r="B8083" s="4" t="s">
        <v>16090</v>
      </c>
      <c r="C8083" s="16" t="str">
        <f>IFERROR(__xludf.DUMMYFUNCTION(""""""""" &amp; REGEXEXTRACT(B8083, ""/detail/([^/?]+)"") &amp; """""","""),"""gioecfncgelemfipmklohlfondkogeha"",")</f>
        <v>"gioecfncgelemfipmklohlfondkogeha",</v>
      </c>
    </row>
    <row r="8084">
      <c r="A8084" s="4" t="s">
        <v>27263</v>
      </c>
      <c r="B8084" s="4" t="s">
        <v>16092</v>
      </c>
      <c r="C8084" s="16" t="str">
        <f>IFERROR(__xludf.DUMMYFUNCTION(""""""""" &amp; REGEXEXTRACT(B8084, ""/detail/([^/?]+)"") &amp; """""","""),"""gkaekoklibblfgbmjcellibkjmgddcjh"",")</f>
        <v>"gkaekoklibblfgbmjcellibkjmgddcjh",</v>
      </c>
    </row>
    <row r="8085">
      <c r="A8085" s="4" t="s">
        <v>27264</v>
      </c>
      <c r="B8085" s="4" t="s">
        <v>16094</v>
      </c>
      <c r="C8085" s="16" t="str">
        <f>IFERROR(__xludf.DUMMYFUNCTION(""""""""" &amp; REGEXEXTRACT(B8085, ""/detail/([^/?]+)"") &amp; """""","""),"""glbjlbehokkbmdfmnkbpkiidamifooci"",")</f>
        <v>"glbjlbehokkbmdfmnkbpkiidamifooci",</v>
      </c>
    </row>
    <row r="8086">
      <c r="A8086" s="4" t="s">
        <v>27265</v>
      </c>
      <c r="B8086" s="4" t="s">
        <v>16096</v>
      </c>
      <c r="C8086" s="16" t="str">
        <f>IFERROR(__xludf.DUMMYFUNCTION(""""""""" &amp; REGEXEXTRACT(B8086, ""/detail/([^/?]+)"") &amp; """""","""),"""hciflkkadhmficnfopeojmdfjfcaoejf"",")</f>
        <v>"hciflkkadhmficnfopeojmdfjfcaoejf",</v>
      </c>
    </row>
    <row r="8087">
      <c r="A8087" s="4" t="s">
        <v>27266</v>
      </c>
      <c r="B8087" s="4" t="s">
        <v>16098</v>
      </c>
      <c r="C8087" s="16" t="str">
        <f>IFERROR(__xludf.DUMMYFUNCTION(""""""""" &amp; REGEXEXTRACT(B8087, ""/detail/([^/?]+)"") &amp; """""","""),"""keokkojbogejboamkdahfibbeiegfpek"",")</f>
        <v>"keokkojbogejboamkdahfibbeiegfpek",</v>
      </c>
    </row>
    <row r="8088">
      <c r="A8088" s="4" t="s">
        <v>27267</v>
      </c>
      <c r="B8088" s="4" t="s">
        <v>16100</v>
      </c>
      <c r="C8088" s="16" t="str">
        <f>IFERROR(__xludf.DUMMYFUNCTION(""""""""" &amp; REGEXEXTRACT(B8088, ""/detail/([^/?]+)"") &amp; """""","""),"""mjdphmpknkepficogfmnfhabmlngggip"",")</f>
        <v>"mjdphmpknkepficogfmnfhabmlngggip",</v>
      </c>
    </row>
    <row r="8089">
      <c r="A8089" s="4" t="s">
        <v>27268</v>
      </c>
      <c r="B8089" s="4" t="s">
        <v>16102</v>
      </c>
      <c r="C8089" s="16" t="str">
        <f>IFERROR(__xludf.DUMMYFUNCTION(""""""""" &amp; REGEXEXTRACT(B8089, ""/detail/([^/?]+)"") &amp; """""","""),"""poheidbodnopapiohmaiicjljellfneg"",")</f>
        <v>"poheidbodnopapiohmaiicjljellfneg",</v>
      </c>
    </row>
    <row r="8090">
      <c r="A8090" s="4" t="s">
        <v>27269</v>
      </c>
      <c r="B8090" s="4" t="s">
        <v>16104</v>
      </c>
      <c r="C8090" s="16" t="str">
        <f>IFERROR(__xludf.DUMMYFUNCTION(""""""""" &amp; REGEXEXTRACT(B8090, ""/detail/([^/?]+)"") &amp; """""","""),"""danoojfpckpaacgbaebfakjeepeenaop"",")</f>
        <v>"danoojfpckpaacgbaebfakjeepeenaop",</v>
      </c>
    </row>
    <row r="8091">
      <c r="A8091" s="4" t="s">
        <v>27270</v>
      </c>
      <c r="B8091" s="4" t="s">
        <v>16106</v>
      </c>
      <c r="C8091" s="16" t="str">
        <f>IFERROR(__xludf.DUMMYFUNCTION(""""""""" &amp; REGEXEXTRACT(B8091, ""/detail/([^/?]+)"") &amp; """""","""),"""facgjnnnpnopaambndocnfehnikijpdm"",")</f>
        <v>"facgjnnnpnopaambndocnfehnikijpdm",</v>
      </c>
    </row>
    <row r="8092">
      <c r="A8092" s="4" t="s">
        <v>27271</v>
      </c>
      <c r="B8092" s="4" t="s">
        <v>16108</v>
      </c>
      <c r="C8092" s="16" t="str">
        <f>IFERROR(__xludf.DUMMYFUNCTION(""""""""" &amp; REGEXEXTRACT(B8092, ""/detail/([^/?]+)"") &amp; """""","""),"""hlabkdeeoecamlejpjgaedopbpflfhjm"",")</f>
        <v>"hlabkdeeoecamlejpjgaedopbpflfhjm",</v>
      </c>
    </row>
    <row r="8093">
      <c r="A8093" s="4" t="s">
        <v>27272</v>
      </c>
      <c r="B8093" s="4" t="s">
        <v>16110</v>
      </c>
      <c r="C8093" s="16" t="str">
        <f>IFERROR(__xludf.DUMMYFUNCTION(""""""""" &amp; REGEXEXTRACT(B8093, ""/detail/([^/?]+)"") &amp; """""","""),"""kfgpcicheodmhneglkflmggjhflimmaj"",")</f>
        <v>"kfgpcicheodmhneglkflmggjhflimmaj",</v>
      </c>
    </row>
    <row r="8094">
      <c r="A8094" s="4" t="s">
        <v>27273</v>
      </c>
      <c r="B8094" s="4" t="s">
        <v>16112</v>
      </c>
      <c r="C8094" s="16" t="str">
        <f>IFERROR(__xludf.DUMMYFUNCTION(""""""""" &amp; REGEXEXTRACT(B8094, ""/detail/([^/?]+)"") &amp; """""","""),"""lcnackgadgeghepobofcongbnjajafag"",")</f>
        <v>"lcnackgadgeghepobofcongbnjajafag",</v>
      </c>
    </row>
    <row r="8095">
      <c r="A8095" s="4" t="s">
        <v>27274</v>
      </c>
      <c r="B8095" s="4" t="s">
        <v>16114</v>
      </c>
      <c r="C8095" s="16" t="str">
        <f>IFERROR(__xludf.DUMMYFUNCTION(""""""""" &amp; REGEXEXTRACT(B8095, ""/detail/([^/?]+)"") &amp; """""","""),"""ognafeffndmmiliegaamoockceneedea"",")</f>
        <v>"ognafeffndmmiliegaamoockceneedea",</v>
      </c>
    </row>
    <row r="8096">
      <c r="A8096" s="4" t="s">
        <v>27275</v>
      </c>
      <c r="B8096" s="4" t="s">
        <v>16116</v>
      </c>
      <c r="C8096" s="16" t="str">
        <f>IFERROR(__xludf.DUMMYFUNCTION(""""""""" &amp; REGEXEXTRACT(B8096, ""/detail/([^/?]+)"") &amp; """""","""),"""ajcdhdekjnodelbjdobjeodhemkkconf"",")</f>
        <v>"ajcdhdekjnodelbjdobjeodhemkkconf",</v>
      </c>
    </row>
    <row r="8097">
      <c r="A8097" s="4" t="s">
        <v>27276</v>
      </c>
      <c r="B8097" s="4" t="s">
        <v>16118</v>
      </c>
      <c r="C8097" s="16" t="str">
        <f>IFERROR(__xludf.DUMMYFUNCTION(""""""""" &amp; REGEXEXTRACT(B8097, ""/detail/([^/?]+)"") &amp; """""","""),"""bifhfmlnimmkleegfinieegidihkbjml"",")</f>
        <v>"bifhfmlnimmkleegfinieegidihkbjml",</v>
      </c>
    </row>
    <row r="8098">
      <c r="A8098" s="4" t="s">
        <v>27277</v>
      </c>
      <c r="B8098" s="4" t="s">
        <v>16120</v>
      </c>
      <c r="C8098" s="16" t="str">
        <f>IFERROR(__xludf.DUMMYFUNCTION(""""""""" &amp; REGEXEXTRACT(B8098, ""/detail/([^/?]+)"") &amp; """""","""),"""dlepnjlehdglcllkkhbdihcanplfjknj"",")</f>
        <v>"dlepnjlehdglcllkkhbdihcanplfjknj",</v>
      </c>
    </row>
    <row r="8099">
      <c r="A8099" s="4" t="s">
        <v>27278</v>
      </c>
      <c r="B8099" s="4" t="s">
        <v>16122</v>
      </c>
      <c r="C8099" s="16" t="str">
        <f>IFERROR(__xludf.DUMMYFUNCTION(""""""""" &amp; REGEXEXTRACT(B8099, ""/detail/([^/?]+)"") &amp; """""","""),"""eibnpeegkdkfcoaakejdjcimjjncefln"",")</f>
        <v>"eibnpeegkdkfcoaakejdjcimjjncefln",</v>
      </c>
    </row>
    <row r="8100">
      <c r="A8100" s="4" t="s">
        <v>27279</v>
      </c>
      <c r="B8100" s="4" t="s">
        <v>16124</v>
      </c>
      <c r="C8100" s="16" t="str">
        <f>IFERROR(__xludf.DUMMYFUNCTION(""""""""" &amp; REGEXEXTRACT(B8100, ""/detail/([^/?]+)"") &amp; """""","""),"""ihibpepjbcahppdceephbdpgflncodce"",")</f>
        <v>"ihibpepjbcahppdceephbdpgflncodce",</v>
      </c>
    </row>
    <row r="8101">
      <c r="A8101" s="4" t="s">
        <v>27280</v>
      </c>
      <c r="B8101" s="4" t="s">
        <v>16126</v>
      </c>
      <c r="C8101" s="16" t="str">
        <f>IFERROR(__xludf.DUMMYFUNCTION(""""""""" &amp; REGEXEXTRACT(B8101, ""/detail/([^/?]+)"") &amp; """""","""),"""jbpkdhiabgiejinphngblmjmfiominfm"",")</f>
        <v>"jbpkdhiabgiejinphngblmjmfiominfm",</v>
      </c>
    </row>
    <row r="8102">
      <c r="A8102" s="4" t="s">
        <v>27281</v>
      </c>
      <c r="B8102" s="4" t="s">
        <v>16128</v>
      </c>
      <c r="C8102" s="16" t="str">
        <f>IFERROR(__xludf.DUMMYFUNCTION(""""""""" &amp; REGEXEXTRACT(B8102, ""/detail/([^/?]+)"") &amp; """""","""),"""jjnknmlibfooipdjmggpfpeoafbjhmoo"",")</f>
        <v>"jjnknmlibfooipdjmggpfpeoafbjhmoo",</v>
      </c>
    </row>
    <row r="8103">
      <c r="A8103" s="4" t="s">
        <v>27282</v>
      </c>
      <c r="B8103" s="4" t="s">
        <v>16130</v>
      </c>
      <c r="C8103" s="16" t="str">
        <f>IFERROR(__xludf.DUMMYFUNCTION(""""""""" &amp; REGEXEXTRACT(B8103, ""/detail/([^/?]+)"") &amp; """""","""),"""ahpieafhibipfkfjapdjkhiolckdfill"",")</f>
        <v>"ahpieafhibipfkfjapdjkhiolckdfill",</v>
      </c>
    </row>
    <row r="8104">
      <c r="A8104" s="4" t="s">
        <v>27283</v>
      </c>
      <c r="B8104" s="4" t="s">
        <v>16132</v>
      </c>
      <c r="C8104" s="16" t="str">
        <f>IFERROR(__xludf.DUMMYFUNCTION(""""""""" &amp; REGEXEXTRACT(B8104, ""/detail/([^/?]+)"") &amp; """""","""),"""deoidkimdgonjkhffoaieoejhfcmcfbn"",")</f>
        <v>"deoidkimdgonjkhffoaieoejhfcmcfbn",</v>
      </c>
    </row>
    <row r="8105">
      <c r="A8105" s="4" t="s">
        <v>27284</v>
      </c>
      <c r="B8105" s="4" t="s">
        <v>16134</v>
      </c>
      <c r="C8105" s="16" t="str">
        <f>IFERROR(__xludf.DUMMYFUNCTION(""""""""" &amp; REGEXEXTRACT(B8105, ""/detail/([^/?]+)"") &amp; """""","""),"""ghicpnbjacakmhdneadbiacfnjajlaeg"",")</f>
        <v>"ghicpnbjacakmhdneadbiacfnjajlaeg",</v>
      </c>
    </row>
    <row r="8106">
      <c r="A8106" s="4" t="s">
        <v>27285</v>
      </c>
      <c r="B8106" s="4" t="s">
        <v>16136</v>
      </c>
      <c r="C8106" s="16" t="str">
        <f>IFERROR(__xludf.DUMMYFUNCTION(""""""""" &amp; REGEXEXTRACT(B8106, ""/detail/([^/?]+)"") &amp; """""","""),"""joablcpjombbhaongiepgcnefbepblal"",")</f>
        <v>"joablcpjombbhaongiepgcnefbepblal",</v>
      </c>
    </row>
    <row r="8107">
      <c r="A8107" s="4" t="s">
        <v>27286</v>
      </c>
      <c r="B8107" s="4" t="s">
        <v>16138</v>
      </c>
      <c r="C8107" s="16" t="str">
        <f>IFERROR(__xludf.DUMMYFUNCTION(""""""""" &amp; REGEXEXTRACT(B8107, ""/detail/([^/?]+)"") &amp; """""","""),"""kogpmjpahimpmhfcciipfhoahjjfkenm"",")</f>
        <v>"kogpmjpahimpmhfcciipfhoahjjfkenm",</v>
      </c>
    </row>
    <row r="8108">
      <c r="A8108" s="4" t="s">
        <v>27287</v>
      </c>
      <c r="B8108" s="4" t="s">
        <v>16140</v>
      </c>
      <c r="C8108" s="16" t="str">
        <f>IFERROR(__xludf.DUMMYFUNCTION(""""""""" &amp; REGEXEXTRACT(B8108, ""/detail/([^/?]+)"") &amp; """""","""),"""oakfhpoofifebonhbmegpdkpjgfmlcdb"",")</f>
        <v>"oakfhpoofifebonhbmegpdkpjgfmlcdb",</v>
      </c>
    </row>
    <row r="8109">
      <c r="A8109" s="4" t="s">
        <v>27288</v>
      </c>
      <c r="B8109" s="4" t="s">
        <v>16142</v>
      </c>
      <c r="C8109" s="16" t="str">
        <f>IFERROR(__xludf.DUMMYFUNCTION(""""""""" &amp; REGEXEXTRACT(B8109, ""/detail/([^/?]+)"") &amp; """""","""),"""opimkfaiaekjknodenklcjdeaeedjdkc"",")</f>
        <v>"opimkfaiaekjknodenklcjdeaeedjdkc",</v>
      </c>
    </row>
    <row r="8110">
      <c r="A8110" s="4" t="s">
        <v>27289</v>
      </c>
      <c r="B8110" s="4" t="s">
        <v>16144</v>
      </c>
      <c r="C8110" s="16" t="str">
        <f>IFERROR(__xludf.DUMMYFUNCTION(""""""""" &amp; REGEXEXTRACT(B8110, ""/detail/([^/?]+)"") &amp; """""","""),"""bnabedeodphlebnlohfpmmiinphfadem"",")</f>
        <v>"bnabedeodphlebnlohfpmmiinphfadem",</v>
      </c>
    </row>
    <row r="8111">
      <c r="A8111" s="4" t="s">
        <v>27290</v>
      </c>
      <c r="B8111" s="4" t="s">
        <v>16146</v>
      </c>
      <c r="C8111" s="16" t="str">
        <f>IFERROR(__xludf.DUMMYFUNCTION(""""""""" &amp; REGEXEXTRACT(B8111, ""/detail/([^/?]+)"") &amp; """""","""),"""bnbpeolijjenmnpfiohapnejmhoecchh"",")</f>
        <v>"bnbpeolijjenmnpfiohapnejmhoecchh",</v>
      </c>
    </row>
    <row r="8112">
      <c r="A8112" s="4" t="s">
        <v>27291</v>
      </c>
      <c r="B8112" s="4" t="s">
        <v>16148</v>
      </c>
      <c r="C8112" s="16" t="str">
        <f>IFERROR(__xludf.DUMMYFUNCTION(""""""""" &amp; REGEXEXTRACT(B8112, ""/detail/([^/?]+)"") &amp; """""","""),"""mhidlbegmoiddmebedbiijmpckambgfj"",")</f>
        <v>"mhidlbegmoiddmebedbiijmpckambgfj",</v>
      </c>
    </row>
    <row r="8113">
      <c r="A8113" s="4" t="s">
        <v>27292</v>
      </c>
      <c r="B8113" s="4" t="s">
        <v>16150</v>
      </c>
      <c r="C8113" s="16" t="str">
        <f>IFERROR(__xludf.DUMMYFUNCTION(""""""""" &amp; REGEXEXTRACT(B8113, ""/detail/([^/?]+)"") &amp; """""","""),"""nobaaibkcalggmjnjhnlmmcldllpogjp"",")</f>
        <v>"nobaaibkcalggmjnjhnlmmcldllpogjp",</v>
      </c>
    </row>
    <row r="8114">
      <c r="A8114" s="4" t="s">
        <v>27293</v>
      </c>
      <c r="B8114" s="4" t="s">
        <v>16152</v>
      </c>
      <c r="C8114" s="16" t="str">
        <f>IFERROR(__xludf.DUMMYFUNCTION(""""""""" &amp; REGEXEXTRACT(B8114, ""/detail/([^/?]+)"") &amp; """""","""),"""pjnpalcebijghomiebbpmokmejfpjaml"",")</f>
        <v>"pjnpalcebijghomiebbpmokmejfpjaml",</v>
      </c>
    </row>
    <row r="8115">
      <c r="A8115" s="4" t="s">
        <v>27294</v>
      </c>
      <c r="B8115" s="4" t="s">
        <v>16154</v>
      </c>
      <c r="C8115" s="16" t="str">
        <f>IFERROR(__xludf.DUMMYFUNCTION(""""""""" &amp; REGEXEXTRACT(B8115, ""/detail/([^/?]+)"") &amp; """""","""),"""cngfpffdiefnoblplbcdejppdpceaehm"",")</f>
        <v>"cngfpffdiefnoblplbcdejppdpceaehm",</v>
      </c>
    </row>
    <row r="8116">
      <c r="A8116" s="4" t="s">
        <v>27295</v>
      </c>
      <c r="B8116" s="4" t="s">
        <v>16156</v>
      </c>
      <c r="C8116" s="16" t="str">
        <f>IFERROR(__xludf.DUMMYFUNCTION(""""""""" &amp; REGEXEXTRACT(B8116, ""/detail/([^/?]+)"") &amp; """""","""),"""gfhlhiifmefkepebndobmgogmoljjfil"",")</f>
        <v>"gfhlhiifmefkepebndobmgogmoljjfil",</v>
      </c>
    </row>
    <row r="8117">
      <c r="A8117" s="4" t="s">
        <v>27296</v>
      </c>
      <c r="B8117" s="4" t="s">
        <v>16158</v>
      </c>
      <c r="C8117" s="16" t="str">
        <f>IFERROR(__xludf.DUMMYFUNCTION(""""""""" &amp; REGEXEXTRACT(B8117, ""/detail/([^/?]+)"") &amp; """""","""),"""oocbddhjkohbpgjgaeedmnkhejelialp"",")</f>
        <v>"oocbddhjkohbpgjgaeedmnkhejelialp",</v>
      </c>
    </row>
    <row r="8118">
      <c r="A8118" s="4" t="s">
        <v>27297</v>
      </c>
      <c r="B8118" s="4" t="s">
        <v>16160</v>
      </c>
      <c r="C8118" s="16" t="str">
        <f>IFERROR(__xludf.DUMMYFUNCTION(""""""""" &amp; REGEXEXTRACT(B8118, ""/detail/([^/?]+)"") &amp; """""","""),"""ibfoabadoicmplbdpmchomcagkpmfama"",")</f>
        <v>"ibfoabadoicmplbdpmchomcagkpmfama",</v>
      </c>
    </row>
    <row r="8119">
      <c r="A8119" s="4" t="s">
        <v>27298</v>
      </c>
      <c r="B8119" s="4" t="s">
        <v>16162</v>
      </c>
      <c r="C8119" s="16" t="str">
        <f>IFERROR(__xludf.DUMMYFUNCTION(""""""""" &amp; REGEXEXTRACT(B8119, ""/detail/([^/?]+)"") &amp; """""","""),"""kielfocekgmlnkdpibcedkofgafkkppg"",")</f>
        <v>"kielfocekgmlnkdpibcedkofgafkkppg",</v>
      </c>
    </row>
    <row r="8120">
      <c r="A8120" s="4" t="s">
        <v>27299</v>
      </c>
      <c r="B8120" s="4" t="s">
        <v>16164</v>
      </c>
      <c r="C8120" s="16" t="str">
        <f>IFERROR(__xludf.DUMMYFUNCTION(""""""""" &amp; REGEXEXTRACT(B8120, ""/detail/([^/?]+)"") &amp; """""","""),"""ielmedmaojjcccenembkobaocbikcepl"",")</f>
        <v>"ielmedmaojjcccenembkobaocbikcepl",</v>
      </c>
    </row>
    <row r="8121">
      <c r="A8121" s="4" t="s">
        <v>27300</v>
      </c>
      <c r="B8121" s="4" t="s">
        <v>16166</v>
      </c>
      <c r="C8121" s="16" t="str">
        <f>IFERROR(__xludf.DUMMYFUNCTION(""""""""" &amp; REGEXEXTRACT(B8121, ""/detail/([^/?]+)"") &amp; """""","""),"""kciklomoepmlnofhghfmlnhgolnjackh"",")</f>
        <v>"kciklomoepmlnofhghfmlnhgolnjackh",</v>
      </c>
    </row>
    <row r="8122">
      <c r="A8122" s="4" t="s">
        <v>27301</v>
      </c>
      <c r="B8122" s="4" t="s">
        <v>16168</v>
      </c>
      <c r="C8122" s="16" t="str">
        <f>IFERROR(__xludf.DUMMYFUNCTION(""""""""" &amp; REGEXEXTRACT(B8122, ""/detail/([^/?]+)"") &amp; """""","""),"""nfadnflafdfmekapgcgddbccooagpndk"",")</f>
        <v>"nfadnflafdfmekapgcgddbccooagpndk",</v>
      </c>
    </row>
    <row r="8123">
      <c r="A8123" s="4" t="s">
        <v>27302</v>
      </c>
      <c r="B8123" s="4" t="s">
        <v>16170</v>
      </c>
      <c r="C8123" s="16" t="str">
        <f>IFERROR(__xludf.DUMMYFUNCTION(""""""""" &amp; REGEXEXTRACT(B8123, ""/detail/([^/?]+)"") &amp; """""","""),"""bgceopfkpahkhabbcjegjmanckmmdlde"",")</f>
        <v>"bgceopfkpahkhabbcjegjmanckmmdlde",</v>
      </c>
    </row>
    <row r="8124">
      <c r="A8124" s="10" t="s">
        <v>27303</v>
      </c>
      <c r="B8124" s="4" t="s">
        <v>16172</v>
      </c>
      <c r="C8124" s="16" t="str">
        <f>IFERROR(__xludf.DUMMYFUNCTION(""""""""" &amp; REGEXEXTRACT(B8124, ""/detail/([^/?]+)"") &amp; """""","""),"""epjgogeknnnaanaegbdheeciocdlcknl"",")</f>
        <v>"epjgogeknnnaanaegbdheeciocdlcknl",</v>
      </c>
    </row>
    <row r="8125">
      <c r="A8125" s="4" t="s">
        <v>27304</v>
      </c>
      <c r="B8125" s="4" t="s">
        <v>16174</v>
      </c>
      <c r="C8125" s="16" t="str">
        <f>IFERROR(__xludf.DUMMYFUNCTION(""""""""" &amp; REGEXEXTRACT(B8125, ""/detail/([^/?]+)"") &amp; """""","""),"""folffjepoklmnclkciffhfonkgfikbgf"",")</f>
        <v>"folffjepoklmnclkciffhfonkgfikbgf",</v>
      </c>
    </row>
    <row r="8126">
      <c r="A8126" s="4" t="s">
        <v>27305</v>
      </c>
      <c r="B8126" s="4" t="s">
        <v>16176</v>
      </c>
      <c r="C8126" s="16" t="str">
        <f>IFERROR(__xludf.DUMMYFUNCTION(""""""""" &amp; REGEXEXTRACT(B8126, ""/detail/([^/?]+)"") &amp; """""","""),"""gnfemeofnjpbaigdpammdejmmjhdejih"",")</f>
        <v>"gnfemeofnjpbaigdpammdejmmjhdejih",</v>
      </c>
    </row>
    <row r="8127">
      <c r="A8127" s="4" t="s">
        <v>27306</v>
      </c>
      <c r="B8127" s="4" t="s">
        <v>16178</v>
      </c>
      <c r="C8127" s="16" t="str">
        <f>IFERROR(__xludf.DUMMYFUNCTION(""""""""" &amp; REGEXEXTRACT(B8127, ""/detail/([^/?]+)"") &amp; """""","""),"""hbfhjphklnjcpfindkfbbajlaajkhbnh"",")</f>
        <v>"hbfhjphklnjcpfindkfbbajlaajkhbnh",</v>
      </c>
    </row>
    <row r="8128">
      <c r="A8128" s="4" t="s">
        <v>27307</v>
      </c>
      <c r="B8128" s="4" t="s">
        <v>16180</v>
      </c>
      <c r="C8128" s="16" t="str">
        <f>IFERROR(__xludf.DUMMYFUNCTION(""""""""" &amp; REGEXEXTRACT(B8128, ""/detail/([^/?]+)"") &amp; """""","""),"""jbkelkchcmmkhnhoekdcfbflmabnhpji"",")</f>
        <v>"jbkelkchcmmkhnhoekdcfbflmabnhpji",</v>
      </c>
    </row>
    <row r="8129">
      <c r="A8129" s="4" t="s">
        <v>27308</v>
      </c>
      <c r="B8129" s="4" t="s">
        <v>16182</v>
      </c>
      <c r="C8129" s="16" t="str">
        <f>IFERROR(__xludf.DUMMYFUNCTION(""""""""" &amp; REGEXEXTRACT(B8129, ""/detail/([^/?]+)"") &amp; """""","""),"""jcdnefhhiabcloefaejmgdihedgdeplg"",")</f>
        <v>"jcdnefhhiabcloefaejmgdihedgdeplg",</v>
      </c>
    </row>
    <row r="8130">
      <c r="A8130" s="4" t="s">
        <v>27309</v>
      </c>
      <c r="B8130" s="4" t="s">
        <v>16184</v>
      </c>
      <c r="C8130" s="16" t="str">
        <f>IFERROR(__xludf.DUMMYFUNCTION(""""""""" &amp; REGEXEXTRACT(B8130, ""/detail/([^/?]+)"") &amp; """""","""),"""klknffnahnlkjiohdgngaefninbdlfkg"",")</f>
        <v>"klknffnahnlkjiohdgngaefninbdlfkg",</v>
      </c>
    </row>
    <row r="8131">
      <c r="A8131" s="4" t="s">
        <v>27310</v>
      </c>
      <c r="B8131" s="4" t="s">
        <v>16186</v>
      </c>
      <c r="C8131" s="16" t="str">
        <f>IFERROR(__xludf.DUMMYFUNCTION(""""""""" &amp; REGEXEXTRACT(B8131, ""/detail/([^/?]+)"") &amp; """""","""),"""agfmhdblakkkljpdgpamkbfblikonemn"",")</f>
        <v>"agfmhdblakkkljpdgpamkbfblikonemn",</v>
      </c>
    </row>
    <row r="8132">
      <c r="A8132" s="4" t="s">
        <v>27311</v>
      </c>
      <c r="B8132" s="4" t="s">
        <v>16188</v>
      </c>
      <c r="C8132" s="16" t="str">
        <f>IFERROR(__xludf.DUMMYFUNCTION(""""""""" &amp; REGEXEXTRACT(B8132, ""/detail/([^/?]+)"") &amp; """""","""),"""bnpfaalcobpnjdbkmhmhlchialhgaapm"",")</f>
        <v>"bnpfaalcobpnjdbkmhmhlchialhgaapm",</v>
      </c>
    </row>
    <row r="8133">
      <c r="A8133" s="4" t="s">
        <v>27312</v>
      </c>
      <c r="B8133" s="4" t="s">
        <v>16190</v>
      </c>
      <c r="C8133" s="16" t="str">
        <f>IFERROR(__xludf.DUMMYFUNCTION(""""""""" &amp; REGEXEXTRACT(B8133, ""/detail/([^/?]+)"") &amp; """""","""),"""fcjgbihlfjnhdlgefhdodfpnkilofilb"",")</f>
        <v>"fcjgbihlfjnhdlgefhdodfpnkilofilb",</v>
      </c>
    </row>
    <row r="8134">
      <c r="A8134" s="4" t="s">
        <v>27313</v>
      </c>
      <c r="B8134" s="4" t="s">
        <v>16192</v>
      </c>
      <c r="C8134" s="16" t="str">
        <f>IFERROR(__xludf.DUMMYFUNCTION(""""""""" &amp; REGEXEXTRACT(B8134, ""/detail/([^/?]+)"") &amp; """""","""),"""fdbnpficlmmbjmhmmaklmpggddbljieg"",")</f>
        <v>"fdbnpficlmmbjmhmmaklmpggddbljieg",</v>
      </c>
    </row>
    <row r="8135">
      <c r="A8135" s="10" t="s">
        <v>27314</v>
      </c>
      <c r="B8135" s="4" t="s">
        <v>16194</v>
      </c>
      <c r="C8135" s="16" t="str">
        <f>IFERROR(__xludf.DUMMYFUNCTION(""""""""" &amp; REGEXEXTRACT(B8135, ""/detail/([^/?]+)"") &amp; """""","""),"""feeaojjpfjaggengmoigjlckepbmkane"",")</f>
        <v>"feeaojjpfjaggengmoigjlckepbmkane",</v>
      </c>
    </row>
    <row r="8136">
      <c r="A8136" s="4" t="s">
        <v>27315</v>
      </c>
      <c r="B8136" s="4" t="s">
        <v>16196</v>
      </c>
      <c r="C8136" s="16" t="str">
        <f>IFERROR(__xludf.DUMMYFUNCTION(""""""""" &amp; REGEXEXTRACT(B8136, ""/detail/([^/?]+)"") &amp; """""","""),"""hoeoebicgchngdidmbadgkdiempefcfn"",")</f>
        <v>"hoeoebicgchngdidmbadgkdiempefcfn",</v>
      </c>
    </row>
    <row r="8137">
      <c r="A8137" s="4" t="s">
        <v>27316</v>
      </c>
      <c r="B8137" s="4" t="s">
        <v>16198</v>
      </c>
      <c r="C8137" s="16" t="str">
        <f>IFERROR(__xludf.DUMMYFUNCTION(""""""""" &amp; REGEXEXTRACT(B8137, ""/detail/([^/?]+)"") &amp; """""","""),"""jkgiedeofneodbglnndcejlabknincfp"",")</f>
        <v>"jkgiedeofneodbglnndcejlabknincfp",</v>
      </c>
    </row>
    <row r="8138">
      <c r="A8138" s="4" t="s">
        <v>27317</v>
      </c>
      <c r="B8138" s="4" t="s">
        <v>16200</v>
      </c>
      <c r="C8138" s="16" t="str">
        <f>IFERROR(__xludf.DUMMYFUNCTION(""""""""" &amp; REGEXEXTRACT(B8138, ""/detail/([^/?]+)"") &amp; """""","""),"""llajifecehalipnfbehdcjpappgdjkpf"",")</f>
        <v>"llajifecehalipnfbehdcjpappgdjkpf",</v>
      </c>
    </row>
    <row r="8139">
      <c r="A8139" s="4" t="s">
        <v>27318</v>
      </c>
      <c r="B8139" s="4" t="s">
        <v>16202</v>
      </c>
      <c r="C8139" s="16" t="str">
        <f>IFERROR(__xludf.DUMMYFUNCTION(""""""""" &amp; REGEXEXTRACT(B8139, ""/detail/([^/?]+)"") &amp; """""","""),"""mkalpcklojnhdnaanfbamjgippoijdnf"",")</f>
        <v>"mkalpcklojnhdnaanfbamjgippoijdnf",</v>
      </c>
    </row>
    <row r="8140">
      <c r="A8140" s="4" t="s">
        <v>27319</v>
      </c>
      <c r="B8140" s="4" t="s">
        <v>16204</v>
      </c>
      <c r="C8140" s="16" t="str">
        <f>IFERROR(__xludf.DUMMYFUNCTION(""""""""" &amp; REGEXEXTRACT(B8140, ""/detail/([^/?]+)"") &amp; """""","""),"""pfnkplljjpbbbclllghfeakdlfcldpfj"",")</f>
        <v>"pfnkplljjpbbbclllghfeakdlfcldpfj",</v>
      </c>
    </row>
    <row r="8141">
      <c r="A8141" s="4" t="s">
        <v>27320</v>
      </c>
      <c r="B8141" s="4" t="s">
        <v>16206</v>
      </c>
      <c r="C8141" s="16" t="str">
        <f>IFERROR(__xludf.DUMMYFUNCTION(""""""""" &amp; REGEXEXTRACT(B8141, ""/detail/([^/?]+)"") &amp; """""","""),"""blcmjmbalenihipjodgeebipglnbjjen"",")</f>
        <v>"blcmjmbalenihipjodgeebipglnbjjen",</v>
      </c>
    </row>
    <row r="8142">
      <c r="A8142" s="4" t="s">
        <v>27321</v>
      </c>
      <c r="B8142" s="4" t="s">
        <v>16208</v>
      </c>
      <c r="C8142" s="16" t="str">
        <f>IFERROR(__xludf.DUMMYFUNCTION(""""""""" &amp; REGEXEXTRACT(B8142, ""/detail/([^/?]+)"") &amp; """""","""),"""inicknfojohdbgekdffgcdfiheflpnbh"",")</f>
        <v>"inicknfojohdbgekdffgcdfiheflpnbh",</v>
      </c>
    </row>
    <row r="8143">
      <c r="A8143" s="4" t="s">
        <v>27322</v>
      </c>
      <c r="B8143" s="4" t="s">
        <v>16210</v>
      </c>
      <c r="C8143" s="16" t="str">
        <f>IFERROR(__xludf.DUMMYFUNCTION(""""""""" &amp; REGEXEXTRACT(B8143, ""/detail/([^/?]+)"") &amp; """""","""),"""jagjjmnidiacegfkbbbocegjecfheogj"",")</f>
        <v>"jagjjmnidiacegfkbbbocegjecfheogj",</v>
      </c>
    </row>
    <row r="8144">
      <c r="A8144" s="4" t="s">
        <v>27323</v>
      </c>
      <c r="B8144" s="4" t="s">
        <v>16212</v>
      </c>
      <c r="C8144" s="16" t="str">
        <f>IFERROR(__xludf.DUMMYFUNCTION(""""""""" &amp; REGEXEXTRACT(B8144, ""/detail/([^/?]+)"") &amp; """""","""),"""jdfohafahkdilhehnefganaoechoejng"",")</f>
        <v>"jdfohafahkdilhehnefganaoechoejng",</v>
      </c>
    </row>
    <row r="8145">
      <c r="A8145" s="4" t="s">
        <v>27324</v>
      </c>
      <c r="B8145" s="4" t="s">
        <v>16214</v>
      </c>
      <c r="C8145" s="16" t="str">
        <f>IFERROR(__xludf.DUMMYFUNCTION(""""""""" &amp; REGEXEXTRACT(B8145, ""/detail/([^/?]+)"") &amp; """""","""),"""kgjilocmjkhfhcoelokiomommpihnpep"",")</f>
        <v>"kgjilocmjkhfhcoelokiomommpihnpep",</v>
      </c>
    </row>
    <row r="8146">
      <c r="A8146" s="4" t="s">
        <v>27325</v>
      </c>
      <c r="B8146" s="4" t="s">
        <v>16216</v>
      </c>
      <c r="C8146" s="16" t="str">
        <f>IFERROR(__xludf.DUMMYFUNCTION(""""""""" &amp; REGEXEXTRACT(B8146, ""/detail/([^/?]+)"") &amp; """""","""),"""kpdjoooficdkhfkpmnblbiecdnecefae"",")</f>
        <v>"kpdjoooficdkhfkpmnblbiecdnecefae",</v>
      </c>
    </row>
    <row r="8147">
      <c r="A8147" s="4" t="s">
        <v>27326</v>
      </c>
      <c r="B8147" s="4" t="s">
        <v>16218</v>
      </c>
      <c r="C8147" s="16" t="str">
        <f>IFERROR(__xludf.DUMMYFUNCTION(""""""""" &amp; REGEXEXTRACT(B8147, ""/detail/([^/?]+)"") &amp; """""","""),"""ldfoemphhkpifbmoapiokpfbkgaklemj"",")</f>
        <v>"ldfoemphhkpifbmoapiokpfbkgaklemj",</v>
      </c>
    </row>
    <row r="8148">
      <c r="A8148" s="4" t="s">
        <v>27327</v>
      </c>
      <c r="B8148" s="4" t="s">
        <v>16220</v>
      </c>
      <c r="C8148" s="16" t="str">
        <f>IFERROR(__xludf.DUMMYFUNCTION(""""""""" &amp; REGEXEXTRACT(B8148, ""/detail/([^/?]+)"") &amp; """""","""),"""lgfllfljkpaekhehknpnalicagjllhmn"",")</f>
        <v>"lgfllfljkpaekhehknpnalicagjllhmn",</v>
      </c>
    </row>
    <row r="8149">
      <c r="A8149" s="4" t="s">
        <v>27328</v>
      </c>
      <c r="B8149" s="4" t="s">
        <v>16222</v>
      </c>
      <c r="C8149" s="16" t="str">
        <f>IFERROR(__xludf.DUMMYFUNCTION(""""""""" &amp; REGEXEXTRACT(B8149, ""/detail/([^/?]+)"") &amp; """""","""),"""eglbilcojjagfhgfibibgabkehpbocoa"",")</f>
        <v>"eglbilcojjagfhgfibibgabkehpbocoa",</v>
      </c>
    </row>
    <row r="8150">
      <c r="A8150" s="4" t="s">
        <v>27329</v>
      </c>
      <c r="B8150" s="4" t="s">
        <v>16224</v>
      </c>
      <c r="C8150" s="16" t="str">
        <f>IFERROR(__xludf.DUMMYFUNCTION(""""""""" &amp; REGEXEXTRACT(B8150, ""/detail/([^/?]+)"") &amp; """""","""),"""emicaigjkpfbgljmoalhmmbheakjokhi"",")</f>
        <v>"emicaigjkpfbgljmoalhmmbheakjokhi",</v>
      </c>
    </row>
    <row r="8151">
      <c r="A8151" s="4" t="s">
        <v>27330</v>
      </c>
      <c r="B8151" s="4" t="s">
        <v>16226</v>
      </c>
      <c r="C8151" s="16" t="str">
        <f>IFERROR(__xludf.DUMMYFUNCTION(""""""""" &amp; REGEXEXTRACT(B8151, ""/detail/([^/?]+)"") &amp; """""","""),"""kcpphmaadlipclmhmdgjibnemplidjgh"",")</f>
        <v>"kcpphmaadlipclmhmdgjibnemplidjgh",</v>
      </c>
    </row>
    <row r="8152">
      <c r="A8152" s="4" t="s">
        <v>27331</v>
      </c>
      <c r="B8152" s="4" t="s">
        <v>16228</v>
      </c>
      <c r="C8152" s="16" t="str">
        <f>IFERROR(__xludf.DUMMYFUNCTION(""""""""" &amp; REGEXEXTRACT(B8152, ""/detail/([^/?]+)"") &amp; """""","""),"""mjfipghbahcmkabjkeflpcickedokppl"",")</f>
        <v>"mjfipghbahcmkabjkeflpcickedokppl",</v>
      </c>
    </row>
    <row r="8153">
      <c r="A8153" s="4" t="s">
        <v>27332</v>
      </c>
      <c r="B8153" s="4" t="s">
        <v>16230</v>
      </c>
      <c r="C8153" s="16" t="str">
        <f>IFERROR(__xludf.DUMMYFUNCTION(""""""""" &amp; REGEXEXTRACT(B8153, ""/detail/([^/?]+)"") &amp; """""","""),"""nhnkanophkdcadlfdbmaoeihlbknejkg"",")</f>
        <v>"nhnkanophkdcadlfdbmaoeihlbknejkg",</v>
      </c>
    </row>
    <row r="8154">
      <c r="A8154" s="4" t="s">
        <v>27333</v>
      </c>
      <c r="B8154" s="4" t="s">
        <v>16232</v>
      </c>
      <c r="C8154" s="16" t="str">
        <f>IFERROR(__xludf.DUMMYFUNCTION(""""""""" &amp; REGEXEXTRACT(B8154, ""/detail/([^/?]+)"") &amp; """""","""),"""pipjnidgeelohoapkmdcbkddjjklnofj"",")</f>
        <v>"pipjnidgeelohoapkmdcbkddjjklnofj",</v>
      </c>
    </row>
    <row r="8155">
      <c r="A8155" s="4" t="s">
        <v>27334</v>
      </c>
      <c r="B8155" s="4" t="s">
        <v>16234</v>
      </c>
      <c r="C8155" s="16" t="str">
        <f>IFERROR(__xludf.DUMMYFUNCTION(""""""""" &amp; REGEXEXTRACT(B8155, ""/detail/([^/?]+)"") &amp; """""","""),"""geofimghgjbkgchoennmfmbbmmlljmgn"",")</f>
        <v>"geofimghgjbkgchoennmfmbbmmlljmgn",</v>
      </c>
    </row>
    <row r="8156">
      <c r="A8156" s="4" t="s">
        <v>27335</v>
      </c>
      <c r="B8156" s="4" t="s">
        <v>16236</v>
      </c>
      <c r="C8156" s="16" t="str">
        <f>IFERROR(__xludf.DUMMYFUNCTION(""""""""" &amp; REGEXEXTRACT(B8156, ""/detail/([^/?]+)"") &amp; """""","""),"""ghmjkdfkjmclgnhiipapphippmgdbhhf"",")</f>
        <v>"ghmjkdfkjmclgnhiipapphippmgdbhhf",</v>
      </c>
    </row>
    <row r="8157">
      <c r="A8157" s="4" t="s">
        <v>27336</v>
      </c>
      <c r="B8157" s="4" t="s">
        <v>16238</v>
      </c>
      <c r="C8157" s="16" t="str">
        <f>IFERROR(__xludf.DUMMYFUNCTION(""""""""" &amp; REGEXEXTRACT(B8157, ""/detail/([^/?]+)"") &amp; """""","""),"""hojkciooaohipljgobfikbkjcehockld"",")</f>
        <v>"hojkciooaohipljgobfikbkjcehockld",</v>
      </c>
    </row>
    <row r="8158">
      <c r="A8158" s="4" t="s">
        <v>27337</v>
      </c>
      <c r="B8158" s="4" t="s">
        <v>16240</v>
      </c>
      <c r="C8158" s="16" t="str">
        <f>IFERROR(__xludf.DUMMYFUNCTION(""""""""" &amp; REGEXEXTRACT(B8158, ""/detail/([^/?]+)"") &amp; """""","""),"""iekjpaipocoglamgpjoehfdemffdmami"",")</f>
        <v>"iekjpaipocoglamgpjoehfdemffdmami",</v>
      </c>
    </row>
    <row r="8159">
      <c r="A8159" s="4" t="s">
        <v>27338</v>
      </c>
      <c r="B8159" s="4" t="s">
        <v>16242</v>
      </c>
      <c r="C8159" s="16" t="str">
        <f>IFERROR(__xludf.DUMMYFUNCTION(""""""""" &amp; REGEXEXTRACT(B8159, ""/detail/([^/?]+)"") &amp; """""","""),"""jieapbldippnhiccagafbdbhipaaanei"",")</f>
        <v>"jieapbldippnhiccagafbdbhipaaanei",</v>
      </c>
    </row>
    <row r="8160">
      <c r="A8160" s="4" t="s">
        <v>27339</v>
      </c>
      <c r="B8160" s="4" t="s">
        <v>16244</v>
      </c>
      <c r="C8160" s="16" t="str">
        <f>IFERROR(__xludf.DUMMYFUNCTION(""""""""" &amp; REGEXEXTRACT(B8160, ""/detail/([^/?]+)"") &amp; """""","""),"""pjgjkdkogecobfmmefdiajgggppmcllo"",")</f>
        <v>"pjgjkdkogecobfmmefdiajgggppmcllo",</v>
      </c>
    </row>
    <row r="8161">
      <c r="A8161" s="4" t="s">
        <v>27340</v>
      </c>
      <c r="B8161" s="4" t="s">
        <v>16246</v>
      </c>
      <c r="C8161" s="16" t="str">
        <f>IFERROR(__xludf.DUMMYFUNCTION(""""""""" &amp; REGEXEXTRACT(B8161, ""/detail/([^/?]+)"") &amp; """""","""),"""cdciibllmibdlannjhadoapbdpgeemga"",")</f>
        <v>"cdciibllmibdlannjhadoapbdpgeemga",</v>
      </c>
    </row>
    <row r="8162">
      <c r="A8162" s="4" t="s">
        <v>27341</v>
      </c>
      <c r="B8162" s="4" t="s">
        <v>16248</v>
      </c>
      <c r="C8162" s="16" t="str">
        <f>IFERROR(__xludf.DUMMYFUNCTION(""""""""" &amp; REGEXEXTRACT(B8162, ""/detail/([^/?]+)"") &amp; """""","""),"""hcblijjkmabjdppajebmbmmkjnkflpbl"",")</f>
        <v>"hcblijjkmabjdppajebmbmmkjnkflpbl",</v>
      </c>
    </row>
    <row r="8163">
      <c r="A8163" s="4" t="s">
        <v>27342</v>
      </c>
      <c r="B8163" s="4" t="s">
        <v>16250</v>
      </c>
      <c r="C8163" s="16" t="str">
        <f>IFERROR(__xludf.DUMMYFUNCTION(""""""""" &amp; REGEXEXTRACT(B8163, ""/detail/([^/?]+)"") &amp; """""","""),"""hejmglcpnnbdnlcnmpjpmlnaeahgffej"",")</f>
        <v>"hejmglcpnnbdnlcnmpjpmlnaeahgffej",</v>
      </c>
    </row>
    <row r="8164">
      <c r="A8164" s="4" t="s">
        <v>27343</v>
      </c>
      <c r="B8164" s="4" t="s">
        <v>16252</v>
      </c>
      <c r="C8164" s="16" t="str">
        <f>IFERROR(__xludf.DUMMYFUNCTION(""""""""" &amp; REGEXEXTRACT(B8164, ""/detail/([^/?]+)"") &amp; """""","""),"""jjfjapjnjdoehnmecalfglbaefkmchfk"",")</f>
        <v>"jjfjapjnjdoehnmecalfglbaefkmchfk",</v>
      </c>
    </row>
    <row r="8165">
      <c r="A8165" s="4" t="s">
        <v>27344</v>
      </c>
      <c r="B8165" s="4" t="s">
        <v>16254</v>
      </c>
      <c r="C8165" s="16" t="str">
        <f>IFERROR(__xludf.DUMMYFUNCTION(""""""""" &amp; REGEXEXTRACT(B8165, ""/detail/([^/?]+)"") &amp; """""","""),"""mbglppdnipeddfbnlohekfgedkdoicnn"",")</f>
        <v>"mbglppdnipeddfbnlohekfgedkdoicnn",</v>
      </c>
    </row>
    <row r="8166">
      <c r="A8166" s="4" t="s">
        <v>27345</v>
      </c>
      <c r="B8166" s="4" t="s">
        <v>16256</v>
      </c>
      <c r="C8166" s="16" t="str">
        <f>IFERROR(__xludf.DUMMYFUNCTION(""""""""" &amp; REGEXEXTRACT(B8166, ""/detail/([^/?]+)"") &amp; """""","""),"""pdelfnlllmbfhpleodmhdnghokfkield"",")</f>
        <v>"pdelfnlllmbfhpleodmhdnghokfkield",</v>
      </c>
    </row>
    <row r="8167">
      <c r="A8167" s="4" t="s">
        <v>27346</v>
      </c>
      <c r="B8167" s="4" t="s">
        <v>16258</v>
      </c>
      <c r="C8167" s="16" t="str">
        <f>IFERROR(__xludf.DUMMYFUNCTION(""""""""" &amp; REGEXEXTRACT(B8167, ""/detail/([^/?]+)"") &amp; """""","""),"""cfeomlnnfncblkheeneahgmngbnbiaoi"",")</f>
        <v>"cfeomlnnfncblkheeneahgmngbnbiaoi",</v>
      </c>
    </row>
    <row r="8168">
      <c r="A8168" s="4" t="s">
        <v>27347</v>
      </c>
      <c r="B8168" s="4" t="s">
        <v>16260</v>
      </c>
      <c r="C8168" s="16" t="str">
        <f>IFERROR(__xludf.DUMMYFUNCTION(""""""""" &amp; REGEXEXTRACT(B8168, ""/detail/([^/?]+)"") &amp; """""","""),"""dbjhmpmaehamokkakfmacgjepggojhmo"",")</f>
        <v>"dbjhmpmaehamokkakfmacgjepggojhmo",</v>
      </c>
    </row>
    <row r="8169">
      <c r="A8169" s="4" t="s">
        <v>27348</v>
      </c>
      <c r="B8169" s="4" t="s">
        <v>16262</v>
      </c>
      <c r="C8169" s="16" t="str">
        <f>IFERROR(__xludf.DUMMYFUNCTION(""""""""" &amp; REGEXEXTRACT(B8169, ""/detail/([^/?]+)"") &amp; """""","""),"""jlkcnjddcnmkalophafebfmjkkaakfpc"",")</f>
        <v>"jlkcnjddcnmkalophafebfmjkkaakfpc",</v>
      </c>
    </row>
    <row r="8170">
      <c r="A8170" s="4" t="s">
        <v>27349</v>
      </c>
      <c r="B8170" s="4" t="s">
        <v>16264</v>
      </c>
      <c r="C8170" s="16" t="str">
        <f>IFERROR(__xludf.DUMMYFUNCTION(""""""""" &amp; REGEXEXTRACT(B8170, ""/detail/([^/?]+)"") &amp; """""","""),"""njlnbpgjgdaaadeefkahpaobdnbanckh"",")</f>
        <v>"njlnbpgjgdaaadeefkahpaobdnbanckh",</v>
      </c>
    </row>
    <row r="8171">
      <c r="A8171" s="4" t="s">
        <v>27350</v>
      </c>
      <c r="B8171" s="4" t="s">
        <v>16266</v>
      </c>
      <c r="C8171" s="16" t="str">
        <f>IFERROR(__xludf.DUMMYFUNCTION(""""""""" &amp; REGEXEXTRACT(B8171, ""/detail/([^/?]+)"") &amp; """""","""),"""offdcbgibomkmdeeklddjajjpfngbffh"",")</f>
        <v>"offdcbgibomkmdeeklddjajjpfngbffh",</v>
      </c>
    </row>
    <row r="8172">
      <c r="A8172" s="4" t="s">
        <v>27351</v>
      </c>
      <c r="B8172" s="4" t="s">
        <v>16268</v>
      </c>
      <c r="C8172" s="16" t="str">
        <f>IFERROR(__xludf.DUMMYFUNCTION(""""""""" &amp; REGEXEXTRACT(B8172, ""/detail/([^/?]+)"") &amp; """""","""),"""dfhebacjiehcfaniioabpmgfbifobgia"",")</f>
        <v>"dfhebacjiehcfaniioabpmgfbifobgia",</v>
      </c>
    </row>
    <row r="8173">
      <c r="A8173" s="4" t="s">
        <v>27352</v>
      </c>
      <c r="B8173" s="4" t="s">
        <v>16270</v>
      </c>
      <c r="C8173" s="16" t="str">
        <f>IFERROR(__xludf.DUMMYFUNCTION(""""""""" &amp; REGEXEXTRACT(B8173, ""/detail/([^/?]+)"") &amp; """""","""),"""diekjndigniigjbokhfjbocibncchbpi"",")</f>
        <v>"diekjndigniigjbokhfjbocibncchbpi",</v>
      </c>
    </row>
    <row r="8174">
      <c r="A8174" s="4" t="s">
        <v>27353</v>
      </c>
      <c r="B8174" s="4" t="s">
        <v>16272</v>
      </c>
      <c r="C8174" s="16" t="str">
        <f>IFERROR(__xludf.DUMMYFUNCTION(""""""""" &amp; REGEXEXTRACT(B8174, ""/detail/([^/?]+)"") &amp; """""","""),"""ffhffkeoooocikeclopcedglnjhoddfj"",")</f>
        <v>"ffhffkeoooocikeclopcedglnjhoddfj",</v>
      </c>
    </row>
    <row r="8175">
      <c r="A8175" s="4" t="s">
        <v>27354</v>
      </c>
      <c r="B8175" s="4" t="s">
        <v>16274</v>
      </c>
      <c r="C8175" s="16" t="str">
        <f>IFERROR(__xludf.DUMMYFUNCTION(""""""""" &amp; REGEXEXTRACT(B8175, ""/detail/([^/?]+)"") &amp; """""","""),"""jlidieenmdoobegfmnmeogammjjgcdal"",")</f>
        <v>"jlidieenmdoobegfmnmeogammjjgcdal",</v>
      </c>
    </row>
    <row r="8176">
      <c r="A8176" s="4" t="s">
        <v>27355</v>
      </c>
      <c r="B8176" s="4" t="s">
        <v>16276</v>
      </c>
      <c r="C8176" s="16" t="str">
        <f>IFERROR(__xludf.DUMMYFUNCTION(""""""""" &amp; REGEXEXTRACT(B8176, ""/detail/([^/?]+)"") &amp; """""","""),"""lkcicaigapaemfihekdebhinojkommab"",")</f>
        <v>"lkcicaigapaemfihekdebhinojkommab",</v>
      </c>
    </row>
    <row r="8177">
      <c r="A8177" s="4" t="s">
        <v>27356</v>
      </c>
      <c r="B8177" s="4" t="s">
        <v>16278</v>
      </c>
      <c r="C8177" s="16" t="str">
        <f>IFERROR(__xludf.DUMMYFUNCTION(""""""""" &amp; REGEXEXTRACT(B8177, ""/detail/([^/?]+)"") &amp; """""","""),"""nmpmaifgfbegmbnmmekiegcfkhpdibcc"",")</f>
        <v>"nmpmaifgfbegmbnmmekiegcfkhpdibcc",</v>
      </c>
    </row>
    <row r="8178">
      <c r="A8178" s="4" t="s">
        <v>27357</v>
      </c>
      <c r="B8178" s="4" t="s">
        <v>16280</v>
      </c>
      <c r="C8178" s="16" t="str">
        <f>IFERROR(__xludf.DUMMYFUNCTION(""""""""" &amp; REGEXEXTRACT(B8178, ""/detail/([^/?]+)"") &amp; """""","""),"""oodpgglcmckddcmghkdfdfoepibmgigp"",")</f>
        <v>"oodpgglcmckddcmghkdfdfoepibmgigp",</v>
      </c>
    </row>
    <row r="8179">
      <c r="A8179" s="4" t="s">
        <v>27358</v>
      </c>
      <c r="B8179" s="4" t="s">
        <v>16282</v>
      </c>
      <c r="C8179" s="16" t="str">
        <f>IFERROR(__xludf.DUMMYFUNCTION(""""""""" &amp; REGEXEXTRACT(B8179, ""/detail/([^/?]+)"") &amp; """""","""),"""geneoacljdknpjlgnlcnhipjgigolpih"",")</f>
        <v>"geneoacljdknpjlgnlcnhipjgigolpih",</v>
      </c>
    </row>
    <row r="8180">
      <c r="A8180" s="4" t="s">
        <v>27359</v>
      </c>
      <c r="B8180" s="4" t="s">
        <v>16284</v>
      </c>
      <c r="C8180" s="16" t="str">
        <f>IFERROR(__xludf.DUMMYFUNCTION(""""""""" &amp; REGEXEXTRACT(B8180, ""/detail/([^/?]+)"") &amp; """""","""),"""hlcbdlnnolgaenfoddgdlmgjflcapbba"",")</f>
        <v>"hlcbdlnnolgaenfoddgdlmgjflcapbba",</v>
      </c>
    </row>
    <row r="8181">
      <c r="A8181" s="4" t="s">
        <v>27360</v>
      </c>
      <c r="B8181" s="4" t="s">
        <v>16286</v>
      </c>
      <c r="C8181" s="16" t="str">
        <f>IFERROR(__xludf.DUMMYFUNCTION(""""""""" &amp; REGEXEXTRACT(B8181, ""/detail/([^/?]+)"") &amp; """""","""),"""hplkfmjhkdpbiekddokeabgcbpoffoee"",")</f>
        <v>"hplkfmjhkdpbiekddokeabgcbpoffoee",</v>
      </c>
    </row>
    <row r="8182">
      <c r="A8182" s="4" t="s">
        <v>27361</v>
      </c>
      <c r="B8182" s="4" t="s">
        <v>16288</v>
      </c>
      <c r="C8182" s="16" t="str">
        <f>IFERROR(__xludf.DUMMYFUNCTION(""""""""" &amp; REGEXEXTRACT(B8182, ""/detail/([^/?]+)"") &amp; """""","""),"""ibidcmokfddpkgdoobeihkfnajmodlkp"",")</f>
        <v>"ibidcmokfddpkgdoobeihkfnajmodlkp",</v>
      </c>
    </row>
    <row r="8183">
      <c r="A8183" s="4" t="s">
        <v>27362</v>
      </c>
      <c r="B8183" s="4" t="s">
        <v>16290</v>
      </c>
      <c r="C8183" s="16" t="str">
        <f>IFERROR(__xludf.DUMMYFUNCTION(""""""""" &amp; REGEXEXTRACT(B8183, ""/detail/([^/?]+)"") &amp; """""","""),"""fcjjacbofbieoieobmddaheodhjoopcf"",")</f>
        <v>"fcjjacbofbieoieobmddaheodhjoopcf",</v>
      </c>
    </row>
    <row r="8184">
      <c r="A8184" s="4" t="s">
        <v>27363</v>
      </c>
      <c r="B8184" s="4" t="s">
        <v>16292</v>
      </c>
      <c r="C8184" s="16" t="str">
        <f>IFERROR(__xludf.DUMMYFUNCTION(""""""""" &amp; REGEXEXTRACT(B8184, ""/detail/([^/?]+)"") &amp; """""","""),"""gbcjheigkcdigiimkgieconajpngcako"",")</f>
        <v>"gbcjheigkcdigiimkgieconajpngcako",</v>
      </c>
    </row>
    <row r="8185">
      <c r="A8185" s="4" t="s">
        <v>27364</v>
      </c>
      <c r="B8185" s="4" t="s">
        <v>16294</v>
      </c>
      <c r="C8185" s="16" t="str">
        <f>IFERROR(__xludf.DUMMYFUNCTION(""""""""" &amp; REGEXEXTRACT(B8185, ""/detail/([^/?]+)"") &amp; """""","""),"""mmlhfcfeedemkppodgcilbhfhjcijijg"",")</f>
        <v>"mmlhfcfeedemkppodgcilbhfhjcijijg",</v>
      </c>
    </row>
    <row r="8186">
      <c r="A8186" s="4" t="s">
        <v>27365</v>
      </c>
      <c r="B8186" s="4" t="s">
        <v>16295</v>
      </c>
      <c r="C8186" s="16" t="str">
        <f>IFERROR(__xludf.DUMMYFUNCTION(""""""""" &amp; REGEXEXTRACT(B8186, ""/detail/([^/?]+)"") &amp; """""","""),"""ncjaameocjfjjnjcijikhkhifncjijhn"",")</f>
        <v>"ncjaameocjfjjnjcijikhkhifncjijhn",</v>
      </c>
    </row>
    <row r="8187">
      <c r="A8187" s="4" t="s">
        <v>27366</v>
      </c>
      <c r="B8187" s="4" t="s">
        <v>16297</v>
      </c>
      <c r="C8187" s="16" t="str">
        <f>IFERROR(__xludf.DUMMYFUNCTION(""""""""" &amp; REGEXEXTRACT(B8187, ""/detail/([^/?]+)"") &amp; """""","""),"""acpadffhaelioakobdjgobbfpbmlenag"",")</f>
        <v>"acpadffhaelioakobdjgobbfpbmlenag",</v>
      </c>
    </row>
    <row r="8188">
      <c r="A8188" s="4" t="s">
        <v>27367</v>
      </c>
      <c r="B8188" s="4" t="s">
        <v>16299</v>
      </c>
      <c r="C8188" s="16" t="str">
        <f>IFERROR(__xludf.DUMMYFUNCTION(""""""""" &amp; REGEXEXTRACT(B8188, ""/detail/([^/?]+)"") &amp; """""","""),"""eldafhhjhnfgkhpnicalopgocdbehkgj"",")</f>
        <v>"eldafhhjhnfgkhpnicalopgocdbehkgj",</v>
      </c>
    </row>
    <row r="8189">
      <c r="A8189" s="4" t="s">
        <v>27368</v>
      </c>
      <c r="B8189" s="4" t="s">
        <v>16301</v>
      </c>
      <c r="C8189" s="16" t="str">
        <f>IFERROR(__xludf.DUMMYFUNCTION(""""""""" &amp; REGEXEXTRACT(B8189, ""/detail/([^/?]+)"") &amp; """""","""),"""fkcfecmfcfmealjioddcpgghpmdgbeag"",")</f>
        <v>"fkcfecmfcfmealjioddcpgghpmdgbeag",</v>
      </c>
    </row>
    <row r="8190">
      <c r="A8190" s="4" t="s">
        <v>27369</v>
      </c>
      <c r="B8190" s="4" t="s">
        <v>16303</v>
      </c>
      <c r="C8190" s="16" t="str">
        <f>IFERROR(__xludf.DUMMYFUNCTION(""""""""" &amp; REGEXEXTRACT(B8190, ""/detail/([^/?]+)"") &amp; """""","""),"""hicbofonjfochofgicgpmmdlbaddmacb"",")</f>
        <v>"hicbofonjfochofgicgpmmdlbaddmacb",</v>
      </c>
    </row>
    <row r="8191">
      <c r="A8191" s="4" t="s">
        <v>27370</v>
      </c>
      <c r="B8191" s="4" t="s">
        <v>16305</v>
      </c>
      <c r="C8191" s="16" t="str">
        <f>IFERROR(__xludf.DUMMYFUNCTION(""""""""" &amp; REGEXEXTRACT(B8191, ""/detail/([^/?]+)"") &amp; """""","""),"""oifhpkdmngmgaemkbjalbbgnminihhai"",")</f>
        <v>"oifhpkdmngmgaemkbjalbbgnminihhai",</v>
      </c>
    </row>
    <row r="8192">
      <c r="A8192" s="4" t="s">
        <v>27371</v>
      </c>
      <c r="B8192" s="4" t="s">
        <v>16307</v>
      </c>
      <c r="C8192" s="16" t="str">
        <f>IFERROR(__xludf.DUMMYFUNCTION(""""""""" &amp; REGEXEXTRACT(B8192, ""/detail/([^/?]+)"") &amp; """""","""),"""pjkjdnlpbfcociacjalpklkpebephmha"",")</f>
        <v>"pjkjdnlpbfcociacjalpklkpebephmha",</v>
      </c>
    </row>
    <row r="8193">
      <c r="A8193" s="4" t="s">
        <v>27372</v>
      </c>
      <c r="B8193" s="4" t="s">
        <v>16309</v>
      </c>
      <c r="C8193" s="16" t="str">
        <f>IFERROR(__xludf.DUMMYFUNCTION(""""""""" &amp; REGEXEXTRACT(B8193, ""/detail/([^/?]+)"") &amp; """""","""),"""amchhjaeingdimeejiicfkmingnanlbk"",")</f>
        <v>"amchhjaeingdimeejiicfkmingnanlbk",</v>
      </c>
    </row>
    <row r="8194">
      <c r="A8194" s="4" t="s">
        <v>27373</v>
      </c>
      <c r="B8194" s="4" t="s">
        <v>16311</v>
      </c>
      <c r="C8194" s="16" t="str">
        <f>IFERROR(__xludf.DUMMYFUNCTION(""""""""" &amp; REGEXEXTRACT(B8194, ""/detail/([^/?]+)"") &amp; """""","""),"""bjkankegappneledmkoephpodobfmlhh"",")</f>
        <v>"bjkankegappneledmkoephpodobfmlhh",</v>
      </c>
    </row>
    <row r="8195">
      <c r="A8195" s="4" t="s">
        <v>27374</v>
      </c>
      <c r="B8195" s="4" t="s">
        <v>16313</v>
      </c>
      <c r="C8195" s="16" t="str">
        <f>IFERROR(__xludf.DUMMYFUNCTION(""""""""" &amp; REGEXEXTRACT(B8195, ""/detail/([^/?]+)"") &amp; """""","""),"""efojmcondicmmlepieoficobmdnpnfmd"",")</f>
        <v>"efojmcondicmmlepieoficobmdnpnfmd",</v>
      </c>
    </row>
    <row r="8196">
      <c r="A8196" s="4" t="s">
        <v>27375</v>
      </c>
      <c r="B8196" s="4" t="s">
        <v>16315</v>
      </c>
      <c r="C8196" s="16" t="str">
        <f>IFERROR(__xludf.DUMMYFUNCTION(""""""""" &amp; REGEXEXTRACT(B8196, ""/detail/([^/?]+)"") &amp; """""","""),"""eoojmaeimppffbibicnechhihkcjcmnl"",")</f>
        <v>"eoojmaeimppffbibicnechhihkcjcmnl",</v>
      </c>
    </row>
    <row r="8197">
      <c r="A8197" s="4" t="s">
        <v>27376</v>
      </c>
      <c r="B8197" s="4" t="s">
        <v>16317</v>
      </c>
      <c r="C8197" s="16" t="str">
        <f>IFERROR(__xludf.DUMMYFUNCTION(""""""""" &amp; REGEXEXTRACT(B8197, ""/detail/([^/?]+)"") &amp; """""","""),"""fajfnhakabcehaonmijifmlnlogbpaoa"",")</f>
        <v>"fajfnhakabcehaonmijifmlnlogbpaoa",</v>
      </c>
    </row>
    <row r="8198">
      <c r="A8198" s="4" t="s">
        <v>27377</v>
      </c>
      <c r="B8198" s="4" t="s">
        <v>16319</v>
      </c>
      <c r="C8198" s="16" t="str">
        <f>IFERROR(__xludf.DUMMYFUNCTION(""""""""" &amp; REGEXEXTRACT(B8198, ""/detail/([^/?]+)"") &amp; """""","""),"""fjnhgpnnokcbcfbopenblmpncpaljfbk"",")</f>
        <v>"fjnhgpnnokcbcfbopenblmpncpaljfbk",</v>
      </c>
    </row>
    <row r="8199">
      <c r="A8199" s="4" t="s">
        <v>27378</v>
      </c>
      <c r="B8199" s="4" t="s">
        <v>16321</v>
      </c>
      <c r="C8199" s="16" t="str">
        <f>IFERROR(__xludf.DUMMYFUNCTION(""""""""" &amp; REGEXEXTRACT(B8199, ""/detail/([^/?]+)"") &amp; """""","""),"""jcaebomgnpplnkgdbgeiifjafbclkiam"",")</f>
        <v>"jcaebomgnpplnkgdbgeiifjafbclkiam",</v>
      </c>
    </row>
    <row r="8200">
      <c r="A8200" s="4" t="s">
        <v>27379</v>
      </c>
      <c r="B8200" s="4" t="s">
        <v>16323</v>
      </c>
      <c r="C8200" s="16" t="str">
        <f>IFERROR(__xludf.DUMMYFUNCTION(""""""""" &amp; REGEXEXTRACT(B8200, ""/detail/([^/?]+)"") &amp; """""","""),"""jjpifadanikcmofdfjlifpaehhhpgjap"",")</f>
        <v>"jjpifadanikcmofdfjlifpaehhhpgjap",</v>
      </c>
    </row>
    <row r="8201">
      <c r="A8201" s="4" t="s">
        <v>27380</v>
      </c>
      <c r="B8201" s="4" t="s">
        <v>16325</v>
      </c>
      <c r="C8201" s="16" t="str">
        <f>IFERROR(__xludf.DUMMYFUNCTION(""""""""" &amp; REGEXEXTRACT(B8201, ""/detail/([^/?]+)"") &amp; """""","""),"""lpoljgbmkbhhdpihhcfpkekfncjibobh"",")</f>
        <v>"lpoljgbmkbhhdpihhcfpkekfncjibobh",</v>
      </c>
    </row>
    <row r="8202">
      <c r="A8202" s="4" t="s">
        <v>27381</v>
      </c>
      <c r="B8202" s="4" t="s">
        <v>16327</v>
      </c>
      <c r="C8202" s="16" t="str">
        <f>IFERROR(__xludf.DUMMYFUNCTION(""""""""" &amp; REGEXEXTRACT(B8202, ""/detail/([^/?]+)"") &amp; """""","""),"""mcmandlkgdpmhpaebifnnepgokcjncej"",")</f>
        <v>"mcmandlkgdpmhpaebifnnepgokcjncej",</v>
      </c>
    </row>
    <row r="8203">
      <c r="A8203" s="4" t="s">
        <v>27382</v>
      </c>
      <c r="B8203" s="4" t="s">
        <v>16329</v>
      </c>
      <c r="C8203" s="16" t="str">
        <f>IFERROR(__xludf.DUMMYFUNCTION(""""""""" &amp; REGEXEXTRACT(B8203, ""/detail/([^/?]+)"") &amp; """""","""),"""aaiicdnkfldglpocbdlihoepjfkjplda"",")</f>
        <v>"aaiicdnkfldglpocbdlihoepjfkjplda",</v>
      </c>
    </row>
    <row r="8204">
      <c r="A8204" s="4" t="s">
        <v>27383</v>
      </c>
      <c r="B8204" s="4" t="s">
        <v>16331</v>
      </c>
      <c r="C8204" s="16" t="str">
        <f>IFERROR(__xludf.DUMMYFUNCTION(""""""""" &amp; REGEXEXTRACT(B8204, ""/detail/([^/?]+)"") &amp; """""","""),"""acmbhgeienaechckfgjhngddbklhnknh"",")</f>
        <v>"acmbhgeienaechckfgjhngddbklhnknh",</v>
      </c>
    </row>
    <row r="8205">
      <c r="A8205" s="4" t="s">
        <v>27384</v>
      </c>
      <c r="B8205" s="4" t="s">
        <v>16333</v>
      </c>
      <c r="C8205" s="16" t="str">
        <f>IFERROR(__xludf.DUMMYFUNCTION(""""""""" &amp; REGEXEXTRACT(B8205, ""/detail/([^/?]+)"") &amp; """""","""),"""ahibdmbefdankgpmmkdnkmlfbmkjgphi"",")</f>
        <v>"ahibdmbefdankgpmmkdnkmlfbmkjgphi",</v>
      </c>
    </row>
    <row r="8206">
      <c r="A8206" s="4" t="s">
        <v>27385</v>
      </c>
      <c r="B8206" s="4" t="s">
        <v>16335</v>
      </c>
      <c r="C8206" s="16" t="str">
        <f>IFERROR(__xludf.DUMMYFUNCTION(""""""""" &amp; REGEXEXTRACT(B8206, ""/detail/([^/?]+)"") &amp; """""","""),"""clmgdfgfndcfofkeefailmkhhimbaknk"",")</f>
        <v>"clmgdfgfndcfofkeefailmkhhimbaknk",</v>
      </c>
    </row>
    <row r="8207">
      <c r="A8207" s="4" t="s">
        <v>27386</v>
      </c>
      <c r="B8207" s="4" t="s">
        <v>16337</v>
      </c>
      <c r="C8207" s="16" t="str">
        <f>IFERROR(__xludf.DUMMYFUNCTION(""""""""" &amp; REGEXEXTRACT(B8207, ""/detail/([^/?]+)"") &amp; """""","""),"""japafjdhbmaapfhklkppbigmkioikboe"",")</f>
        <v>"japafjdhbmaapfhklkppbigmkioikboe",</v>
      </c>
    </row>
    <row r="8208">
      <c r="A8208" s="4" t="s">
        <v>27387</v>
      </c>
      <c r="B8208" s="4" t="s">
        <v>16339</v>
      </c>
      <c r="C8208" s="16" t="str">
        <f>IFERROR(__xludf.DUMMYFUNCTION(""""""""" &amp; REGEXEXTRACT(B8208, ""/detail/([^/?]+)"") &amp; """""","""),"""npedoklkaclmikfmkpdlangkhljgmhni"",")</f>
        <v>"npedoklkaclmikfmkpdlangkhljgmhni",</v>
      </c>
    </row>
    <row r="8209">
      <c r="A8209" s="4" t="s">
        <v>27388</v>
      </c>
      <c r="B8209" s="4" t="s">
        <v>16341</v>
      </c>
      <c r="C8209" s="16" t="str">
        <f>IFERROR(__xludf.DUMMYFUNCTION(""""""""" &amp; REGEXEXTRACT(B8209, ""/detail/([^/?]+)"") &amp; """""","""),"""aipkghikndfblkikafmbahbekkhmppia"",")</f>
        <v>"aipkghikndfblkikafmbahbekkhmppia",</v>
      </c>
    </row>
    <row r="8210">
      <c r="A8210" s="4" t="s">
        <v>27389</v>
      </c>
      <c r="B8210" s="4" t="s">
        <v>16343</v>
      </c>
      <c r="C8210" s="16" t="str">
        <f>IFERROR(__xludf.DUMMYFUNCTION(""""""""" &amp; REGEXEXTRACT(B8210, ""/detail/([^/?]+)"") &amp; """""","""),"""hlpbijgcoogekkgnaplmgcgekbkehiij"",")</f>
        <v>"hlpbijgcoogekkgnaplmgcgekbkehiij",</v>
      </c>
    </row>
    <row r="8211">
      <c r="A8211" s="4" t="s">
        <v>27390</v>
      </c>
      <c r="B8211" s="4" t="s">
        <v>16345</v>
      </c>
      <c r="C8211" s="16" t="str">
        <f>IFERROR(__xludf.DUMMYFUNCTION(""""""""" &amp; REGEXEXTRACT(B8211, ""/detail/([^/?]+)"") &amp; """""","""),"""hpoambpogelfpboinoffjcdceokjmdjo"",")</f>
        <v>"hpoambpogelfpboinoffjcdceokjmdjo",</v>
      </c>
    </row>
    <row r="8212">
      <c r="A8212" s="4" t="s">
        <v>27391</v>
      </c>
      <c r="B8212" s="4" t="s">
        <v>16347</v>
      </c>
      <c r="C8212" s="16" t="str">
        <f>IFERROR(__xludf.DUMMYFUNCTION(""""""""" &amp; REGEXEXTRACT(B8212, ""/detail/([^/?]+)"") &amp; """""","""),"""ihfhbddglfpbodgoalhmljdneofejjnd"",")</f>
        <v>"ihfhbddglfpbodgoalhmljdneofejjnd",</v>
      </c>
    </row>
    <row r="8213">
      <c r="A8213" s="4" t="s">
        <v>27392</v>
      </c>
      <c r="B8213" s="4" t="s">
        <v>16349</v>
      </c>
      <c r="C8213" s="16" t="str">
        <f>IFERROR(__xludf.DUMMYFUNCTION(""""""""" &amp; REGEXEXTRACT(B8213, ""/detail/([^/?]+)"") &amp; """""","""),"""bdjjepigjagkbbkeajennkhnpaejbgdi"",")</f>
        <v>"bdjjepigjagkbbkeajennkhnpaejbgdi",</v>
      </c>
    </row>
    <row r="8214">
      <c r="A8214" s="4" t="s">
        <v>27393</v>
      </c>
      <c r="B8214" s="4" t="s">
        <v>16351</v>
      </c>
      <c r="C8214" s="16" t="str">
        <f>IFERROR(__xludf.DUMMYFUNCTION(""""""""" &amp; REGEXEXTRACT(B8214, ""/detail/([^/?]+)"") &amp; """""","""),"""gpodigoepmcbgcmimpabobkhifnjpile"",")</f>
        <v>"gpodigoepmcbgcmimpabobkhifnjpile",</v>
      </c>
    </row>
    <row r="8215">
      <c r="A8215" s="4" t="s">
        <v>27394</v>
      </c>
      <c r="B8215" s="4" t="s">
        <v>16353</v>
      </c>
      <c r="C8215" s="16" t="str">
        <f>IFERROR(__xludf.DUMMYFUNCTION(""""""""" &amp; REGEXEXTRACT(B8215, ""/detail/([^/?]+)"") &amp; """""","""),"""hecncknibnmjplflipbjpikmajllbeci"",")</f>
        <v>"hecncknibnmjplflipbjpikmajllbeci",</v>
      </c>
    </row>
    <row r="8216">
      <c r="A8216" s="4" t="s">
        <v>27395</v>
      </c>
      <c r="B8216" s="4" t="s">
        <v>16355</v>
      </c>
      <c r="C8216" s="16" t="str">
        <f>IFERROR(__xludf.DUMMYFUNCTION(""""""""" &amp; REGEXEXTRACT(B8216, ""/detail/([^/?]+)"") &amp; """""","""),"""laakljikklodjldfnanikoefcpbjhodj"",")</f>
        <v>"laakljikklodjldfnanikoefcpbjhodj",</v>
      </c>
    </row>
    <row r="8217">
      <c r="A8217" s="4" t="s">
        <v>27396</v>
      </c>
      <c r="B8217" s="4" t="s">
        <v>16357</v>
      </c>
      <c r="C8217" s="16" t="str">
        <f>IFERROR(__xludf.DUMMYFUNCTION(""""""""" &amp; REGEXEXTRACT(B8217, ""/detail/([^/?]+)"") &amp; """""","""),"""mgfjbmhhphmndapijdlgaifinndnhcbe"",")</f>
        <v>"mgfjbmhhphmndapijdlgaifinndnhcbe",</v>
      </c>
    </row>
    <row r="8218">
      <c r="A8218" s="4" t="s">
        <v>27397</v>
      </c>
      <c r="B8218" s="4" t="s">
        <v>16359</v>
      </c>
      <c r="C8218" s="16" t="str">
        <f>IFERROR(__xludf.DUMMYFUNCTION(""""""""" &amp; REGEXEXTRACT(B8218, ""/detail/([^/?]+)"") &amp; """""","""),"""mlkbifdobkhikfmhopopgdfikiilbhio"",")</f>
        <v>"mlkbifdobkhikfmhopopgdfikiilbhio",</v>
      </c>
    </row>
    <row r="8219">
      <c r="A8219" s="4" t="s">
        <v>27398</v>
      </c>
      <c r="B8219" s="4" t="s">
        <v>16361</v>
      </c>
      <c r="C8219" s="16" t="str">
        <f>IFERROR(__xludf.DUMMYFUNCTION(""""""""" &amp; REGEXEXTRACT(B8219, ""/detail/([^/?]+)"") &amp; """""","""),"""jlgpobagnemgpoddgcnckpgmcccnkfkd"",")</f>
        <v>"jlgpobagnemgpoddgcnckpgmcccnkfkd",</v>
      </c>
    </row>
    <row r="8220">
      <c r="A8220" s="4" t="s">
        <v>27399</v>
      </c>
      <c r="B8220" s="4" t="s">
        <v>16363</v>
      </c>
      <c r="C8220" s="16" t="str">
        <f>IFERROR(__xludf.DUMMYFUNCTION(""""""""" &amp; REGEXEXTRACT(B8220, ""/detail/([^/?]+)"") &amp; """""","""),"""jmhdcnmfkglikfjafdmdikoonedgijpa"",")</f>
        <v>"jmhdcnmfkglikfjafdmdikoonedgijpa",</v>
      </c>
    </row>
    <row r="8221">
      <c r="A8221" s="4" t="s">
        <v>27400</v>
      </c>
      <c r="B8221" s="4" t="s">
        <v>16365</v>
      </c>
      <c r="C8221" s="16" t="str">
        <f>IFERROR(__xludf.DUMMYFUNCTION(""""""""" &amp; REGEXEXTRACT(B8221, ""/detail/([^/?]+)"") &amp; """""","""),"""nepfndlkgainkkigfhdiopmhbbccpcao"",")</f>
        <v>"nepfndlkgainkkigfhdiopmhbbccpcao",</v>
      </c>
    </row>
    <row r="8222">
      <c r="A8222" s="4" t="s">
        <v>27401</v>
      </c>
      <c r="B8222" s="4" t="s">
        <v>16367</v>
      </c>
      <c r="C8222" s="16" t="str">
        <f>IFERROR(__xludf.DUMMYFUNCTION(""""""""" &amp; REGEXEXTRACT(B8222, ""/detail/([^/?]+)"") &amp; """""","""),"""bcddlnpbfpldhhgpjkoedhcnjchldcff"",")</f>
        <v>"bcddlnpbfpldhhgpjkoedhcnjchldcff",</v>
      </c>
    </row>
    <row r="8223">
      <c r="A8223" s="4" t="s">
        <v>27402</v>
      </c>
      <c r="B8223" s="4" t="s">
        <v>16369</v>
      </c>
      <c r="C8223" s="16" t="str">
        <f>IFERROR(__xludf.DUMMYFUNCTION(""""""""" &amp; REGEXEXTRACT(B8223, ""/detail/([^/?]+)"") &amp; """""","""),"""eekommagmgepaafaaegimeldlnnnolgn"",")</f>
        <v>"eekommagmgepaafaaegimeldlnnnolgn",</v>
      </c>
    </row>
    <row r="8224">
      <c r="A8224" s="4" t="s">
        <v>27403</v>
      </c>
      <c r="B8224" s="4" t="s">
        <v>16371</v>
      </c>
      <c r="C8224" s="16" t="str">
        <f>IFERROR(__xludf.DUMMYFUNCTION(""""""""" &amp; REGEXEXTRACT(B8224, ""/detail/([^/?]+)"") &amp; """""","""),"""gnejflagnhkhfalcogkkcpejgkiflibf"",")</f>
        <v>"gnejflagnhkhfalcogkkcpejgkiflibf",</v>
      </c>
    </row>
    <row r="8225">
      <c r="A8225" s="4" t="s">
        <v>27404</v>
      </c>
      <c r="B8225" s="4" t="s">
        <v>16373</v>
      </c>
      <c r="C8225" s="16" t="str">
        <f>IFERROR(__xludf.DUMMYFUNCTION(""""""""" &amp; REGEXEXTRACT(B8225, ""/detail/([^/?]+)"") &amp; """""","""),"""iajclipdhicfdjbfffmgepcbipoacmfh"",")</f>
        <v>"iajclipdhicfdjbfffmgepcbipoacmfh",</v>
      </c>
    </row>
    <row r="8226">
      <c r="A8226" s="4" t="s">
        <v>27405</v>
      </c>
      <c r="B8226" s="4" t="s">
        <v>16375</v>
      </c>
      <c r="C8226" s="16" t="str">
        <f>IFERROR(__xludf.DUMMYFUNCTION(""""""""" &amp; REGEXEXTRACT(B8226, ""/detail/([^/?]+)"") &amp; """""","""),"""jgjaffakgllihecdbmikjkkpkkoincne"",")</f>
        <v>"jgjaffakgllihecdbmikjkkpkkoincne",</v>
      </c>
    </row>
    <row r="8227">
      <c r="A8227" s="4" t="s">
        <v>27406</v>
      </c>
      <c r="B8227" s="4" t="s">
        <v>16377</v>
      </c>
      <c r="C8227" s="16" t="str">
        <f>IFERROR(__xludf.DUMMYFUNCTION(""""""""" &amp; REGEXEXTRACT(B8227, ""/detail/([^/?]+)"") &amp; """""","""),"""nchdoajnpindhpopdjhlapbdanbbfneo"",")</f>
        <v>"nchdoajnpindhpopdjhlapbdanbbfneo",</v>
      </c>
    </row>
    <row r="8228">
      <c r="A8228" s="4" t="s">
        <v>27407</v>
      </c>
      <c r="B8228" s="4" t="s">
        <v>16379</v>
      </c>
      <c r="C8228" s="16" t="str">
        <f>IFERROR(__xludf.DUMMYFUNCTION(""""""""" &amp; REGEXEXTRACT(B8228, ""/detail/([^/?]+)"") &amp; """""","""),"""nfbnikpgcldgbpmpckhcajakdhfjjghk"",")</f>
        <v>"nfbnikpgcldgbpmpckhcajakdhfjjghk",</v>
      </c>
    </row>
    <row r="8229">
      <c r="A8229" s="4" t="s">
        <v>27408</v>
      </c>
      <c r="B8229" s="4" t="s">
        <v>16381</v>
      </c>
      <c r="C8229" s="16" t="str">
        <f>IFERROR(__xludf.DUMMYFUNCTION(""""""""" &amp; REGEXEXTRACT(B8229, ""/detail/([^/?]+)"") &amp; """""","""),"""npodoagpdconlihebmobeapjflaafcmf"",")</f>
        <v>"npodoagpdconlihebmobeapjflaafcmf",</v>
      </c>
    </row>
    <row r="8230">
      <c r="A8230" s="4" t="s">
        <v>27409</v>
      </c>
      <c r="B8230" s="4" t="s">
        <v>16383</v>
      </c>
      <c r="C8230" s="16" t="str">
        <f>IFERROR(__xludf.DUMMYFUNCTION(""""""""" &amp; REGEXEXTRACT(B8230, ""/detail/([^/?]+)"") &amp; """""","""),"""pbffhgellplheapoloifdakppmnbmdkd"",")</f>
        <v>"pbffhgellplheapoloifdakppmnbmdkd",</v>
      </c>
    </row>
    <row r="8231">
      <c r="A8231" s="4" t="s">
        <v>27410</v>
      </c>
      <c r="B8231" s="4" t="s">
        <v>16385</v>
      </c>
      <c r="C8231" s="16" t="str">
        <f>IFERROR(__xludf.DUMMYFUNCTION(""""""""" &amp; REGEXEXTRACT(B8231, ""/detail/([^/?]+)"") &amp; """""","""),"""hgkdkfekclpieaclmlpfgmefdmhfccan"",")</f>
        <v>"hgkdkfekclpieaclmlpfgmefdmhfccan",</v>
      </c>
    </row>
    <row r="8232">
      <c r="A8232" s="4" t="s">
        <v>27411</v>
      </c>
      <c r="B8232" s="4" t="s">
        <v>16387</v>
      </c>
      <c r="C8232" s="16" t="str">
        <f>IFERROR(__xludf.DUMMYFUNCTION(""""""""" &amp; REGEXEXTRACT(B8232, ""/detail/([^/?]+)"") &amp; """""","""),"""jafkfcddjbcfdjnogbhogflaagohdohf"",")</f>
        <v>"jafkfcddjbcfdjnogbhogflaagohdohf",</v>
      </c>
    </row>
    <row r="8233">
      <c r="A8233" s="4" t="s">
        <v>27412</v>
      </c>
      <c r="B8233" s="4" t="s">
        <v>16389</v>
      </c>
      <c r="C8233" s="16" t="str">
        <f>IFERROR(__xludf.DUMMYFUNCTION(""""""""" &amp; REGEXEXTRACT(B8233, ""/detail/([^/?]+)"") &amp; """""","""),"""loifmfjjhcdpgpkmphgemeooklpjlihp"",")</f>
        <v>"loifmfjjhcdpgpkmphgemeooklpjlihp",</v>
      </c>
    </row>
    <row r="8234">
      <c r="A8234" s="4" t="s">
        <v>27413</v>
      </c>
      <c r="B8234" s="4" t="s">
        <v>16391</v>
      </c>
      <c r="C8234" s="16" t="str">
        <f>IFERROR(__xludf.DUMMYFUNCTION(""""""""" &amp; REGEXEXTRACT(B8234, ""/detail/([^/?]+)"") &amp; """""","""),"""dakpbdiplbbpkiejkbdebphiajboajic"",")</f>
        <v>"dakpbdiplbbpkiejkbdebphiajboajic",</v>
      </c>
    </row>
    <row r="8235">
      <c r="A8235" s="4" t="s">
        <v>27414</v>
      </c>
      <c r="B8235" s="4" t="s">
        <v>16393</v>
      </c>
      <c r="C8235" s="16" t="str">
        <f>IFERROR(__xludf.DUMMYFUNCTION(""""""""" &amp; REGEXEXTRACT(B8235, ""/detail/([^/?]+)"") &amp; """""","""),"""ekpnkffalcdjkfapohiibeimminjionc"",")</f>
        <v>"ekpnkffalcdjkfapohiibeimminjionc",</v>
      </c>
    </row>
    <row r="8236">
      <c r="A8236" s="4" t="s">
        <v>27415</v>
      </c>
      <c r="B8236" s="4" t="s">
        <v>16395</v>
      </c>
      <c r="C8236" s="16" t="str">
        <f>IFERROR(__xludf.DUMMYFUNCTION(""""""""" &amp; REGEXEXTRACT(B8236, ""/detail/([^/?]+)"") &amp; """""","""),"""jjapmdbeieeoeaebndobpmjfckbimhon"",")</f>
        <v>"jjapmdbeieeoeaebndobpmjfckbimhon",</v>
      </c>
    </row>
    <row r="8237">
      <c r="A8237" s="4" t="s">
        <v>27416</v>
      </c>
      <c r="B8237" s="4" t="s">
        <v>16397</v>
      </c>
      <c r="C8237" s="16" t="str">
        <f>IFERROR(__xludf.DUMMYFUNCTION(""""""""" &amp; REGEXEXTRACT(B8237, ""/detail/([^/?]+)"") &amp; """""","""),"""mofanilgbgccagapkigfiagbhjffinbg"",")</f>
        <v>"mofanilgbgccagapkigfiagbhjffinbg",</v>
      </c>
    </row>
    <row r="8238">
      <c r="A8238" s="4" t="s">
        <v>27417</v>
      </c>
      <c r="B8238" s="4" t="s">
        <v>16399</v>
      </c>
      <c r="C8238" s="16" t="str">
        <f>IFERROR(__xludf.DUMMYFUNCTION(""""""""" &amp; REGEXEXTRACT(B8238, ""/detail/([^/?]+)"") &amp; """""","""),"""nmmdmcgnpdhlhcaaklfkhiemkkiecpca"",")</f>
        <v>"nmmdmcgnpdhlhcaaklfkhiemkkiecpca",</v>
      </c>
    </row>
    <row r="8239">
      <c r="A8239" s="4" t="s">
        <v>27418</v>
      </c>
      <c r="B8239" s="4" t="s">
        <v>16401</v>
      </c>
      <c r="C8239" s="16" t="str">
        <f>IFERROR(__xludf.DUMMYFUNCTION(""""""""" &amp; REGEXEXTRACT(B8239, ""/detail/([^/?]+)"") &amp; """""","""),"""acicgfcckneopchflaeebkmdieegkpik"",")</f>
        <v>"acicgfcckneopchflaeebkmdieegkpik",</v>
      </c>
    </row>
    <row r="8240">
      <c r="A8240" s="4" t="s">
        <v>27419</v>
      </c>
      <c r="B8240" s="4" t="s">
        <v>16403</v>
      </c>
      <c r="C8240" s="16" t="str">
        <f>IFERROR(__xludf.DUMMYFUNCTION(""""""""" &amp; REGEXEXTRACT(B8240, ""/detail/([^/?]+)"") &amp; """""","""),"""befddnocokafidcmfpgjdbohbhiaaahj"",")</f>
        <v>"befddnocokafidcmfpgjdbohbhiaaahj",</v>
      </c>
    </row>
    <row r="8241">
      <c r="A8241" s="4" t="s">
        <v>27420</v>
      </c>
      <c r="B8241" s="4" t="s">
        <v>16405</v>
      </c>
      <c r="C8241" s="16" t="str">
        <f>IFERROR(__xludf.DUMMYFUNCTION(""""""""" &amp; REGEXEXTRACT(B8241, ""/detail/([^/?]+)"") &amp; """""","""),"""egfcldmlhgaeoeihpfbjeogedcmckbkd"",")</f>
        <v>"egfcldmlhgaeoeihpfbjeogedcmckbkd",</v>
      </c>
    </row>
    <row r="8242">
      <c r="A8242" s="4" t="s">
        <v>27421</v>
      </c>
      <c r="B8242" s="4" t="s">
        <v>16407</v>
      </c>
      <c r="C8242" s="16" t="str">
        <f>IFERROR(__xludf.DUMMYFUNCTION(""""""""" &amp; REGEXEXTRACT(B8242, ""/detail/([^/?]+)"") &amp; """""","""),"""fnjkimblohniildfepjhejeppenokhie"",")</f>
        <v>"fnjkimblohniildfepjhejeppenokhie",</v>
      </c>
    </row>
    <row r="8243">
      <c r="A8243" s="4" t="s">
        <v>27422</v>
      </c>
      <c r="B8243" s="4" t="s">
        <v>16409</v>
      </c>
      <c r="C8243" s="16" t="str">
        <f>IFERROR(__xludf.DUMMYFUNCTION(""""""""" &amp; REGEXEXTRACT(B8243, ""/detail/([^/?]+)"") &amp; """""","""),"""pdiedadcnaailaknceakckfffhfjiagd"",")</f>
        <v>"pdiedadcnaailaknceakckfffhfjiagd",</v>
      </c>
    </row>
    <row r="8244">
      <c r="A8244" s="4" t="s">
        <v>27423</v>
      </c>
      <c r="B8244" s="4" t="s">
        <v>16411</v>
      </c>
      <c r="C8244" s="16" t="str">
        <f>IFERROR(__xludf.DUMMYFUNCTION(""""""""" &amp; REGEXEXTRACT(B8244, ""/detail/([^/?]+)"") &amp; """""","""),"""aaihhjepepgajmehjdmfkofegfddcabc"",")</f>
        <v>"aaihhjepepgajmehjdmfkofegfddcabc",</v>
      </c>
    </row>
    <row r="8245">
      <c r="A8245" s="4" t="s">
        <v>27424</v>
      </c>
      <c r="B8245" s="4" t="s">
        <v>16413</v>
      </c>
      <c r="C8245" s="16" t="str">
        <f>IFERROR(__xludf.DUMMYFUNCTION(""""""""" &amp; REGEXEXTRACT(B8245, ""/detail/([^/?]+)"") &amp; """""","""),"""ghoealjfjjibhhdhialmimmmgoaeagbc"",")</f>
        <v>"ghoealjfjjibhhdhialmimmmgoaeagbc",</v>
      </c>
    </row>
    <row r="8246">
      <c r="A8246" s="4" t="s">
        <v>27425</v>
      </c>
      <c r="B8246" s="4" t="s">
        <v>16415</v>
      </c>
      <c r="C8246" s="16" t="str">
        <f>IFERROR(__xludf.DUMMYFUNCTION(""""""""" &amp; REGEXEXTRACT(B8246, ""/detail/([^/?]+)"") &amp; """""","""),"""iklaoaeikobdklaggagbapdkhamhdjoc"",")</f>
        <v>"iklaoaeikobdklaggagbapdkhamhdjoc",</v>
      </c>
    </row>
    <row r="8247">
      <c r="A8247" s="4" t="s">
        <v>27426</v>
      </c>
      <c r="B8247" s="4" t="s">
        <v>16417</v>
      </c>
      <c r="C8247" s="16" t="str">
        <f>IFERROR(__xludf.DUMMYFUNCTION(""""""""" &amp; REGEXEXTRACT(B8247, ""/detail/([^/?]+)"") &amp; """""","""),"""lmdjfpiidgmpcdfdjkhnlennkobbmbpk"",")</f>
        <v>"lmdjfpiidgmpcdfdjkhnlennkobbmbpk",</v>
      </c>
    </row>
    <row r="8248">
      <c r="A8248" s="4" t="s">
        <v>27427</v>
      </c>
      <c r="B8248" s="4" t="s">
        <v>16419</v>
      </c>
      <c r="C8248" s="16" t="str">
        <f>IFERROR(__xludf.DUMMYFUNCTION(""""""""" &amp; REGEXEXTRACT(B8248, ""/detail/([^/?]+)"") &amp; """""","""),"""iofhakjmgneodeccneehnnbfpmgmcelc"",")</f>
        <v>"iofhakjmgneodeccneehnnbfpmgmcelc",</v>
      </c>
    </row>
    <row r="8249">
      <c r="A8249" s="4" t="s">
        <v>27428</v>
      </c>
      <c r="B8249" s="4" t="s">
        <v>16421</v>
      </c>
      <c r="C8249" s="16" t="str">
        <f>IFERROR(__xludf.DUMMYFUNCTION(""""""""" &amp; REGEXEXTRACT(B8249, ""/detail/([^/?]+)"") &amp; """""","""),"""amllnakjfhdjjlebenhjmheboaojeplk"",")</f>
        <v>"amllnakjfhdjjlebenhjmheboaojeplk",</v>
      </c>
    </row>
    <row r="8250">
      <c r="A8250" s="4" t="s">
        <v>27429</v>
      </c>
      <c r="B8250" s="4" t="s">
        <v>16423</v>
      </c>
      <c r="C8250" s="16" t="str">
        <f>IFERROR(__xludf.DUMMYFUNCTION(""""""""" &amp; REGEXEXTRACT(B8250, ""/detail/([^/?]+)"") &amp; """""","""),"""bmanfdammpmhpjpmdjpnbhmfbnminbkb"",")</f>
        <v>"bmanfdammpmhpjpmdjpnbhmfbnminbkb",</v>
      </c>
    </row>
    <row r="8251">
      <c r="A8251" s="4" t="s">
        <v>27430</v>
      </c>
      <c r="B8251" s="4" t="s">
        <v>16425</v>
      </c>
      <c r="C8251" s="16" t="str">
        <f>IFERROR(__xludf.DUMMYFUNCTION(""""""""" &amp; REGEXEXTRACT(B8251, ""/detail/([^/?]+)"") &amp; """""","""),"""dgmbfhhnljmmokimpapbpjkhnlgfolid"",")</f>
        <v>"dgmbfhhnljmmokimpapbpjkhnlgfolid",</v>
      </c>
    </row>
    <row r="8252">
      <c r="A8252" s="4" t="s">
        <v>27431</v>
      </c>
      <c r="B8252" s="4" t="s">
        <v>16427</v>
      </c>
      <c r="C8252" s="16" t="str">
        <f>IFERROR(__xludf.DUMMYFUNCTION(""""""""" &amp; REGEXEXTRACT(B8252, ""/detail/([^/?]+)"") &amp; """""","""),"""immcnbkcmdmhnaklnemeeaadpfphcfmd"",")</f>
        <v>"immcnbkcmdmhnaklnemeeaadpfphcfmd",</v>
      </c>
    </row>
    <row r="8253">
      <c r="A8253" s="4" t="s">
        <v>27432</v>
      </c>
      <c r="B8253" s="4" t="s">
        <v>16429</v>
      </c>
      <c r="C8253" s="16" t="str">
        <f>IFERROR(__xludf.DUMMYFUNCTION(""""""""" &amp; REGEXEXTRACT(B8253, ""/detail/([^/?]+)"") &amp; """""","""),"""jgkailifpinppnlekakmbfoochljpacl"",")</f>
        <v>"jgkailifpinppnlekakmbfoochljpacl",</v>
      </c>
    </row>
    <row r="8254">
      <c r="A8254" s="4" t="s">
        <v>27433</v>
      </c>
      <c r="B8254" s="4" t="s">
        <v>16431</v>
      </c>
      <c r="C8254" s="16" t="str">
        <f>IFERROR(__xludf.DUMMYFUNCTION(""""""""" &amp; REGEXEXTRACT(B8254, ""/detail/([^/?]+)"") &amp; """""","""),"""odhjfldkefanhaflcloghbcpapedfblh"",")</f>
        <v>"odhjfldkefanhaflcloghbcpapedfblh",</v>
      </c>
    </row>
    <row r="8255">
      <c r="A8255" s="4" t="s">
        <v>27434</v>
      </c>
      <c r="B8255" s="4" t="s">
        <v>16433</v>
      </c>
      <c r="C8255" s="16" t="str">
        <f>IFERROR(__xludf.DUMMYFUNCTION(""""""""" &amp; REGEXEXTRACT(B8255, ""/detail/([^/?]+)"") &amp; """""","""),"""akbafgfmkfcgnlogkkobammjldppgnoi"",")</f>
        <v>"akbafgfmkfcgnlogkkobammjldppgnoi",</v>
      </c>
    </row>
    <row r="8256">
      <c r="A8256" s="4" t="s">
        <v>27435</v>
      </c>
      <c r="B8256" s="4" t="s">
        <v>16435</v>
      </c>
      <c r="C8256" s="16" t="str">
        <f>IFERROR(__xludf.DUMMYFUNCTION(""""""""" &amp; REGEXEXTRACT(B8256, ""/detail/([^/?]+)"") &amp; """""","""),"""kbbgddcndpjnadfacanamniaomcohlcc"",")</f>
        <v>"kbbgddcndpjnadfacanamniaomcohlcc",</v>
      </c>
    </row>
    <row r="8257">
      <c r="A8257" s="4" t="s">
        <v>27436</v>
      </c>
      <c r="B8257" s="4" t="s">
        <v>16437</v>
      </c>
      <c r="C8257" s="16" t="str">
        <f>IFERROR(__xludf.DUMMYFUNCTION(""""""""" &amp; REGEXEXTRACT(B8257, ""/detail/([^/?]+)"") &amp; """""","""),"""kfccgbdpeficpdmkknifjabahopjjmjj"",")</f>
        <v>"kfccgbdpeficpdmkknifjabahopjjmjj",</v>
      </c>
    </row>
    <row r="8258">
      <c r="A8258" s="4" t="s">
        <v>27437</v>
      </c>
      <c r="B8258" s="4" t="s">
        <v>16439</v>
      </c>
      <c r="C8258" s="16" t="str">
        <f>IFERROR(__xludf.DUMMYFUNCTION(""""""""" &amp; REGEXEXTRACT(B8258, ""/detail/([^/?]+)"") &amp; """""","""),"""fjjdfhdnmgaomehkdjcneiopdaeoemgg"",")</f>
        <v>"fjjdfhdnmgaomehkdjcneiopdaeoemgg",</v>
      </c>
    </row>
    <row r="8259">
      <c r="A8259" s="4" t="s">
        <v>27438</v>
      </c>
      <c r="B8259" s="4" t="s">
        <v>16441</v>
      </c>
      <c r="C8259" s="16" t="str">
        <f>IFERROR(__xludf.DUMMYFUNCTION(""""""""" &amp; REGEXEXTRACT(B8259, ""/detail/([^/?]+)"") &amp; """""","""),"""hncdmgomjlflmfphembffnaajhfmcjnk"",")</f>
        <v>"hncdmgomjlflmfphembffnaajhfmcjnk",</v>
      </c>
    </row>
    <row r="8260">
      <c r="A8260" s="4" t="s">
        <v>27439</v>
      </c>
      <c r="B8260" s="4" t="s">
        <v>16443</v>
      </c>
      <c r="C8260" s="16" t="str">
        <f>IFERROR(__xludf.DUMMYFUNCTION(""""""""" &amp; REGEXEXTRACT(B8260, ""/detail/([^/?]+)"") &amp; """""","""),"""pljdeblcblhdngbkhadobblaelhgfgim"",")</f>
        <v>"pljdeblcblhdngbkhadobblaelhgfgim",</v>
      </c>
    </row>
    <row r="8261">
      <c r="A8261" s="4" t="s">
        <v>27440</v>
      </c>
      <c r="B8261" s="4" t="s">
        <v>16445</v>
      </c>
      <c r="C8261" s="16" t="str">
        <f>IFERROR(__xludf.DUMMYFUNCTION(""""""""" &amp; REGEXEXTRACT(B8261, ""/detail/([^/?]+)"") &amp; """""","""),"""bhlfiadmogondcnpfcfjepokmmcjgdoe"",")</f>
        <v>"bhlfiadmogondcnpfcfjepokmmcjgdoe",</v>
      </c>
    </row>
    <row r="8262">
      <c r="A8262" s="4" t="s">
        <v>27441</v>
      </c>
      <c r="B8262" s="4" t="s">
        <v>16447</v>
      </c>
      <c r="C8262" s="16" t="str">
        <f>IFERROR(__xludf.DUMMYFUNCTION(""""""""" &amp; REGEXEXTRACT(B8262, ""/detail/([^/?]+)"") &amp; """""","""),"""dnbgcpgkobmfpedfhpepffbbmamffhgg"",")</f>
        <v>"dnbgcpgkobmfpedfhpepffbbmamffhgg",</v>
      </c>
    </row>
    <row r="8263">
      <c r="A8263" s="4" t="s">
        <v>27442</v>
      </c>
      <c r="B8263" s="4" t="s">
        <v>16449</v>
      </c>
      <c r="C8263" s="16" t="str">
        <f>IFERROR(__xludf.DUMMYFUNCTION(""""""""" &amp; REGEXEXTRACT(B8263, ""/detail/([^/?]+)"") &amp; """""","""),"""gdngaleeolacajdmmfdbebdhojampnjo"",")</f>
        <v>"gdngaleeolacajdmmfdbebdhojampnjo",</v>
      </c>
    </row>
    <row r="8264">
      <c r="A8264" s="4" t="s">
        <v>27443</v>
      </c>
      <c r="B8264" s="4" t="s">
        <v>16451</v>
      </c>
      <c r="C8264" s="16" t="str">
        <f>IFERROR(__xludf.DUMMYFUNCTION(""""""""" &amp; REGEXEXTRACT(B8264, ""/detail/([^/?]+)"") &amp; """""","""),"""lgoehggcekcijojdfdifnfknonmeillp"",")</f>
        <v>"lgoehggcekcijojdfdifnfknonmeillp",</v>
      </c>
    </row>
    <row r="8265">
      <c r="A8265" s="4" t="s">
        <v>27444</v>
      </c>
      <c r="B8265" s="4" t="s">
        <v>16453</v>
      </c>
      <c r="C8265" s="16" t="str">
        <f>IFERROR(__xludf.DUMMYFUNCTION(""""""""" &amp; REGEXEXTRACT(B8265, ""/detail/([^/?]+)"") &amp; """""","""),"""ljdankmhmhhaadaidbaddioidnfdikdg"",")</f>
        <v>"ljdankmhmhhaadaidbaddioidnfdikdg",</v>
      </c>
    </row>
    <row r="8266">
      <c r="A8266" s="4" t="s">
        <v>27445</v>
      </c>
      <c r="B8266" s="4" t="s">
        <v>16455</v>
      </c>
      <c r="C8266" s="16" t="str">
        <f>IFERROR(__xludf.DUMMYFUNCTION(""""""""" &amp; REGEXEXTRACT(B8266, ""/detail/([^/?]+)"") &amp; """""","""),"""mpoijbdfnhkmfcddkfgcdkjpgecdlndo"",")</f>
        <v>"mpoijbdfnhkmfcddkfgcdkjpgecdlndo",</v>
      </c>
    </row>
    <row r="8267">
      <c r="A8267" s="4" t="s">
        <v>27446</v>
      </c>
      <c r="B8267" s="4" t="s">
        <v>16457</v>
      </c>
      <c r="C8267" s="16" t="str">
        <f>IFERROR(__xludf.DUMMYFUNCTION(""""""""" &amp; REGEXEXTRACT(B8267, ""/detail/([^/?]+)"") &amp; """""","""),"""ajdmjnkmegnofepbbkaaklfopjgdocfl"",")</f>
        <v>"ajdmjnkmegnofepbbkaaklfopjgdocfl",</v>
      </c>
    </row>
    <row r="8268">
      <c r="A8268" s="4" t="s">
        <v>27447</v>
      </c>
      <c r="B8268" s="4" t="s">
        <v>16459</v>
      </c>
      <c r="C8268" s="16" t="str">
        <f>IFERROR(__xludf.DUMMYFUNCTION(""""""""" &amp; REGEXEXTRACT(B8268, ""/detail/([^/?]+)"") &amp; """""","""),"""bnkooidmjbobfbgncondmfoajbpafjio"",")</f>
        <v>"bnkooidmjbobfbgncondmfoajbpafjio",</v>
      </c>
    </row>
    <row r="8269">
      <c r="A8269" s="4" t="s">
        <v>27448</v>
      </c>
      <c r="B8269" s="4" t="s">
        <v>16461</v>
      </c>
      <c r="C8269" s="16" t="str">
        <f>IFERROR(__xludf.DUMMYFUNCTION(""""""""" &amp; REGEXEXTRACT(B8269, ""/detail/([^/?]+)"") &amp; """""","""),"""colhedmdicjkpcamhdmhelahipgceneb"",")</f>
        <v>"colhedmdicjkpcamhdmhelahipgceneb",</v>
      </c>
    </row>
    <row r="8270">
      <c r="A8270" s="4" t="s">
        <v>27449</v>
      </c>
      <c r="B8270" s="4" t="s">
        <v>16463</v>
      </c>
      <c r="C8270" s="16" t="str">
        <f>IFERROR(__xludf.DUMMYFUNCTION(""""""""" &amp; REGEXEXTRACT(B8270, ""/detail/([^/?]+)"") &amp; """""","""),"""phhplkknbklebdecmibhipcdkkaeicfi"",")</f>
        <v>"phhplkknbklebdecmibhipcdkkaeicfi",</v>
      </c>
    </row>
    <row r="8271">
      <c r="A8271" s="4" t="s">
        <v>27450</v>
      </c>
      <c r="B8271" s="4" t="s">
        <v>16465</v>
      </c>
      <c r="C8271" s="16" t="str">
        <f>IFERROR(__xludf.DUMMYFUNCTION(""""""""" &amp; REGEXEXTRACT(B8271, ""/detail/([^/?]+)"") &amp; """""","""),"""gpbpgpmnfkhkadopaeojaobkejiipgmb"",")</f>
        <v>"gpbpgpmnfkhkadopaeojaobkejiipgmb",</v>
      </c>
    </row>
    <row r="8272">
      <c r="A8272" s="4" t="s">
        <v>27451</v>
      </c>
      <c r="B8272" s="4" t="s">
        <v>16467</v>
      </c>
      <c r="C8272" s="16" t="str">
        <f>IFERROR(__xludf.DUMMYFUNCTION(""""""""" &amp; REGEXEXTRACT(B8272, ""/detail/([^/?]+)"") &amp; """""","""),"""ibgbiogjjahboaeffhcicimhgjmhnlcb"",")</f>
        <v>"ibgbiogjjahboaeffhcicimhgjmhnlcb",</v>
      </c>
    </row>
    <row r="8273">
      <c r="A8273" s="4" t="s">
        <v>27452</v>
      </c>
      <c r="B8273" s="4" t="s">
        <v>16469</v>
      </c>
      <c r="C8273" s="16" t="str">
        <f>IFERROR(__xludf.DUMMYFUNCTION(""""""""" &amp; REGEXEXTRACT(B8273, ""/detail/([^/?]+)"") &amp; """""","""),"""ioacifoopoldngldmbknimhhophmfbgh"",")</f>
        <v>"ioacifoopoldngldmbknimhhophmfbgh",</v>
      </c>
    </row>
    <row r="8274">
      <c r="A8274" s="4" t="s">
        <v>27453</v>
      </c>
      <c r="B8274" s="4" t="s">
        <v>16471</v>
      </c>
      <c r="C8274" s="16" t="str">
        <f>IFERROR(__xludf.DUMMYFUNCTION(""""""""" &amp; REGEXEXTRACT(B8274, ""/detail/([^/?]+)"") &amp; """""","""),"""lafpapdojniijcaeadlpnhcfkkpcodmb"",")</f>
        <v>"lafpapdojniijcaeadlpnhcfkkpcodmb",</v>
      </c>
    </row>
    <row r="8275">
      <c r="A8275" s="4" t="s">
        <v>27454</v>
      </c>
      <c r="B8275" s="4" t="s">
        <v>16473</v>
      </c>
      <c r="C8275" s="16" t="str">
        <f>IFERROR(__xludf.DUMMYFUNCTION(""""""""" &amp; REGEXEXTRACT(B8275, ""/detail/([^/?]+)"") &amp; """""","""),"""meaihhpenjllgjkkpigdkcjoboofgnih"",")</f>
        <v>"meaihhpenjllgjkkpigdkcjoboofgnih",</v>
      </c>
    </row>
    <row r="8276">
      <c r="A8276" s="4" t="s">
        <v>27455</v>
      </c>
      <c r="B8276" s="4" t="s">
        <v>16475</v>
      </c>
      <c r="C8276" s="16" t="str">
        <f>IFERROR(__xludf.DUMMYFUNCTION(""""""""" &amp; REGEXEXTRACT(B8276, ""/detail/([^/?]+)"") &amp; """""","""),"""mhdnileajaidhkhmomkdjgnpkbgepgoe"",")</f>
        <v>"mhdnileajaidhkhmomkdjgnpkbgepgoe",</v>
      </c>
    </row>
    <row r="8277">
      <c r="A8277" s="4" t="s">
        <v>27456</v>
      </c>
      <c r="B8277" s="4" t="s">
        <v>16477</v>
      </c>
      <c r="C8277" s="16" t="str">
        <f>IFERROR(__xludf.DUMMYFUNCTION(""""""""" &amp; REGEXEXTRACT(B8277, ""/detail/([^/?]+)"") &amp; """""","""),"""ogeankadkoofdjpdoggjfomegklpdnmb"",")</f>
        <v>"ogeankadkoofdjpdoggjfomegklpdnmb",</v>
      </c>
    </row>
    <row r="8278">
      <c r="A8278" s="4" t="s">
        <v>27457</v>
      </c>
      <c r="B8278" s="4" t="s">
        <v>16479</v>
      </c>
      <c r="C8278" s="16" t="str">
        <f>IFERROR(__xludf.DUMMYFUNCTION(""""""""" &amp; REGEXEXTRACT(B8278, ""/detail/([^/?]+)"") &amp; """""","""),"""pdbikiamkjijdamfmbmnladmjfjhjmgn"",")</f>
        <v>"pdbikiamkjijdamfmbmnladmjfjhjmgn",</v>
      </c>
    </row>
    <row r="8279">
      <c r="A8279" s="4" t="s">
        <v>27458</v>
      </c>
      <c r="B8279" s="4" t="s">
        <v>16481</v>
      </c>
      <c r="C8279" s="16" t="str">
        <f>IFERROR(__xludf.DUMMYFUNCTION(""""""""" &amp; REGEXEXTRACT(B8279, ""/detail/([^/?]+)"") &amp; """""","""),"""pnkmjipifhjeemponlmnjohfgahenifi"",")</f>
        <v>"pnkmjipifhjeemponlmnjohfgahenifi",</v>
      </c>
    </row>
    <row r="8280">
      <c r="A8280" s="4" t="s">
        <v>27459</v>
      </c>
      <c r="B8280" s="4" t="s">
        <v>16483</v>
      </c>
      <c r="C8280" s="16" t="str">
        <f>IFERROR(__xludf.DUMMYFUNCTION(""""""""" &amp; REGEXEXTRACT(B8280, ""/detail/([^/?]+)"") &amp; """""","""),"""aonajadpeeaijblinaeohfdmbgdpibba"",")</f>
        <v>"aonajadpeeaijblinaeohfdmbgdpibba",</v>
      </c>
    </row>
    <row r="8281">
      <c r="A8281" s="4" t="s">
        <v>27460</v>
      </c>
      <c r="B8281" s="4" t="s">
        <v>16485</v>
      </c>
      <c r="C8281" s="16" t="str">
        <f>IFERROR(__xludf.DUMMYFUNCTION(""""""""" &amp; REGEXEXTRACT(B8281, ""/detail/([^/?]+)"") &amp; """""","""),"""bmmfmcdfiilloaojbpgdoafoickikegk"",")</f>
        <v>"bmmfmcdfiilloaojbpgdoafoickikegk",</v>
      </c>
    </row>
    <row r="8282">
      <c r="A8282" s="4" t="s">
        <v>27461</v>
      </c>
      <c r="B8282" s="4" t="s">
        <v>16487</v>
      </c>
      <c r="C8282" s="16" t="str">
        <f>IFERROR(__xludf.DUMMYFUNCTION(""""""""" &amp; REGEXEXTRACT(B8282, ""/detail/([^/?]+)"") &amp; """""","""),"""clkoiiijdjmoojmeicielppejamlbbkl"",")</f>
        <v>"clkoiiijdjmoojmeicielppejamlbbkl",</v>
      </c>
    </row>
    <row r="8283">
      <c r="A8283" s="4" t="s">
        <v>27462</v>
      </c>
      <c r="B8283" s="4" t="s">
        <v>16489</v>
      </c>
      <c r="C8283" s="16" t="str">
        <f>IFERROR(__xludf.DUMMYFUNCTION(""""""""" &amp; REGEXEXTRACT(B8283, ""/detail/([^/?]+)"") &amp; """""","""),"""coekkdnnplbblpnidldcpdeoilppekcd"",")</f>
        <v>"coekkdnnplbblpnidldcpdeoilppekcd",</v>
      </c>
    </row>
    <row r="8284">
      <c r="A8284" s="4" t="s">
        <v>27463</v>
      </c>
      <c r="B8284" s="4" t="s">
        <v>16491</v>
      </c>
      <c r="C8284" s="16" t="str">
        <f>IFERROR(__xludf.DUMMYFUNCTION(""""""""" &amp; REGEXEXTRACT(B8284, ""/detail/([^/?]+)"") &amp; """""","""),"""dbiolbddipbicaokllijphafkgbedhcm"",")</f>
        <v>"dbiolbddipbicaokllijphafkgbedhcm",</v>
      </c>
    </row>
    <row r="8285">
      <c r="A8285" s="4" t="s">
        <v>27464</v>
      </c>
      <c r="B8285" s="4" t="s">
        <v>16493</v>
      </c>
      <c r="C8285" s="16" t="str">
        <f>IFERROR(__xludf.DUMMYFUNCTION(""""""""" &amp; REGEXEXTRACT(B8285, ""/detail/([^/?]+)"") &amp; """""","""),"""dkoinecnplfbobfdamgfjfonmjieigpd"",")</f>
        <v>"dkoinecnplfbobfdamgfjfonmjieigpd",</v>
      </c>
    </row>
    <row r="8286">
      <c r="A8286" s="4" t="s">
        <v>27465</v>
      </c>
      <c r="B8286" s="4" t="s">
        <v>16495</v>
      </c>
      <c r="C8286" s="16" t="str">
        <f>IFERROR(__xludf.DUMMYFUNCTION(""""""""" &amp; REGEXEXTRACT(B8286, ""/detail/([^/?]+)"") &amp; """""","""),"""ghbmpbdefklbjbnebdcpbjflekgmalpb"",")</f>
        <v>"ghbmpbdefklbjbnebdcpbjflekgmalpb",</v>
      </c>
    </row>
    <row r="8287">
      <c r="A8287" s="4" t="s">
        <v>27466</v>
      </c>
      <c r="B8287" s="4" t="s">
        <v>16497</v>
      </c>
      <c r="C8287" s="16" t="str">
        <f>IFERROR(__xludf.DUMMYFUNCTION(""""""""" &amp; REGEXEXTRACT(B8287, ""/detail/([^/?]+)"") &amp; """""","""),"""goejokenmdamcapadhgghgpeeaeaaedc"",")</f>
        <v>"goejokenmdamcapadhgghgpeeaeaaedc",</v>
      </c>
    </row>
    <row r="8288">
      <c r="A8288" s="4" t="s">
        <v>27467</v>
      </c>
      <c r="B8288" s="4" t="s">
        <v>16499</v>
      </c>
      <c r="C8288" s="16" t="str">
        <f>IFERROR(__xludf.DUMMYFUNCTION(""""""""" &amp; REGEXEXTRACT(B8288, ""/detail/([^/?]+)"") &amp; """""","""),"""jffdmjmhkinopagcjgfjjfoagglhnhff"",")</f>
        <v>"jffdmjmhkinopagcjgfjjfoagglhnhff",</v>
      </c>
    </row>
    <row r="8289">
      <c r="A8289" s="4" t="s">
        <v>27468</v>
      </c>
      <c r="B8289" s="4" t="s">
        <v>16501</v>
      </c>
      <c r="C8289" s="16" t="str">
        <f>IFERROR(__xludf.DUMMYFUNCTION(""""""""" &amp; REGEXEXTRACT(B8289, ""/detail/([^/?]+)"") &amp; """""","""),"""kckepnldahdjnfmlpalbgjekincelkkk"",")</f>
        <v>"kckepnldahdjnfmlpalbgjekincelkkk",</v>
      </c>
    </row>
    <row r="8290">
      <c r="A8290" s="4" t="s">
        <v>27469</v>
      </c>
      <c r="B8290" s="4" t="s">
        <v>16503</v>
      </c>
      <c r="C8290" s="16" t="str">
        <f>IFERROR(__xludf.DUMMYFUNCTION(""""""""" &amp; REGEXEXTRACT(B8290, ""/detail/([^/?]+)"") &amp; """""","""),"""pejofheppddmifhohdecbiocahfjhfjb"",")</f>
        <v>"pejofheppddmifhohdecbiocahfjhfjb",</v>
      </c>
    </row>
    <row r="8291">
      <c r="A8291" s="4" t="s">
        <v>27470</v>
      </c>
      <c r="B8291" s="4" t="s">
        <v>16505</v>
      </c>
      <c r="C8291" s="16" t="str">
        <f>IFERROR(__xludf.DUMMYFUNCTION(""""""""" &amp; REGEXEXTRACT(B8291, ""/detail/([^/?]+)"") &amp; """""","""),"""calpcokkjmookodfpbmdbknfcjhekgaj"",")</f>
        <v>"calpcokkjmookodfpbmdbknfcjhekgaj",</v>
      </c>
    </row>
    <row r="8292">
      <c r="A8292" s="4" t="s">
        <v>27471</v>
      </c>
      <c r="B8292" s="4" t="s">
        <v>16507</v>
      </c>
      <c r="C8292" s="16" t="str">
        <f>IFERROR(__xludf.DUMMYFUNCTION(""""""""" &amp; REGEXEXTRACT(B8292, ""/detail/([^/?]+)"") &amp; """""","""),"""ccnllgcbfegnbaokgodmlfdmocbechdg"",")</f>
        <v>"ccnllgcbfegnbaokgodmlfdmocbechdg",</v>
      </c>
    </row>
    <row r="8293">
      <c r="A8293" s="4" t="s">
        <v>27472</v>
      </c>
      <c r="B8293" s="4" t="s">
        <v>16509</v>
      </c>
      <c r="C8293" s="16" t="str">
        <f>IFERROR(__xludf.DUMMYFUNCTION(""""""""" &amp; REGEXEXTRACT(B8293, ""/detail/([^/?]+)"") &amp; """""","""),"""ffihidkffmefhfbkagaaoadnlbjgicfp"",")</f>
        <v>"ffihidkffmefhfbkagaaoadnlbjgicfp",</v>
      </c>
    </row>
    <row r="8294">
      <c r="A8294" s="4" t="s">
        <v>27473</v>
      </c>
      <c r="B8294" s="4" t="s">
        <v>16511</v>
      </c>
      <c r="C8294" s="16" t="str">
        <f>IFERROR(__xludf.DUMMYFUNCTION(""""""""" &amp; REGEXEXTRACT(B8294, ""/detail/([^/?]+)"") &amp; """""","""),"""kehhlmjoalagcpildnljacdicljgblgp"",")</f>
        <v>"kehhlmjoalagcpildnljacdicljgblgp",</v>
      </c>
    </row>
    <row r="8295">
      <c r="A8295" s="4" t="s">
        <v>27474</v>
      </c>
      <c r="B8295" s="4" t="s">
        <v>16513</v>
      </c>
      <c r="C8295" s="16" t="str">
        <f>IFERROR(__xludf.DUMMYFUNCTION(""""""""" &amp; REGEXEXTRACT(B8295, ""/detail/([^/?]+)"") &amp; """""","""),"""khgahhiehdlgmaoghjoegkgbfcdodnhb"",")</f>
        <v>"khgahhiehdlgmaoghjoegkgbfcdodnhb",</v>
      </c>
    </row>
    <row r="8296">
      <c r="A8296" s="4" t="s">
        <v>27475</v>
      </c>
      <c r="B8296" s="4" t="s">
        <v>16515</v>
      </c>
      <c r="C8296" s="16" t="str">
        <f>IFERROR(__xludf.DUMMYFUNCTION(""""""""" &amp; REGEXEXTRACT(B8296, ""/detail/([^/?]+)"") &amp; """""","""),"""kjaonljkcdidebicpnjijbfefeblncal"",")</f>
        <v>"kjaonljkcdidebicpnjijbfefeblncal",</v>
      </c>
    </row>
    <row r="8297">
      <c r="A8297" s="4" t="s">
        <v>27476</v>
      </c>
      <c r="B8297" s="4" t="s">
        <v>16517</v>
      </c>
      <c r="C8297" s="16" t="str">
        <f>IFERROR(__xludf.DUMMYFUNCTION(""""""""" &amp; REGEXEXTRACT(B8297, ""/detail/([^/?]+)"") &amp; """""","""),"""nejnoepjdhjidigmphpjonnbfcmifhag"",")</f>
        <v>"nejnoepjdhjidigmphpjonnbfcmifhag",</v>
      </c>
    </row>
    <row r="8298">
      <c r="A8298" s="4" t="s">
        <v>27477</v>
      </c>
      <c r="B8298" s="4" t="s">
        <v>16519</v>
      </c>
      <c r="C8298" s="16" t="str">
        <f>IFERROR(__xludf.DUMMYFUNCTION(""""""""" &amp; REGEXEXTRACT(B8298, ""/detail/([^/?]+)"") &amp; """""","""),"""bgnboagkkokloclccjpmamhfijeinnpc"",")</f>
        <v>"bgnboagkkokloclccjpmamhfijeinnpc",</v>
      </c>
    </row>
    <row r="8299">
      <c r="A8299" s="4" t="s">
        <v>27478</v>
      </c>
      <c r="B8299" s="4" t="s">
        <v>16521</v>
      </c>
      <c r="C8299" s="16" t="str">
        <f>IFERROR(__xludf.DUMMYFUNCTION(""""""""" &amp; REGEXEXTRACT(B8299, ""/detail/([^/?]+)"") &amp; """""","""),"""haaamfoknimneabkapikpoccmfekkidj"",")</f>
        <v>"haaamfoknimneabkapikpoccmfekkidj",</v>
      </c>
    </row>
    <row r="8300">
      <c r="A8300" s="4" t="s">
        <v>27479</v>
      </c>
      <c r="B8300" s="4" t="s">
        <v>16523</v>
      </c>
      <c r="C8300" s="16" t="str">
        <f>IFERROR(__xludf.DUMMYFUNCTION(""""""""" &amp; REGEXEXTRACT(B8300, ""/detail/([^/?]+)"") &amp; """""","""),"""mfgcopdhimkemcnlhkohjbdjgahmagil"",")</f>
        <v>"mfgcopdhimkemcnlhkohjbdjgahmagil",</v>
      </c>
    </row>
    <row r="8301">
      <c r="A8301" s="4" t="s">
        <v>27480</v>
      </c>
      <c r="B8301" s="4" t="s">
        <v>16524</v>
      </c>
      <c r="C8301" s="16" t="str">
        <f>IFERROR(__xludf.DUMMYFUNCTION(""""""""" &amp; REGEXEXTRACT(B8301, ""/detail/([^/?]+)"") &amp; """""","""),"""ofebnpmoppjhjeljocmfcghndlacaflg"",")</f>
        <v>"ofebnpmoppjhjeljocmfcghndlacaflg",</v>
      </c>
    </row>
    <row r="8302">
      <c r="A8302" s="4" t="s">
        <v>27481</v>
      </c>
      <c r="B8302" s="4" t="s">
        <v>16526</v>
      </c>
      <c r="C8302" s="16" t="str">
        <f>IFERROR(__xludf.DUMMYFUNCTION(""""""""" &amp; REGEXEXTRACT(B8302, ""/detail/([^/?]+)"") &amp; """""","""),"""phknhncjbkehihhchhllabhlggjlenai"",")</f>
        <v>"phknhncjbkehihhchhllabhlggjlenai",</v>
      </c>
    </row>
    <row r="8303">
      <c r="A8303" s="4" t="s">
        <v>27482</v>
      </c>
      <c r="B8303" s="4" t="s">
        <v>16528</v>
      </c>
      <c r="C8303" s="16" t="str">
        <f>IFERROR(__xludf.DUMMYFUNCTION(""""""""" &amp; REGEXEXTRACT(B8303, ""/detail/([^/?]+)"") &amp; """""","""),"""clokkgjofkeiehldpmkmpdbhehjkajkh"",")</f>
        <v>"clokkgjofkeiehldpmkmpdbhehjkajkh",</v>
      </c>
    </row>
    <row r="8304">
      <c r="A8304" s="4" t="s">
        <v>27483</v>
      </c>
      <c r="B8304" s="4" t="s">
        <v>16530</v>
      </c>
      <c r="C8304" s="16" t="str">
        <f>IFERROR(__xludf.DUMMYFUNCTION(""""""""" &amp; REGEXEXTRACT(B8304, ""/detail/([^/?]+)"") &amp; """""","""),"""dpefooogphgomhpbgebhpmhpbmideaab"",")</f>
        <v>"dpefooogphgomhpbgebhpmhpbmideaab",</v>
      </c>
    </row>
    <row r="8305">
      <c r="A8305" s="4" t="s">
        <v>27484</v>
      </c>
      <c r="B8305" s="4" t="s">
        <v>16532</v>
      </c>
      <c r="C8305" s="16" t="str">
        <f>IFERROR(__xludf.DUMMYFUNCTION(""""""""" &amp; REGEXEXTRACT(B8305, ""/detail/([^/?]+)"") &amp; """""","""),"""ennckgigejppolagdoadgaaodkhopjnb"",")</f>
        <v>"ennckgigejppolagdoadgaaodkhopjnb",</v>
      </c>
    </row>
    <row r="8306">
      <c r="A8306" s="4" t="s">
        <v>27485</v>
      </c>
      <c r="B8306" s="4" t="s">
        <v>16534</v>
      </c>
      <c r="C8306" s="16" t="str">
        <f>IFERROR(__xludf.DUMMYFUNCTION(""""""""" &amp; REGEXEXTRACT(B8306, ""/detail/([^/?]+)"") &amp; """""","""),"""eodlnheadifbpibmclblocmkbjmfofff"",")</f>
        <v>"eodlnheadifbpibmclblocmkbjmfofff",</v>
      </c>
    </row>
    <row r="8307">
      <c r="A8307" s="4" t="s">
        <v>27486</v>
      </c>
      <c r="B8307" s="4" t="s">
        <v>16536</v>
      </c>
      <c r="C8307" s="16" t="str">
        <f>IFERROR(__xludf.DUMMYFUNCTION(""""""""" &amp; REGEXEXTRACT(B8307, ""/detail/([^/?]+)"") &amp; """""","""),"""fejaaaadapfieghheckpobhppccjlelm"",")</f>
        <v>"fejaaaadapfieghheckpobhppccjlelm",</v>
      </c>
    </row>
    <row r="8308">
      <c r="A8308" s="4" t="s">
        <v>27487</v>
      </c>
      <c r="B8308" s="4" t="s">
        <v>16538</v>
      </c>
      <c r="C8308" s="16" t="str">
        <f>IFERROR(__xludf.DUMMYFUNCTION(""""""""" &amp; REGEXEXTRACT(B8308, ""/detail/([^/?]+)"") &amp; """""","""),"""aiieicfdcgkbkfablicinojgpkhclboi"",")</f>
        <v>"aiieicfdcgkbkfablicinojgpkhclboi",</v>
      </c>
    </row>
    <row r="8309">
      <c r="A8309" s="4" t="s">
        <v>27488</v>
      </c>
      <c r="B8309" s="4" t="s">
        <v>16540</v>
      </c>
      <c r="C8309" s="16" t="str">
        <f>IFERROR(__xludf.DUMMYFUNCTION(""""""""" &amp; REGEXEXTRACT(B8309, ""/detail/([^/?]+)"") &amp; """""","""),"""fgkjkeadmdepahconmiapfmegflbfpej"",")</f>
        <v>"fgkjkeadmdepahconmiapfmegflbfpej",</v>
      </c>
    </row>
    <row r="8310">
      <c r="A8310" s="4" t="s">
        <v>27489</v>
      </c>
      <c r="B8310" s="4" t="s">
        <v>16542</v>
      </c>
      <c r="C8310" s="16" t="str">
        <f>IFERROR(__xludf.DUMMYFUNCTION(""""""""" &amp; REGEXEXTRACT(B8310, ""/detail/([^/?]+)"") &amp; """""","""),"""omafniemnnaphcfgflnblhknnhdmndhg"",")</f>
        <v>"omafniemnnaphcfgflnblhknnhdmndhg",</v>
      </c>
    </row>
    <row r="8311">
      <c r="A8311" s="4" t="s">
        <v>27490</v>
      </c>
      <c r="B8311" s="4" t="s">
        <v>16544</v>
      </c>
      <c r="C8311" s="16" t="str">
        <f>IFERROR(__xludf.DUMMYFUNCTION(""""""""" &amp; REGEXEXTRACT(B8311, ""/detail/([^/?]+)"") &amp; """""","""),"""ooebgplbpddoedbkdgkebgjidllhcfae"",")</f>
        <v>"ooebgplbpddoedbkdgkebgjidllhcfae",</v>
      </c>
    </row>
    <row r="8312">
      <c r="A8312" s="4" t="s">
        <v>27491</v>
      </c>
      <c r="B8312" s="4" t="s">
        <v>16546</v>
      </c>
      <c r="C8312" s="16" t="str">
        <f>IFERROR(__xludf.DUMMYFUNCTION(""""""""" &amp; REGEXEXTRACT(B8312, ""/detail/([^/?]+)"") &amp; """""","""),"""edamlpocaepmeldjhppnmadaieeoddba"",")</f>
        <v>"edamlpocaepmeldjhppnmadaieeoddba",</v>
      </c>
    </row>
    <row r="8313">
      <c r="A8313" s="4" t="s">
        <v>27492</v>
      </c>
      <c r="B8313" s="4" t="s">
        <v>16548</v>
      </c>
      <c r="C8313" s="16" t="str">
        <f>IFERROR(__xludf.DUMMYFUNCTION(""""""""" &amp; REGEXEXTRACT(B8313, ""/detail/([^/?]+)"") &amp; """""","""),"""ekcjobkhkmknjjfenofigfkncfjfdmjo"",")</f>
        <v>"ekcjobkhkmknjjfenofigfkncfjfdmjo",</v>
      </c>
    </row>
    <row r="8314">
      <c r="A8314" s="4" t="s">
        <v>27493</v>
      </c>
      <c r="B8314" s="4" t="s">
        <v>16550</v>
      </c>
      <c r="C8314" s="16" t="str">
        <f>IFERROR(__xludf.DUMMYFUNCTION(""""""""" &amp; REGEXEXTRACT(B8314, ""/detail/([^/?]+)"") &amp; """""","""),"""iofkdafjmcibaenmdaeikmcbapfgfmbl"",")</f>
        <v>"iofkdafjmcibaenmdaeikmcbapfgfmbl",</v>
      </c>
    </row>
    <row r="8315">
      <c r="A8315" s="4" t="s">
        <v>27494</v>
      </c>
      <c r="B8315" s="4" t="s">
        <v>16552</v>
      </c>
      <c r="C8315" s="16" t="str">
        <f>IFERROR(__xludf.DUMMYFUNCTION(""""""""" &amp; REGEXEXTRACT(B8315, ""/detail/([^/?]+)"") &amp; """""","""),"""jbhmglllgkjijmanjbnpcpdlopbfcdkk"",")</f>
        <v>"jbhmglllgkjijmanjbnpcpdlopbfcdkk",</v>
      </c>
    </row>
    <row r="8316">
      <c r="A8316" s="4" t="s">
        <v>27495</v>
      </c>
      <c r="B8316" s="4" t="s">
        <v>16554</v>
      </c>
      <c r="C8316" s="16" t="str">
        <f>IFERROR(__xludf.DUMMYFUNCTION(""""""""" &amp; REGEXEXTRACT(B8316, ""/detail/([^/?]+)"") &amp; """""","""),"""jmcibfacbbnkhidbdmahgdmkbkpkaecb"",")</f>
        <v>"jmcibfacbbnkhidbdmahgdmkbkpkaecb",</v>
      </c>
    </row>
    <row r="8317">
      <c r="A8317" s="4" t="s">
        <v>27496</v>
      </c>
      <c r="B8317" s="4" t="s">
        <v>16556</v>
      </c>
      <c r="C8317" s="16" t="str">
        <f>IFERROR(__xludf.DUMMYFUNCTION(""""""""" &amp; REGEXEXTRACT(B8317, ""/detail/([^/?]+)"") &amp; """""","""),"""odknmbgidnpnihgllkebklpekefphpbn"",")</f>
        <v>"odknmbgidnpnihgllkebklpekefphpbn",</v>
      </c>
    </row>
    <row r="8318">
      <c r="A8318" s="4" t="s">
        <v>27497</v>
      </c>
      <c r="B8318" s="4" t="s">
        <v>16558</v>
      </c>
      <c r="C8318" s="16" t="str">
        <f>IFERROR(__xludf.DUMMYFUNCTION(""""""""" &amp; REGEXEXTRACT(B8318, ""/detail/([^/?]+)"") &amp; """""","""),"""olohkojlinfcgndgpjojfjdgkhlehpdo"",")</f>
        <v>"olohkojlinfcgndgpjojfjdgkhlehpdo",</v>
      </c>
    </row>
    <row r="8319">
      <c r="A8319" s="4" t="s">
        <v>27498</v>
      </c>
      <c r="B8319" s="4" t="s">
        <v>16560</v>
      </c>
      <c r="C8319" s="16" t="str">
        <f>IFERROR(__xludf.DUMMYFUNCTION(""""""""" &amp; REGEXEXTRACT(B8319, ""/detail/([^/?]+)"") &amp; """""","""),"""padfelcpddafgnggpadfafblcbajajhk"",")</f>
        <v>"padfelcpddafgnggpadfafblcbajajhk",</v>
      </c>
    </row>
    <row r="8320">
      <c r="A8320" s="4" t="s">
        <v>27499</v>
      </c>
      <c r="B8320" s="4" t="s">
        <v>16562</v>
      </c>
      <c r="C8320" s="16" t="str">
        <f>IFERROR(__xludf.DUMMYFUNCTION(""""""""" &amp; REGEXEXTRACT(B8320, ""/detail/([^/?]+)"") &amp; """""","""),"""dilkpbckgcjjlgpkejlemkmlgceghijn"",")</f>
        <v>"dilkpbckgcjjlgpkejlemkmlgceghijn",</v>
      </c>
    </row>
    <row r="8321">
      <c r="A8321" s="4" t="s">
        <v>27500</v>
      </c>
      <c r="B8321" s="4" t="s">
        <v>16564</v>
      </c>
      <c r="C8321" s="16" t="str">
        <f>IFERROR(__xludf.DUMMYFUNCTION(""""""""" &amp; REGEXEXTRACT(B8321, ""/detail/([^/?]+)"") &amp; """""","""),"""edooflagimepjnndabmcdlahbfpagjcl"",")</f>
        <v>"edooflagimepjnndabmcdlahbfpagjcl",</v>
      </c>
    </row>
    <row r="8322">
      <c r="A8322" s="4" t="s">
        <v>27501</v>
      </c>
      <c r="B8322" s="4" t="s">
        <v>16566</v>
      </c>
      <c r="C8322" s="16" t="str">
        <f>IFERROR(__xludf.DUMMYFUNCTION(""""""""" &amp; REGEXEXTRACT(B8322, ""/detail/([^/?]+)"") &amp; """""","""),"""ekfkenjlcknadbafbcmenhkmphognnac"",")</f>
        <v>"ekfkenjlcknadbafbcmenhkmphognnac",</v>
      </c>
    </row>
    <row r="8323">
      <c r="A8323" s="4" t="s">
        <v>27502</v>
      </c>
      <c r="B8323" s="4" t="s">
        <v>16568</v>
      </c>
      <c r="C8323" s="16" t="str">
        <f>IFERROR(__xludf.DUMMYFUNCTION(""""""""" &amp; REGEXEXTRACT(B8323, ""/detail/([^/?]+)"") &amp; """""","""),"""fhailkcelmfnlidlgejaggffjepcemok"",")</f>
        <v>"fhailkcelmfnlidlgejaggffjepcemok",</v>
      </c>
    </row>
    <row r="8324">
      <c r="A8324" s="4" t="s">
        <v>27503</v>
      </c>
      <c r="B8324" s="4" t="s">
        <v>16570</v>
      </c>
      <c r="C8324" s="16" t="str">
        <f>IFERROR(__xludf.DUMMYFUNCTION(""""""""" &amp; REGEXEXTRACT(B8324, ""/detail/([^/?]+)"") &amp; """""","""),"""fobjnlgachlcppfalhpnmdllmjnfmfah"",")</f>
        <v>"fobjnlgachlcppfalhpnmdllmjnfmfah",</v>
      </c>
    </row>
    <row r="8325">
      <c r="A8325" s="4" t="s">
        <v>27504</v>
      </c>
      <c r="B8325" s="4" t="s">
        <v>16572</v>
      </c>
      <c r="C8325" s="16" t="str">
        <f>IFERROR(__xludf.DUMMYFUNCTION(""""""""" &amp; REGEXEXTRACT(B8325, ""/detail/([^/?]+)"") &amp; """""","""),"""nlignnkbnkkifeholilhddbhglllkcfk"",")</f>
        <v>"nlignnkbnkkifeholilhddbhglllkcfk",</v>
      </c>
    </row>
    <row r="8326">
      <c r="A8326" s="4" t="s">
        <v>27505</v>
      </c>
      <c r="B8326" s="4" t="s">
        <v>16574</v>
      </c>
      <c r="C8326" s="16" t="str">
        <f>IFERROR(__xludf.DUMMYFUNCTION(""""""""" &amp; REGEXEXTRACT(B8326, ""/detail/([^/?]+)"") &amp; """""","""),"""abpmhgifmihkfmihjkiknebekbemmcgo"",")</f>
        <v>"abpmhgifmihkfmihjkiknebekbemmcgo",</v>
      </c>
    </row>
    <row r="8327">
      <c r="A8327" s="4" t="s">
        <v>27506</v>
      </c>
      <c r="B8327" s="4" t="s">
        <v>16576</v>
      </c>
      <c r="C8327" s="16" t="str">
        <f>IFERROR(__xludf.DUMMYFUNCTION(""""""""" &amp; REGEXEXTRACT(B8327, ""/detail/([^/?]+)"") &amp; """""","""),"""amhaoajgjmbmibdnbgdebkmbcpicgnkj"",")</f>
        <v>"amhaoajgjmbmibdnbgdebkmbcpicgnkj",</v>
      </c>
    </row>
    <row r="8328">
      <c r="A8328" s="4" t="s">
        <v>27507</v>
      </c>
      <c r="B8328" s="4" t="s">
        <v>16578</v>
      </c>
      <c r="C8328" s="16" t="str">
        <f>IFERROR(__xludf.DUMMYFUNCTION(""""""""" &amp; REGEXEXTRACT(B8328, ""/detail/([^/?]+)"") &amp; """""","""),"""enaplnnogjaedomhckijdghdgmpcpngl"",")</f>
        <v>"enaplnnogjaedomhckijdghdgmpcpngl",</v>
      </c>
    </row>
    <row r="8329">
      <c r="A8329" s="4" t="s">
        <v>27508</v>
      </c>
      <c r="B8329" s="4" t="s">
        <v>16580</v>
      </c>
      <c r="C8329" s="16" t="str">
        <f>IFERROR(__xludf.DUMMYFUNCTION(""""""""" &amp; REGEXEXTRACT(B8329, ""/detail/([^/?]+)"") &amp; """""","""),"""hpoemnghlchaejpfdakaaoemehinbopf"",")</f>
        <v>"hpoemnghlchaejpfdakaaoemehinbopf",</v>
      </c>
    </row>
    <row r="8330">
      <c r="A8330" s="4" t="s">
        <v>27509</v>
      </c>
      <c r="B8330" s="4" t="s">
        <v>16582</v>
      </c>
      <c r="C8330" s="16" t="str">
        <f>IFERROR(__xludf.DUMMYFUNCTION(""""""""" &amp; REGEXEXTRACT(B8330, ""/detail/([^/?]+)"") &amp; """""","""),"""ioknjhjjcencfpdllmeoijbacekgbgdg"",")</f>
        <v>"ioknjhjjcencfpdllmeoijbacekgbgdg",</v>
      </c>
    </row>
    <row r="8331">
      <c r="A8331" s="4" t="s">
        <v>27510</v>
      </c>
      <c r="B8331" s="4" t="s">
        <v>16584</v>
      </c>
      <c r="C8331" s="16" t="str">
        <f>IFERROR(__xludf.DUMMYFUNCTION(""""""""" &amp; REGEXEXTRACT(B8331, ""/detail/([^/?]+)"") &amp; """""","""),"""jchnjaoenbpjjnfgnfhfljcdfhmpljic"",")</f>
        <v>"jchnjaoenbpjjnfgnfhfljcdfhmpljic",</v>
      </c>
    </row>
    <row r="8332">
      <c r="A8332" s="4" t="s">
        <v>27511</v>
      </c>
      <c r="B8332" s="4" t="s">
        <v>16586</v>
      </c>
      <c r="C8332" s="16" t="str">
        <f>IFERROR(__xludf.DUMMYFUNCTION(""""""""" &amp; REGEXEXTRACT(B8332, ""/detail/([^/?]+)"") &amp; """""","""),"""jkhdgcaplgmcaapihckchbkkcbcedhmi"",")</f>
        <v>"jkhdgcaplgmcaapihckchbkkcbcedhmi",</v>
      </c>
    </row>
    <row r="8333">
      <c r="A8333" s="4" t="s">
        <v>27512</v>
      </c>
      <c r="B8333" s="4" t="s">
        <v>16588</v>
      </c>
      <c r="C8333" s="16" t="str">
        <f>IFERROR(__xludf.DUMMYFUNCTION(""""""""" &amp; REGEXEXTRACT(B8333, ""/detail/([^/?]+)"") &amp; """""","""),"""jmflbifhkmjblfhmkpfdflfhphbinfjl"",")</f>
        <v>"jmflbifhkmjblfhmkpfdflfhphbinfjl",</v>
      </c>
    </row>
    <row r="8334">
      <c r="A8334" s="4" t="s">
        <v>27513</v>
      </c>
      <c r="B8334" s="4" t="s">
        <v>16590</v>
      </c>
      <c r="C8334" s="16" t="str">
        <f>IFERROR(__xludf.DUMMYFUNCTION(""""""""" &amp; REGEXEXTRACT(B8334, ""/detail/([^/?]+)"") &amp; """""","""),"""ehmheehfpmapjlodikilpobofjjhobaj"",")</f>
        <v>"ehmheehfpmapjlodikilpobofjjhobaj",</v>
      </c>
    </row>
    <row r="8335">
      <c r="A8335" s="4" t="s">
        <v>27514</v>
      </c>
      <c r="B8335" s="4" t="s">
        <v>16592</v>
      </c>
      <c r="C8335" s="16" t="str">
        <f>IFERROR(__xludf.DUMMYFUNCTION(""""""""" &amp; REGEXEXTRACT(B8335, ""/detail/([^/?]+)"") &amp; """""","""),"""imnodmdmelbigacgeladdbfnkoadecei"",")</f>
        <v>"imnodmdmelbigacgeladdbfnkoadecei",</v>
      </c>
    </row>
    <row r="8336">
      <c r="A8336" s="4" t="s">
        <v>27515</v>
      </c>
      <c r="B8336" s="4" t="s">
        <v>16594</v>
      </c>
      <c r="C8336" s="16" t="str">
        <f>IFERROR(__xludf.DUMMYFUNCTION(""""""""" &amp; REGEXEXTRACT(B8336, ""/detail/([^/?]+)"") &amp; """""","""),"""nlhnpmiknpimmdpjldadojameofboeja"",")</f>
        <v>"nlhnpmiknpimmdpjldadojameofboeja",</v>
      </c>
    </row>
    <row r="8337">
      <c r="A8337" s="4" t="s">
        <v>27516</v>
      </c>
      <c r="B8337" s="4" t="s">
        <v>16596</v>
      </c>
      <c r="C8337" s="16" t="str">
        <f>IFERROR(__xludf.DUMMYFUNCTION(""""""""" &amp; REGEXEXTRACT(B8337, ""/detail/([^/?]+)"") &amp; """""","""),"""hajkkfloelnggpmlehppgfhoncmghckc"",")</f>
        <v>"hajkkfloelnggpmlehppgfhoncmghckc",</v>
      </c>
    </row>
    <row r="8338">
      <c r="A8338" s="4" t="s">
        <v>27517</v>
      </c>
      <c r="B8338" s="4" t="s">
        <v>16598</v>
      </c>
      <c r="C8338" s="16" t="str">
        <f>IFERROR(__xludf.DUMMYFUNCTION(""""""""" &amp; REGEXEXTRACT(B8338, ""/detail/([^/?]+)"") &amp; """""","""),"""ikfnnjcmgeedlhlgpacghonphhnolobh"",")</f>
        <v>"ikfnnjcmgeedlhlgpacghonphhnolobh",</v>
      </c>
    </row>
    <row r="8339">
      <c r="A8339" s="4" t="s">
        <v>27518</v>
      </c>
      <c r="B8339" s="4" t="s">
        <v>16600</v>
      </c>
      <c r="C8339" s="16" t="str">
        <f>IFERROR(__xludf.DUMMYFUNCTION(""""""""" &amp; REGEXEXTRACT(B8339, ""/detail/([^/?]+)"") &amp; """""","""),"""mhnnniabbinkphbhmjdaigcbdicakdfn"",")</f>
        <v>"mhnnniabbinkphbhmjdaigcbdicakdfn",</v>
      </c>
    </row>
    <row r="8340">
      <c r="A8340" s="4" t="s">
        <v>27519</v>
      </c>
      <c r="B8340" s="4" t="s">
        <v>16602</v>
      </c>
      <c r="C8340" s="16" t="str">
        <f>IFERROR(__xludf.DUMMYFUNCTION(""""""""" &amp; REGEXEXTRACT(B8340, ""/detail/([^/?]+)"") &amp; """""","""),"""mphghokdjcoojfjbmldmjodgmbjchnlp"",")</f>
        <v>"mphghokdjcoojfjbmldmjodgmbjchnlp",</v>
      </c>
    </row>
    <row r="8341">
      <c r="A8341" s="4" t="s">
        <v>27520</v>
      </c>
      <c r="B8341" s="4" t="s">
        <v>16604</v>
      </c>
      <c r="C8341" s="16" t="str">
        <f>IFERROR(__xludf.DUMMYFUNCTION(""""""""" &amp; REGEXEXTRACT(B8341, ""/detail/([^/?]+)"") &amp; """""","""),"""ohgphcdjbnlbnkdooieahfmbmaaipogf"",")</f>
        <v>"ohgphcdjbnlbnkdooieahfmbmaaipogf",</v>
      </c>
    </row>
    <row r="8342">
      <c r="A8342" s="4" t="s">
        <v>27521</v>
      </c>
      <c r="B8342" s="4" t="s">
        <v>16606</v>
      </c>
      <c r="C8342" s="16" t="str">
        <f>IFERROR(__xludf.DUMMYFUNCTION(""""""""" &amp; REGEXEXTRACT(B8342, ""/detail/([^/?]+)"") &amp; """""","""),"""anbidaokdpljaipkcgihbooniklbfbfc"",")</f>
        <v>"anbidaokdpljaipkcgihbooniklbfbfc",</v>
      </c>
    </row>
    <row r="8343">
      <c r="A8343" s="4" t="s">
        <v>27522</v>
      </c>
      <c r="B8343" s="4" t="s">
        <v>16608</v>
      </c>
      <c r="C8343" s="16" t="str">
        <f>IFERROR(__xludf.DUMMYFUNCTION(""""""""" &amp; REGEXEXTRACT(B8343, ""/detail/([^/?]+)"") &amp; """""","""),"""gfmlaljopbojfghmafldbdecllafopom"",")</f>
        <v>"gfmlaljopbojfghmafldbdecllafopom",</v>
      </c>
    </row>
    <row r="8344">
      <c r="A8344" s="4" t="s">
        <v>27523</v>
      </c>
      <c r="B8344" s="4" t="s">
        <v>16610</v>
      </c>
      <c r="C8344" s="16" t="str">
        <f>IFERROR(__xludf.DUMMYFUNCTION(""""""""" &amp; REGEXEXTRACT(B8344, ""/detail/([^/?]+)"") &amp; """""","""),"""ocajbbmlgngfpanabollgdekcbcehcjd"",")</f>
        <v>"ocajbbmlgngfpanabollgdekcbcehcjd",</v>
      </c>
    </row>
    <row r="8345">
      <c r="A8345" s="4" t="s">
        <v>27524</v>
      </c>
      <c r="B8345" s="4" t="s">
        <v>16612</v>
      </c>
      <c r="C8345" s="16" t="str">
        <f>IFERROR(__xludf.DUMMYFUNCTION(""""""""" &amp; REGEXEXTRACT(B8345, ""/detail/([^/?]+)"") &amp; """""","""),"""bdohnoncgnjdlijjpnebkggepaocgopo"",")</f>
        <v>"bdohnoncgnjdlijjpnebkggepaocgopo",</v>
      </c>
    </row>
    <row r="8346">
      <c r="A8346" s="4" t="s">
        <v>27525</v>
      </c>
      <c r="B8346" s="4" t="s">
        <v>16614</v>
      </c>
      <c r="C8346" s="16" t="str">
        <f>IFERROR(__xludf.DUMMYFUNCTION(""""""""" &amp; REGEXEXTRACT(B8346, ""/detail/([^/?]+)"") &amp; """""","""),"""epfenpmnngonckanfoaehlnepjbjlmaa"",")</f>
        <v>"epfenpmnngonckanfoaehlnepjbjlmaa",</v>
      </c>
    </row>
    <row r="8347">
      <c r="A8347" s="4" t="s">
        <v>27526</v>
      </c>
      <c r="B8347" s="4" t="s">
        <v>16616</v>
      </c>
      <c r="C8347" s="16" t="str">
        <f>IFERROR(__xludf.DUMMYFUNCTION(""""""""" &amp; REGEXEXTRACT(B8347, ""/detail/([^/?]+)"") &amp; """""","""),"""pmmfkoldfghblakickfcpjpdhbbalaoh"",")</f>
        <v>"pmmfkoldfghblakickfcpjpdhbbalaoh",</v>
      </c>
    </row>
    <row r="8348">
      <c r="A8348" s="4" t="s">
        <v>27527</v>
      </c>
      <c r="B8348" s="4" t="s">
        <v>16618</v>
      </c>
      <c r="C8348" s="16" t="str">
        <f>IFERROR(__xludf.DUMMYFUNCTION(""""""""" &amp; REGEXEXTRACT(B8348, ""/detail/([^/?]+)"") &amp; """""","""),"""dmcghmgmohlfkaknkangmjnhdbejmcin"",")</f>
        <v>"dmcghmgmohlfkaknkangmjnhdbejmcin",</v>
      </c>
    </row>
    <row r="8349">
      <c r="A8349" s="4" t="s">
        <v>27528</v>
      </c>
      <c r="B8349" s="4" t="s">
        <v>16620</v>
      </c>
      <c r="C8349" s="16" t="str">
        <f>IFERROR(__xludf.DUMMYFUNCTION(""""""""" &amp; REGEXEXTRACT(B8349, ""/detail/([^/?]+)"") &amp; """""","""),"""ekilnbdikdapophfmkflnpphpcnpffff"",")</f>
        <v>"ekilnbdikdapophfmkflnpphpcnpffff",</v>
      </c>
    </row>
    <row r="8350">
      <c r="A8350" s="4" t="s">
        <v>27529</v>
      </c>
      <c r="B8350" s="4" t="s">
        <v>16622</v>
      </c>
      <c r="C8350" s="16" t="str">
        <f>IFERROR(__xludf.DUMMYFUNCTION(""""""""" &amp; REGEXEXTRACT(B8350, ""/detail/([^/?]+)"") &amp; """""","""),"""gohlodncmafjmajkfemnppioagfbjcpl"",")</f>
        <v>"gohlodncmafjmajkfemnppioagfbjcpl",</v>
      </c>
    </row>
    <row r="8351">
      <c r="A8351" s="4" t="s">
        <v>27530</v>
      </c>
      <c r="B8351" s="4" t="s">
        <v>16624</v>
      </c>
      <c r="C8351" s="16" t="str">
        <f>IFERROR(__xludf.DUMMYFUNCTION(""""""""" &amp; REGEXEXTRACT(B8351, ""/detail/([^/?]+)"") &amp; """""","""),"""mlmjeckehjikocbfihempdfhjdldnhgk"",")</f>
        <v>"mlmjeckehjikocbfihempdfhjdldnhgk",</v>
      </c>
    </row>
    <row r="8352">
      <c r="A8352" s="4" t="s">
        <v>27531</v>
      </c>
      <c r="B8352" s="4" t="s">
        <v>16626</v>
      </c>
      <c r="C8352" s="16" t="str">
        <f>IFERROR(__xludf.DUMMYFUNCTION(""""""""" &amp; REGEXEXTRACT(B8352, ""/detail/([^/?]+)"") &amp; """""","""),"""aojnohijgfljoaikgpmehcbhfpbdibnh"",")</f>
        <v>"aojnohijgfljoaikgpmehcbhfpbdibnh",</v>
      </c>
    </row>
    <row r="8353">
      <c r="A8353" s="4" t="s">
        <v>27532</v>
      </c>
      <c r="B8353" s="4" t="s">
        <v>16628</v>
      </c>
      <c r="C8353" s="16" t="str">
        <f>IFERROR(__xludf.DUMMYFUNCTION(""""""""" &amp; REGEXEXTRACT(B8353, ""/detail/([^/?]+)"") &amp; """""","""),"""fmichikmgflpgibapdhepmodjdjemmda"",")</f>
        <v>"fmichikmgflpgibapdhepmodjdjemmda",</v>
      </c>
    </row>
    <row r="8354">
      <c r="A8354" s="4" t="s">
        <v>27533</v>
      </c>
      <c r="B8354" s="4" t="s">
        <v>16630</v>
      </c>
      <c r="C8354" s="16" t="str">
        <f>IFERROR(__xludf.DUMMYFUNCTION(""""""""" &amp; REGEXEXTRACT(B8354, ""/detail/([^/?]+)"") &amp; """""","""),"""ibbmgejonlmocgjnkmabigdgbolcomea"",")</f>
        <v>"ibbmgejonlmocgjnkmabigdgbolcomea",</v>
      </c>
    </row>
    <row r="8355">
      <c r="A8355" s="4" t="s">
        <v>27534</v>
      </c>
      <c r="B8355" s="4" t="s">
        <v>16632</v>
      </c>
      <c r="C8355" s="16" t="str">
        <f>IFERROR(__xludf.DUMMYFUNCTION(""""""""" &amp; REGEXEXTRACT(B8355, ""/detail/([^/?]+)"") &amp; """""","""),"""jdlhbbfgmidmnfacbfpfejfllhcappci"",")</f>
        <v>"jdlhbbfgmidmnfacbfpfejfllhcappci",</v>
      </c>
    </row>
    <row r="8356">
      <c r="A8356" s="4" t="s">
        <v>27535</v>
      </c>
      <c r="B8356" s="4" t="s">
        <v>16634</v>
      </c>
      <c r="C8356" s="16" t="str">
        <f>IFERROR(__xludf.DUMMYFUNCTION(""""""""" &amp; REGEXEXTRACT(B8356, ""/detail/([^/?]+)"") &amp; """""","""),"""kdpimpkanipcikgpdogdejdbidmbfhem"",")</f>
        <v>"kdpimpkanipcikgpdogdejdbidmbfhem",</v>
      </c>
    </row>
    <row r="8357">
      <c r="A8357" s="4" t="s">
        <v>27536</v>
      </c>
      <c r="B8357" s="4" t="s">
        <v>16636</v>
      </c>
      <c r="C8357" s="16" t="str">
        <f>IFERROR(__xludf.DUMMYFUNCTION(""""""""" &amp; REGEXEXTRACT(B8357, ""/detail/([^/?]+)"") &amp; """""","""),"""oogbolppgglppleehdlkjmfpjchekdpl"",")</f>
        <v>"oogbolppgglppleehdlkjmfpjchekdpl",</v>
      </c>
    </row>
    <row r="8358">
      <c r="A8358" s="4" t="s">
        <v>27537</v>
      </c>
      <c r="B8358" s="4" t="s">
        <v>16638</v>
      </c>
      <c r="C8358" s="16" t="str">
        <f>IFERROR(__xludf.DUMMYFUNCTION(""""""""" &amp; REGEXEXTRACT(B8358, ""/detail/([^/?]+)"") &amp; """""","""),"""ppambhffhbblclhelfcclnjefonjijoa"",")</f>
        <v>"ppambhffhbblclhelfcclnjefonjijoa",</v>
      </c>
    </row>
    <row r="8359">
      <c r="A8359" s="4" t="s">
        <v>27538</v>
      </c>
      <c r="B8359" s="4" t="s">
        <v>16640</v>
      </c>
      <c r="C8359" s="16" t="str">
        <f>IFERROR(__xludf.DUMMYFUNCTION(""""""""" &amp; REGEXEXTRACT(B8359, ""/detail/([^/?]+)"") &amp; """""","""),"""akbikmmpkifiidiegdmhaancnfoeokbh"",")</f>
        <v>"akbikmmpkifiidiegdmhaancnfoeokbh",</v>
      </c>
    </row>
    <row r="8360">
      <c r="A8360" s="4" t="s">
        <v>27539</v>
      </c>
      <c r="B8360" s="4" t="s">
        <v>16642</v>
      </c>
      <c r="C8360" s="16" t="str">
        <f>IFERROR(__xludf.DUMMYFUNCTION(""""""""" &amp; REGEXEXTRACT(B8360, ""/detail/([^/?]+)"") &amp; """""","""),"""ekpmhbdmofhgphjjbejkefeaebflacog"",")</f>
        <v>"ekpmhbdmofhgphjjbejkefeaebflacog",</v>
      </c>
    </row>
    <row r="8361">
      <c r="A8361" s="4" t="s">
        <v>27540</v>
      </c>
      <c r="B8361" s="4" t="s">
        <v>16644</v>
      </c>
      <c r="C8361" s="16" t="str">
        <f>IFERROR(__xludf.DUMMYFUNCTION(""""""""" &amp; REGEXEXTRACT(B8361, ""/detail/([^/?]+)"") &amp; """""","""),"""kngnmjeonknomjlmiphobdignngijjaa"",")</f>
        <v>"kngnmjeonknomjlmiphobdignngijjaa",</v>
      </c>
    </row>
    <row r="8362">
      <c r="A8362" s="4" t="s">
        <v>27541</v>
      </c>
      <c r="B8362" s="4" t="s">
        <v>16646</v>
      </c>
      <c r="C8362" s="16" t="str">
        <f>IFERROR(__xludf.DUMMYFUNCTION(""""""""" &amp; REGEXEXTRACT(B8362, ""/detail/([^/?]+)"") &amp; """""","""),"""ndemdbbnlookindnmbdcaffdllkfodif"",")</f>
        <v>"ndemdbbnlookindnmbdcaffdllkfodif",</v>
      </c>
    </row>
    <row r="8363">
      <c r="A8363" s="4" t="s">
        <v>27542</v>
      </c>
      <c r="B8363" s="4" t="s">
        <v>16648</v>
      </c>
      <c r="C8363" s="16" t="str">
        <f>IFERROR(__xludf.DUMMYFUNCTION(""""""""" &amp; REGEXEXTRACT(B8363, ""/detail/([^/?]+)"") &amp; """""","""),"""bkdpdcgcbkkohcelcibdenakcngkmamg"",")</f>
        <v>"bkdpdcgcbkkohcelcibdenakcngkmamg",</v>
      </c>
    </row>
    <row r="8364">
      <c r="A8364" s="4" t="s">
        <v>27543</v>
      </c>
      <c r="B8364" s="4" t="s">
        <v>16650</v>
      </c>
      <c r="C8364" s="16" t="str">
        <f>IFERROR(__xludf.DUMMYFUNCTION(""""""""" &amp; REGEXEXTRACT(B8364, ""/detail/([^/?]+)"") &amp; """""","""),"""dkilgaafooiibcdkhgnhialfmbdgkfae"",")</f>
        <v>"dkilgaafooiibcdkhgnhialfmbdgkfae",</v>
      </c>
    </row>
    <row r="8365">
      <c r="A8365" s="4" t="s">
        <v>27544</v>
      </c>
      <c r="B8365" s="4" t="s">
        <v>16652</v>
      </c>
      <c r="C8365" s="16" t="str">
        <f>IFERROR(__xludf.DUMMYFUNCTION(""""""""" &amp; REGEXEXTRACT(B8365, ""/detail/([^/?]+)"") &amp; """""","""),"""foejegkpnomadfpnaofmhcbgmfejboge"",")</f>
        <v>"foejegkpnomadfpnaofmhcbgmfejboge",</v>
      </c>
    </row>
    <row r="8366">
      <c r="A8366" s="4" t="s">
        <v>27545</v>
      </c>
      <c r="B8366" s="4" t="s">
        <v>16654</v>
      </c>
      <c r="C8366" s="16" t="str">
        <f>IFERROR(__xludf.DUMMYFUNCTION(""""""""" &amp; REGEXEXTRACT(B8366, ""/detail/([^/?]+)"") &amp; """""","""),"""gpkabcbkpmgnhbnophinkkbgkkfknjne"",")</f>
        <v>"gpkabcbkpmgnhbnophinkkbgkkfknjne",</v>
      </c>
    </row>
    <row r="8367">
      <c r="A8367" s="4" t="s">
        <v>27546</v>
      </c>
      <c r="B8367" s="4" t="s">
        <v>16656</v>
      </c>
      <c r="C8367" s="16" t="str">
        <f>IFERROR(__xludf.DUMMYFUNCTION(""""""""" &amp; REGEXEXTRACT(B8367, ""/detail/([^/?]+)"") &amp; """""","""),"""jefepjcokpcjcemgcganhhfbgkfgijdh"",")</f>
        <v>"jefepjcokpcjcemgcganhhfbgkfgijdh",</v>
      </c>
    </row>
    <row r="8368">
      <c r="A8368" s="4" t="s">
        <v>27547</v>
      </c>
      <c r="B8368" s="4" t="s">
        <v>16658</v>
      </c>
      <c r="C8368" s="16" t="str">
        <f>IFERROR(__xludf.DUMMYFUNCTION(""""""""" &amp; REGEXEXTRACT(B8368, ""/detail/([^/?]+)"") &amp; """""","""),"""emcbbfefhbnpklilnlijonjanehjnfdi"",")</f>
        <v>"emcbbfefhbnpklilnlijonjanehjnfdi",</v>
      </c>
    </row>
    <row r="8369">
      <c r="A8369" s="4" t="s">
        <v>27548</v>
      </c>
      <c r="B8369" s="4" t="s">
        <v>16660</v>
      </c>
      <c r="C8369" s="16" t="str">
        <f>IFERROR(__xludf.DUMMYFUNCTION(""""""""" &amp; REGEXEXTRACT(B8369, ""/detail/([^/?]+)"") &amp; """""","""),"""fjbngkpiplemfiflfmbhbjicmmfdcgni"",")</f>
        <v>"fjbngkpiplemfiflfmbhbjicmmfdcgni",</v>
      </c>
    </row>
    <row r="8370">
      <c r="A8370" s="4" t="s">
        <v>27549</v>
      </c>
      <c r="B8370" s="4" t="s">
        <v>16662</v>
      </c>
      <c r="C8370" s="16" t="str">
        <f>IFERROR(__xludf.DUMMYFUNCTION(""""""""" &amp; REGEXEXTRACT(B8370, ""/detail/([^/?]+)"") &amp; """""","""),"""fjdejejennfkoeghchlkjfmdlhoeebjc"",")</f>
        <v>"fjdejejennfkoeghchlkjfmdlhoeebjc",</v>
      </c>
    </row>
    <row r="8371">
      <c r="A8371" s="4" t="s">
        <v>27550</v>
      </c>
      <c r="B8371" s="4" t="s">
        <v>16664</v>
      </c>
      <c r="C8371" s="16" t="str">
        <f>IFERROR(__xludf.DUMMYFUNCTION(""""""""" &amp; REGEXEXTRACT(B8371, ""/detail/([^/?]+)"") &amp; """""","""),"""fklfhmpplflfonommkogigohiblgmiid"",")</f>
        <v>"fklfhmpplflfonommkogigohiblgmiid",</v>
      </c>
    </row>
    <row r="8372">
      <c r="A8372" s="4" t="s">
        <v>27551</v>
      </c>
      <c r="B8372" s="4" t="s">
        <v>16666</v>
      </c>
      <c r="C8372" s="16" t="str">
        <f>IFERROR(__xludf.DUMMYFUNCTION(""""""""" &amp; REGEXEXTRACT(B8372, ""/detail/([^/?]+)"") &amp; """""","""),"""fphiheficgnpphmjdliclanppccfgifl"",")</f>
        <v>"fphiheficgnpphmjdliclanppccfgifl",</v>
      </c>
    </row>
    <row r="8373">
      <c r="A8373" s="4" t="s">
        <v>27552</v>
      </c>
      <c r="B8373" s="4" t="s">
        <v>16668</v>
      </c>
      <c r="C8373" s="16" t="str">
        <f>IFERROR(__xludf.DUMMYFUNCTION(""""""""" &amp; REGEXEXTRACT(B8373, ""/detail/([^/?]+)"") &amp; """""","""),"""hcjhjbmpmnemeejoleljopmmfbcncbao"",")</f>
        <v>"hcjhjbmpmnemeejoleljopmmfbcncbao",</v>
      </c>
    </row>
    <row r="8374">
      <c r="A8374" s="4" t="s">
        <v>27553</v>
      </c>
      <c r="B8374" s="4" t="s">
        <v>16670</v>
      </c>
      <c r="C8374" s="16" t="str">
        <f>IFERROR(__xludf.DUMMYFUNCTION(""""""""" &amp; REGEXEXTRACT(B8374, ""/detail/([^/?]+)"") &amp; """""","""),"""lakflicggollbhfjonbcpgnakngepdgc"",")</f>
        <v>"lakflicggollbhfjonbcpgnakngepdgc",</v>
      </c>
    </row>
    <row r="8375">
      <c r="A8375" s="4" t="s">
        <v>27554</v>
      </c>
      <c r="B8375" s="4" t="s">
        <v>16672</v>
      </c>
      <c r="C8375" s="16" t="str">
        <f>IFERROR(__xludf.DUMMYFUNCTION(""""""""" &amp; REGEXEXTRACT(B8375, ""/detail/([^/?]+)"") &amp; """""","""),"""lhibffeamhlmgdhohnjcnlckebkkdjim"",")</f>
        <v>"lhibffeamhlmgdhohnjcnlckebkkdjim",</v>
      </c>
    </row>
    <row r="8376">
      <c r="A8376" s="4" t="s">
        <v>27555</v>
      </c>
      <c r="B8376" s="4" t="s">
        <v>16674</v>
      </c>
      <c r="C8376" s="16" t="str">
        <f>IFERROR(__xludf.DUMMYFUNCTION(""""""""" &amp; REGEXEXTRACT(B8376, ""/detail/([^/?]+)"") &amp; """""","""),"""adcbgphpofiknockeadfpohfffchliii"",")</f>
        <v>"adcbgphpofiknockeadfpohfffchliii",</v>
      </c>
    </row>
    <row r="8377">
      <c r="A8377" s="4" t="s">
        <v>27556</v>
      </c>
      <c r="B8377" s="4" t="s">
        <v>16676</v>
      </c>
      <c r="C8377" s="16" t="str">
        <f>IFERROR(__xludf.DUMMYFUNCTION(""""""""" &amp; REGEXEXTRACT(B8377, ""/detail/([^/?]+)"") &amp; """""","""),"""bbknefcaioodfgiohopbfddegglmlbhc"",")</f>
        <v>"bbknefcaioodfgiohopbfddegglmlbhc",</v>
      </c>
    </row>
    <row r="8378">
      <c r="A8378" s="4" t="s">
        <v>27557</v>
      </c>
      <c r="B8378" s="4" t="s">
        <v>16678</v>
      </c>
      <c r="C8378" s="16" t="str">
        <f>IFERROR(__xludf.DUMMYFUNCTION(""""""""" &amp; REGEXEXTRACT(B8378, ""/detail/([^/?]+)"") &amp; """""","""),"""cpbbkedomfmihdhdphhggbpcodeoljfm"",")</f>
        <v>"cpbbkedomfmihdhdphhggbpcodeoljfm",</v>
      </c>
    </row>
    <row r="8379">
      <c r="A8379" s="4" t="s">
        <v>27558</v>
      </c>
      <c r="B8379" s="4" t="s">
        <v>16680</v>
      </c>
      <c r="C8379" s="16" t="str">
        <f>IFERROR(__xludf.DUMMYFUNCTION(""""""""" &amp; REGEXEXTRACT(B8379, ""/detail/([^/?]+)"") &amp; """""","""),"""gdeobcpobkpjgllegccnegmigcockmed"",")</f>
        <v>"gdeobcpobkpjgllegccnegmigcockmed",</v>
      </c>
    </row>
    <row r="8380">
      <c r="A8380" s="4" t="s">
        <v>27559</v>
      </c>
      <c r="B8380" s="4" t="s">
        <v>16682</v>
      </c>
      <c r="C8380" s="16" t="str">
        <f>IFERROR(__xludf.DUMMYFUNCTION(""""""""" &amp; REGEXEXTRACT(B8380, ""/detail/([^/?]+)"") &amp; """""","""),"""ijkpkehidneobagkboaoapccnfnnmemg"",")</f>
        <v>"ijkpkehidneobagkboaoapccnfnnmemg",</v>
      </c>
    </row>
    <row r="8381">
      <c r="A8381" s="4" t="s">
        <v>27560</v>
      </c>
      <c r="B8381" s="4" t="s">
        <v>16684</v>
      </c>
      <c r="C8381" s="16" t="str">
        <f>IFERROR(__xludf.DUMMYFUNCTION(""""""""" &amp; REGEXEXTRACT(B8381, ""/detail/([^/?]+)"") &amp; """""","""),"""iobhdbbomjpihclcfdcedekcigollffc"",")</f>
        <v>"iobhdbbomjpihclcfdcedekcigollffc",</v>
      </c>
    </row>
    <row r="8382">
      <c r="A8382" s="4" t="s">
        <v>27561</v>
      </c>
      <c r="B8382" s="4" t="s">
        <v>16686</v>
      </c>
      <c r="C8382" s="16" t="str">
        <f>IFERROR(__xludf.DUMMYFUNCTION(""""""""" &amp; REGEXEXTRACT(B8382, ""/detail/([^/?]+)"") &amp; """""","""),"""kaignighoceeemhinbbophdeogpnedjn"",")</f>
        <v>"kaignighoceeemhinbbophdeogpnedjn",</v>
      </c>
    </row>
    <row r="8383">
      <c r="A8383" s="4" t="s">
        <v>27562</v>
      </c>
      <c r="B8383" s="4" t="s">
        <v>16688</v>
      </c>
      <c r="C8383" s="16" t="str">
        <f>IFERROR(__xludf.DUMMYFUNCTION(""""""""" &amp; REGEXEXTRACT(B8383, ""/detail/([^/?]+)"") &amp; """""","""),"""keecdmdfhddgmiclpcmhgeamfaecamll"",")</f>
        <v>"keecdmdfhddgmiclpcmhgeamfaecamll",</v>
      </c>
    </row>
    <row r="8384">
      <c r="A8384" s="4" t="s">
        <v>27563</v>
      </c>
      <c r="B8384" s="4" t="s">
        <v>16690</v>
      </c>
      <c r="C8384" s="16" t="str">
        <f>IFERROR(__xludf.DUMMYFUNCTION(""""""""" &amp; REGEXEXTRACT(B8384, ""/detail/([^/?]+)"") &amp; """""","""),"""mlgblhjjbecaeiocopmpceegpdeflmke"",")</f>
        <v>"mlgblhjjbecaeiocopmpceegpdeflmke",</v>
      </c>
    </row>
    <row r="8385">
      <c r="A8385" s="4" t="s">
        <v>27564</v>
      </c>
      <c r="B8385" s="4" t="s">
        <v>16692</v>
      </c>
      <c r="C8385" s="16" t="str">
        <f>IFERROR(__xludf.DUMMYFUNCTION(""""""""" &amp; REGEXEXTRACT(B8385, ""/detail/([^/?]+)"") &amp; """""","""),"""dpbikgdikjegmkpihbiokijjenonebga"",")</f>
        <v>"dpbikgdikjegmkpihbiokijjenonebga",</v>
      </c>
    </row>
    <row r="8386">
      <c r="A8386" s="4" t="s">
        <v>27565</v>
      </c>
      <c r="B8386" s="4" t="s">
        <v>16694</v>
      </c>
      <c r="C8386" s="16" t="str">
        <f>IFERROR(__xludf.DUMMYFUNCTION(""""""""" &amp; REGEXEXTRACT(B8386, ""/detail/([^/?]+)"") &amp; """""","""),"""fdhmmlghpocfmbcjhjjhnjhbbnigaiin"",")</f>
        <v>"fdhmmlghpocfmbcjhjjhnjhbbnigaiin",</v>
      </c>
    </row>
    <row r="8387">
      <c r="A8387" s="4" t="s">
        <v>27566</v>
      </c>
      <c r="B8387" s="4" t="s">
        <v>16696</v>
      </c>
      <c r="C8387" s="16" t="str">
        <f>IFERROR(__xludf.DUMMYFUNCTION(""""""""" &amp; REGEXEXTRACT(B8387, ""/detail/([^/?]+)"") &amp; """""","""),"""nbiddhncecgemgccalnoanpnenalmkic"",")</f>
        <v>"nbiddhncecgemgccalnoanpnenalmkic",</v>
      </c>
    </row>
    <row r="8388">
      <c r="A8388" s="4" t="s">
        <v>27567</v>
      </c>
      <c r="B8388" s="4" t="s">
        <v>16698</v>
      </c>
      <c r="C8388" s="16" t="str">
        <f>IFERROR(__xludf.DUMMYFUNCTION(""""""""" &amp; REGEXEXTRACT(B8388, ""/detail/([^/?]+)"") &amp; """""","""),"""pkmdjabelopohmbkdehdanmkpoobecca"",")</f>
        <v>"pkmdjabelopohmbkdehdanmkpoobecca",</v>
      </c>
    </row>
    <row r="8389">
      <c r="A8389" s="4" t="s">
        <v>27568</v>
      </c>
      <c r="B8389" s="4" t="s">
        <v>16700</v>
      </c>
      <c r="C8389" s="16" t="str">
        <f>IFERROR(__xludf.DUMMYFUNCTION(""""""""" &amp; REGEXEXTRACT(B8389, ""/detail/([^/?]+)"") &amp; """""","""),"""dnacbdkmnedgahgcogbeecmgjlmkjgpf"",")</f>
        <v>"dnacbdkmnedgahgcogbeecmgjlmkjgpf",</v>
      </c>
    </row>
    <row r="8390">
      <c r="A8390" s="4" t="s">
        <v>27569</v>
      </c>
      <c r="B8390" s="4" t="s">
        <v>16702</v>
      </c>
      <c r="C8390" s="16" t="str">
        <f>IFERROR(__xludf.DUMMYFUNCTION(""""""""" &amp; REGEXEXTRACT(B8390, ""/detail/([^/?]+)"") &amp; """""","""),"""fpmhfgogalamnijkkcddamnobhdioedn"",")</f>
        <v>"fpmhfgogalamnijkkcddamnobhdioedn",</v>
      </c>
    </row>
    <row r="8391">
      <c r="A8391" s="4" t="s">
        <v>27570</v>
      </c>
      <c r="B8391" s="4" t="s">
        <v>16704</v>
      </c>
      <c r="C8391" s="16" t="str">
        <f>IFERROR(__xludf.DUMMYFUNCTION(""""""""" &amp; REGEXEXTRACT(B8391, ""/detail/([^/?]+)"") &amp; """""","""),"""gkicmebfnjalhhmhljadbocnjgblkbil"",")</f>
        <v>"gkicmebfnjalhhmhljadbocnjgblkbil",</v>
      </c>
    </row>
    <row r="8392">
      <c r="A8392" s="4" t="s">
        <v>27571</v>
      </c>
      <c r="B8392" s="4" t="s">
        <v>16706</v>
      </c>
      <c r="C8392" s="16" t="str">
        <f>IFERROR(__xludf.DUMMYFUNCTION(""""""""" &amp; REGEXEXTRACT(B8392, ""/detail/([^/?]+)"") &amp; """""","""),"""jbbplengggjdnlghliebnhfbemmfmcjd"",")</f>
        <v>"jbbplengggjdnlghliebnhfbemmfmcjd",</v>
      </c>
    </row>
    <row r="8393">
      <c r="A8393" s="4" t="s">
        <v>27572</v>
      </c>
      <c r="B8393" s="4" t="s">
        <v>16708</v>
      </c>
      <c r="C8393" s="16" t="str">
        <f>IFERROR(__xludf.DUMMYFUNCTION(""""""""" &amp; REGEXEXTRACT(B8393, ""/detail/([^/?]+)"") &amp; """""","""),"""ncbifbdnlggnffchafbdiefobpabajkb"",")</f>
        <v>"ncbifbdnlggnffchafbdiefobpabajkb",</v>
      </c>
    </row>
    <row r="8394">
      <c r="A8394" s="4" t="s">
        <v>27573</v>
      </c>
      <c r="B8394" s="4" t="s">
        <v>16710</v>
      </c>
      <c r="C8394" s="16" t="str">
        <f>IFERROR(__xludf.DUMMYFUNCTION(""""""""" &amp; REGEXEXTRACT(B8394, ""/detail/([^/?]+)"") &amp; """""","""),"""olnkhcjfknjcodoclmhfcgklcmjfpale"",")</f>
        <v>"olnkhcjfknjcodoclmhfcgklcmjfpale",</v>
      </c>
    </row>
    <row r="8395">
      <c r="A8395" s="4" t="s">
        <v>27574</v>
      </c>
      <c r="B8395" s="4" t="s">
        <v>16712</v>
      </c>
      <c r="C8395" s="16" t="str">
        <f>IFERROR(__xludf.DUMMYFUNCTION(""""""""" &amp; REGEXEXTRACT(B8395, ""/detail/([^/?]+)"") &amp; """""","""),"""aaalbidinndddbgmcofhfmgjjgneldhi"",")</f>
        <v>"aaalbidinndddbgmcofhfmgjjgneldhi",</v>
      </c>
    </row>
    <row r="8396">
      <c r="A8396" s="4" t="s">
        <v>27575</v>
      </c>
      <c r="B8396" s="4" t="s">
        <v>16714</v>
      </c>
      <c r="C8396" s="16" t="str">
        <f>IFERROR(__xludf.DUMMYFUNCTION(""""""""" &amp; REGEXEXTRACT(B8396, ""/detail/([^/?]+)"") &amp; """""","""),"""gpebdilgknpneddfhbnjcaibdklimggo"",")</f>
        <v>"gpebdilgknpneddfhbnjcaibdklimggo",</v>
      </c>
    </row>
    <row r="8397">
      <c r="A8397" s="4" t="s">
        <v>27576</v>
      </c>
      <c r="B8397" s="4" t="s">
        <v>16716</v>
      </c>
      <c r="C8397" s="16" t="str">
        <f>IFERROR(__xludf.DUMMYFUNCTION(""""""""" &amp; REGEXEXTRACT(B8397, ""/detail/([^/?]+)"") &amp; """""","""),"""ieelccadneohfiecpoocjoaolcaglmfp"",")</f>
        <v>"ieelccadneohfiecpoocjoaolcaglmfp",</v>
      </c>
    </row>
    <row r="8398">
      <c r="A8398" s="4" t="s">
        <v>27577</v>
      </c>
      <c r="B8398" s="4" t="s">
        <v>16718</v>
      </c>
      <c r="C8398" s="16" t="str">
        <f>IFERROR(__xludf.DUMMYFUNCTION(""""""""" &amp; REGEXEXTRACT(B8398, ""/detail/([^/?]+)"") &amp; """""","""),"""jgnkkambbdmhfdbdbkljlenddlbplhal"",")</f>
        <v>"jgnkkambbdmhfdbdbkljlenddlbplhal",</v>
      </c>
    </row>
    <row r="8399">
      <c r="A8399" s="4" t="s">
        <v>27578</v>
      </c>
      <c r="B8399" s="4" t="s">
        <v>16720</v>
      </c>
      <c r="C8399" s="16" t="str">
        <f>IFERROR(__xludf.DUMMYFUNCTION(""""""""" &amp; REGEXEXTRACT(B8399, ""/detail/([^/?]+)"") &amp; """""","""),"""kagpicheakoeomjijdjclddhlmjhijbg"",")</f>
        <v>"kagpicheakoeomjijdjclddhlmjhijbg",</v>
      </c>
    </row>
    <row r="8400">
      <c r="A8400" s="4" t="s">
        <v>27579</v>
      </c>
      <c r="B8400" s="4" t="s">
        <v>16722</v>
      </c>
      <c r="C8400" s="16" t="str">
        <f>IFERROR(__xludf.DUMMYFUNCTION(""""""""" &amp; REGEXEXTRACT(B8400, ""/detail/([^/?]+)"") &amp; """""","""),"""kdlddcggilfnadgpodhimkchdgcfobba"",")</f>
        <v>"kdlddcggilfnadgpodhimkchdgcfobba",</v>
      </c>
    </row>
    <row r="8401">
      <c r="A8401" s="4" t="s">
        <v>27580</v>
      </c>
      <c r="B8401" s="4" t="s">
        <v>16724</v>
      </c>
      <c r="C8401" s="16" t="str">
        <f>IFERROR(__xludf.DUMMYFUNCTION(""""""""" &amp; REGEXEXTRACT(B8401, ""/detail/([^/?]+)"") &amp; """""","""),"""fpacodjpmmabkjooobgbpgpmgbfjidkg"",")</f>
        <v>"fpacodjpmmabkjooobgbpgpmgbfjidkg",</v>
      </c>
    </row>
    <row r="8402">
      <c r="A8402" s="4" t="s">
        <v>27581</v>
      </c>
      <c r="B8402" s="4" t="s">
        <v>16726</v>
      </c>
      <c r="C8402" s="16" t="str">
        <f>IFERROR(__xludf.DUMMYFUNCTION(""""""""" &amp; REGEXEXTRACT(B8402, ""/detail/([^/?]+)"") &amp; """""","""),"""jnhbbkmdjdehejoajlcjhcdlofkchcbj"",")</f>
        <v>"jnhbbkmdjdehejoajlcjhcdlofkchcbj",</v>
      </c>
    </row>
    <row r="8403">
      <c r="A8403" s="4" t="s">
        <v>27582</v>
      </c>
      <c r="B8403" s="4" t="s">
        <v>16728</v>
      </c>
      <c r="C8403" s="16" t="str">
        <f>IFERROR(__xludf.DUMMYFUNCTION(""""""""" &amp; REGEXEXTRACT(B8403, ""/detail/([^/?]+)"") &amp; """""","""),"""logajabhacnmnleejlahephdeeblooep"",")</f>
        <v>"logajabhacnmnleejlahephdeeblooep",</v>
      </c>
    </row>
    <row r="8404">
      <c r="A8404" s="4" t="s">
        <v>27583</v>
      </c>
      <c r="B8404" s="4" t="s">
        <v>16730</v>
      </c>
      <c r="C8404" s="16" t="str">
        <f>IFERROR(__xludf.DUMMYFUNCTION(""""""""" &amp; REGEXEXTRACT(B8404, ""/detail/([^/?]+)"") &amp; """""","""),"""ommeeoflbjpjkklmccchckbdgeolhmgi"",")</f>
        <v>"ommeeoflbjpjkklmccchckbdgeolhmgi",</v>
      </c>
    </row>
    <row r="8405">
      <c r="A8405" s="4" t="s">
        <v>27584</v>
      </c>
      <c r="B8405" s="4" t="s">
        <v>16732</v>
      </c>
      <c r="C8405" s="16" t="str">
        <f>IFERROR(__xludf.DUMMYFUNCTION(""""""""" &amp; REGEXEXTRACT(B8405, ""/detail/([^/?]+)"") &amp; """""","""),"""pmjnmgcmdciabldfleoikhkdjgojheic"",")</f>
        <v>"pmjnmgcmdciabldfleoikhkdjgojheic",</v>
      </c>
    </row>
    <row r="8406">
      <c r="A8406" s="4" t="s">
        <v>27585</v>
      </c>
      <c r="B8406" s="4" t="s">
        <v>16734</v>
      </c>
      <c r="C8406" s="16" t="str">
        <f>IFERROR(__xludf.DUMMYFUNCTION(""""""""" &amp; REGEXEXTRACT(B8406, ""/detail/([^/?]+)"") &amp; """""","""),"""cjifeclbknmlhapifaiaocfcbahinlji"",")</f>
        <v>"cjifeclbknmlhapifaiaocfcbahinlji",</v>
      </c>
    </row>
    <row r="8407">
      <c r="A8407" s="4" t="s">
        <v>27586</v>
      </c>
      <c r="B8407" s="4" t="s">
        <v>16736</v>
      </c>
      <c r="C8407" s="16" t="str">
        <f>IFERROR(__xludf.DUMMYFUNCTION(""""""""" &amp; REGEXEXTRACT(B8407, ""/detail/([^/?]+)"") &amp; """""","""),"""jemdgiimoenlbpbkjpacjbkjmhgopaei"",")</f>
        <v>"jemdgiimoenlbpbkjpacjbkjmhgopaei",</v>
      </c>
    </row>
    <row r="8408">
      <c r="A8408" s="4" t="s">
        <v>27587</v>
      </c>
      <c r="B8408" s="4" t="s">
        <v>16738</v>
      </c>
      <c r="C8408" s="16" t="str">
        <f>IFERROR(__xludf.DUMMYFUNCTION(""""""""" &amp; REGEXEXTRACT(B8408, ""/detail/([^/?]+)"") &amp; """""","""),"""mfekhoaagncindpjeenfenjmnbolofdi"",")</f>
        <v>"mfekhoaagncindpjeenfenjmnbolofdi",</v>
      </c>
    </row>
    <row r="8409">
      <c r="A8409" s="4" t="s">
        <v>27588</v>
      </c>
      <c r="B8409" s="4" t="s">
        <v>16740</v>
      </c>
      <c r="C8409" s="16" t="str">
        <f>IFERROR(__xludf.DUMMYFUNCTION(""""""""" &amp; REGEXEXTRACT(B8409, ""/detail/([^/?]+)"") &amp; """""","""),"""mlajdeeelocdhmckdgmnadnekmleljnm"",")</f>
        <v>"mlajdeeelocdhmckdgmnadnekmleljnm",</v>
      </c>
    </row>
    <row r="8410">
      <c r="A8410" s="4" t="s">
        <v>27589</v>
      </c>
      <c r="B8410" s="4" t="s">
        <v>16742</v>
      </c>
      <c r="C8410" s="16" t="str">
        <f>IFERROR(__xludf.DUMMYFUNCTION(""""""""" &amp; REGEXEXTRACT(B8410, ""/detail/([^/?]+)"") &amp; """""","""),"""nelklinoajfblccjokadcagladfhommg"",")</f>
        <v>"nelklinoajfblccjokadcagladfhommg",</v>
      </c>
    </row>
    <row r="8411">
      <c r="A8411" s="4" t="s">
        <v>27590</v>
      </c>
      <c r="B8411" s="4" t="s">
        <v>16744</v>
      </c>
      <c r="C8411" s="16" t="str">
        <f>IFERROR(__xludf.DUMMYFUNCTION(""""""""" &amp; REGEXEXTRACT(B8411, ""/detail/([^/?]+)"") &amp; """""","""),"""ocikmedcpndmeipmaiajklkjggdiglcj"",")</f>
        <v>"ocikmedcpndmeipmaiajklkjggdiglcj",</v>
      </c>
    </row>
    <row r="8412">
      <c r="A8412" s="4" t="s">
        <v>27591</v>
      </c>
      <c r="B8412" s="4" t="s">
        <v>16746</v>
      </c>
      <c r="C8412" s="16" t="str">
        <f>IFERROR(__xludf.DUMMYFUNCTION(""""""""" &amp; REGEXEXTRACT(B8412, ""/detail/([^/?]+)"") &amp; """""","""),"""dfapkieamcdbicdffjpgcdbjobffkdag"",")</f>
        <v>"dfapkieamcdbicdffjpgcdbjobffkdag",</v>
      </c>
    </row>
    <row r="8413">
      <c r="A8413" s="4" t="s">
        <v>27592</v>
      </c>
      <c r="B8413" s="4" t="s">
        <v>16748</v>
      </c>
      <c r="C8413" s="16" t="str">
        <f>IFERROR(__xludf.DUMMYFUNCTION(""""""""" &amp; REGEXEXTRACT(B8413, ""/detail/([^/?]+)"") &amp; """""","""),"""fiakfefleilhjceopkofaegcnmcoobhj"",")</f>
        <v>"fiakfefleilhjceopkofaegcnmcoobhj",</v>
      </c>
    </row>
    <row r="8414">
      <c r="A8414" s="4" t="s">
        <v>27593</v>
      </c>
      <c r="B8414" s="4" t="s">
        <v>16750</v>
      </c>
      <c r="C8414" s="16" t="str">
        <f>IFERROR(__xludf.DUMMYFUNCTION(""""""""" &amp; REGEXEXTRACT(B8414, ""/detail/([^/?]+)"") &amp; """""","""),"""fkikabammcheoknpemcdhpiclllmpdoh"",")</f>
        <v>"fkikabammcheoknpemcdhpiclllmpdoh",</v>
      </c>
    </row>
    <row r="8415">
      <c r="A8415" s="4" t="s">
        <v>27594</v>
      </c>
      <c r="B8415" s="4" t="s">
        <v>16752</v>
      </c>
      <c r="C8415" s="16" t="str">
        <f>IFERROR(__xludf.DUMMYFUNCTION(""""""""" &amp; REGEXEXTRACT(B8415, ""/detail/([^/?]+)"") &amp; """""","""),"""gmohgpemjcebmklhpkojfgogfpkmcgfj"",")</f>
        <v>"gmohgpemjcebmklhpkojfgogfpkmcgfj",</v>
      </c>
    </row>
    <row r="8416">
      <c r="A8416" s="4" t="s">
        <v>27595</v>
      </c>
      <c r="B8416" s="4" t="s">
        <v>16754</v>
      </c>
      <c r="C8416" s="16" t="str">
        <f>IFERROR(__xludf.DUMMYFUNCTION(""""""""" &amp; REGEXEXTRACT(B8416, ""/detail/([^/?]+)"") &amp; """""","""),"""kdkochodolnbncigpmpenjjohjlkccii"",")</f>
        <v>"kdkochodolnbncigpmpenjjohjlkccii",</v>
      </c>
    </row>
    <row r="8417">
      <c r="A8417" s="4" t="s">
        <v>27596</v>
      </c>
      <c r="B8417" s="4" t="s">
        <v>16756</v>
      </c>
      <c r="C8417" s="16" t="str">
        <f>IFERROR(__xludf.DUMMYFUNCTION(""""""""" &amp; REGEXEXTRACT(B8417, ""/detail/([^/?]+)"") &amp; """""","""),"""llkhmcjkflajcgioljbamhcepjgpgibj"",")</f>
        <v>"llkhmcjkflajcgioljbamhcepjgpgibj",</v>
      </c>
    </row>
    <row r="8418">
      <c r="A8418" s="4" t="s">
        <v>27597</v>
      </c>
      <c r="B8418" s="4" t="s">
        <v>16758</v>
      </c>
      <c r="C8418" s="16" t="str">
        <f>IFERROR(__xludf.DUMMYFUNCTION(""""""""" &amp; REGEXEXTRACT(B8418, ""/detail/([^/?]+)"") &amp; """""","""),"""lnjhhkicgchdekkajhnhmpelmgpafepo"",")</f>
        <v>"lnjhhkicgchdekkajhnhmpelmgpafepo",</v>
      </c>
    </row>
    <row r="8419">
      <c r="A8419" s="4" t="s">
        <v>27598</v>
      </c>
      <c r="B8419" s="4" t="s">
        <v>16760</v>
      </c>
      <c r="C8419" s="16" t="str">
        <f>IFERROR(__xludf.DUMMYFUNCTION(""""""""" &amp; REGEXEXTRACT(B8419, ""/detail/([^/?]+)"") &amp; """""","""),"""okpcnhpoapmamjdbahbincecahemicbb"",")</f>
        <v>"okpcnhpoapmamjdbahbincecahemicbb",</v>
      </c>
    </row>
    <row r="8420">
      <c r="A8420" s="4" t="s">
        <v>27599</v>
      </c>
      <c r="B8420" s="4" t="s">
        <v>16762</v>
      </c>
      <c r="C8420" s="16" t="str">
        <f>IFERROR(__xludf.DUMMYFUNCTION(""""""""" &amp; REGEXEXTRACT(B8420, ""/detail/([^/?]+)"") &amp; """""","""),"""cgjodoppdnlnjliiiddckimhdjjpjdmk"",")</f>
        <v>"cgjodoppdnlnjliiiddckimhdjjpjdmk",</v>
      </c>
    </row>
    <row r="8421">
      <c r="A8421" s="4" t="s">
        <v>27600</v>
      </c>
      <c r="B8421" s="4" t="s">
        <v>16764</v>
      </c>
      <c r="C8421" s="16" t="str">
        <f>IFERROR(__xludf.DUMMYFUNCTION(""""""""" &amp; REGEXEXTRACT(B8421, ""/detail/([^/?]+)"") &amp; """""","""),"""ipdcaeoegfdddholdneiejgmjfnjnkbf"",")</f>
        <v>"ipdcaeoegfdddholdneiejgmjfnjnkbf",</v>
      </c>
    </row>
    <row r="8422">
      <c r="A8422" s="4" t="s">
        <v>27601</v>
      </c>
      <c r="B8422" s="4" t="s">
        <v>16766</v>
      </c>
      <c r="C8422" s="16" t="str">
        <f>IFERROR(__xludf.DUMMYFUNCTION(""""""""" &amp; REGEXEXTRACT(B8422, ""/detail/([^/?]+)"") &amp; """""","""),"""iphhinkkgcndibcnabdcfcianhebblmb"",")</f>
        <v>"iphhinkkgcndibcnabdcfcianhebblmb",</v>
      </c>
    </row>
    <row r="8423">
      <c r="A8423" s="4" t="s">
        <v>27602</v>
      </c>
      <c r="B8423" s="4" t="s">
        <v>16768</v>
      </c>
      <c r="C8423" s="16" t="str">
        <f>IFERROR(__xludf.DUMMYFUNCTION(""""""""" &amp; REGEXEXTRACT(B8423, ""/detail/([^/?]+)"") &amp; """""","""),"""jbfmdblhfaookljgkjlcnhfachcfegei"",")</f>
        <v>"jbfmdblhfaookljgkjlcnhfachcfegei",</v>
      </c>
    </row>
    <row r="8424">
      <c r="A8424" s="4" t="s">
        <v>27603</v>
      </c>
      <c r="B8424" s="4" t="s">
        <v>16770</v>
      </c>
      <c r="C8424" s="16" t="str">
        <f>IFERROR(__xludf.DUMMYFUNCTION(""""""""" &amp; REGEXEXTRACT(B8424, ""/detail/([^/?]+)"") &amp; """""","""),"""jnphbfhmpdmdhbnjheabpmkmpeeheofp"",")</f>
        <v>"jnphbfhmpdmdhbnjheabpmkmpeeheofp",</v>
      </c>
    </row>
    <row r="8425">
      <c r="A8425" s="4" t="s">
        <v>27604</v>
      </c>
      <c r="B8425" s="4" t="s">
        <v>16772</v>
      </c>
      <c r="C8425" s="16" t="str">
        <f>IFERROR(__xludf.DUMMYFUNCTION(""""""""" &amp; REGEXEXTRACT(B8425, ""/detail/([^/?]+)"") &amp; """""","""),"""lfcoehhlodiaehjepemaogbgadfoipog"",")</f>
        <v>"lfcoehhlodiaehjepemaogbgadfoipog",</v>
      </c>
    </row>
    <row r="8426">
      <c r="A8426" s="4" t="s">
        <v>27605</v>
      </c>
      <c r="B8426" s="4" t="s">
        <v>16774</v>
      </c>
      <c r="C8426" s="16" t="str">
        <f>IFERROR(__xludf.DUMMYFUNCTION(""""""""" &amp; REGEXEXTRACT(B8426, ""/detail/([^/?]+)"") &amp; """""","""),"""lkjogeoldakjceempbkdahkojohmbaja"",")</f>
        <v>"lkjogeoldakjceempbkdahkojohmbaja",</v>
      </c>
    </row>
    <row r="8427">
      <c r="A8427" s="4" t="s">
        <v>27606</v>
      </c>
      <c r="B8427" s="4" t="s">
        <v>16776</v>
      </c>
      <c r="C8427" s="16" t="str">
        <f>IFERROR(__xludf.DUMMYFUNCTION(""""""""" &amp; REGEXEXTRACT(B8427, ""/detail/([^/?]+)"") &amp; """""","""),"""mjoffpneklipeiopgidgjccbjefamnhj"",")</f>
        <v>"mjoffpneklipeiopgidgjccbjefamnhj",</v>
      </c>
    </row>
    <row r="8428">
      <c r="A8428" s="4" t="s">
        <v>27607</v>
      </c>
      <c r="B8428" s="4" t="s">
        <v>16778</v>
      </c>
      <c r="C8428" s="16" t="str">
        <f>IFERROR(__xludf.DUMMYFUNCTION(""""""""" &amp; REGEXEXTRACT(B8428, ""/detail/([^/?]+)"") &amp; """""","""),"""dllgocogbblembnhmkbjbakkfkooficl"",")</f>
        <v>"dllgocogbblembnhmkbjbakkfkooficl",</v>
      </c>
    </row>
    <row r="8429">
      <c r="A8429" s="4" t="s">
        <v>27608</v>
      </c>
      <c r="B8429" s="4" t="s">
        <v>16780</v>
      </c>
      <c r="C8429" s="16" t="str">
        <f>IFERROR(__xludf.DUMMYFUNCTION(""""""""" &amp; REGEXEXTRACT(B8429, ""/detail/([^/?]+)"") &amp; """""","""),"""eglhkdhnmkggbbepgfdigfajlempkdif"",")</f>
        <v>"eglhkdhnmkggbbepgfdigfajlempkdif",</v>
      </c>
    </row>
    <row r="8430">
      <c r="A8430" s="4" t="s">
        <v>27609</v>
      </c>
      <c r="B8430" s="4" t="s">
        <v>16782</v>
      </c>
      <c r="C8430" s="16" t="str">
        <f>IFERROR(__xludf.DUMMYFUNCTION(""""""""" &amp; REGEXEXTRACT(B8430, ""/detail/([^/?]+)"") &amp; """""","""),"""fdoghhkncnblgflogjchbhhfalffaaad"",")</f>
        <v>"fdoghhkncnblgflogjchbhhfalffaaad",</v>
      </c>
    </row>
    <row r="8431">
      <c r="A8431" s="4" t="s">
        <v>27610</v>
      </c>
      <c r="B8431" s="4" t="s">
        <v>16784</v>
      </c>
      <c r="C8431" s="16" t="str">
        <f>IFERROR(__xludf.DUMMYFUNCTION(""""""""" &amp; REGEXEXTRACT(B8431, ""/detail/([^/?]+)"") &amp; """""","""),"""gidmeabdffonnejjlkbglmppmfniakdf"",")</f>
        <v>"gidmeabdffonnejjlkbglmppmfniakdf",</v>
      </c>
    </row>
    <row r="8432">
      <c r="A8432" s="4" t="s">
        <v>27611</v>
      </c>
      <c r="B8432" s="4" t="s">
        <v>16786</v>
      </c>
      <c r="C8432" s="16" t="str">
        <f>IFERROR(__xludf.DUMMYFUNCTION(""""""""" &amp; REGEXEXTRACT(B8432, ""/detail/([^/?]+)"") &amp; """""","""),"""hojbnjghcepifkmfnifhhmejlahfgiem"",")</f>
        <v>"hojbnjghcepifkmfnifhhmejlahfgiem",</v>
      </c>
    </row>
    <row r="8433">
      <c r="A8433" s="4" t="s">
        <v>27612</v>
      </c>
      <c r="B8433" s="4" t="s">
        <v>16788</v>
      </c>
      <c r="C8433" s="16" t="str">
        <f>IFERROR(__xludf.DUMMYFUNCTION(""""""""" &amp; REGEXEXTRACT(B8433, ""/detail/([^/?]+)"") &amp; """""","""),"""kemincbhdgppphceahdgebffjcfgbigp"",")</f>
        <v>"kemincbhdgppphceahdgebffjcfgbigp",</v>
      </c>
    </row>
    <row r="8434">
      <c r="A8434" s="4" t="s">
        <v>27613</v>
      </c>
      <c r="B8434" s="4" t="s">
        <v>16790</v>
      </c>
      <c r="C8434" s="16" t="str">
        <f>IFERROR(__xludf.DUMMYFUNCTION(""""""""" &amp; REGEXEXTRACT(B8434, ""/detail/([^/?]+)"") &amp; """""","""),"""kflglbgjhjolgboocdpajcfjiokfpcam"",")</f>
        <v>"kflglbgjhjolgboocdpajcfjiokfpcam",</v>
      </c>
    </row>
    <row r="8435">
      <c r="A8435" s="4" t="s">
        <v>27614</v>
      </c>
      <c r="B8435" s="4" t="s">
        <v>16792</v>
      </c>
      <c r="C8435" s="16" t="str">
        <f>IFERROR(__xludf.DUMMYFUNCTION(""""""""" &amp; REGEXEXTRACT(B8435, ""/detail/([^/?]+)"") &amp; """""","""),"""bbecdibpbedkfjhgipnjgkalhedefegj"",")</f>
        <v>"bbecdibpbedkfjhgipnjgkalhedefegj",</v>
      </c>
    </row>
    <row r="8436">
      <c r="A8436" s="4" t="s">
        <v>27615</v>
      </c>
      <c r="B8436" s="4" t="s">
        <v>16794</v>
      </c>
      <c r="C8436" s="16" t="str">
        <f>IFERROR(__xludf.DUMMYFUNCTION(""""""""" &amp; REGEXEXTRACT(B8436, ""/detail/([^/?]+)"") &amp; """""","""),"""bodhjcioepfmdioecpjonecadajiiamj"",")</f>
        <v>"bodhjcioepfmdioecpjonecadajiiamj",</v>
      </c>
    </row>
    <row r="8437">
      <c r="A8437" s="4" t="s">
        <v>27616</v>
      </c>
      <c r="B8437" s="4" t="s">
        <v>16796</v>
      </c>
      <c r="C8437" s="16" t="str">
        <f>IFERROR(__xludf.DUMMYFUNCTION(""""""""" &amp; REGEXEXTRACT(B8437, ""/detail/([^/?]+)"") &amp; """""","""),"""fonjkoapgplledieiloikhboinelmmop"",")</f>
        <v>"fonjkoapgplledieiloikhboinelmmop",</v>
      </c>
    </row>
    <row r="8438">
      <c r="A8438" s="4" t="s">
        <v>27617</v>
      </c>
      <c r="B8438" s="4" t="s">
        <v>16798</v>
      </c>
      <c r="C8438" s="16" t="str">
        <f>IFERROR(__xludf.DUMMYFUNCTION(""""""""" &amp; REGEXEXTRACT(B8438, ""/detail/([^/?]+)"") &amp; """""","""),"""icnpljpaddnphinehahcfincggpgcadb"",")</f>
        <v>"icnpljpaddnphinehahcfincggpgcadb",</v>
      </c>
    </row>
    <row r="8439">
      <c r="A8439" s="4" t="s">
        <v>27618</v>
      </c>
      <c r="B8439" s="4" t="s">
        <v>16800</v>
      </c>
      <c r="C8439" s="16" t="str">
        <f>IFERROR(__xludf.DUMMYFUNCTION(""""""""" &amp; REGEXEXTRACT(B8439, ""/detail/([^/?]+)"") &amp; """""","""),"""mhgahabpbdjldmonmfgehfhjmgjedjkc"",")</f>
        <v>"mhgahabpbdjldmonmfgehfhjmgjedjkc",</v>
      </c>
    </row>
    <row r="8440">
      <c r="A8440" s="4" t="s">
        <v>27619</v>
      </c>
      <c r="B8440" s="4" t="s">
        <v>16802</v>
      </c>
      <c r="C8440" s="16" t="str">
        <f>IFERROR(__xludf.DUMMYFUNCTION(""""""""" &amp; REGEXEXTRACT(B8440, ""/detail/([^/?]+)"") &amp; """""","""),"""mjklaailjabbidpmbngdceejclkbikib"",")</f>
        <v>"mjklaailjabbidpmbngdceejclkbikib",</v>
      </c>
    </row>
    <row r="8441">
      <c r="A8441" s="4" t="s">
        <v>27620</v>
      </c>
      <c r="B8441" s="4" t="s">
        <v>16804</v>
      </c>
      <c r="C8441" s="16" t="str">
        <f>IFERROR(__xludf.DUMMYFUNCTION(""""""""" &amp; REGEXEXTRACT(B8441, ""/detail/([^/?]+)"") &amp; """""","""),"""onakkfgcndojknipgnpagfakhbnpmpeh"",")</f>
        <v>"onakkfgcndojknipgnpagfakhbnpmpeh",</v>
      </c>
    </row>
    <row r="8442">
      <c r="A8442" s="4" t="s">
        <v>27621</v>
      </c>
      <c r="B8442" s="4" t="s">
        <v>16806</v>
      </c>
      <c r="C8442" s="16" t="str">
        <f>IFERROR(__xludf.DUMMYFUNCTION(""""""""" &amp; REGEXEXTRACT(B8442, ""/detail/([^/?]+)"") &amp; """""","""),"""bhmneclegcomgehhnoielpcmgjbamblj"",")</f>
        <v>"bhmneclegcomgehhnoielpcmgjbamblj",</v>
      </c>
    </row>
    <row r="8443">
      <c r="A8443" s="4" t="s">
        <v>27622</v>
      </c>
      <c r="B8443" s="4" t="s">
        <v>16808</v>
      </c>
      <c r="C8443" s="16" t="str">
        <f>IFERROR(__xludf.DUMMYFUNCTION(""""""""" &amp; REGEXEXTRACT(B8443, ""/detail/([^/?]+)"") &amp; """""","""),"""ceehlgckkmkaoggdnjhibffkphfnphmg"",")</f>
        <v>"ceehlgckkmkaoggdnjhibffkphfnphmg",</v>
      </c>
    </row>
    <row r="8444">
      <c r="A8444" s="4" t="s">
        <v>27623</v>
      </c>
      <c r="B8444" s="4" t="s">
        <v>16810</v>
      </c>
      <c r="C8444" s="16" t="str">
        <f>IFERROR(__xludf.DUMMYFUNCTION(""""""""" &amp; REGEXEXTRACT(B8444, ""/detail/([^/?]+)"") &amp; """""","""),"""debkbpaaeaocgianodbgghkhkjjlclhg"",")</f>
        <v>"debkbpaaeaocgianodbgghkhkjjlclhg",</v>
      </c>
    </row>
    <row r="8445">
      <c r="A8445" s="4" t="s">
        <v>27624</v>
      </c>
      <c r="B8445" s="4" t="s">
        <v>16812</v>
      </c>
      <c r="C8445" s="16" t="str">
        <f>IFERROR(__xludf.DUMMYFUNCTION(""""""""" &amp; REGEXEXTRACT(B8445, ""/detail/([^/?]+)"") &amp; """""","""),"""mepmobcikgjmkmfpogmigbmliihpnpkb"",")</f>
        <v>"mepmobcikgjmkmfpogmigbmliihpnpkb",</v>
      </c>
    </row>
    <row r="8446">
      <c r="A8446" s="4" t="s">
        <v>27625</v>
      </c>
      <c r="B8446" s="4" t="s">
        <v>16814</v>
      </c>
      <c r="C8446" s="16" t="str">
        <f>IFERROR(__xludf.DUMMYFUNCTION(""""""""" &amp; REGEXEXTRACT(B8446, ""/detail/([^/?]+)"") &amp; """""","""),"""mmjaoaafcnfpgjlhkoopnnlhmkjmeglg"",")</f>
        <v>"mmjaoaafcnfpgjlhkoopnnlhmkjmeglg",</v>
      </c>
    </row>
    <row r="8447">
      <c r="A8447" s="4" t="s">
        <v>27626</v>
      </c>
      <c r="B8447" s="4" t="s">
        <v>16815</v>
      </c>
      <c r="C8447" s="16" t="str">
        <f>IFERROR(__xludf.DUMMYFUNCTION(""""""""" &amp; REGEXEXTRACT(B8447, ""/detail/([^/?]+)"") &amp; """""","""),"""pakimokpohbojafpbgknlohgoepnelki"",")</f>
        <v>"pakimokpohbojafpbgknlohgoepnelki",</v>
      </c>
    </row>
    <row r="8448">
      <c r="A8448" s="4" t="s">
        <v>27627</v>
      </c>
      <c r="B8448" s="4" t="s">
        <v>16817</v>
      </c>
      <c r="C8448" s="16" t="str">
        <f>IFERROR(__xludf.DUMMYFUNCTION(""""""""" &amp; REGEXEXTRACT(B8448, ""/detail/([^/?]+)"") &amp; """""","""),"""cfgkoondhklepebjanihdiedjmibieii"",")</f>
        <v>"cfgkoondhklepebjanihdiedjmibieii",</v>
      </c>
    </row>
    <row r="8449">
      <c r="A8449" s="4" t="s">
        <v>27628</v>
      </c>
      <c r="B8449" s="4" t="s">
        <v>16819</v>
      </c>
      <c r="C8449" s="16" t="str">
        <f>IFERROR(__xludf.DUMMYFUNCTION(""""""""" &amp; REGEXEXTRACT(B8449, ""/detail/([^/?]+)"") &amp; """""","""),"""kjcahcohoafkpcehokeficpobcplpnhc"",")</f>
        <v>"kjcahcohoafkpcehokeficpobcplpnhc",</v>
      </c>
    </row>
    <row r="8450">
      <c r="A8450" s="4" t="s">
        <v>27629</v>
      </c>
      <c r="B8450" s="4" t="s">
        <v>16821</v>
      </c>
      <c r="C8450" s="16" t="str">
        <f>IFERROR(__xludf.DUMMYFUNCTION(""""""""" &amp; REGEXEXTRACT(B8450, ""/detail/([^/?]+)"") &amp; """""","""),"""lcohfbdkckffmhclhoidahddlkffebaa"",")</f>
        <v>"lcohfbdkckffmhclhoidahddlkffebaa",</v>
      </c>
    </row>
    <row r="8451">
      <c r="A8451" s="4" t="s">
        <v>27630</v>
      </c>
      <c r="B8451" s="4" t="s">
        <v>16823</v>
      </c>
      <c r="C8451" s="16" t="str">
        <f>IFERROR(__xludf.DUMMYFUNCTION(""""""""" &amp; REGEXEXTRACT(B8451, ""/detail/([^/?]+)"") &amp; """""","""),"""ofjfdfaleomlfanfehgblppafkijjhmi"",")</f>
        <v>"ofjfdfaleomlfanfehgblppafkijjhmi",</v>
      </c>
    </row>
    <row r="8452">
      <c r="A8452" s="4" t="s">
        <v>27631</v>
      </c>
      <c r="B8452" s="4" t="s">
        <v>16825</v>
      </c>
      <c r="C8452" s="16" t="str">
        <f>IFERROR(__xludf.DUMMYFUNCTION(""""""""" &amp; REGEXEXTRACT(B8452, ""/detail/([^/?]+)"") &amp; """""","""),"""pnkfjmfdjmbiamaeooekochfcdhjjhcg"",")</f>
        <v>"pnkfjmfdjmbiamaeooekochfcdhjjhcg",</v>
      </c>
    </row>
    <row r="8453">
      <c r="A8453" s="4" t="s">
        <v>27632</v>
      </c>
      <c r="B8453" s="4" t="s">
        <v>16827</v>
      </c>
      <c r="C8453" s="16" t="str">
        <f>IFERROR(__xludf.DUMMYFUNCTION(""""""""" &amp; REGEXEXTRACT(B8453, ""/detail/([^/?]+)"") &amp; """""","""),"""aamemknciolgiibiifaplfacppgjjpkl"",")</f>
        <v>"aamemknciolgiibiifaplfacppgjjpkl",</v>
      </c>
    </row>
    <row r="8454">
      <c r="A8454" s="4" t="s">
        <v>27633</v>
      </c>
      <c r="B8454" s="4" t="s">
        <v>16829</v>
      </c>
      <c r="C8454" s="16" t="str">
        <f>IFERROR(__xludf.DUMMYFUNCTION(""""""""" &amp; REGEXEXTRACT(B8454, ""/detail/([^/?]+)"") &amp; """""","""),"""ihpaieemfcpeondkheidnecdlhihgddc"",")</f>
        <v>"ihpaieemfcpeondkheidnecdlhihgddc",</v>
      </c>
    </row>
    <row r="8455">
      <c r="A8455" s="4" t="s">
        <v>27634</v>
      </c>
      <c r="B8455" s="4" t="s">
        <v>16831</v>
      </c>
      <c r="C8455" s="16" t="str">
        <f>IFERROR(__xludf.DUMMYFUNCTION(""""""""" &amp; REGEXEXTRACT(B8455, ""/detail/([^/?]+)"") &amp; """""","""),"""mmdillemdanmbdhkoijknbbibhlmlbga"",")</f>
        <v>"mmdillemdanmbdhkoijknbbibhlmlbga",</v>
      </c>
    </row>
    <row r="8456">
      <c r="A8456" s="4" t="s">
        <v>27635</v>
      </c>
      <c r="B8456" s="4" t="s">
        <v>16833</v>
      </c>
      <c r="C8456" s="16" t="str">
        <f>IFERROR(__xludf.DUMMYFUNCTION(""""""""" &amp; REGEXEXTRACT(B8456, ""/detail/([^/?]+)"") &amp; """""","""),"""oaiagedjckhjgfmmmgfnnkjigbmplbhm"",")</f>
        <v>"oaiagedjckhjgfmmmgfnnkjigbmplbhm",</v>
      </c>
    </row>
    <row r="8457">
      <c r="A8457" s="4" t="s">
        <v>27636</v>
      </c>
      <c r="B8457" s="4" t="s">
        <v>16835</v>
      </c>
      <c r="C8457" s="16" t="str">
        <f>IFERROR(__xludf.DUMMYFUNCTION(""""""""" &amp; REGEXEXTRACT(B8457, ""/detail/([^/?]+)"") &amp; """""","""),"""occcfdnjdbgjglcbpolkmjnjillkgbcm"",")</f>
        <v>"occcfdnjdbgjglcbpolkmjnjillkgbcm",</v>
      </c>
    </row>
    <row r="8458">
      <c r="A8458" s="4" t="s">
        <v>27637</v>
      </c>
      <c r="B8458" s="4" t="s">
        <v>16837</v>
      </c>
      <c r="C8458" s="16" t="str">
        <f>IFERROR(__xludf.DUMMYFUNCTION(""""""""" &amp; REGEXEXTRACT(B8458, ""/detail/([^/?]+)"") &amp; """""","""),"""ccpijncgingpepdgbjaglhnomiikmenp"",")</f>
        <v>"ccpijncgingpepdgbjaglhnomiikmenp",</v>
      </c>
    </row>
    <row r="8459">
      <c r="A8459" s="4" t="s">
        <v>27638</v>
      </c>
      <c r="B8459" s="4" t="s">
        <v>16839</v>
      </c>
      <c r="C8459" s="16" t="str">
        <f>IFERROR(__xludf.DUMMYFUNCTION(""""""""" &amp; REGEXEXTRACT(B8459, ""/detail/([^/?]+)"") &amp; """""","""),"""hblmbelcbkkfeldlnbiblbmkeeoemaci"",")</f>
        <v>"hblmbelcbkkfeldlnbiblbmkeeoemaci",</v>
      </c>
    </row>
    <row r="8460">
      <c r="A8460" s="4" t="s">
        <v>27639</v>
      </c>
      <c r="B8460" s="4" t="s">
        <v>16841</v>
      </c>
      <c r="C8460" s="16" t="str">
        <f>IFERROR(__xludf.DUMMYFUNCTION(""""""""" &amp; REGEXEXTRACT(B8460, ""/detail/([^/?]+)"") &amp; """""","""),"""kcmejemnmnheajipjgilcefofjchdafg"",")</f>
        <v>"kcmejemnmnheajipjgilcefofjchdafg",</v>
      </c>
    </row>
    <row r="8461">
      <c r="A8461" s="4" t="s">
        <v>27640</v>
      </c>
      <c r="B8461" s="4" t="s">
        <v>16843</v>
      </c>
      <c r="C8461" s="16" t="str">
        <f>IFERROR(__xludf.DUMMYFUNCTION(""""""""" &amp; REGEXEXTRACT(B8461, ""/detail/([^/?]+)"") &amp; """""","""),"""mggglpiplgkfcmbpnfdibgcncjfclbgc"",")</f>
        <v>"mggglpiplgkfcmbpnfdibgcncjfclbgc",</v>
      </c>
    </row>
    <row r="8462">
      <c r="A8462" s="4" t="s">
        <v>27641</v>
      </c>
      <c r="B8462" s="4" t="s">
        <v>16845</v>
      </c>
      <c r="C8462" s="16" t="str">
        <f>IFERROR(__xludf.DUMMYFUNCTION(""""""""" &amp; REGEXEXTRACT(B8462, ""/detail/([^/?]+)"") &amp; """""","""),"""nnmmipaoneinbdcjodijccmblmleffbc"",")</f>
        <v>"nnmmipaoneinbdcjodijccmblmleffbc",</v>
      </c>
    </row>
    <row r="8463">
      <c r="A8463" s="4" t="s">
        <v>27642</v>
      </c>
      <c r="B8463" s="4" t="s">
        <v>16847</v>
      </c>
      <c r="C8463" s="16" t="str">
        <f>IFERROR(__xludf.DUMMYFUNCTION(""""""""" &amp; REGEXEXTRACT(B8463, ""/detail/([^/?]+)"") &amp; """""","""),"""bknagdmankilmkenflkobkobmdeakcic"",")</f>
        <v>"bknagdmankilmkenflkobkobmdeakcic",</v>
      </c>
    </row>
    <row r="8464">
      <c r="A8464" s="4" t="s">
        <v>27643</v>
      </c>
      <c r="B8464" s="4" t="s">
        <v>16849</v>
      </c>
      <c r="C8464" s="16" t="str">
        <f>IFERROR(__xludf.DUMMYFUNCTION(""""""""" &amp; REGEXEXTRACT(B8464, ""/detail/([^/?]+)"") &amp; """""","""),"""clcofnmpilgeamkhcngjhkgdniidpnhn"",")</f>
        <v>"clcofnmpilgeamkhcngjhkgdniidpnhn",</v>
      </c>
    </row>
    <row r="8465">
      <c r="A8465" s="4" t="s">
        <v>27644</v>
      </c>
      <c r="B8465" s="4" t="s">
        <v>16851</v>
      </c>
      <c r="C8465" s="16" t="str">
        <f>IFERROR(__xludf.DUMMYFUNCTION(""""""""" &amp; REGEXEXTRACT(B8465, ""/detail/([^/?]+)"") &amp; """""","""),"""dlmofpahhkcpioogjkallbhilojkaggm"",")</f>
        <v>"dlmofpahhkcpioogjkallbhilojkaggm",</v>
      </c>
    </row>
    <row r="8466">
      <c r="A8466" s="4" t="s">
        <v>27645</v>
      </c>
      <c r="B8466" s="4" t="s">
        <v>16853</v>
      </c>
      <c r="C8466" s="16" t="str">
        <f>IFERROR(__xludf.DUMMYFUNCTION(""""""""" &amp; REGEXEXTRACT(B8466, ""/detail/([^/?]+)"") &amp; """""","""),"""fekmcdeljonllillnbjhophkhnjhhjpd"",")</f>
        <v>"fekmcdeljonllillnbjhophkhnjhhjpd",</v>
      </c>
    </row>
    <row r="8467">
      <c r="A8467" s="4" t="s">
        <v>27646</v>
      </c>
      <c r="B8467" s="4" t="s">
        <v>16855</v>
      </c>
      <c r="C8467" s="16" t="str">
        <f>IFERROR(__xludf.DUMMYFUNCTION(""""""""" &amp; REGEXEXTRACT(B8467, ""/detail/([^/?]+)"") &amp; """""","""),"""glkebnfeoeechmiphpabhophnpcogpdj"",")</f>
        <v>"glkebnfeoeechmiphpabhophnpcogpdj",</v>
      </c>
    </row>
    <row r="8468">
      <c r="A8468" s="4" t="s">
        <v>27647</v>
      </c>
      <c r="B8468" s="4" t="s">
        <v>16857</v>
      </c>
      <c r="C8468" s="16" t="str">
        <f>IFERROR(__xludf.DUMMYFUNCTION(""""""""" &amp; REGEXEXTRACT(B8468, ""/detail/([^/?]+)"") &amp; """""","""),"""jflcifhpkilfaomlnikfaaccmpidkmln"",")</f>
        <v>"jflcifhpkilfaomlnikfaaccmpidkmln",</v>
      </c>
    </row>
    <row r="8469">
      <c r="A8469" s="4" t="s">
        <v>27648</v>
      </c>
      <c r="B8469" s="4" t="s">
        <v>16859</v>
      </c>
      <c r="C8469" s="16" t="str">
        <f>IFERROR(__xludf.DUMMYFUNCTION(""""""""" &amp; REGEXEXTRACT(B8469, ""/detail/([^/?]+)"") &amp; """""","""),"""kodbmoekdigcemdkcbonnnejdpjfkpdf"",")</f>
        <v>"kodbmoekdigcemdkcbonnnejdpjfkpdf",</v>
      </c>
    </row>
    <row r="8470">
      <c r="A8470" s="4" t="s">
        <v>27649</v>
      </c>
      <c r="B8470" s="4" t="s">
        <v>16861</v>
      </c>
      <c r="C8470" s="16" t="str">
        <f>IFERROR(__xludf.DUMMYFUNCTION(""""""""" &amp; REGEXEXTRACT(B8470, ""/detail/([^/?]+)"") &amp; """""","""),"""lljahlkpnhdopaegadghfjhhkcpdlijg"",")</f>
        <v>"lljahlkpnhdopaegadghfjhhkcpdlijg",</v>
      </c>
    </row>
    <row r="8471">
      <c r="A8471" s="4" t="s">
        <v>27650</v>
      </c>
      <c r="B8471" s="4" t="s">
        <v>16863</v>
      </c>
      <c r="C8471" s="16" t="str">
        <f>IFERROR(__xludf.DUMMYFUNCTION(""""""""" &amp; REGEXEXTRACT(B8471, ""/detail/([^/?]+)"") &amp; """""","""),"""mmhhhpngkbmehangnmfjflmloccnpoha"",")</f>
        <v>"mmhhhpngkbmehangnmfjflmloccnpoha",</v>
      </c>
    </row>
    <row r="8472">
      <c r="A8472" s="4" t="s">
        <v>27651</v>
      </c>
      <c r="B8472" s="4" t="s">
        <v>16865</v>
      </c>
      <c r="C8472" s="16" t="str">
        <f>IFERROR(__xludf.DUMMYFUNCTION(""""""""" &amp; REGEXEXTRACT(B8472, ""/detail/([^/?]+)"") &amp; """""","""),"""oojeieppkffpbnmlpipfbblophebaplg"",")</f>
        <v>"oojeieppkffpbnmlpipfbblophebaplg",</v>
      </c>
    </row>
    <row r="8473">
      <c r="A8473" s="4" t="s">
        <v>27652</v>
      </c>
      <c r="B8473" s="4" t="s">
        <v>16867</v>
      </c>
      <c r="C8473" s="16" t="str">
        <f>IFERROR(__xludf.DUMMYFUNCTION(""""""""" &amp; REGEXEXTRACT(B8473, ""/detail/([^/?]+)"") &amp; """""","""),"""pgpmofldjfjmcoooopmhmkmjkpjcobgm"",")</f>
        <v>"pgpmofldjfjmcoooopmhmkmjkpjcobgm",</v>
      </c>
    </row>
    <row r="8474">
      <c r="A8474" s="4" t="s">
        <v>27653</v>
      </c>
      <c r="B8474" s="4" t="s">
        <v>16869</v>
      </c>
      <c r="C8474" s="16" t="str">
        <f>IFERROR(__xludf.DUMMYFUNCTION(""""""""" &amp; REGEXEXTRACT(B8474, ""/detail/([^/?]+)"") &amp; """""","""),"""aoifdlchnbljhopodkpaieedbchgjpmo"",")</f>
        <v>"aoifdlchnbljhopodkpaieedbchgjpmo",</v>
      </c>
    </row>
    <row r="8475">
      <c r="A8475" s="4" t="s">
        <v>27654</v>
      </c>
      <c r="B8475" s="4" t="s">
        <v>16871</v>
      </c>
      <c r="C8475" s="16" t="str">
        <f>IFERROR(__xludf.DUMMYFUNCTION(""""""""" &amp; REGEXEXTRACT(B8475, ""/detail/([^/?]+)"") &amp; """""","""),"""dgjmocajjcibgpkigbnhengiidoehmoo"",")</f>
        <v>"dgjmocajjcibgpkigbnhengiidoehmoo",</v>
      </c>
    </row>
    <row r="8476">
      <c r="A8476" s="4" t="s">
        <v>27655</v>
      </c>
      <c r="B8476" s="4" t="s">
        <v>16873</v>
      </c>
      <c r="C8476" s="16" t="str">
        <f>IFERROR(__xludf.DUMMYFUNCTION(""""""""" &amp; REGEXEXTRACT(B8476, ""/detail/([^/?]+)"") &amp; """""","""),"""dpaahndfhbkiolfhjbeaocgmphmgidih"",")</f>
        <v>"dpaahndfhbkiolfhjbeaocgmphmgidih",</v>
      </c>
    </row>
    <row r="8477">
      <c r="A8477" s="4" t="s">
        <v>27656</v>
      </c>
      <c r="B8477" s="4" t="s">
        <v>16875</v>
      </c>
      <c r="C8477" s="16" t="str">
        <f>IFERROR(__xludf.DUMMYFUNCTION(""""""""" &amp; REGEXEXTRACT(B8477, ""/detail/([^/?]+)"") &amp; """""","""),"""gifpicggdnmcookaopgohbpbnhggighk"",")</f>
        <v>"gifpicggdnmcookaopgohbpbnhggighk",</v>
      </c>
    </row>
    <row r="8478">
      <c r="A8478" s="4" t="s">
        <v>27657</v>
      </c>
      <c r="B8478" s="4" t="s">
        <v>16877</v>
      </c>
      <c r="C8478" s="16" t="str">
        <f>IFERROR(__xludf.DUMMYFUNCTION(""""""""" &amp; REGEXEXTRACT(B8478, ""/detail/([^/?]+)"") &amp; """""","""),"""gkhebpnlfbdhbhnlgdpcpidkcgmmhdhp"",")</f>
        <v>"gkhebpnlfbdhbhnlgdpcpidkcgmmhdhp",</v>
      </c>
    </row>
    <row r="8479">
      <c r="A8479" s="4" t="s">
        <v>27658</v>
      </c>
      <c r="B8479" s="4" t="s">
        <v>16879</v>
      </c>
      <c r="C8479" s="16" t="str">
        <f>IFERROR(__xludf.DUMMYFUNCTION(""""""""" &amp; REGEXEXTRACT(B8479, ""/detail/([^/?]+)"") &amp; """""","""),"""hnpoddgigidolgmakoikejeldkbcifbd"",")</f>
        <v>"hnpoddgigidolgmakoikejeldkbcifbd",</v>
      </c>
    </row>
    <row r="8480">
      <c r="A8480" s="4" t="s">
        <v>27659</v>
      </c>
      <c r="B8480" s="4" t="s">
        <v>16881</v>
      </c>
      <c r="C8480" s="16" t="str">
        <f>IFERROR(__xludf.DUMMYFUNCTION(""""""""" &amp; REGEXEXTRACT(B8480, ""/detail/([^/?]+)"") &amp; """""","""),"""maihkkiapahkbejpojgcioffhmcfnbpc"",")</f>
        <v>"maihkkiapahkbejpojgcioffhmcfnbpc",</v>
      </c>
    </row>
    <row r="8481">
      <c r="A8481" s="4" t="s">
        <v>27660</v>
      </c>
      <c r="B8481" s="4" t="s">
        <v>16883</v>
      </c>
      <c r="C8481" s="16" t="str">
        <f>IFERROR(__xludf.DUMMYFUNCTION(""""""""" &amp; REGEXEXTRACT(B8481, ""/detail/([^/?]+)"") &amp; """""","""),"""mcgjcnemliplogmakfelldipnhbpnmob"",")</f>
        <v>"mcgjcnemliplogmakfelldipnhbpnmob",</v>
      </c>
    </row>
    <row r="8482">
      <c r="A8482" s="4" t="s">
        <v>27661</v>
      </c>
      <c r="B8482" s="4" t="s">
        <v>16885</v>
      </c>
      <c r="C8482" s="16" t="str">
        <f>IFERROR(__xludf.DUMMYFUNCTION(""""""""" &amp; REGEXEXTRACT(B8482, ""/detail/([^/?]+)"") &amp; """""","""),"""nckcfdmjoihejoigkinnajfaeepfgaak"",")</f>
        <v>"nckcfdmjoihejoigkinnajfaeepfgaak",</v>
      </c>
    </row>
    <row r="8483">
      <c r="A8483" s="4" t="s">
        <v>27662</v>
      </c>
      <c r="B8483" s="4" t="s">
        <v>16887</v>
      </c>
      <c r="C8483" s="16" t="str">
        <f>IFERROR(__xludf.DUMMYFUNCTION(""""""""" &amp; REGEXEXTRACT(B8483, ""/detail/([^/?]+)"") &amp; """""","""),"""ookdjhmocgldcjpddgnadpeaiglgfccn"",")</f>
        <v>"ookdjhmocgldcjpddgnadpeaiglgfccn",</v>
      </c>
    </row>
    <row r="8484">
      <c r="A8484" s="4" t="s">
        <v>27663</v>
      </c>
      <c r="B8484" s="4" t="s">
        <v>16889</v>
      </c>
      <c r="C8484" s="16" t="str">
        <f>IFERROR(__xludf.DUMMYFUNCTION(""""""""" &amp; REGEXEXTRACT(B8484, ""/detail/([^/?]+)"") &amp; """""","""),"""pgifaolbebmlmfafkgngfjchfpcpndig"",")</f>
        <v>"pgifaolbebmlmfafkgngfjchfpcpndig",</v>
      </c>
    </row>
    <row r="8485">
      <c r="A8485" s="4" t="s">
        <v>27664</v>
      </c>
      <c r="B8485" s="4" t="s">
        <v>16891</v>
      </c>
      <c r="C8485" s="16" t="str">
        <f>IFERROR(__xludf.DUMMYFUNCTION(""""""""" &amp; REGEXEXTRACT(B8485, ""/detail/([^/?]+)"") &amp; """""","""),"""mccpbdlgkkdffdigmnjnmeccpadjfgkp"",")</f>
        <v>"mccpbdlgkkdffdigmnjnmeccpadjfgkp",</v>
      </c>
    </row>
    <row r="8486">
      <c r="A8486" s="4" t="s">
        <v>27665</v>
      </c>
      <c r="B8486" s="4" t="s">
        <v>16893</v>
      </c>
      <c r="C8486" s="16" t="str">
        <f>IFERROR(__xludf.DUMMYFUNCTION(""""""""" &amp; REGEXEXTRACT(B8486, ""/detail/([^/?]+)"") &amp; """""","""),"""ppogcdipnlbkhgpbpicpcedleloiejak"",")</f>
        <v>"ppogcdipnlbkhgpbpicpcedleloiejak",</v>
      </c>
    </row>
    <row r="8487">
      <c r="A8487" s="4" t="s">
        <v>27666</v>
      </c>
      <c r="B8487" s="4" t="s">
        <v>16895</v>
      </c>
      <c r="C8487" s="16" t="str">
        <f>IFERROR(__xludf.DUMMYFUNCTION(""""""""" &amp; REGEXEXTRACT(B8487, ""/detail/([^/?]+)"") &amp; """""","""),"""fekcdjkhlbjngkimekikebfegbijjafd"",")</f>
        <v>"fekcdjkhlbjngkimekikebfegbijjafd",</v>
      </c>
    </row>
    <row r="8488">
      <c r="A8488" s="4" t="s">
        <v>27667</v>
      </c>
      <c r="B8488" s="4" t="s">
        <v>16897</v>
      </c>
      <c r="C8488" s="16" t="str">
        <f>IFERROR(__xludf.DUMMYFUNCTION(""""""""" &amp; REGEXEXTRACT(B8488, ""/detail/([^/?]+)"") &amp; """""","""),"""ficneidiepnebpcibidooogdpnoblhdc"",")</f>
        <v>"ficneidiepnebpcibidooogdpnoblhdc",</v>
      </c>
    </row>
    <row r="8489">
      <c r="A8489" s="4" t="s">
        <v>27668</v>
      </c>
      <c r="B8489" s="4" t="s">
        <v>16899</v>
      </c>
      <c r="C8489" s="16" t="str">
        <f>IFERROR(__xludf.DUMMYFUNCTION(""""""""" &amp; REGEXEXTRACT(B8489, ""/detail/([^/?]+)"") &amp; """""","""),"""fldnfjcbkcklcbcbjojlinecjpbmiapi"",")</f>
        <v>"fldnfjcbkcklcbcbjojlinecjpbmiapi",</v>
      </c>
    </row>
    <row r="8490">
      <c r="A8490" s="4" t="s">
        <v>27669</v>
      </c>
      <c r="B8490" s="4" t="s">
        <v>16900</v>
      </c>
      <c r="C8490" s="16" t="str">
        <f>IFERROR(__xludf.DUMMYFUNCTION(""""""""" &amp; REGEXEXTRACT(B8490, ""/detail/([^/?]+)"") &amp; """""","""),"""gpaakhhkcmlenabckmapmlfnajboobbi"",")</f>
        <v>"gpaakhhkcmlenabckmapmlfnajboobbi",</v>
      </c>
    </row>
    <row r="8491">
      <c r="A8491" s="4" t="s">
        <v>27670</v>
      </c>
      <c r="B8491" s="4" t="s">
        <v>16902</v>
      </c>
      <c r="C8491" s="16" t="str">
        <f>IFERROR(__xludf.DUMMYFUNCTION(""""""""" &amp; REGEXEXTRACT(B8491, ""/detail/([^/?]+)"") &amp; """""","""),"""hdfpfilneelpdfahbkehkgjlbccijkkk"",")</f>
        <v>"hdfpfilneelpdfahbkehkgjlbccijkkk",</v>
      </c>
    </row>
    <row r="8492">
      <c r="A8492" s="4" t="s">
        <v>27671</v>
      </c>
      <c r="B8492" s="4" t="s">
        <v>16904</v>
      </c>
      <c r="C8492" s="16" t="str">
        <f>IFERROR(__xludf.DUMMYFUNCTION(""""""""" &amp; REGEXEXTRACT(B8492, ""/detail/([^/?]+)"") &amp; """""","""),"""kddpoomkfoafiocglfhpdbeigehicpnj"",")</f>
        <v>"kddpoomkfoafiocglfhpdbeigehicpnj",</v>
      </c>
    </row>
    <row r="8493">
      <c r="A8493" s="4" t="s">
        <v>27672</v>
      </c>
      <c r="B8493" s="4" t="s">
        <v>16906</v>
      </c>
      <c r="C8493" s="16" t="str">
        <f>IFERROR(__xludf.DUMMYFUNCTION(""""""""" &amp; REGEXEXTRACT(B8493, ""/detail/([^/?]+)"") &amp; """""","""),"""acpgjmjldamjjinpkchgnimfcdilcilb"",")</f>
        <v>"acpgjmjldamjjinpkchgnimfcdilcilb",</v>
      </c>
    </row>
    <row r="8494">
      <c r="A8494" s="4" t="s">
        <v>27673</v>
      </c>
      <c r="B8494" s="4" t="s">
        <v>16908</v>
      </c>
      <c r="C8494" s="16" t="str">
        <f>IFERROR(__xludf.DUMMYFUNCTION(""""""""" &amp; REGEXEXTRACT(B8494, ""/detail/([^/?]+)"") &amp; """""","""),"""aephmjhanjgbapahgbbkfhpianhbmeed"",")</f>
        <v>"aephmjhanjgbapahgbbkfhpianhbmeed",</v>
      </c>
    </row>
    <row r="8495">
      <c r="A8495" s="4" t="s">
        <v>27674</v>
      </c>
      <c r="B8495" s="4" t="s">
        <v>16910</v>
      </c>
      <c r="C8495" s="16" t="str">
        <f>IFERROR(__xludf.DUMMYFUNCTION(""""""""" &amp; REGEXEXTRACT(B8495, ""/detail/([^/?]+)"") &amp; """""","""),"""digkbjcglmbbipijiogdeegbfbepgdon"",")</f>
        <v>"digkbjcglmbbipijiogdeegbfbepgdon",</v>
      </c>
    </row>
    <row r="8496">
      <c r="A8496" s="4" t="s">
        <v>27675</v>
      </c>
      <c r="B8496" s="4" t="s">
        <v>16912</v>
      </c>
      <c r="C8496" s="16" t="str">
        <f>IFERROR(__xludf.DUMMYFUNCTION(""""""""" &amp; REGEXEXTRACT(B8496, ""/detail/([^/?]+)"") &amp; """""","""),"""gdmpjhkcabahmlpildpfmangdfpceofc"",")</f>
        <v>"gdmpjhkcabahmlpildpfmangdfpceofc",</v>
      </c>
    </row>
    <row r="8497">
      <c r="A8497" s="4" t="s">
        <v>27676</v>
      </c>
      <c r="B8497" s="4" t="s">
        <v>16914</v>
      </c>
      <c r="C8497" s="16" t="str">
        <f>IFERROR(__xludf.DUMMYFUNCTION(""""""""" &amp; REGEXEXTRACT(B8497, ""/detail/([^/?]+)"") &amp; """""","""),"""hcidhephpgibbomfkllaaebnlokpemim"",")</f>
        <v>"hcidhephpgibbomfkllaaebnlokpemim",</v>
      </c>
    </row>
    <row r="8498">
      <c r="A8498" s="4" t="s">
        <v>27677</v>
      </c>
      <c r="B8498" s="4" t="s">
        <v>16916</v>
      </c>
      <c r="C8498" s="16" t="str">
        <f>IFERROR(__xludf.DUMMYFUNCTION(""""""""" &amp; REGEXEXTRACT(B8498, ""/detail/([^/?]+)"") &amp; """""","""),"""hdneaoibdfdmifgfjjlkbkceanhjmgch"",")</f>
        <v>"hdneaoibdfdmifgfjjlkbkceanhjmgch",</v>
      </c>
    </row>
    <row r="8499">
      <c r="A8499" s="4" t="s">
        <v>27678</v>
      </c>
      <c r="B8499" s="4" t="s">
        <v>16918</v>
      </c>
      <c r="C8499" s="16" t="str">
        <f>IFERROR(__xludf.DUMMYFUNCTION(""""""""" &amp; REGEXEXTRACT(B8499, ""/detail/([^/?]+)"") &amp; """""","""),"""miblecepolnmkhkbijfmlllpajnfjmlc"",")</f>
        <v>"miblecepolnmkhkbijfmlllpajnfjmlc",</v>
      </c>
    </row>
    <row r="8500">
      <c r="A8500" s="4" t="s">
        <v>27679</v>
      </c>
      <c r="B8500" s="4" t="s">
        <v>16920</v>
      </c>
      <c r="C8500" s="16" t="str">
        <f>IFERROR(__xludf.DUMMYFUNCTION(""""""""" &amp; REGEXEXTRACT(B8500, ""/detail/([^/?]+)"") &amp; """""","""),"""oghhiiieljkjlkiednhchfbpbgadkeam"",")</f>
        <v>"oghhiiieljkjlkiednhchfbpbgadkeam",</v>
      </c>
    </row>
    <row r="8501">
      <c r="A8501" s="4" t="s">
        <v>27680</v>
      </c>
      <c r="B8501" s="4" t="s">
        <v>16922</v>
      </c>
      <c r="C8501" s="16" t="str">
        <f>IFERROR(__xludf.DUMMYFUNCTION(""""""""" &amp; REGEXEXTRACT(B8501, ""/detail/([^/?]+)"") &amp; """""","""),"""dfljbdbkgkhcpmjgbjfegdnlembkkcol"",")</f>
        <v>"dfljbdbkgkhcpmjgbjfegdnlembkkcol",</v>
      </c>
    </row>
    <row r="8502">
      <c r="A8502" s="4" t="s">
        <v>27681</v>
      </c>
      <c r="B8502" s="4" t="s">
        <v>16924</v>
      </c>
      <c r="C8502" s="16" t="str">
        <f>IFERROR(__xludf.DUMMYFUNCTION(""""""""" &amp; REGEXEXTRACT(B8502, ""/detail/([^/?]+)"") &amp; """""","""),"""hclflnemjmbjnohglfdbmmlmlbpemaij"",")</f>
        <v>"hclflnemjmbjnohglfdbmmlmlbpemaij",</v>
      </c>
    </row>
    <row r="8503">
      <c r="A8503" s="4" t="s">
        <v>27682</v>
      </c>
      <c r="B8503" s="4" t="s">
        <v>16926</v>
      </c>
      <c r="C8503" s="16" t="str">
        <f>IFERROR(__xludf.DUMMYFUNCTION(""""""""" &amp; REGEXEXTRACT(B8503, ""/detail/([^/?]+)"") &amp; """""","""),"""joaofgaoaipdmglbfjkjfeefdkjjaine"",")</f>
        <v>"joaofgaoaipdmglbfjkjfeefdkjjaine",</v>
      </c>
    </row>
    <row r="8504">
      <c r="A8504" s="4" t="s">
        <v>27683</v>
      </c>
      <c r="B8504" s="4" t="s">
        <v>16928</v>
      </c>
      <c r="C8504" s="16" t="str">
        <f>IFERROR(__xludf.DUMMYFUNCTION(""""""""" &amp; REGEXEXTRACT(B8504, ""/detail/([^/?]+)"") &amp; """""","""),"""khelhkpoimpdfcdkhbpkmoefgpbjeafm"",")</f>
        <v>"khelhkpoimpdfcdkhbpkmoefgpbjeafm",</v>
      </c>
    </row>
    <row r="8505">
      <c r="A8505" s="4" t="s">
        <v>27684</v>
      </c>
      <c r="B8505" s="4" t="s">
        <v>16930</v>
      </c>
      <c r="C8505" s="16" t="str">
        <f>IFERROR(__xludf.DUMMYFUNCTION(""""""""" &amp; REGEXEXTRACT(B8505, ""/detail/([^/?]+)"") &amp; """""","""),"""lmcpmmnecclemnhobkplkgpjjddgnkej"",")</f>
        <v>"lmcpmmnecclemnhobkplkgpjjddgnkej",</v>
      </c>
    </row>
    <row r="8506">
      <c r="A8506" s="4" t="s">
        <v>27685</v>
      </c>
      <c r="B8506" s="4" t="s">
        <v>16932</v>
      </c>
      <c r="C8506" s="16" t="str">
        <f>IFERROR(__xludf.DUMMYFUNCTION(""""""""" &amp; REGEXEXTRACT(B8506, ""/detail/([^/?]+)"") &amp; """""","""),"""moendlkcamnfghollfakonolmkaeedmj"",")</f>
        <v>"moendlkcamnfghollfakonolmkaeedmj",</v>
      </c>
    </row>
    <row r="8507">
      <c r="A8507" s="4" t="s">
        <v>27686</v>
      </c>
      <c r="B8507" s="4" t="s">
        <v>16934</v>
      </c>
      <c r="C8507" s="16" t="str">
        <f>IFERROR(__xludf.DUMMYFUNCTION(""""""""" &amp; REGEXEXTRACT(B8507, ""/detail/([^/?]+)"") &amp; """""","""),"""oanebiaiakkpfipgnkpmcpkjfnclbgfi"",")</f>
        <v>"oanebiaiakkpfipgnkpmcpkjfnclbgfi",</v>
      </c>
    </row>
    <row r="8508">
      <c r="A8508" s="4" t="s">
        <v>27687</v>
      </c>
      <c r="B8508" s="4" t="s">
        <v>16936</v>
      </c>
      <c r="C8508" s="16" t="str">
        <f>IFERROR(__xludf.DUMMYFUNCTION(""""""""" &amp; REGEXEXTRACT(B8508, ""/detail/([^/?]+)"") &amp; """""","""),"""pgdncclokadpgmdbakidmdajhggioigg"",")</f>
        <v>"pgdncclokadpgmdbakidmdajhggioigg",</v>
      </c>
    </row>
    <row r="8509">
      <c r="A8509" s="4" t="s">
        <v>27688</v>
      </c>
      <c r="B8509" s="4" t="s">
        <v>16938</v>
      </c>
      <c r="C8509" s="16" t="str">
        <f>IFERROR(__xludf.DUMMYFUNCTION(""""""""" &amp; REGEXEXTRACT(B8509, ""/detail/([^/?]+)"") &amp; """""","""),"""ppbpfkdfdbdpflkahbidgilomkiiholg"",")</f>
        <v>"ppbpfkdfdbdpflkahbidgilomkiiholg",</v>
      </c>
    </row>
    <row r="8510">
      <c r="A8510" s="4" t="s">
        <v>27689</v>
      </c>
      <c r="B8510" s="4" t="s">
        <v>16940</v>
      </c>
      <c r="C8510" s="16" t="str">
        <f>IFERROR(__xludf.DUMMYFUNCTION(""""""""" &amp; REGEXEXTRACT(B8510, ""/detail/([^/?]+)"") &amp; """""","""),"""kodnagflhocgibhbmgbpceldokkoldpm"",")</f>
        <v>"kodnagflhocgibhbmgbpceldokkoldpm",</v>
      </c>
    </row>
    <row r="8511">
      <c r="A8511" s="4" t="s">
        <v>27690</v>
      </c>
      <c r="B8511" s="4" t="s">
        <v>16942</v>
      </c>
      <c r="C8511" s="16" t="str">
        <f>IFERROR(__xludf.DUMMYFUNCTION(""""""""" &amp; REGEXEXTRACT(B8511, ""/detail/([^/?]+)"") &amp; """""","""),"""lnggninmgmlcfbancjjfiplammfeeihj"",")</f>
        <v>"lnggninmgmlcfbancjjfiplammfeeihj",</v>
      </c>
    </row>
    <row r="8512">
      <c r="A8512" s="4" t="s">
        <v>27691</v>
      </c>
      <c r="B8512" s="4" t="s">
        <v>16944</v>
      </c>
      <c r="C8512" s="16" t="str">
        <f>IFERROR(__xludf.DUMMYFUNCTION(""""""""" &amp; REGEXEXTRACT(B8512, ""/detail/([^/?]+)"") &amp; """""","""),"""nacbmbmlibonpmhhacnnliibhpdpkpjl"",")</f>
        <v>"nacbmbmlibonpmhhacnnliibhpdpkpjl",</v>
      </c>
    </row>
    <row r="8513">
      <c r="A8513" s="4" t="s">
        <v>27692</v>
      </c>
      <c r="B8513" s="4" t="s">
        <v>16946</v>
      </c>
      <c r="C8513" s="16" t="str">
        <f>IFERROR(__xludf.DUMMYFUNCTION(""""""""" &amp; REGEXEXTRACT(B8513, ""/detail/([^/?]+)"") &amp; """""","""),"""bakfkchdglacloppcphpfbpofmfmflkk"",")</f>
        <v>"bakfkchdglacloppcphpfbpofmfmflkk",</v>
      </c>
    </row>
    <row r="8514">
      <c r="A8514" s="4" t="s">
        <v>27693</v>
      </c>
      <c r="B8514" s="4" t="s">
        <v>16948</v>
      </c>
      <c r="C8514" s="16" t="str">
        <f>IFERROR(__xludf.DUMMYFUNCTION(""""""""" &amp; REGEXEXTRACT(B8514, ""/detail/([^/?]+)"") &amp; """""","""),"""dgfigfcmgjgaioloiogajolohifeimhi"",")</f>
        <v>"dgfigfcmgjgaioloiogajolohifeimhi",</v>
      </c>
    </row>
    <row r="8515">
      <c r="A8515" s="4" t="s">
        <v>27694</v>
      </c>
      <c r="B8515" s="4" t="s">
        <v>16950</v>
      </c>
      <c r="C8515" s="16" t="str">
        <f>IFERROR(__xludf.DUMMYFUNCTION(""""""""" &amp; REGEXEXTRACT(B8515, ""/detail/([^/?]+)"") &amp; """""","""),"""ginflokhdahakklidfjlogllkkhokidj"",")</f>
        <v>"ginflokhdahakklidfjlogllkkhokidj",</v>
      </c>
    </row>
    <row r="8516">
      <c r="A8516" s="4" t="s">
        <v>27695</v>
      </c>
      <c r="B8516" s="4" t="s">
        <v>16952</v>
      </c>
      <c r="C8516" s="16" t="str">
        <f>IFERROR(__xludf.DUMMYFUNCTION(""""""""" &amp; REGEXEXTRACT(B8516, ""/detail/([^/?]+)"") &amp; """""","""),"""jilanmapccclggpknpoldablbdgipgkc"",")</f>
        <v>"jilanmapccclggpknpoldablbdgipgkc",</v>
      </c>
    </row>
    <row r="8517">
      <c r="A8517" s="4" t="s">
        <v>27696</v>
      </c>
      <c r="B8517" s="4" t="s">
        <v>16954</v>
      </c>
      <c r="C8517" s="16" t="str">
        <f>IFERROR(__xludf.DUMMYFUNCTION(""""""""" &amp; REGEXEXTRACT(B8517, ""/detail/([^/?]+)"") &amp; """""","""),"""lpngbkmgnehdkkobdbieckjpphkohffd"",")</f>
        <v>"lpngbkmgnehdkkobdbieckjpphkohffd",</v>
      </c>
    </row>
    <row r="8518">
      <c r="A8518" s="4" t="s">
        <v>27697</v>
      </c>
      <c r="B8518" s="4" t="s">
        <v>16956</v>
      </c>
      <c r="C8518" s="16" t="str">
        <f>IFERROR(__xludf.DUMMYFUNCTION(""""""""" &amp; REGEXEXTRACT(B8518, ""/detail/([^/?]+)"") &amp; """""","""),"""oiaokhalddljknajgbakpkikohhpfnle"",")</f>
        <v>"oiaokhalddljknajgbakpkikohhpfnle",</v>
      </c>
    </row>
    <row r="8519">
      <c r="A8519" s="4" t="s">
        <v>27698</v>
      </c>
      <c r="B8519" s="4" t="s">
        <v>16958</v>
      </c>
      <c r="C8519" s="16" t="str">
        <f>IFERROR(__xludf.DUMMYFUNCTION(""""""""" &amp; REGEXEXTRACT(B8519, ""/detail/([^/?]+)"") &amp; """""","""),"""plembnjjobijhfiimnfjnnlmchabljoe"",")</f>
        <v>"plembnjjobijhfiimnfjnnlmchabljoe",</v>
      </c>
    </row>
    <row r="8520">
      <c r="A8520" s="4" t="s">
        <v>27699</v>
      </c>
      <c r="B8520" s="4" t="s">
        <v>16960</v>
      </c>
      <c r="C8520" s="16" t="str">
        <f>IFERROR(__xludf.DUMMYFUNCTION(""""""""" &amp; REGEXEXTRACT(B8520, ""/detail/([^/?]+)"") &amp; """""","""),"""bpndllhnkhaepbdeeklhlbpinaacbjfj"",")</f>
        <v>"bpndllhnkhaepbdeeklhlbpinaacbjfj",</v>
      </c>
    </row>
    <row r="8521">
      <c r="A8521" s="4" t="s">
        <v>27700</v>
      </c>
      <c r="B8521" s="4" t="s">
        <v>16962</v>
      </c>
      <c r="C8521" s="16" t="str">
        <f>IFERROR(__xludf.DUMMYFUNCTION(""""""""" &amp; REGEXEXTRACT(B8521, ""/detail/([^/?]+)"") &amp; """""","""),"""dggoghopejehbpogaaehefjlflbbdgej"",")</f>
        <v>"dggoghopejehbpogaaehefjlflbbdgej",</v>
      </c>
    </row>
    <row r="8522">
      <c r="A8522" s="4" t="s">
        <v>27701</v>
      </c>
      <c r="B8522" s="4" t="s">
        <v>16964</v>
      </c>
      <c r="C8522" s="16" t="str">
        <f>IFERROR(__xludf.DUMMYFUNCTION(""""""""" &amp; REGEXEXTRACT(B8522, ""/detail/([^/?]+)"") &amp; """""","""),"""fgpgdjgeoadkigpbnkhobdbgmjifnpaa"",")</f>
        <v>"fgpgdjgeoadkigpbnkhobdbgmjifnpaa",</v>
      </c>
    </row>
    <row r="8523">
      <c r="A8523" s="4" t="s">
        <v>27702</v>
      </c>
      <c r="B8523" s="4" t="s">
        <v>16966</v>
      </c>
      <c r="C8523" s="16" t="str">
        <f>IFERROR(__xludf.DUMMYFUNCTION(""""""""" &amp; REGEXEXTRACT(B8523, ""/detail/([^/?]+)"") &amp; """""","""),"""gmhgbhgpembbkendmjfhmdekcddncflc"",")</f>
        <v>"gmhgbhgpembbkendmjfhmdekcddncflc",</v>
      </c>
    </row>
    <row r="8524">
      <c r="A8524" s="4" t="s">
        <v>27703</v>
      </c>
      <c r="B8524" s="4" t="s">
        <v>16968</v>
      </c>
      <c r="C8524" s="16" t="str">
        <f>IFERROR(__xludf.DUMMYFUNCTION(""""""""" &amp; REGEXEXTRACT(B8524, ""/detail/([^/?]+)"") &amp; """""","""),"""jkmcidhidkfnconjdkhdiigbamgpihgo"",")</f>
        <v>"jkmcidhidkfnconjdkhdiigbamgpihgo",</v>
      </c>
    </row>
    <row r="8525">
      <c r="A8525" s="4" t="s">
        <v>27704</v>
      </c>
      <c r="B8525" s="4" t="s">
        <v>16970</v>
      </c>
      <c r="C8525" s="16" t="str">
        <f>IFERROR(__xludf.DUMMYFUNCTION(""""""""" &amp; REGEXEXTRACT(B8525, ""/detail/([^/?]+)"") &amp; """""","""),"""kcipmkejkojihddfhdmgolhhnbjnhbpm"",")</f>
        <v>"kcipmkejkojihddfhdmgolhhnbjnhbpm",</v>
      </c>
    </row>
    <row r="8526">
      <c r="A8526" s="4" t="s">
        <v>27705</v>
      </c>
      <c r="B8526" s="4" t="s">
        <v>16972</v>
      </c>
      <c r="C8526" s="16" t="str">
        <f>IFERROR(__xludf.DUMMYFUNCTION(""""""""" &amp; REGEXEXTRACT(B8526, ""/detail/([^/?]+)"") &amp; """""","""),"""kkibgipamepglokkgajhiholokhcjmog"",")</f>
        <v>"kkibgipamepglokkgajhiholokhcjmog",</v>
      </c>
    </row>
    <row r="8527">
      <c r="A8527" s="4" t="s">
        <v>27706</v>
      </c>
      <c r="B8527" s="4" t="s">
        <v>16974</v>
      </c>
      <c r="C8527" s="16" t="str">
        <f>IFERROR(__xludf.DUMMYFUNCTION(""""""""" &amp; REGEXEXTRACT(B8527, ""/detail/([^/?]+)"") &amp; """""","""),"""ljalefclkclbejlnejeagbpebmheejml"",")</f>
        <v>"ljalefclkclbejlnejeagbpebmheejml",</v>
      </c>
    </row>
    <row r="8528">
      <c r="A8528" s="4" t="s">
        <v>27707</v>
      </c>
      <c r="B8528" s="4" t="s">
        <v>16976</v>
      </c>
      <c r="C8528" s="16" t="str">
        <f>IFERROR(__xludf.DUMMYFUNCTION(""""""""" &amp; REGEXEXTRACT(B8528, ""/detail/([^/?]+)"") &amp; """""","""),"""mbpokgplnceehjoeifmlhkbfifjmbpee"",")</f>
        <v>"mbpokgplnceehjoeifmlhkbfifjmbpee",</v>
      </c>
    </row>
    <row r="8529">
      <c r="A8529" s="4" t="s">
        <v>27708</v>
      </c>
      <c r="B8529" s="4" t="s">
        <v>16978</v>
      </c>
      <c r="C8529" s="16" t="str">
        <f>IFERROR(__xludf.DUMMYFUNCTION(""""""""" &amp; REGEXEXTRACT(B8529, ""/detail/([^/?]+)"") &amp; """""","""),"""oaflcfpfbadadlpedcaenffejghilmdl"",")</f>
        <v>"oaflcfpfbadadlpedcaenffejghilmdl",</v>
      </c>
    </row>
    <row r="8530">
      <c r="A8530" s="4" t="s">
        <v>27709</v>
      </c>
      <c r="B8530" s="4" t="s">
        <v>16980</v>
      </c>
      <c r="C8530" s="16" t="str">
        <f>IFERROR(__xludf.DUMMYFUNCTION(""""""""" &amp; REGEXEXTRACT(B8530, ""/detail/([^/?]+)"") &amp; """""","""),"""omcnknklnilbbnoioiaibdkhoonlmdnj"",")</f>
        <v>"omcnknklnilbbnoioiaibdkhoonlmdnj",</v>
      </c>
    </row>
    <row r="8531">
      <c r="A8531" s="4" t="s">
        <v>27710</v>
      </c>
      <c r="B8531" s="4" t="s">
        <v>16982</v>
      </c>
      <c r="C8531" s="16" t="str">
        <f>IFERROR(__xludf.DUMMYFUNCTION(""""""""" &amp; REGEXEXTRACT(B8531, ""/detail/([^/?]+)"") &amp; """""","""),"""khdpepplemadoajklfhgmffmhjojicie"",")</f>
        <v>"khdpepplemadoajklfhgmffmhjojicie",</v>
      </c>
    </row>
    <row r="8532">
      <c r="A8532" s="4" t="s">
        <v>27711</v>
      </c>
      <c r="B8532" s="4" t="s">
        <v>16984</v>
      </c>
      <c r="C8532" s="16" t="str">
        <f>IFERROR(__xludf.DUMMYFUNCTION(""""""""" &amp; REGEXEXTRACT(B8532, ""/detail/([^/?]+)"") &amp; """""","""),"""lapcbklolihkkijaemmlbkpibgghhioh"",")</f>
        <v>"lapcbklolihkkijaemmlbkpibgghhioh",</v>
      </c>
    </row>
    <row r="8533">
      <c r="A8533" s="4" t="s">
        <v>27712</v>
      </c>
      <c r="B8533" s="4" t="s">
        <v>16986</v>
      </c>
      <c r="C8533" s="16" t="str">
        <f>IFERROR(__xludf.DUMMYFUNCTION(""""""""" &amp; REGEXEXTRACT(B8533, ""/detail/([^/?]+)"") &amp; """""","""),"""bmnanfhdjbcilhippcdfbhfpfoipgjgm"",")</f>
        <v>"bmnanfhdjbcilhippcdfbhfpfoipgjgm",</v>
      </c>
    </row>
    <row r="8534">
      <c r="A8534" s="4" t="s">
        <v>27713</v>
      </c>
      <c r="B8534" s="4" t="s">
        <v>16988</v>
      </c>
      <c r="C8534" s="16" t="str">
        <f>IFERROR(__xludf.DUMMYFUNCTION(""""""""" &amp; REGEXEXTRACT(B8534, ""/detail/([^/?]+)"") &amp; """""","""),"""cdbbhmihggfhmhbbmabpkpflahdeodgo"",")</f>
        <v>"cdbbhmihggfhmhbbmabpkpflahdeodgo",</v>
      </c>
    </row>
    <row r="8535">
      <c r="A8535" s="4" t="s">
        <v>27714</v>
      </c>
      <c r="B8535" s="4" t="s">
        <v>16990</v>
      </c>
      <c r="C8535" s="16" t="str">
        <f>IFERROR(__xludf.DUMMYFUNCTION(""""""""" &amp; REGEXEXTRACT(B8535, ""/detail/([^/?]+)"") &amp; """""","""),"""giikpeklljpljjdhhgnnlgdefikneiih"",")</f>
        <v>"giikpeklljpljjdhhgnnlgdefikneiih",</v>
      </c>
    </row>
    <row r="8536">
      <c r="A8536" s="4" t="s">
        <v>27715</v>
      </c>
      <c r="B8536" s="4" t="s">
        <v>16992</v>
      </c>
      <c r="C8536" s="16" t="str">
        <f>IFERROR(__xludf.DUMMYFUNCTION(""""""""" &amp; REGEXEXTRACT(B8536, ""/detail/([^/?]+)"") &amp; """""","""),"""aaimlcmkljmacmacanfbhfgjkahgaihm"",")</f>
        <v>"aaimlcmkljmacmacanfbhfgjkahgaihm",</v>
      </c>
    </row>
    <row r="8537">
      <c r="A8537" s="4" t="s">
        <v>27716</v>
      </c>
      <c r="B8537" s="4" t="s">
        <v>16994</v>
      </c>
      <c r="C8537" s="16" t="str">
        <f>IFERROR(__xludf.DUMMYFUNCTION(""""""""" &amp; REGEXEXTRACT(B8537, ""/detail/([^/?]+)"") &amp; """""","""),"""aimpmlaibekeikgifanaejmpglpknnnj"",")</f>
        <v>"aimpmlaibekeikgifanaejmpglpknnnj",</v>
      </c>
    </row>
    <row r="8538">
      <c r="A8538" s="4" t="s">
        <v>27717</v>
      </c>
      <c r="B8538" s="4" t="s">
        <v>16996</v>
      </c>
      <c r="C8538" s="16" t="str">
        <f>IFERROR(__xludf.DUMMYFUNCTION(""""""""" &amp; REGEXEXTRACT(B8538, ""/detail/([^/?]+)"") &amp; """""","""),"""cahocmmpljojjnbddkgflandcdbomgob"",")</f>
        <v>"cahocmmpljojjnbddkgflandcdbomgob",</v>
      </c>
    </row>
    <row r="8539">
      <c r="A8539" s="4" t="s">
        <v>27718</v>
      </c>
      <c r="B8539" s="4" t="s">
        <v>16997</v>
      </c>
      <c r="C8539" s="16" t="str">
        <f>IFERROR(__xludf.DUMMYFUNCTION(""""""""" &amp; REGEXEXTRACT(B8539, ""/detail/([^/?]+)"") &amp; """""","""),"""ehagagfefdlncfmdnnegoagdemnfehdc"",")</f>
        <v>"ehagagfefdlncfmdnnegoagdemnfehdc",</v>
      </c>
    </row>
    <row r="8540">
      <c r="A8540" s="4" t="s">
        <v>27719</v>
      </c>
      <c r="B8540" s="4" t="s">
        <v>16999</v>
      </c>
      <c r="C8540" s="16" t="str">
        <f>IFERROR(__xludf.DUMMYFUNCTION(""""""""" &amp; REGEXEXTRACT(B8540, ""/detail/([^/?]+)"") &amp; """""","""),"""hdbcnodefcbojlkaobiahghecgjoiicb"",")</f>
        <v>"hdbcnodefcbojlkaobiahghecgjoiicb",</v>
      </c>
    </row>
    <row r="8541">
      <c r="A8541" s="4" t="s">
        <v>27720</v>
      </c>
      <c r="B8541" s="4" t="s">
        <v>17001</v>
      </c>
      <c r="C8541" s="16" t="str">
        <f>IFERROR(__xludf.DUMMYFUNCTION(""""""""" &amp; REGEXEXTRACT(B8541, ""/detail/([^/?]+)"") &amp; """""","""),"""inhimoldpmckkeohhdkccpnpbpdfaple"",")</f>
        <v>"inhimoldpmckkeohhdkccpnpbpdfaple",</v>
      </c>
    </row>
    <row r="8542">
      <c r="A8542" s="4" t="s">
        <v>27721</v>
      </c>
      <c r="B8542" s="4" t="s">
        <v>17003</v>
      </c>
      <c r="C8542" s="16" t="str">
        <f>IFERROR(__xludf.DUMMYFUNCTION(""""""""" &amp; REGEXEXTRACT(B8542, ""/detail/([^/?]+)"") &amp; """""","""),"""mhfkipjbjoggoibcnilbbhdmojekjico"",")</f>
        <v>"mhfkipjbjoggoibcnilbbhdmojekjico",</v>
      </c>
    </row>
    <row r="8543">
      <c r="A8543" s="4" t="s">
        <v>27722</v>
      </c>
      <c r="B8543" s="4" t="s">
        <v>17005</v>
      </c>
      <c r="C8543" s="16" t="str">
        <f>IFERROR(__xludf.DUMMYFUNCTION(""""""""" &amp; REGEXEXTRACT(B8543, ""/detail/([^/?]+)"") &amp; """""","""),"""miploifkaagebhdlcdaaomgnenchiocf"",")</f>
        <v>"miploifkaagebhdlcdaaomgnenchiocf",</v>
      </c>
    </row>
    <row r="8544">
      <c r="A8544" s="4" t="s">
        <v>27723</v>
      </c>
      <c r="B8544" s="4" t="s">
        <v>17007</v>
      </c>
      <c r="C8544" s="16" t="str">
        <f>IFERROR(__xludf.DUMMYFUNCTION(""""""""" &amp; REGEXEXTRACT(B8544, ""/detail/([^/?]+)"") &amp; """""","""),"""nmjjeegdffiahoepnhjomedajlphigoa"",")</f>
        <v>"nmjjeegdffiahoepnhjomedajlphigoa",</v>
      </c>
    </row>
    <row r="8545">
      <c r="A8545" s="4" t="s">
        <v>27724</v>
      </c>
      <c r="B8545" s="4" t="s">
        <v>17009</v>
      </c>
      <c r="C8545" s="16" t="str">
        <f>IFERROR(__xludf.DUMMYFUNCTION(""""""""" &amp; REGEXEXTRACT(B8545, ""/detail/([^/?]+)"") &amp; """""","""),"""ohgdnhkppgeemnmjebhedjneajcedppf"",")</f>
        <v>"ohgdnhkppgeemnmjebhedjneajcedppf",</v>
      </c>
    </row>
    <row r="8546">
      <c r="A8546" s="4" t="s">
        <v>27725</v>
      </c>
      <c r="B8546" s="4" t="s">
        <v>17010</v>
      </c>
      <c r="C8546" s="16" t="str">
        <f>IFERROR(__xludf.DUMMYFUNCTION(""""""""" &amp; REGEXEXTRACT(B8546, ""/detail/([^/?]+)"") &amp; """""","""),"""dgmhlmcmofmfdmjhpkpippfklihelkhe"",")</f>
        <v>"dgmhlmcmofmfdmjhpkpippfklihelkhe",</v>
      </c>
    </row>
    <row r="8547">
      <c r="A8547" s="4" t="s">
        <v>27726</v>
      </c>
      <c r="B8547" s="4" t="s">
        <v>17012</v>
      </c>
      <c r="C8547" s="16" t="str">
        <f>IFERROR(__xludf.DUMMYFUNCTION(""""""""" &amp; REGEXEXTRACT(B8547, ""/detail/([^/?]+)"") &amp; """""","""),"""eiichpepijkdkmeblleomnppnmiinfkp"",")</f>
        <v>"eiichpepijkdkmeblleomnppnmiinfkp",</v>
      </c>
    </row>
    <row r="8548">
      <c r="A8548" s="4" t="s">
        <v>27727</v>
      </c>
      <c r="B8548" s="4" t="s">
        <v>17014</v>
      </c>
      <c r="C8548" s="16" t="str">
        <f>IFERROR(__xludf.DUMMYFUNCTION(""""""""" &amp; REGEXEXTRACT(B8548, ""/detail/([^/?]+)"") &amp; """""","""),"""ekbbnaokafbanjgmcbllligemhiclbcb"",")</f>
        <v>"ekbbnaokafbanjgmcbllligemhiclbcb",</v>
      </c>
    </row>
    <row r="8549">
      <c r="A8549" s="4" t="s">
        <v>27728</v>
      </c>
      <c r="B8549" s="4" t="s">
        <v>17016</v>
      </c>
      <c r="C8549" s="16" t="str">
        <f>IFERROR(__xludf.DUMMYFUNCTION(""""""""" &amp; REGEXEXTRACT(B8549, ""/detail/([^/?]+)"") &amp; """""","""),"""lemblgpmokabdmjphfehokigmpeobefc"",")</f>
        <v>"lemblgpmokabdmjphfehokigmpeobefc",</v>
      </c>
    </row>
    <row r="8550">
      <c r="A8550" s="4" t="s">
        <v>27729</v>
      </c>
      <c r="B8550" s="4" t="s">
        <v>17018</v>
      </c>
      <c r="C8550" s="16" t="str">
        <f>IFERROR(__xludf.DUMMYFUNCTION(""""""""" &amp; REGEXEXTRACT(B8550, ""/detail/([^/?]+)"") &amp; """""","""),"""pmgaobiflaffpllgnepmhcnbdhfgnpna"",")</f>
        <v>"pmgaobiflaffpllgnepmhcnbdhfgnpna",</v>
      </c>
    </row>
    <row r="8551">
      <c r="A8551" s="4" t="s">
        <v>27730</v>
      </c>
      <c r="B8551" s="4" t="s">
        <v>17020</v>
      </c>
      <c r="C8551" s="16" t="str">
        <f>IFERROR(__xludf.DUMMYFUNCTION(""""""""" &amp; REGEXEXTRACT(B8551, ""/detail/([^/?]+)"") &amp; """""","""),"""pmihaiejckejbpjdnildimfkpcpnohlo"",")</f>
        <v>"pmihaiejckejbpjdnildimfkpcpnohlo",</v>
      </c>
    </row>
    <row r="8552">
      <c r="A8552" s="4" t="s">
        <v>27731</v>
      </c>
      <c r="B8552" s="4" t="s">
        <v>17022</v>
      </c>
      <c r="C8552" s="16" t="str">
        <f>IFERROR(__xludf.DUMMYFUNCTION(""""""""" &amp; REGEXEXTRACT(B8552, ""/detail/([^/?]+)"") &amp; """""","""),"""bhaoeiajjigjglldnbichcimpgkfhckj"",")</f>
        <v>"bhaoeiajjigjglldnbichcimpgkfhckj",</v>
      </c>
    </row>
    <row r="8553">
      <c r="A8553" s="4" t="s">
        <v>27732</v>
      </c>
      <c r="B8553" s="4" t="s">
        <v>17024</v>
      </c>
      <c r="C8553" s="16" t="str">
        <f>IFERROR(__xludf.DUMMYFUNCTION(""""""""" &amp; REGEXEXTRACT(B8553, ""/detail/([^/?]+)"") &amp; """""","""),"""eepnfgpbliefeomgndikgopjomjelbhd"",")</f>
        <v>"eepnfgpbliefeomgndikgopjomjelbhd",</v>
      </c>
    </row>
    <row r="8554">
      <c r="A8554" s="4" t="s">
        <v>27733</v>
      </c>
      <c r="B8554" s="4" t="s">
        <v>17026</v>
      </c>
      <c r="C8554" s="16" t="str">
        <f>IFERROR(__xludf.DUMMYFUNCTION(""""""""" &amp; REGEXEXTRACT(B8554, ""/detail/([^/?]+)"") &amp; """""","""),"""fddonggpkiioiamiooilhidionncbdoj"",")</f>
        <v>"fddonggpkiioiamiooilhidionncbdoj",</v>
      </c>
    </row>
    <row r="8555">
      <c r="A8555" s="4" t="s">
        <v>27734</v>
      </c>
      <c r="B8555" s="4" t="s">
        <v>17028</v>
      </c>
      <c r="C8555" s="16" t="str">
        <f>IFERROR(__xludf.DUMMYFUNCTION(""""""""" &amp; REGEXEXTRACT(B8555, ""/detail/([^/?]+)"") &amp; """""","""),"""fdnpemihonbjkncljjolnmpfgbeigapf"",")</f>
        <v>"fdnpemihonbjkncljjolnmpfgbeigapf",</v>
      </c>
    </row>
    <row r="8556">
      <c r="A8556" s="4" t="s">
        <v>27735</v>
      </c>
      <c r="B8556" s="4" t="s">
        <v>17030</v>
      </c>
      <c r="C8556" s="16" t="str">
        <f>IFERROR(__xludf.DUMMYFUNCTION(""""""""" &amp; REGEXEXTRACT(B8556, ""/detail/([^/?]+)"") &amp; """""","""),"""ejjfgahdiphopekkdkkkapolodefpenn"",")</f>
        <v>"ejjfgahdiphopekkdkkkapolodefpenn",</v>
      </c>
    </row>
    <row r="8557">
      <c r="A8557" s="4" t="s">
        <v>27736</v>
      </c>
      <c r="B8557" s="4" t="s">
        <v>17032</v>
      </c>
      <c r="C8557" s="16" t="str">
        <f>IFERROR(__xludf.DUMMYFUNCTION(""""""""" &amp; REGEXEXTRACT(B8557, ""/detail/([^/?]+)"") &amp; """""","""),"""fbmhcbaeifdmgiidnkhchagmeijdoijp"",")</f>
        <v>"fbmhcbaeifdmgiidnkhchagmeijdoijp",</v>
      </c>
    </row>
    <row r="8558">
      <c r="A8558" s="4" t="s">
        <v>27737</v>
      </c>
      <c r="B8558" s="4" t="s">
        <v>17034</v>
      </c>
      <c r="C8558" s="16" t="str">
        <f>IFERROR(__xludf.DUMMYFUNCTION(""""""""" &amp; REGEXEXTRACT(B8558, ""/detail/([^/?]+)"") &amp; """""","""),"""fcoiihedkoepncejhcojgooljcflgpki"",")</f>
        <v>"fcoiihedkoepncejhcojgooljcflgpki",</v>
      </c>
    </row>
    <row r="8559">
      <c r="A8559" s="4" t="s">
        <v>27738</v>
      </c>
      <c r="B8559" s="4" t="s">
        <v>17036</v>
      </c>
      <c r="C8559" s="16" t="str">
        <f>IFERROR(__xludf.DUMMYFUNCTION(""""""""" &amp; REGEXEXTRACT(B8559, ""/detail/([^/?]+)"") &amp; """""","""),"""gmfkhbgcplalelcilmjpilgeeeabcbmh"",")</f>
        <v>"gmfkhbgcplalelcilmjpilgeeeabcbmh",</v>
      </c>
    </row>
    <row r="8560">
      <c r="A8560" s="4" t="s">
        <v>27739</v>
      </c>
      <c r="B8560" s="4" t="s">
        <v>17037</v>
      </c>
      <c r="C8560" s="16" t="str">
        <f>IFERROR(__xludf.DUMMYFUNCTION(""""""""" &amp; REGEXEXTRACT(B8560, ""/detail/([^/?]+)"") &amp; """""","""),"""hoflghcpbmgflojkghjopgodbhlpaeah"",")</f>
        <v>"hoflghcpbmgflojkghjopgodbhlpaeah",</v>
      </c>
    </row>
    <row r="8561">
      <c r="A8561" s="4" t="s">
        <v>27740</v>
      </c>
      <c r="B8561" s="4" t="s">
        <v>17039</v>
      </c>
      <c r="C8561" s="16" t="str">
        <f>IFERROR(__xludf.DUMMYFUNCTION(""""""""" &amp; REGEXEXTRACT(B8561, ""/detail/([^/?]+)"") &amp; """""","""),"""nnpjokeejpliankbgnjbjlkaloppehoi"",")</f>
        <v>"nnpjokeejpliankbgnjbjlkaloppehoi",</v>
      </c>
    </row>
    <row r="8562">
      <c r="A8562" s="4" t="s">
        <v>27741</v>
      </c>
      <c r="B8562" s="4" t="s">
        <v>17041</v>
      </c>
      <c r="C8562" s="16" t="str">
        <f>IFERROR(__xludf.DUMMYFUNCTION(""""""""" &amp; REGEXEXTRACT(B8562, ""/detail/([^/?]+)"") &amp; """""","""),"""aockhgcalnpkacmmbabpenflbdikonmg"",")</f>
        <v>"aockhgcalnpkacmmbabpenflbdikonmg",</v>
      </c>
    </row>
    <row r="8563">
      <c r="A8563" s="4" t="s">
        <v>27742</v>
      </c>
      <c r="B8563" s="4" t="s">
        <v>17043</v>
      </c>
      <c r="C8563" s="16" t="str">
        <f>IFERROR(__xludf.DUMMYFUNCTION(""""""""" &amp; REGEXEXTRACT(B8563, ""/detail/([^/?]+)"") &amp; """""","""),"""gnfgpckgnjfpifajcmmkegajbnmpdagb"",")</f>
        <v>"gnfgpckgnjfpifajcmmkegajbnmpdagb",</v>
      </c>
    </row>
    <row r="8564">
      <c r="A8564" s="4" t="s">
        <v>27743</v>
      </c>
      <c r="B8564" s="4" t="s">
        <v>17045</v>
      </c>
      <c r="C8564" s="16" t="str">
        <f>IFERROR(__xludf.DUMMYFUNCTION(""""""""" &amp; REGEXEXTRACT(B8564, ""/detail/([^/?]+)"") &amp; """""","""),"""mcccooedddofpgcfonjkjkcjcmjopgag"",")</f>
        <v>"mcccooedddofpgcfonjkjkcjcmjopgag",</v>
      </c>
    </row>
    <row r="8565">
      <c r="A8565" s="4" t="s">
        <v>27744</v>
      </c>
      <c r="B8565" s="4" t="s">
        <v>17047</v>
      </c>
      <c r="C8565" s="16" t="str">
        <f>IFERROR(__xludf.DUMMYFUNCTION(""""""""" &amp; REGEXEXTRACT(B8565, ""/detail/([^/?]+)"") &amp; """""","""),"""mdockcefffdofgbbjnnopcdmmkmfhjbm"",")</f>
        <v>"mdockcefffdofgbbjnnopcdmmkmfhjbm",</v>
      </c>
    </row>
    <row r="8566">
      <c r="A8566" s="4" t="s">
        <v>27745</v>
      </c>
      <c r="B8566" s="4" t="s">
        <v>17049</v>
      </c>
      <c r="C8566" s="16" t="str">
        <f>IFERROR(__xludf.DUMMYFUNCTION(""""""""" &amp; REGEXEXTRACT(B8566, ""/detail/([^/?]+)"") &amp; """""","""),"""mjfpkofgblpbkmjapadadendndgpiehh"",")</f>
        <v>"mjfpkofgblpbkmjapadadendndgpiehh",</v>
      </c>
    </row>
    <row r="8567">
      <c r="A8567" s="4" t="s">
        <v>27746</v>
      </c>
      <c r="B8567" s="4" t="s">
        <v>17051</v>
      </c>
      <c r="C8567" s="16" t="str">
        <f>IFERROR(__xludf.DUMMYFUNCTION(""""""""" &amp; REGEXEXTRACT(B8567, ""/detail/([^/?]+)"") &amp; """""","""),"""njekdcbanhfkdnnfmmbidoacmankeplg"",")</f>
        <v>"njekdcbanhfkdnnfmmbidoacmankeplg",</v>
      </c>
    </row>
    <row r="8568">
      <c r="A8568" s="4" t="s">
        <v>27747</v>
      </c>
      <c r="B8568" s="4" t="s">
        <v>17053</v>
      </c>
      <c r="C8568" s="16" t="str">
        <f>IFERROR(__xludf.DUMMYFUNCTION(""""""""" &amp; REGEXEXTRACT(B8568, ""/detail/([^/?]+)"") &amp; """""","""),"""ameigalddkfonmfeclbpknhmacaponip"",")</f>
        <v>"ameigalddkfonmfeclbpknhmacaponip",</v>
      </c>
    </row>
    <row r="8569">
      <c r="A8569" s="4" t="s">
        <v>27748</v>
      </c>
      <c r="B8569" s="4" t="s">
        <v>17055</v>
      </c>
      <c r="C8569" s="16" t="str">
        <f>IFERROR(__xludf.DUMMYFUNCTION(""""""""" &amp; REGEXEXTRACT(B8569, ""/detail/([^/?]+)"") &amp; """""","""),"""bhbcbhpenkmpgbjgaleflgfmelhjlcla"",")</f>
        <v>"bhbcbhpenkmpgbjgaleflgfmelhjlcla",</v>
      </c>
    </row>
    <row r="8570">
      <c r="A8570" s="4" t="s">
        <v>27749</v>
      </c>
      <c r="B8570" s="4" t="s">
        <v>17057</v>
      </c>
      <c r="C8570" s="16" t="str">
        <f>IFERROR(__xludf.DUMMYFUNCTION(""""""""" &amp; REGEXEXTRACT(B8570, ""/detail/([^/?]+)"") &amp; """""","""),"""iiijcjlkdiolgjlchofcehnenjijmpoc"",")</f>
        <v>"iiijcjlkdiolgjlchofcehnenjijmpoc",</v>
      </c>
    </row>
    <row r="8571">
      <c r="A8571" s="4" t="s">
        <v>27750</v>
      </c>
      <c r="B8571" s="4" t="s">
        <v>17059</v>
      </c>
      <c r="C8571" s="16" t="str">
        <f>IFERROR(__xludf.DUMMYFUNCTION(""""""""" &amp; REGEXEXTRACT(B8571, ""/detail/([^/?]+)"") &amp; """""","""),"""oclpffaofghhmjgdldcmnkofpdnogdnf"",")</f>
        <v>"oclpffaofghhmjgdldcmnkofpdnogdnf",</v>
      </c>
    </row>
    <row r="8572">
      <c r="A8572" s="4" t="s">
        <v>27751</v>
      </c>
      <c r="B8572" s="4" t="s">
        <v>17061</v>
      </c>
      <c r="C8572" s="16" t="str">
        <f>IFERROR(__xludf.DUMMYFUNCTION(""""""""" &amp; REGEXEXTRACT(B8572, ""/detail/([^/?]+)"") &amp; """""","""),"""pmhanmhcicjcfmmjiclkkjlpigpdmchl"",")</f>
        <v>"pmhanmhcicjcfmmjiclkkjlpigpdmchl",</v>
      </c>
    </row>
    <row r="8573">
      <c r="A8573" s="4" t="s">
        <v>27752</v>
      </c>
      <c r="B8573" s="4" t="s">
        <v>17062</v>
      </c>
      <c r="C8573" s="16" t="str">
        <f>IFERROR(__xludf.DUMMYFUNCTION(""""""""" &amp; REGEXEXTRACT(B8573, ""/detail/([^/?]+)"") &amp; """""","""),"""aliachjmgkelibfecomdccomahgpople"",")</f>
        <v>"aliachjmgkelibfecomdccomahgpople",</v>
      </c>
    </row>
    <row r="8574">
      <c r="A8574" s="4" t="s">
        <v>27753</v>
      </c>
      <c r="B8574" s="4" t="s">
        <v>17064</v>
      </c>
      <c r="C8574" s="16" t="str">
        <f>IFERROR(__xludf.DUMMYFUNCTION(""""""""" &amp; REGEXEXTRACT(B8574, ""/detail/([^/?]+)"") &amp; """""","""),"""leocemaonffedgnjdhfoilhdledinnnh"",")</f>
        <v>"leocemaonffedgnjdhfoilhdledinnnh",</v>
      </c>
    </row>
    <row r="8575">
      <c r="A8575" s="4" t="s">
        <v>27754</v>
      </c>
      <c r="B8575" s="4" t="s">
        <v>17066</v>
      </c>
      <c r="C8575" s="16" t="str">
        <f>IFERROR(__xludf.DUMMYFUNCTION(""""""""" &amp; REGEXEXTRACT(B8575, ""/detail/([^/?]+)"") &amp; """""","""),"""oikidifpfcaoocciidamfmfjmhggbhlk"",")</f>
        <v>"oikidifpfcaoocciidamfmfjmhggbhlk",</v>
      </c>
    </row>
    <row r="8576">
      <c r="A8576" s="4" t="s">
        <v>27755</v>
      </c>
      <c r="B8576" s="4" t="s">
        <v>17068</v>
      </c>
      <c r="C8576" s="16" t="str">
        <f>IFERROR(__xludf.DUMMYFUNCTION(""""""""" &amp; REGEXEXTRACT(B8576, ""/detail/([^/?]+)"") &amp; """""","""),"""ahahkpfdmlddommandcmeanlhbabnckn"",")</f>
        <v>"ahahkpfdmlddommandcmeanlhbabnckn",</v>
      </c>
    </row>
    <row r="8577">
      <c r="A8577" s="4" t="s">
        <v>27756</v>
      </c>
      <c r="B8577" s="4" t="s">
        <v>17070</v>
      </c>
      <c r="C8577" s="16" t="str">
        <f>IFERROR(__xludf.DUMMYFUNCTION(""""""""" &amp; REGEXEXTRACT(B8577, ""/detail/([^/?]+)"") &amp; """""","""),"""fjekaacdohamhhbmfhllhangfcgaimmm"",")</f>
        <v>"fjekaacdohamhhbmfhllhangfcgaimmm",</v>
      </c>
    </row>
    <row r="8578">
      <c r="A8578" s="4" t="s">
        <v>27757</v>
      </c>
      <c r="B8578" s="4" t="s">
        <v>17072</v>
      </c>
      <c r="C8578" s="16" t="str">
        <f>IFERROR(__xludf.DUMMYFUNCTION(""""""""" &amp; REGEXEXTRACT(B8578, ""/detail/([^/?]+)"") &amp; """""","""),"""ghpeimfjbonkimelnkbgekmcboomkgmi"",")</f>
        <v>"ghpeimfjbonkimelnkbgekmcboomkgmi",</v>
      </c>
    </row>
    <row r="8579">
      <c r="A8579" s="4" t="s">
        <v>27758</v>
      </c>
      <c r="B8579" s="4" t="s">
        <v>17074</v>
      </c>
      <c r="C8579" s="16" t="str">
        <f>IFERROR(__xludf.DUMMYFUNCTION(""""""""" &amp; REGEXEXTRACT(B8579, ""/detail/([^/?]+)"") &amp; """""","""),"""hejgbghjhjiilikhjinpbooockoiipek"",")</f>
        <v>"hejgbghjhjiilikhjinpbooockoiipek",</v>
      </c>
    </row>
    <row r="8580">
      <c r="A8580" s="4" t="s">
        <v>27759</v>
      </c>
      <c r="B8580" s="4" t="s">
        <v>17076</v>
      </c>
      <c r="C8580" s="16" t="str">
        <f>IFERROR(__xludf.DUMMYFUNCTION(""""""""" &amp; REGEXEXTRACT(B8580, ""/detail/([^/?]+)"") &amp; """""","""),"""lhnjllodihbcobjkppfbafclibgpofje"",")</f>
        <v>"lhnjllodihbcobjkppfbafclibgpofje",</v>
      </c>
    </row>
    <row r="8581">
      <c r="A8581" s="4" t="s">
        <v>27760</v>
      </c>
      <c r="B8581" s="4" t="s">
        <v>17078</v>
      </c>
      <c r="C8581" s="16" t="str">
        <f>IFERROR(__xludf.DUMMYFUNCTION(""""""""" &amp; REGEXEXTRACT(B8581, ""/detail/([^/?]+)"") &amp; """""","""),"""lnhmnokjidjgnnbfcnbhnkgfnfcndfkg"",")</f>
        <v>"lnhmnokjidjgnnbfcnbhnkgfnfcndfkg",</v>
      </c>
    </row>
    <row r="8582">
      <c r="A8582" s="4" t="s">
        <v>27761</v>
      </c>
      <c r="B8582" s="4" t="s">
        <v>17080</v>
      </c>
      <c r="C8582" s="16" t="str">
        <f>IFERROR(__xludf.DUMMYFUNCTION(""""""""" &amp; REGEXEXTRACT(B8582, ""/detail/([^/?]+)"") &amp; """""","""),"""olifkhgiaclmeffmbahghkpapnfipibl"",")</f>
        <v>"olifkhgiaclmeffmbahghkpapnfipibl",</v>
      </c>
    </row>
    <row r="8583">
      <c r="A8583" s="4" t="s">
        <v>27762</v>
      </c>
      <c r="B8583" s="4" t="s">
        <v>17082</v>
      </c>
      <c r="C8583" s="16" t="str">
        <f>IFERROR(__xludf.DUMMYFUNCTION(""""""""" &amp; REGEXEXTRACT(B8583, ""/detail/([^/?]+)"") &amp; """""","""),"""pjfphmbojlohmlllhdonekppepdpbkme"",")</f>
        <v>"pjfphmbojlohmlllhdonekppepdpbkme",</v>
      </c>
    </row>
    <row r="8584">
      <c r="A8584" s="4" t="s">
        <v>27763</v>
      </c>
      <c r="B8584" s="4" t="s">
        <v>17084</v>
      </c>
      <c r="C8584" s="16" t="str">
        <f>IFERROR(__xludf.DUMMYFUNCTION(""""""""" &amp; REGEXEXTRACT(B8584, ""/detail/([^/?]+)"") &amp; """""","""),"""gdgkhgfgpfhnmiebaedlcaignonmjobe"",")</f>
        <v>"gdgkhgfgpfhnmiebaedlcaignonmjobe",</v>
      </c>
    </row>
    <row r="8585">
      <c r="A8585" s="4" t="s">
        <v>27764</v>
      </c>
      <c r="B8585" s="4" t="s">
        <v>17086</v>
      </c>
      <c r="C8585" s="16" t="str">
        <f>IFERROR(__xludf.DUMMYFUNCTION(""""""""" &amp; REGEXEXTRACT(B8585, ""/detail/([^/?]+)"") &amp; """""","""),"""iljjenghdkelgjcolpijbmljfiejjphn"",")</f>
        <v>"iljjenghdkelgjcolpijbmljfiejjphn",</v>
      </c>
    </row>
    <row r="8586">
      <c r="A8586" s="4" t="s">
        <v>27765</v>
      </c>
      <c r="B8586" s="4" t="s">
        <v>17088</v>
      </c>
      <c r="C8586" s="16" t="str">
        <f>IFERROR(__xludf.DUMMYFUNCTION(""""""""" &amp; REGEXEXTRACT(B8586, ""/detail/([^/?]+)"") &amp; """""","""),"""kbmlfebdmnbkankdjbfjepadjnapkbki"",")</f>
        <v>"kbmlfebdmnbkankdjbfjepadjnapkbki",</v>
      </c>
    </row>
    <row r="8587">
      <c r="A8587" s="4" t="s">
        <v>27766</v>
      </c>
      <c r="B8587" s="4" t="s">
        <v>17090</v>
      </c>
      <c r="C8587" s="16" t="str">
        <f>IFERROR(__xludf.DUMMYFUNCTION(""""""""" &amp; REGEXEXTRACT(B8587, ""/detail/([^/?]+)"") &amp; """""","""),"""kkpnmkbpnnmefdjpdemgjpalbnplmdif"",")</f>
        <v>"kkpnmkbpnnmefdjpdemgjpalbnplmdif",</v>
      </c>
    </row>
    <row r="8588">
      <c r="A8588" s="4" t="s">
        <v>27767</v>
      </c>
      <c r="B8588" s="4" t="s">
        <v>17092</v>
      </c>
      <c r="C8588" s="16" t="str">
        <f>IFERROR(__xludf.DUMMYFUNCTION(""""""""" &amp; REGEXEXTRACT(B8588, ""/detail/([^/?]+)"") &amp; """""","""),"""bgkogmcpidbbckddheecaheippeabpnf"",")</f>
        <v>"bgkogmcpidbbckddheecaheippeabpnf",</v>
      </c>
    </row>
    <row r="8589">
      <c r="A8589" s="4" t="s">
        <v>27768</v>
      </c>
      <c r="B8589" s="4" t="s">
        <v>17094</v>
      </c>
      <c r="C8589" s="16" t="str">
        <f>IFERROR(__xludf.DUMMYFUNCTION(""""""""" &amp; REGEXEXTRACT(B8589, ""/detail/([^/?]+)"") &amp; """""","""),"""bjnnkbaedklmpjohbnhnblglllonbkik"",")</f>
        <v>"bjnnkbaedklmpjohbnhnblglllonbkik",</v>
      </c>
    </row>
    <row r="8590">
      <c r="A8590" s="4" t="s">
        <v>27769</v>
      </c>
      <c r="B8590" s="4" t="s">
        <v>17096</v>
      </c>
      <c r="C8590" s="16" t="str">
        <f>IFERROR(__xludf.DUMMYFUNCTION(""""""""" &amp; REGEXEXTRACT(B8590, ""/detail/([^/?]+)"") &amp; """""","""),"""cjiagapahflodiohcblmknmbaanipomj"",")</f>
        <v>"cjiagapahflodiohcblmknmbaanipomj",</v>
      </c>
    </row>
    <row r="8591">
      <c r="A8591" s="4" t="s">
        <v>27770</v>
      </c>
      <c r="B8591" s="4" t="s">
        <v>17098</v>
      </c>
      <c r="C8591" s="16" t="str">
        <f>IFERROR(__xludf.DUMMYFUNCTION(""""""""" &amp; REGEXEXTRACT(B8591, ""/detail/([^/?]+)"") &amp; """""","""),"""fandjchmgmejjcjcedgeoileeibjndbb"",")</f>
        <v>"fandjchmgmejjcjcedgeoileeibjndbb",</v>
      </c>
    </row>
    <row r="8592">
      <c r="A8592" s="4" t="s">
        <v>27771</v>
      </c>
      <c r="B8592" s="4" t="s">
        <v>17100</v>
      </c>
      <c r="C8592" s="16" t="str">
        <f>IFERROR(__xludf.DUMMYFUNCTION(""""""""" &amp; REGEXEXTRACT(B8592, ""/detail/([^/?]+)"") &amp; """""","""),"""ihhopbmcfgkpjklemfdbhgingabdkcpe"",")</f>
        <v>"ihhopbmcfgkpjklemfdbhgingabdkcpe",</v>
      </c>
    </row>
    <row r="8593">
      <c r="A8593" s="4" t="s">
        <v>27772</v>
      </c>
      <c r="B8593" s="4" t="s">
        <v>17102</v>
      </c>
      <c r="C8593" s="16" t="str">
        <f>IFERROR(__xludf.DUMMYFUNCTION(""""""""" &amp; REGEXEXTRACT(B8593, ""/detail/([^/?]+)"") &amp; """""","""),"""laphclamlodlnkaicijbcflfmhpebnno"",")</f>
        <v>"laphclamlodlnkaicijbcflfmhpebnno",</v>
      </c>
    </row>
    <row r="8594">
      <c r="A8594" s="4" t="s">
        <v>27773</v>
      </c>
      <c r="B8594" s="4" t="s">
        <v>17104</v>
      </c>
      <c r="C8594" s="16" t="str">
        <f>IFERROR(__xludf.DUMMYFUNCTION(""""""""" &amp; REGEXEXTRACT(B8594, ""/detail/([^/?]+)"") &amp; """""","""),"""nleicnolldoamnpiekcpifpimpolkelo"",")</f>
        <v>"nleicnolldoamnpiekcpifpimpolkelo",</v>
      </c>
    </row>
    <row r="8595">
      <c r="A8595" s="4" t="s">
        <v>27774</v>
      </c>
      <c r="B8595" s="4" t="s">
        <v>17106</v>
      </c>
      <c r="C8595" s="16" t="str">
        <f>IFERROR(__xludf.DUMMYFUNCTION(""""""""" &amp; REGEXEXTRACT(B8595, ""/detail/([^/?]+)"") &amp; """""","""),"""aceanfmobdgdiifkcnobhdoadjphmccd"",")</f>
        <v>"aceanfmobdgdiifkcnobhdoadjphmccd",</v>
      </c>
    </row>
    <row r="8596">
      <c r="A8596" s="4" t="s">
        <v>27775</v>
      </c>
      <c r="B8596" s="4" t="s">
        <v>17108</v>
      </c>
      <c r="C8596" s="16" t="str">
        <f>IFERROR(__xludf.DUMMYFUNCTION(""""""""" &amp; REGEXEXTRACT(B8596, ""/detail/([^/?]+)"") &amp; """""","""),"""djmbmdhgkbkcjoocbkleedhdhippikab"",")</f>
        <v>"djmbmdhgkbkcjoocbkleedhdhippikab",</v>
      </c>
    </row>
    <row r="8597">
      <c r="A8597" s="4" t="s">
        <v>27776</v>
      </c>
      <c r="B8597" s="4" t="s">
        <v>17109</v>
      </c>
      <c r="C8597" s="16" t="str">
        <f>IFERROR(__xludf.DUMMYFUNCTION(""""""""" &amp; REGEXEXTRACT(B8597, ""/detail/([^/?]+)"") &amp; """""","""),"""dmcopoldcoemapdejndbdnfmbofbkmbh"",")</f>
        <v>"dmcopoldcoemapdejndbdnfmbofbkmbh",</v>
      </c>
    </row>
    <row r="8598">
      <c r="A8598" s="4" t="s">
        <v>27777</v>
      </c>
      <c r="B8598" s="4" t="s">
        <v>17111</v>
      </c>
      <c r="C8598" s="16" t="str">
        <f>IFERROR(__xludf.DUMMYFUNCTION(""""""""" &amp; REGEXEXTRACT(B8598, ""/detail/([^/?]+)"") &amp; """""","""),"""eoekhnolflkjbpiafambpfemogdidlch"",")</f>
        <v>"eoekhnolflkjbpiafambpfemogdidlch",</v>
      </c>
    </row>
    <row r="8599">
      <c r="A8599" s="4" t="s">
        <v>27778</v>
      </c>
      <c r="B8599" s="4" t="s">
        <v>17113</v>
      </c>
      <c r="C8599" s="16" t="str">
        <f>IFERROR(__xludf.DUMMYFUNCTION(""""""""" &amp; REGEXEXTRACT(B8599, ""/detail/([^/?]+)"") &amp; """""","""),"""hdnehngglnbnehkfcidabjckinphnief"",")</f>
        <v>"hdnehngglnbnehkfcidabjckinphnief",</v>
      </c>
    </row>
    <row r="8600">
      <c r="A8600" s="4" t="s">
        <v>27779</v>
      </c>
      <c r="B8600" s="4" t="s">
        <v>17115</v>
      </c>
      <c r="C8600" s="16" t="str">
        <f>IFERROR(__xludf.DUMMYFUNCTION(""""""""" &amp; REGEXEXTRACT(B8600, ""/detail/([^/?]+)"") &amp; """""","""),"""mapimlkdaecmhlhapakmonjdlpiejbeh"",")</f>
        <v>"mapimlkdaecmhlhapakmonjdlpiejbeh",</v>
      </c>
    </row>
    <row r="8601">
      <c r="A8601" s="4" t="s">
        <v>27780</v>
      </c>
      <c r="B8601" s="4" t="s">
        <v>17117</v>
      </c>
      <c r="C8601" s="16" t="str">
        <f>IFERROR(__xludf.DUMMYFUNCTION(""""""""" &amp; REGEXEXTRACT(B8601, ""/detail/([^/?]+)"") &amp; """""","""),"""mbonhaimbjdhphgdpfihdanaimpiooan"",")</f>
        <v>"mbonhaimbjdhphgdpfihdanaimpiooan",</v>
      </c>
    </row>
    <row r="8602">
      <c r="A8602" s="4" t="s">
        <v>27781</v>
      </c>
      <c r="B8602" s="4" t="s">
        <v>17119</v>
      </c>
      <c r="C8602" s="16" t="str">
        <f>IFERROR(__xludf.DUMMYFUNCTION(""""""""" &amp; REGEXEXTRACT(B8602, ""/detail/([^/?]+)"") &amp; """""","""),"""njppjhbkfdkokacgoifjbbkijgfpkjec"",")</f>
        <v>"njppjhbkfdkokacgoifjbbkijgfpkjec",</v>
      </c>
    </row>
    <row r="8603">
      <c r="A8603" s="4" t="s">
        <v>27782</v>
      </c>
      <c r="B8603" s="4" t="s">
        <v>17121</v>
      </c>
      <c r="C8603" s="16" t="str">
        <f>IFERROR(__xludf.DUMMYFUNCTION(""""""""" &amp; REGEXEXTRACT(B8603, ""/detail/([^/?]+)"") &amp; """""","""),"""pipocicnhgaphjjmcchdnnaoofncdfnn"",")</f>
        <v>"pipocicnhgaphjjmcchdnnaoofncdfnn",</v>
      </c>
    </row>
    <row r="8604">
      <c r="A8604" s="4" t="s">
        <v>27783</v>
      </c>
      <c r="B8604" s="4" t="s">
        <v>17123</v>
      </c>
      <c r="C8604" s="16" t="str">
        <f>IFERROR(__xludf.DUMMYFUNCTION(""""""""" &amp; REGEXEXTRACT(B8604, ""/detail/([^/?]+)"") &amp; """""","""),"""bgpjnknbmhdhgpofaeifiokeniefmael"",")</f>
        <v>"bgpjnknbmhdhgpofaeifiokeniefmael",</v>
      </c>
    </row>
    <row r="8605">
      <c r="A8605" s="4" t="s">
        <v>27784</v>
      </c>
      <c r="B8605" s="4" t="s">
        <v>17125</v>
      </c>
      <c r="C8605" s="16" t="str">
        <f>IFERROR(__xludf.DUMMYFUNCTION(""""""""" &amp; REGEXEXTRACT(B8605, ""/detail/([^/?]+)"") &amp; """""","""),"""fkakmejoechmicbecchienoapbakancc"",")</f>
        <v>"fkakmejoechmicbecchienoapbakancc",</v>
      </c>
    </row>
    <row r="8606">
      <c r="A8606" s="4" t="s">
        <v>27785</v>
      </c>
      <c r="B8606" s="4" t="s">
        <v>17127</v>
      </c>
      <c r="C8606" s="16" t="str">
        <f>IFERROR(__xludf.DUMMYFUNCTION(""""""""" &amp; REGEXEXTRACT(B8606, ""/detail/([^/?]+)"") &amp; """""","""),"""jnodcgnkggmnlmcgibanbaeagpjckjnd"",")</f>
        <v>"jnodcgnkggmnlmcgibanbaeagpjckjnd",</v>
      </c>
    </row>
    <row r="8607">
      <c r="A8607" s="4" t="s">
        <v>27786</v>
      </c>
      <c r="B8607" s="4" t="s">
        <v>17129</v>
      </c>
      <c r="C8607" s="16" t="str">
        <f>IFERROR(__xludf.DUMMYFUNCTION(""""""""" &amp; REGEXEXTRACT(B8607, ""/detail/([^/?]+)"") &amp; """""","""),"""kkganccblahhhjbpjgbaindnmjimjaep"",")</f>
        <v>"kkganccblahhhjbpjgbaindnmjimjaep",</v>
      </c>
    </row>
    <row r="8608">
      <c r="A8608" s="4" t="s">
        <v>27787</v>
      </c>
      <c r="B8608" s="4" t="s">
        <v>17131</v>
      </c>
      <c r="C8608" s="16" t="str">
        <f>IFERROR(__xludf.DUMMYFUNCTION(""""""""" &amp; REGEXEXTRACT(B8608, ""/detail/([^/?]+)"") &amp; """""","""),"""aeaopfchihlkndgjcimklmopnccejhbn"",")</f>
        <v>"aeaopfchihlkndgjcimklmopnccejhbn",</v>
      </c>
    </row>
    <row r="8609">
      <c r="A8609" s="4" t="s">
        <v>27788</v>
      </c>
      <c r="B8609" s="4" t="s">
        <v>17133</v>
      </c>
      <c r="C8609" s="16" t="str">
        <f>IFERROR(__xludf.DUMMYFUNCTION(""""""""" &amp; REGEXEXTRACT(B8609, ""/detail/([^/?]+)"") &amp; """""","""),"""gfhlfpnpjokocfohicmfbgjneiipfeil"",")</f>
        <v>"gfhlfpnpjokocfohicmfbgjneiipfeil",</v>
      </c>
    </row>
    <row r="8610">
      <c r="A8610" s="4" t="s">
        <v>27789</v>
      </c>
      <c r="B8610" s="4" t="s">
        <v>17135</v>
      </c>
      <c r="C8610" s="16" t="str">
        <f>IFERROR(__xludf.DUMMYFUNCTION(""""""""" &amp; REGEXEXTRACT(B8610, ""/detail/([^/?]+)"") &amp; """""","""),"""gjbbkgcllakoeppmegglnocdfmlbdlck"",")</f>
        <v>"gjbbkgcllakoeppmegglnocdfmlbdlck",</v>
      </c>
    </row>
    <row r="8611">
      <c r="A8611" s="4" t="s">
        <v>27790</v>
      </c>
      <c r="B8611" s="4" t="s">
        <v>17137</v>
      </c>
      <c r="C8611" s="16" t="str">
        <f>IFERROR(__xludf.DUMMYFUNCTION(""""""""" &amp; REGEXEXTRACT(B8611, ""/detail/([^/?]+)"") &amp; """""","""),"""glkakabophafagdlboddioadkhhadgjf"",")</f>
        <v>"glkakabophafagdlboddioadkhhadgjf",</v>
      </c>
    </row>
    <row r="8612">
      <c r="A8612" s="4" t="s">
        <v>27791</v>
      </c>
      <c r="B8612" s="4" t="s">
        <v>17139</v>
      </c>
      <c r="C8612" s="16" t="str">
        <f>IFERROR(__xludf.DUMMYFUNCTION(""""""""" &amp; REGEXEXTRACT(B8612, ""/detail/([^/?]+)"") &amp; """""","""),"""lobgcbjldcompfnfkiaahnbgagkeafbd"",")</f>
        <v>"lobgcbjldcompfnfkiaahnbgagkeafbd",</v>
      </c>
    </row>
    <row r="8613">
      <c r="A8613" s="4" t="s">
        <v>27792</v>
      </c>
      <c r="B8613" s="4" t="s">
        <v>17141</v>
      </c>
      <c r="C8613" s="16" t="str">
        <f>IFERROR(__xludf.DUMMYFUNCTION(""""""""" &amp; REGEXEXTRACT(B8613, ""/detail/([^/?]+)"") &amp; """""","""),"""mialjgeooaepealoglgacdjicchfipjd"",")</f>
        <v>"mialjgeooaepealoglgacdjicchfipjd",</v>
      </c>
    </row>
    <row r="8614">
      <c r="A8614" s="4" t="s">
        <v>27793</v>
      </c>
      <c r="B8614" s="4" t="s">
        <v>17143</v>
      </c>
      <c r="C8614" s="16" t="str">
        <f>IFERROR(__xludf.DUMMYFUNCTION(""""""""" &amp; REGEXEXTRACT(B8614, ""/detail/([^/?]+)"") &amp; """""","""),"""nkembapigckgnpnghehabanohmfmfpii"",")</f>
        <v>"nkembapigckgnpnghehabanohmfmfpii",</v>
      </c>
    </row>
    <row r="8615">
      <c r="A8615" s="4" t="s">
        <v>27794</v>
      </c>
      <c r="B8615" s="4" t="s">
        <v>17145</v>
      </c>
      <c r="C8615" s="16" t="str">
        <f>IFERROR(__xludf.DUMMYFUNCTION(""""""""" &amp; REGEXEXTRACT(B8615, ""/detail/([^/?]+)"") &amp; """""","""),"""pplfkfelndgidjmndlgnbelpomclmelm"",")</f>
        <v>"pplfkfelndgidjmndlgnbelpomclmelm",</v>
      </c>
    </row>
    <row r="8616">
      <c r="A8616" s="4" t="s">
        <v>27795</v>
      </c>
      <c r="B8616" s="4" t="s">
        <v>17147</v>
      </c>
      <c r="C8616" s="16" t="str">
        <f>IFERROR(__xludf.DUMMYFUNCTION(""""""""" &amp; REGEXEXTRACT(B8616, ""/detail/([^/?]+)"") &amp; """""","""),"""bdghcmkefkobbmpeealipifblooopbja"",")</f>
        <v>"bdghcmkefkobbmpeealipifblooopbja",</v>
      </c>
    </row>
    <row r="8617">
      <c r="A8617" s="4" t="s">
        <v>27796</v>
      </c>
      <c r="B8617" s="4" t="s">
        <v>17149</v>
      </c>
      <c r="C8617" s="16" t="str">
        <f>IFERROR(__xludf.DUMMYFUNCTION(""""""""" &amp; REGEXEXTRACT(B8617, ""/detail/([^/?]+)"") &amp; """""","""),"""ckhhdfhcoijmbejbeigjcjdfflnmeeje"",")</f>
        <v>"ckhhdfhcoijmbejbeigjcjdfflnmeeje",</v>
      </c>
    </row>
    <row r="8618">
      <c r="A8618" s="4" t="s">
        <v>27797</v>
      </c>
      <c r="B8618" s="4" t="s">
        <v>17151</v>
      </c>
      <c r="C8618" s="16" t="str">
        <f>IFERROR(__xludf.DUMMYFUNCTION(""""""""" &amp; REGEXEXTRACT(B8618, ""/detail/([^/?]+)"") &amp; """""","""),"""fplioachhfdbehddoehahffjbcfeinid"",")</f>
        <v>"fplioachhfdbehddoehahffjbcfeinid",</v>
      </c>
    </row>
    <row r="8619">
      <c r="A8619" s="4" t="s">
        <v>27798</v>
      </c>
      <c r="B8619" s="4" t="s">
        <v>17153</v>
      </c>
      <c r="C8619" s="16" t="str">
        <f>IFERROR(__xludf.DUMMYFUNCTION(""""""""" &amp; REGEXEXTRACT(B8619, ""/detail/([^/?]+)"") &amp; """""","""),"""hchkanfcbaiiapcpdadjanhklcfaeodn"",")</f>
        <v>"hchkanfcbaiiapcpdadjanhklcfaeodn",</v>
      </c>
    </row>
    <row r="8620">
      <c r="A8620" s="4" t="s">
        <v>27799</v>
      </c>
      <c r="B8620" s="4" t="s">
        <v>17155</v>
      </c>
      <c r="C8620" s="16" t="str">
        <f>IFERROR(__xludf.DUMMYFUNCTION(""""""""" &amp; REGEXEXTRACT(B8620, ""/detail/([^/?]+)"") &amp; """""","""),"""hgdfllkgbhpehkplfjckkecheniibdpe"",")</f>
        <v>"hgdfllkgbhpehkplfjckkecheniibdpe",</v>
      </c>
    </row>
    <row r="8621">
      <c r="A8621" s="4" t="s">
        <v>27800</v>
      </c>
      <c r="B8621" s="4" t="s">
        <v>17157</v>
      </c>
      <c r="C8621" s="16" t="str">
        <f>IFERROR(__xludf.DUMMYFUNCTION(""""""""" &amp; REGEXEXTRACT(B8621, ""/detail/([^/?]+)"") &amp; """""","""),"""igcckpiilmgndjpfcojcmagpieedchij"",")</f>
        <v>"igcckpiilmgndjpfcojcmagpieedchij",</v>
      </c>
    </row>
    <row r="8622">
      <c r="A8622" s="4" t="s">
        <v>27801</v>
      </c>
      <c r="B8622" s="4" t="s">
        <v>17159</v>
      </c>
      <c r="C8622" s="16" t="str">
        <f>IFERROR(__xludf.DUMMYFUNCTION(""""""""" &amp; REGEXEXTRACT(B8622, ""/detail/([^/?]+)"") &amp; """""","""),"""ldcbggleohekjaihklhbkcekmpkdigpa"",")</f>
        <v>"ldcbggleohekjaihklhbkcekmpkdigpa",</v>
      </c>
    </row>
    <row r="8623">
      <c r="A8623" s="4" t="s">
        <v>27802</v>
      </c>
      <c r="B8623" s="4" t="s">
        <v>17161</v>
      </c>
      <c r="C8623" s="16" t="str">
        <f>IFERROR(__xludf.DUMMYFUNCTION(""""""""" &amp; REGEXEXTRACT(B8623, ""/detail/([^/?]+)"") &amp; """""","""),"""meggmbmcebhnbamegfmejpokkjhcnmih"",")</f>
        <v>"meggmbmcebhnbamegfmejpokkjhcnmih",</v>
      </c>
    </row>
    <row r="8624">
      <c r="A8624" s="4" t="s">
        <v>27803</v>
      </c>
      <c r="B8624" s="4" t="s">
        <v>17163</v>
      </c>
      <c r="C8624" s="16" t="str">
        <f>IFERROR(__xludf.DUMMYFUNCTION(""""""""" &amp; REGEXEXTRACT(B8624, ""/detail/([^/?]+)"") &amp; """""","""),"""angdkjndobobaegbnhjaooedegkbibae"",")</f>
        <v>"angdkjndobobaegbnhjaooedegkbibae",</v>
      </c>
    </row>
    <row r="8625">
      <c r="A8625" s="4" t="s">
        <v>27804</v>
      </c>
      <c r="B8625" s="4" t="s">
        <v>17165</v>
      </c>
      <c r="C8625" s="16" t="str">
        <f>IFERROR(__xludf.DUMMYFUNCTION(""""""""" &amp; REGEXEXTRACT(B8625, ""/detail/([^/?]+)"") &amp; """""","""),"""angodpfpjlolgkhlflepneffcckdkeni"",")</f>
        <v>"angodpfpjlolgkhlflepneffcckdkeni",</v>
      </c>
    </row>
    <row r="8626">
      <c r="A8626" s="4" t="s">
        <v>27805</v>
      </c>
      <c r="B8626" s="4" t="s">
        <v>17167</v>
      </c>
      <c r="C8626" s="16" t="str">
        <f>IFERROR(__xludf.DUMMYFUNCTION(""""""""" &amp; REGEXEXTRACT(B8626, ""/detail/([^/?]+)"") &amp; """""","""),"""aoomledhkicfjimnbdcpdlkppkoloddj"",")</f>
        <v>"aoomledhkicfjimnbdcpdlkppkoloddj",</v>
      </c>
    </row>
    <row r="8627">
      <c r="A8627" s="4" t="s">
        <v>27806</v>
      </c>
      <c r="B8627" s="4" t="s">
        <v>17169</v>
      </c>
      <c r="C8627" s="16" t="str">
        <f>IFERROR(__xludf.DUMMYFUNCTION(""""""""" &amp; REGEXEXTRACT(B8627, ""/detail/([^/?]+)"") &amp; """""","""),"""apeagpappkcpkenmhnofdpfpaminilfj"",")</f>
        <v>"apeagpappkcpkenmhnofdpfpaminilfj",</v>
      </c>
    </row>
    <row r="8628">
      <c r="A8628" s="4" t="s">
        <v>27807</v>
      </c>
      <c r="B8628" s="4" t="s">
        <v>17171</v>
      </c>
      <c r="C8628" s="16" t="str">
        <f>IFERROR(__xludf.DUMMYFUNCTION(""""""""" &amp; REGEXEXTRACT(B8628, ""/detail/([^/?]+)"") &amp; """""","""),"""bepkjkmghlbjbeaoggnjjmemckkacnod"",")</f>
        <v>"bepkjkmghlbjbeaoggnjjmemckkacnod",</v>
      </c>
    </row>
    <row r="8629">
      <c r="A8629" s="4" t="s">
        <v>27808</v>
      </c>
      <c r="B8629" s="4" t="s">
        <v>17173</v>
      </c>
      <c r="C8629" s="16" t="str">
        <f>IFERROR(__xludf.DUMMYFUNCTION(""""""""" &amp; REGEXEXTRACT(B8629, ""/detail/([^/?]+)"") &amp; """""","""),"""blchhkbbijehipelagipdngfhiolahko"",")</f>
        <v>"blchhkbbijehipelagipdngfhiolahko",</v>
      </c>
    </row>
    <row r="8630">
      <c r="A8630" s="10" t="s">
        <v>27809</v>
      </c>
      <c r="B8630" s="4" t="s">
        <v>17175</v>
      </c>
      <c r="C8630" s="16" t="str">
        <f>IFERROR(__xludf.DUMMYFUNCTION(""""""""" &amp; REGEXEXTRACT(B8630, ""/detail/([^/?]+)"") &amp; """""","""),"""bpiehpmcnipgajgjdmalnpobnkfaanlj"",")</f>
        <v>"bpiehpmcnipgajgjdmalnpobnkfaanlj",</v>
      </c>
    </row>
    <row r="8631">
      <c r="A8631" s="4" t="s">
        <v>27810</v>
      </c>
      <c r="B8631" s="4" t="s">
        <v>17177</v>
      </c>
      <c r="C8631" s="16" t="str">
        <f>IFERROR(__xludf.DUMMYFUNCTION(""""""""" &amp; REGEXEXTRACT(B8631, ""/detail/([^/?]+)"") &amp; """""","""),"""cekcgnaofolhdeamjcghebalfmjodgeh"",")</f>
        <v>"cekcgnaofolhdeamjcghebalfmjodgeh",</v>
      </c>
    </row>
    <row r="8632">
      <c r="A8632" s="4" t="s">
        <v>27811</v>
      </c>
      <c r="B8632" s="4" t="s">
        <v>17179</v>
      </c>
      <c r="C8632" s="16" t="str">
        <f>IFERROR(__xludf.DUMMYFUNCTION(""""""""" &amp; REGEXEXTRACT(B8632, ""/detail/([^/?]+)"") &amp; """""","""),"""cmdjafgljdgjncmbgiphgjokfcdfnnkb"",")</f>
        <v>"cmdjafgljdgjncmbgiphgjokfcdfnnkb",</v>
      </c>
    </row>
    <row r="8633">
      <c r="A8633" s="4" t="s">
        <v>27812</v>
      </c>
      <c r="B8633" s="4" t="s">
        <v>17181</v>
      </c>
      <c r="C8633" s="16" t="str">
        <f>IFERROR(__xludf.DUMMYFUNCTION(""""""""" &amp; REGEXEXTRACT(B8633, ""/detail/([^/?]+)"") &amp; """""","""),"""ghfkolelcoadihahcnegknflcmofegib"",")</f>
        <v>"ghfkolelcoadihahcnegknflcmofegib",</v>
      </c>
    </row>
    <row r="8634">
      <c r="A8634" s="4" t="s">
        <v>27813</v>
      </c>
      <c r="B8634" s="4" t="s">
        <v>17183</v>
      </c>
      <c r="C8634" s="16" t="str">
        <f>IFERROR(__xludf.DUMMYFUNCTION(""""""""" &amp; REGEXEXTRACT(B8634, ""/detail/([^/?]+)"") &amp; """""","""),"""lfmpjfiaamohbamfgjlnmhogcclnpdhd"",")</f>
        <v>"lfmpjfiaamohbamfgjlnmhogcclnpdhd",</v>
      </c>
    </row>
    <row r="8635">
      <c r="A8635" s="4" t="s">
        <v>27814</v>
      </c>
      <c r="B8635" s="4" t="s">
        <v>17185</v>
      </c>
      <c r="C8635" s="16" t="str">
        <f>IFERROR(__xludf.DUMMYFUNCTION(""""""""" &amp; REGEXEXTRACT(B8635, ""/detail/([^/?]+)"") &amp; """""","""),"""mnabmigmbaoimceikabofkghpdfkhlbf"",")</f>
        <v>"mnabmigmbaoimceikabofkghpdfkhlbf",</v>
      </c>
    </row>
    <row r="8636">
      <c r="A8636" s="4" t="s">
        <v>27815</v>
      </c>
      <c r="B8636" s="4" t="s">
        <v>17187</v>
      </c>
      <c r="C8636" s="16" t="str">
        <f>IFERROR(__xludf.DUMMYFUNCTION(""""""""" &amp; REGEXEXTRACT(B8636, ""/detail/([^/?]+)"") &amp; """""","""),"""enampmoogmjoofjmpobfdmgflljfacnl"",")</f>
        <v>"enampmoogmjoofjmpobfdmgflljfacnl",</v>
      </c>
    </row>
    <row r="8637">
      <c r="A8637" s="4" t="s">
        <v>27816</v>
      </c>
      <c r="B8637" s="4" t="s">
        <v>17189</v>
      </c>
      <c r="C8637" s="16" t="str">
        <f>IFERROR(__xludf.DUMMYFUNCTION(""""""""" &amp; REGEXEXTRACT(B8637, ""/detail/([^/?]+)"") &amp; """""","""),"""jjpfdfcgmfaoiebailahlppglbkdbajb"",")</f>
        <v>"jjpfdfcgmfaoiebailahlppglbkdbajb",</v>
      </c>
    </row>
    <row r="8638">
      <c r="A8638" s="4" t="s">
        <v>27817</v>
      </c>
      <c r="B8638" s="4" t="s">
        <v>17191</v>
      </c>
      <c r="C8638" s="16" t="str">
        <f>IFERROR(__xludf.DUMMYFUNCTION(""""""""" &amp; REGEXEXTRACT(B8638, ""/detail/([^/?]+)"") &amp; """""","""),"""mebphgfpdffafikgeakpkbmlmkbimcmk"",")</f>
        <v>"mebphgfpdffafikgeakpkbmlmkbimcmk",</v>
      </c>
    </row>
    <row r="8639">
      <c r="A8639" s="4" t="s">
        <v>27818</v>
      </c>
      <c r="B8639" s="4" t="s">
        <v>17193</v>
      </c>
      <c r="C8639" s="16" t="str">
        <f>IFERROR(__xludf.DUMMYFUNCTION(""""""""" &amp; REGEXEXTRACT(B8639, ""/detail/([^/?]+)"") &amp; """""","""),"""mimclceeboejniclilndinkbkfnadlki"",")</f>
        <v>"mimclceeboejniclilndinkbkfnadlki",</v>
      </c>
    </row>
    <row r="8640">
      <c r="A8640" s="4" t="s">
        <v>27819</v>
      </c>
      <c r="B8640" s="4" t="s">
        <v>17195</v>
      </c>
      <c r="C8640" s="16" t="str">
        <f>IFERROR(__xludf.DUMMYFUNCTION(""""""""" &amp; REGEXEXTRACT(B8640, ""/detail/([^/?]+)"") &amp; """""","""),"""nnjgaeekiplalipomfgacalgehhcckbp"",")</f>
        <v>"nnjgaeekiplalipomfgacalgehhcckbp",</v>
      </c>
    </row>
    <row r="8641">
      <c r="A8641" s="4" t="s">
        <v>27820</v>
      </c>
      <c r="B8641" s="4" t="s">
        <v>17197</v>
      </c>
      <c r="C8641" s="16" t="str">
        <f>IFERROR(__xludf.DUMMYFUNCTION(""""""""" &amp; REGEXEXTRACT(B8641, ""/detail/([^/?]+)"") &amp; """""","""),"""omekgoimkadkjcpdakieofgjjfeahcbi"",")</f>
        <v>"omekgoimkadkjcpdakieofgjjfeahcbi",</v>
      </c>
    </row>
    <row r="8642">
      <c r="A8642" s="4" t="s">
        <v>27821</v>
      </c>
      <c r="B8642" s="4" t="s">
        <v>17199</v>
      </c>
      <c r="C8642" s="16" t="str">
        <f>IFERROR(__xludf.DUMMYFUNCTION(""""""""" &amp; REGEXEXTRACT(B8642, ""/detail/([^/?]+)"") &amp; """""","""),"""cbomgfbookfdpmiddedikmihfcbplmcl"",")</f>
        <v>"cbomgfbookfdpmiddedikmihfcbplmcl",</v>
      </c>
    </row>
    <row r="8643">
      <c r="A8643" s="4" t="s">
        <v>27822</v>
      </c>
      <c r="B8643" s="4" t="s">
        <v>17201</v>
      </c>
      <c r="C8643" s="16" t="str">
        <f>IFERROR(__xludf.DUMMYFUNCTION(""""""""" &amp; REGEXEXTRACT(B8643, ""/detail/([^/?]+)"") &amp; """""","""),"""jfjodidafpjnpfgcfmoadhjldhljjkgc"",")</f>
        <v>"jfjodidafpjnpfgcfmoadhjldhljjkgc",</v>
      </c>
    </row>
    <row r="8644">
      <c r="A8644" s="4" t="s">
        <v>27823</v>
      </c>
      <c r="B8644" s="4" t="s">
        <v>17203</v>
      </c>
      <c r="C8644" s="16" t="str">
        <f>IFERROR(__xludf.DUMMYFUNCTION(""""""""" &amp; REGEXEXTRACT(B8644, ""/detail/([^/?]+)"") &amp; """""","""),"""jnjpgagcbhkomjfkfimifpddphbiilkh"",")</f>
        <v>"jnjpgagcbhkomjfkfimifpddphbiilkh",</v>
      </c>
    </row>
    <row r="8645">
      <c r="A8645" s="4" t="s">
        <v>27824</v>
      </c>
      <c r="B8645" s="4" t="s">
        <v>17205</v>
      </c>
      <c r="C8645" s="16" t="str">
        <f>IFERROR(__xludf.DUMMYFUNCTION(""""""""" &amp; REGEXEXTRACT(B8645, ""/detail/([^/?]+)"") &amp; """""","""),"""kaolnppbknjoipdbneeopagbajdkceno"",")</f>
        <v>"kaolnppbknjoipdbneeopagbajdkceno",</v>
      </c>
    </row>
    <row r="8646">
      <c r="A8646" s="4" t="s">
        <v>27825</v>
      </c>
      <c r="B8646" s="4" t="s">
        <v>17207</v>
      </c>
      <c r="C8646" s="16" t="str">
        <f>IFERROR(__xludf.DUMMYFUNCTION(""""""""" &amp; REGEXEXTRACT(B8646, ""/detail/([^/?]+)"") &amp; """""","""),"""makncdgkhgjppmehkcgncbikakkdhndp"",")</f>
        <v>"makncdgkhgjppmehkcgncbikakkdhndp",</v>
      </c>
    </row>
    <row r="8647">
      <c r="A8647" s="4" t="s">
        <v>27826</v>
      </c>
      <c r="B8647" s="4" t="s">
        <v>17209</v>
      </c>
      <c r="C8647" s="16" t="str">
        <f>IFERROR(__xludf.DUMMYFUNCTION(""""""""" &amp; REGEXEXTRACT(B8647, ""/detail/([^/?]+)"") &amp; """""","""),"""mijfipgkjnpanmnmanbjjibihbdgehlf"",")</f>
        <v>"mijfipgkjnpanmnmanbjjibihbdgehlf",</v>
      </c>
    </row>
    <row r="8648">
      <c r="A8648" s="4" t="s">
        <v>27827</v>
      </c>
      <c r="B8648" s="4" t="s">
        <v>17211</v>
      </c>
      <c r="C8648" s="16" t="str">
        <f>IFERROR(__xludf.DUMMYFUNCTION(""""""""" &amp; REGEXEXTRACT(B8648, ""/detail/([^/?]+)"") &amp; """""","""),"""phancnbmppjgodggfbjccodoepcbdghj"",")</f>
        <v>"phancnbmppjgodggfbjccodoepcbdghj",</v>
      </c>
    </row>
    <row r="8649">
      <c r="A8649" s="4" t="s">
        <v>27828</v>
      </c>
      <c r="B8649" s="4" t="s">
        <v>17213</v>
      </c>
      <c r="C8649" s="16" t="str">
        <f>IFERROR(__xludf.DUMMYFUNCTION(""""""""" &amp; REGEXEXTRACT(B8649, ""/detail/([^/?]+)"") &amp; """""","""),"""bhgmcidfcdpepjjdpobpejfgbejjknjc"",")</f>
        <v>"bhgmcidfcdpepjjdpobpejfgbejjknjc",</v>
      </c>
    </row>
    <row r="8650">
      <c r="A8650" s="4" t="s">
        <v>27829</v>
      </c>
      <c r="B8650" s="4" t="s">
        <v>17215</v>
      </c>
      <c r="C8650" s="16" t="str">
        <f>IFERROR(__xludf.DUMMYFUNCTION(""""""""" &amp; REGEXEXTRACT(B8650, ""/detail/([^/?]+)"") &amp; """""","""),"""dlgjecnejicmpdknhangcbeahbgipolf"",")</f>
        <v>"dlgjecnejicmpdknhangcbeahbgipolf",</v>
      </c>
    </row>
    <row r="8651">
      <c r="A8651" s="4" t="s">
        <v>27830</v>
      </c>
      <c r="B8651" s="4" t="s">
        <v>17217</v>
      </c>
      <c r="C8651" s="16" t="str">
        <f>IFERROR(__xludf.DUMMYFUNCTION(""""""""" &amp; REGEXEXTRACT(B8651, ""/detail/([^/?]+)"") &amp; """""","""),"""ejdojpmakfpfcnenobhjdngbdfgkdmjl"",")</f>
        <v>"ejdojpmakfpfcnenobhjdngbdfgkdmjl",</v>
      </c>
    </row>
    <row r="8652">
      <c r="A8652" s="4" t="s">
        <v>27831</v>
      </c>
      <c r="B8652" s="4" t="s">
        <v>17219</v>
      </c>
      <c r="C8652" s="16" t="str">
        <f>IFERROR(__xludf.DUMMYFUNCTION(""""""""" &amp; REGEXEXTRACT(B8652, ""/detail/([^/?]+)"") &amp; """""","""),"""gimgggabfigedfmidfhmgaaccgefdfnj"",")</f>
        <v>"gimgggabfigedfmidfhmgaaccgefdfnj",</v>
      </c>
    </row>
    <row r="8653">
      <c r="A8653" s="4" t="s">
        <v>27832</v>
      </c>
      <c r="B8653" s="4" t="s">
        <v>17221</v>
      </c>
      <c r="C8653" s="16" t="str">
        <f>IFERROR(__xludf.DUMMYFUNCTION(""""""""" &amp; REGEXEXTRACT(B8653, ""/detail/([^/?]+)"") &amp; """""","""),"""hpnikgbjfhnpcaoicgbkkialbejlecke"",")</f>
        <v>"hpnikgbjfhnpcaoicgbkkialbejlecke",</v>
      </c>
    </row>
    <row r="8654">
      <c r="A8654" s="4" t="s">
        <v>27833</v>
      </c>
      <c r="B8654" s="4" t="s">
        <v>17222</v>
      </c>
      <c r="C8654" s="16" t="str">
        <f>IFERROR(__xludf.DUMMYFUNCTION(""""""""" &amp; REGEXEXTRACT(B8654, ""/detail/([^/?]+)"") &amp; """""","""),"""kdabjjgkcfjdlbpneackoihbkdpdmodp"",")</f>
        <v>"kdabjjgkcfjdlbpneackoihbkdpdmodp",</v>
      </c>
    </row>
    <row r="8655">
      <c r="A8655" s="4" t="s">
        <v>27834</v>
      </c>
      <c r="B8655" s="4" t="s">
        <v>17224</v>
      </c>
      <c r="C8655" s="16" t="str">
        <f>IFERROR(__xludf.DUMMYFUNCTION(""""""""" &amp; REGEXEXTRACT(B8655, ""/detail/([^/?]+)"") &amp; """""","""),"""kindcepkhhhkoofimgndkdbhkfechfon"",")</f>
        <v>"kindcepkhhhkoofimgndkdbhkfechfon",</v>
      </c>
    </row>
    <row r="8656">
      <c r="A8656" s="4" t="s">
        <v>27835</v>
      </c>
      <c r="B8656" s="4" t="s">
        <v>17226</v>
      </c>
      <c r="C8656" s="16" t="str">
        <f>IFERROR(__xludf.DUMMYFUNCTION(""""""""" &amp; REGEXEXTRACT(B8656, ""/detail/([^/?]+)"") &amp; """""","""),"""nbnenbbiijokomeoejdlnphoagolpbek"",")</f>
        <v>"nbnenbbiijokomeoejdlnphoagolpbek",</v>
      </c>
    </row>
    <row r="8657">
      <c r="A8657" s="4" t="s">
        <v>27836</v>
      </c>
      <c r="B8657" s="4" t="s">
        <v>17228</v>
      </c>
      <c r="C8657" s="16" t="str">
        <f>IFERROR(__xludf.DUMMYFUNCTION(""""""""" &amp; REGEXEXTRACT(B8657, ""/detail/([^/?]+)"") &amp; """""","""),"""nlgkphpdbpmpdngngdafeggajlblhhko"",")</f>
        <v>"nlgkphpdbpmpdngngdafeggajlblhhko",</v>
      </c>
    </row>
    <row r="8658">
      <c r="A8658" s="4" t="s">
        <v>27837</v>
      </c>
      <c r="B8658" s="4" t="s">
        <v>17230</v>
      </c>
      <c r="C8658" s="16" t="str">
        <f>IFERROR(__xludf.DUMMYFUNCTION(""""""""" &amp; REGEXEXTRACT(B8658, ""/detail/([^/?]+)"") &amp; """""","""),"""aogbgmnbacmlobiajlmjhmbecjohglnl"",")</f>
        <v>"aogbgmnbacmlobiajlmjhmbecjohglnl",</v>
      </c>
    </row>
    <row r="8659">
      <c r="A8659" s="4" t="s">
        <v>27838</v>
      </c>
      <c r="B8659" s="4" t="s">
        <v>17232</v>
      </c>
      <c r="C8659" s="16" t="str">
        <f>IFERROR(__xludf.DUMMYFUNCTION(""""""""" &amp; REGEXEXTRACT(B8659, ""/detail/([^/?]+)"") &amp; """""","""),"""egfdbbahfgffecgejddaohlhehdbgcim"",")</f>
        <v>"egfdbbahfgffecgejddaohlhehdbgcim",</v>
      </c>
    </row>
    <row r="8660">
      <c r="A8660" s="4" t="s">
        <v>27839</v>
      </c>
      <c r="B8660" s="4" t="s">
        <v>17234</v>
      </c>
      <c r="C8660" s="16" t="str">
        <f>IFERROR(__xludf.DUMMYFUNCTION(""""""""" &amp; REGEXEXTRACT(B8660, ""/detail/([^/?]+)"") &amp; """""","""),"""enhmhnpongjnlidbliglfbljgnknfepo"",")</f>
        <v>"enhmhnpongjnlidbliglfbljgnknfepo",</v>
      </c>
    </row>
    <row r="8661">
      <c r="A8661" s="4" t="s">
        <v>27840</v>
      </c>
      <c r="B8661" s="4" t="s">
        <v>17236</v>
      </c>
      <c r="C8661" s="16" t="str">
        <f>IFERROR(__xludf.DUMMYFUNCTION(""""""""" &amp; REGEXEXTRACT(B8661, ""/detail/([^/?]+)"") &amp; """""","""),"""fpddhllfchfajogpilcliaichjndognf"",")</f>
        <v>"fpddhllfchfajogpilcliaichjndognf",</v>
      </c>
    </row>
    <row r="8662">
      <c r="A8662" s="4" t="s">
        <v>27841</v>
      </c>
      <c r="B8662" s="4" t="s">
        <v>17238</v>
      </c>
      <c r="C8662" s="16" t="str">
        <f>IFERROR(__xludf.DUMMYFUNCTION(""""""""" &amp; REGEXEXTRACT(B8662, ""/detail/([^/?]+)"") &amp; """""","""),"""ikkobdhhnnllhcmjaealbihjkahnegia"",")</f>
        <v>"ikkobdhhnnllhcmjaealbihjkahnegia",</v>
      </c>
    </row>
    <row r="8663">
      <c r="A8663" s="4" t="s">
        <v>27842</v>
      </c>
      <c r="B8663" s="4" t="s">
        <v>17240</v>
      </c>
      <c r="C8663" s="16" t="str">
        <f>IFERROR(__xludf.DUMMYFUNCTION(""""""""" &amp; REGEXEXTRACT(B8663, ""/detail/([^/?]+)"") &amp; """""","""),"""kgpjjblahlmjlfljfpcneapmeblichbp"",")</f>
        <v>"kgpjjblahlmjlfljfpcneapmeblichbp",</v>
      </c>
    </row>
    <row r="8664">
      <c r="A8664" s="4" t="s">
        <v>27843</v>
      </c>
      <c r="B8664" s="4" t="s">
        <v>17242</v>
      </c>
      <c r="C8664" s="16" t="str">
        <f>IFERROR(__xludf.DUMMYFUNCTION(""""""""" &amp; REGEXEXTRACT(B8664, ""/detail/([^/?]+)"") &amp; """""","""),"""mnohnflacgkmhaocfhhmjeeciibiciep"",")</f>
        <v>"mnohnflacgkmhaocfhhmjeeciibiciep",</v>
      </c>
    </row>
    <row r="8665">
      <c r="A8665" s="4" t="s">
        <v>27844</v>
      </c>
      <c r="B8665" s="4" t="s">
        <v>17246</v>
      </c>
      <c r="C8665" s="16" t="str">
        <f>IFERROR(__xludf.DUMMYFUNCTION(""""""""" &amp; REGEXEXTRACT(B8665, ""/detail/([^/?]+)"") &amp; """""","""),"""baplejgongpocoeabgpmhmnknjafhmbo"",")</f>
        <v>"baplejgongpocoeabgpmhmnknjafhmbo",</v>
      </c>
    </row>
    <row r="8666">
      <c r="A8666" s="4" t="s">
        <v>27845</v>
      </c>
      <c r="B8666" s="4" t="s">
        <v>17248</v>
      </c>
      <c r="C8666" s="16" t="str">
        <f>IFERROR(__xludf.DUMMYFUNCTION(""""""""" &amp; REGEXEXTRACT(B8666, ""/detail/([^/?]+)"") &amp; """""","""),"""dcoljlfaeahfnjgeajeakopfgpaoadmc"",")</f>
        <v>"dcoljlfaeahfnjgeajeakopfgpaoadmc",</v>
      </c>
    </row>
    <row r="8667">
      <c r="A8667" s="4" t="s">
        <v>27846</v>
      </c>
      <c r="B8667" s="4" t="s">
        <v>17250</v>
      </c>
      <c r="C8667" s="16" t="str">
        <f>IFERROR(__xludf.DUMMYFUNCTION(""""""""" &amp; REGEXEXTRACT(B8667, ""/detail/([^/?]+)"") &amp; """""","""),"""lmmeplodmojecahcndjgnonnhcbcmpdk"",")</f>
        <v>"lmmeplodmojecahcndjgnonnhcbcmpdk",</v>
      </c>
    </row>
    <row r="8668">
      <c r="A8668" s="4" t="s">
        <v>27847</v>
      </c>
      <c r="B8668" s="4" t="s">
        <v>17252</v>
      </c>
      <c r="C8668" s="16" t="str">
        <f>IFERROR(__xludf.DUMMYFUNCTION(""""""""" &amp; REGEXEXTRACT(B8668, ""/detail/([^/?]+)"") &amp; """""","""),"""odceejiiplkpbgindolcjnhfbojameao"",")</f>
        <v>"odceejiiplkpbgindolcjnhfbojameao",</v>
      </c>
    </row>
    <row r="8669">
      <c r="A8669" s="4" t="s">
        <v>27848</v>
      </c>
      <c r="B8669" s="4" t="s">
        <v>17254</v>
      </c>
      <c r="C8669" s="16" t="str">
        <f>IFERROR(__xludf.DUMMYFUNCTION(""""""""" &amp; REGEXEXTRACT(B8669, ""/detail/([^/?]+)"") &amp; """""","""),"""pgecoedepcnloepnnpaainogaldjjobc"",")</f>
        <v>"pgecoedepcnloepnnpaainogaldjjobc",</v>
      </c>
    </row>
    <row r="8670">
      <c r="A8670" s="4" t="s">
        <v>27849</v>
      </c>
      <c r="B8670" s="4" t="s">
        <v>17256</v>
      </c>
      <c r="C8670" s="16" t="str">
        <f>IFERROR(__xludf.DUMMYFUNCTION(""""""""" &amp; REGEXEXTRACT(B8670, ""/detail/([^/?]+)"") &amp; """""","""),"""agmnjaabedgipomljkngpfpmmgclogce"",")</f>
        <v>"agmnjaabedgipomljkngpfpmmgclogce",</v>
      </c>
    </row>
    <row r="8671">
      <c r="A8671" s="4" t="s">
        <v>27850</v>
      </c>
      <c r="B8671" s="4" t="s">
        <v>17258</v>
      </c>
      <c r="C8671" s="16" t="str">
        <f>IFERROR(__xludf.DUMMYFUNCTION(""""""""" &amp; REGEXEXTRACT(B8671, ""/detail/([^/?]+)"") &amp; """""","""),"""effgbolecegljiieljjfnfgelnnepcff"",")</f>
        <v>"effgbolecegljiieljjfnfgelnnepcff",</v>
      </c>
    </row>
    <row r="8672">
      <c r="A8672" s="4" t="s">
        <v>27851</v>
      </c>
      <c r="B8672" s="4" t="s">
        <v>17260</v>
      </c>
      <c r="C8672" s="16" t="str">
        <f>IFERROR(__xludf.DUMMYFUNCTION(""""""""" &amp; REGEXEXTRACT(B8672, ""/detail/([^/?]+)"") &amp; """""","""),"""egdbhllbiehpidkfpkccejnkcjbigpca"",")</f>
        <v>"egdbhllbiehpidkfpkccejnkcjbigpca",</v>
      </c>
    </row>
    <row r="8673">
      <c r="A8673" s="4" t="s">
        <v>27852</v>
      </c>
      <c r="B8673" s="4" t="s">
        <v>17262</v>
      </c>
      <c r="C8673" s="16" t="str">
        <f>IFERROR(__xludf.DUMMYFUNCTION(""""""""" &amp; REGEXEXTRACT(B8673, ""/detail/([^/?]+)"") &amp; """""","""),"""eknnpofdolaciafcnokdbgfelpmdpceb"",")</f>
        <v>"eknnpofdolaciafcnokdbgfelpmdpceb",</v>
      </c>
    </row>
    <row r="8674">
      <c r="A8674" s="4" t="s">
        <v>27853</v>
      </c>
      <c r="B8674" s="4" t="s">
        <v>17264</v>
      </c>
      <c r="C8674" s="16" t="str">
        <f>IFERROR(__xludf.DUMMYFUNCTION(""""""""" &amp; REGEXEXTRACT(B8674, ""/detail/([^/?]+)"") &amp; """""","""),"""emlmmgcgnglgamlijmgmnlnkohbipkoi"",")</f>
        <v>"emlmmgcgnglgamlijmgmnlnkohbipkoi",</v>
      </c>
    </row>
    <row r="8675">
      <c r="A8675" s="4" t="s">
        <v>27854</v>
      </c>
      <c r="B8675" s="4" t="s">
        <v>17266</v>
      </c>
      <c r="C8675" s="16" t="str">
        <f>IFERROR(__xludf.DUMMYFUNCTION(""""""""" &amp; REGEXEXTRACT(B8675, ""/detail/([^/?]+)"") &amp; """""","""),"""hijkflhhocjhknnafhmafolcckldoadh"",")</f>
        <v>"hijkflhhocjhknnafhmafolcckldoadh",</v>
      </c>
    </row>
    <row r="8676">
      <c r="A8676" s="4" t="s">
        <v>27855</v>
      </c>
      <c r="B8676" s="4" t="s">
        <v>17268</v>
      </c>
      <c r="C8676" s="16" t="str">
        <f>IFERROR(__xludf.DUMMYFUNCTION(""""""""" &amp; REGEXEXTRACT(B8676, ""/detail/([^/?]+)"") &amp; """""","""),"""kggikmmipgmioinmlfpfpbhgmpgmedhp"",")</f>
        <v>"kggikmmipgmioinmlfpfpbhgmpgmedhp",</v>
      </c>
    </row>
    <row r="8677">
      <c r="A8677" s="4" t="s">
        <v>27856</v>
      </c>
      <c r="B8677" s="4" t="s">
        <v>17270</v>
      </c>
      <c r="C8677" s="16" t="str">
        <f>IFERROR(__xludf.DUMMYFUNCTION(""""""""" &amp; REGEXEXTRACT(B8677, ""/detail/([^/?]+)"") &amp; """""","""),"""anfdiaikaccfpdloehibnplnlgijeaan"",")</f>
        <v>"anfdiaikaccfpdloehibnplnlgijeaan",</v>
      </c>
    </row>
    <row r="8678">
      <c r="A8678" s="4" t="s">
        <v>27857</v>
      </c>
      <c r="B8678" s="4" t="s">
        <v>17272</v>
      </c>
      <c r="C8678" s="16" t="str">
        <f>IFERROR(__xludf.DUMMYFUNCTION(""""""""" &amp; REGEXEXTRACT(B8678, ""/detail/([^/?]+)"") &amp; """""","""),"""engmhjmhpefoikhobkahplacofaogiob"",")</f>
        <v>"engmhjmhpefoikhobkahplacofaogiob",</v>
      </c>
    </row>
    <row r="8679">
      <c r="A8679" s="4" t="s">
        <v>27858</v>
      </c>
      <c r="B8679" s="4" t="s">
        <v>17274</v>
      </c>
      <c r="C8679" s="16" t="str">
        <f>IFERROR(__xludf.DUMMYFUNCTION(""""""""" &amp; REGEXEXTRACT(B8679, ""/detail/([^/?]+)"") &amp; """""","""),"""illimocegjikcgmopnajholfanllebic"",")</f>
        <v>"illimocegjikcgmopnajholfanllebic",</v>
      </c>
    </row>
    <row r="8680">
      <c r="A8680" s="4" t="s">
        <v>27859</v>
      </c>
      <c r="B8680" s="4" t="s">
        <v>17276</v>
      </c>
      <c r="C8680" s="16" t="str">
        <f>IFERROR(__xludf.DUMMYFUNCTION(""""""""" &amp; REGEXEXTRACT(B8680, ""/detail/([^/?]+)"") &amp; """""","""),"""kamhblojfkpcbpfbgfpcbiffpnjjoppl"",")</f>
        <v>"kamhblojfkpcbpfbgfpcbiffpnjjoppl",</v>
      </c>
    </row>
    <row r="8681">
      <c r="A8681" s="4" t="s">
        <v>27860</v>
      </c>
      <c r="B8681" s="4" t="s">
        <v>17278</v>
      </c>
      <c r="C8681" s="16" t="str">
        <f>IFERROR(__xludf.DUMMYFUNCTION(""""""""" &amp; REGEXEXTRACT(B8681, ""/detail/([^/?]+)"") &amp; """""","""),"""keoldnckmblacoeicjncfkfgnldbpolf"",")</f>
        <v>"keoldnckmblacoeicjncfkfgnldbpolf",</v>
      </c>
    </row>
    <row r="8682">
      <c r="A8682" s="4" t="s">
        <v>27861</v>
      </c>
      <c r="B8682" s="4" t="s">
        <v>17280</v>
      </c>
      <c r="C8682" s="16" t="str">
        <f>IFERROR(__xludf.DUMMYFUNCTION(""""""""" &amp; REGEXEXTRACT(B8682, ""/detail/([^/?]+)"") &amp; """""","""),"""geggkgmkcghccndcoihfklmaojdbgaio"",")</f>
        <v>"geggkgmkcghccndcoihfklmaojdbgaio",</v>
      </c>
    </row>
    <row r="8683">
      <c r="A8683" s="4" t="s">
        <v>27862</v>
      </c>
      <c r="B8683" s="4" t="s">
        <v>17282</v>
      </c>
      <c r="C8683" s="16" t="str">
        <f>IFERROR(__xludf.DUMMYFUNCTION(""""""""" &amp; REGEXEXTRACT(B8683, ""/detail/([^/?]+)"") &amp; """""","""),"""hllhbmpggmclmlefofdfoadpaeldnkfl"",")</f>
        <v>"hllhbmpggmclmlefofdfoadpaeldnkfl",</v>
      </c>
    </row>
    <row r="8684">
      <c r="A8684" s="4" t="s">
        <v>27863</v>
      </c>
      <c r="B8684" s="4" t="s">
        <v>17284</v>
      </c>
      <c r="C8684" s="16" t="str">
        <f>IFERROR(__xludf.DUMMYFUNCTION(""""""""" &amp; REGEXEXTRACT(B8684, ""/detail/([^/?]+)"") &amp; """""","""),"""jnojjlmgafipcahopmnnafodcekcalmc"",")</f>
        <v>"jnojjlmgafipcahopmnnafodcekcalmc",</v>
      </c>
    </row>
    <row r="8685">
      <c r="A8685" s="4" t="s">
        <v>27864</v>
      </c>
      <c r="B8685" s="4" t="s">
        <v>17286</v>
      </c>
      <c r="C8685" s="16" t="str">
        <f>IFERROR(__xludf.DUMMYFUNCTION(""""""""" &amp; REGEXEXTRACT(B8685, ""/detail/([^/?]+)"") &amp; """""","""),"""kdollpkhgalgcngiilcninngilhkceha"",")</f>
        <v>"kdollpkhgalgcngiilcninngilhkceha",</v>
      </c>
    </row>
    <row r="8686">
      <c r="A8686" s="4" t="s">
        <v>27865</v>
      </c>
      <c r="B8686" s="4" t="s">
        <v>17288</v>
      </c>
      <c r="C8686" s="16" t="str">
        <f>IFERROR(__xludf.DUMMYFUNCTION(""""""""" &amp; REGEXEXTRACT(B8686, ""/detail/([^/?]+)"") &amp; """""","""),"""lfijjmjnlahhgpfdbilgnnnkikacnmgg"",")</f>
        <v>"lfijjmjnlahhgpfdbilgnnnkikacnmgg",</v>
      </c>
    </row>
    <row r="8687">
      <c r="A8687" s="4" t="s">
        <v>27866</v>
      </c>
      <c r="B8687" s="4" t="s">
        <v>17290</v>
      </c>
      <c r="C8687" s="16" t="str">
        <f>IFERROR(__xludf.DUMMYFUNCTION(""""""""" &amp; REGEXEXTRACT(B8687, ""/detail/([^/?]+)"") &amp; """""","""),"""fdngcgnmmiiolgcdcnmafbfoplhcjcel"",")</f>
        <v>"fdngcgnmmiiolgcdcnmafbfoplhcjcel",</v>
      </c>
    </row>
    <row r="8688">
      <c r="A8688" s="4" t="s">
        <v>27867</v>
      </c>
      <c r="B8688" s="4" t="s">
        <v>17292</v>
      </c>
      <c r="C8688" s="16" t="str">
        <f>IFERROR(__xludf.DUMMYFUNCTION(""""""""" &amp; REGEXEXTRACT(B8688, ""/detail/([^/?]+)"") &amp; """""","""),"""fineefhnleogndjepcabcddamodbkcjo"",")</f>
        <v>"fineefhnleogndjepcabcddamodbkcjo",</v>
      </c>
    </row>
    <row r="8689">
      <c r="A8689" s="4" t="s">
        <v>27868</v>
      </c>
      <c r="B8689" s="4" t="s">
        <v>17294</v>
      </c>
      <c r="C8689" s="16" t="str">
        <f>IFERROR(__xludf.DUMMYFUNCTION(""""""""" &amp; REGEXEXTRACT(B8689, ""/detail/([^/?]+)"") &amp; """""","""),"""jajfnignhamaakankjkilkomgnabonei"",")</f>
        <v>"jajfnignhamaakankjkilkomgnabonei",</v>
      </c>
    </row>
    <row r="8690">
      <c r="A8690" s="4" t="s">
        <v>27869</v>
      </c>
      <c r="B8690" s="4" t="s">
        <v>17296</v>
      </c>
      <c r="C8690" s="16" t="str">
        <f>IFERROR(__xludf.DUMMYFUNCTION(""""""""" &amp; REGEXEXTRACT(B8690, ""/detail/([^/?]+)"") &amp; """""","""),"""noegjlhdcbcjieppomcphdalgelkigdb"",")</f>
        <v>"noegjlhdcbcjieppomcphdalgelkigdb",</v>
      </c>
    </row>
    <row r="8691">
      <c r="A8691" s="4" t="s">
        <v>27870</v>
      </c>
      <c r="B8691" s="4" t="s">
        <v>17298</v>
      </c>
      <c r="C8691" s="16" t="str">
        <f>IFERROR(__xludf.DUMMYFUNCTION(""""""""" &amp; REGEXEXTRACT(B8691, ""/detail/([^/?]+)"") &amp; """""","""),"""anbkoicflbagjpoadmjemgjaaibdmien"",")</f>
        <v>"anbkoicflbagjpoadmjemgjaaibdmien",</v>
      </c>
    </row>
    <row r="8692">
      <c r="A8692" s="4" t="s">
        <v>27871</v>
      </c>
      <c r="B8692" s="4" t="s">
        <v>17300</v>
      </c>
      <c r="C8692" s="16" t="str">
        <f>IFERROR(__xludf.DUMMYFUNCTION(""""""""" &amp; REGEXEXTRACT(B8692, ""/detail/([^/?]+)"") &amp; """""","""),"""eheahakaengdijmkoeegphbnlgphlfii"",")</f>
        <v>"eheahakaengdijmkoeegphbnlgphlfii",</v>
      </c>
    </row>
    <row r="8693">
      <c r="A8693" s="4" t="s">
        <v>27872</v>
      </c>
      <c r="B8693" s="4" t="s">
        <v>17302</v>
      </c>
      <c r="C8693" s="16" t="str">
        <f>IFERROR(__xludf.DUMMYFUNCTION(""""""""" &amp; REGEXEXTRACT(B8693, ""/detail/([^/?]+)"") &amp; """""","""),"""fahggphoodkmfhpeomejdfonhjijdedk"",")</f>
        <v>"fahggphoodkmfhpeomejdfonhjijdedk",</v>
      </c>
    </row>
    <row r="8694">
      <c r="A8694" s="4" t="s">
        <v>27873</v>
      </c>
      <c r="B8694" s="4" t="s">
        <v>17304</v>
      </c>
      <c r="C8694" s="16" t="str">
        <f>IFERROR(__xludf.DUMMYFUNCTION(""""""""" &amp; REGEXEXTRACT(B8694, ""/detail/([^/?]+)"") &amp; """""","""),"""kbliaiapfnladddeljohhbgghelbdlbl"",")</f>
        <v>"kbliaiapfnladddeljohhbgghelbdlbl",</v>
      </c>
    </row>
    <row r="8695">
      <c r="A8695" s="4" t="s">
        <v>27874</v>
      </c>
      <c r="B8695" s="4" t="s">
        <v>17306</v>
      </c>
      <c r="C8695" s="16" t="str">
        <f>IFERROR(__xludf.DUMMYFUNCTION(""""""""" &amp; REGEXEXTRACT(B8695, ""/detail/([^/?]+)"") &amp; """""","""),"""phaniiibecagmfolpbjafbcckimlgjac"",")</f>
        <v>"phaniiibecagmfolpbjafbcckimlgjac",</v>
      </c>
    </row>
    <row r="8696">
      <c r="A8696" s="4" t="s">
        <v>27875</v>
      </c>
      <c r="B8696" s="4" t="s">
        <v>17308</v>
      </c>
      <c r="C8696" s="16" t="str">
        <f>IFERROR(__xludf.DUMMYFUNCTION(""""""""" &amp; REGEXEXTRACT(B8696, ""/detail/([^/?]+)"") &amp; """""","""),"""cckelcjlkjehoepkfcpgdpjfagodhimd"",")</f>
        <v>"cckelcjlkjehoepkfcpgdpjfagodhimd",</v>
      </c>
    </row>
    <row r="8697">
      <c r="A8697" s="4" t="s">
        <v>27876</v>
      </c>
      <c r="B8697" s="4" t="s">
        <v>17310</v>
      </c>
      <c r="C8697" s="16" t="str">
        <f>IFERROR(__xludf.DUMMYFUNCTION(""""""""" &amp; REGEXEXTRACT(B8697, ""/detail/([^/?]+)"") &amp; """""","""),"""dmamggdkgjfiddiedcoghmbdmjbfgcjd"",")</f>
        <v>"dmamggdkgjfiddiedcoghmbdmjbfgcjd",</v>
      </c>
    </row>
    <row r="8698">
      <c r="A8698" s="4" t="s">
        <v>27877</v>
      </c>
      <c r="B8698" s="4" t="s">
        <v>17312</v>
      </c>
      <c r="C8698" s="16" t="str">
        <f>IFERROR(__xludf.DUMMYFUNCTION(""""""""" &amp; REGEXEXTRACT(B8698, ""/detail/([^/?]+)"") &amp; """""","""),"""ebijidmcbgegeollecfmniimekemhlmk"",")</f>
        <v>"ebijidmcbgegeollecfmniimekemhlmk",</v>
      </c>
    </row>
    <row r="8699">
      <c r="A8699" s="4" t="s">
        <v>27878</v>
      </c>
      <c r="B8699" s="4" t="s">
        <v>17314</v>
      </c>
      <c r="C8699" s="16" t="str">
        <f>IFERROR(__xludf.DUMMYFUNCTION(""""""""" &amp; REGEXEXTRACT(B8699, ""/detail/([^/?]+)"") &amp; """""","""),"""ejdaeiahdnabjhceoobekpekohcileep"",")</f>
        <v>"ejdaeiahdnabjhceoobekpekohcileep",</v>
      </c>
    </row>
    <row r="8700">
      <c r="A8700" s="4" t="s">
        <v>27879</v>
      </c>
      <c r="B8700" s="4" t="s">
        <v>17316</v>
      </c>
      <c r="C8700" s="16" t="str">
        <f>IFERROR(__xludf.DUMMYFUNCTION(""""""""" &amp; REGEXEXTRACT(B8700, ""/detail/([^/?]+)"") &amp; """""","""),"""fepmcjghfpdmhdfbdckdfhckcmcfegpb"",")</f>
        <v>"fepmcjghfpdmhdfbdckdfhckcmcfegpb",</v>
      </c>
    </row>
    <row r="8701">
      <c r="A8701" s="4" t="s">
        <v>27880</v>
      </c>
      <c r="B8701" s="4" t="s">
        <v>17318</v>
      </c>
      <c r="C8701" s="16" t="str">
        <f>IFERROR(__xludf.DUMMYFUNCTION(""""""""" &amp; REGEXEXTRACT(B8701, ""/detail/([^/?]+)"") &amp; """""","""),"""ijfnjhlohbehhlhhokgokabonpnlldon"",")</f>
        <v>"ijfnjhlohbehhlhhokgokabonpnlldon",</v>
      </c>
    </row>
    <row r="8702">
      <c r="A8702" s="4" t="s">
        <v>27881</v>
      </c>
      <c r="B8702" s="4" t="s">
        <v>17320</v>
      </c>
      <c r="C8702" s="16" t="str">
        <f>IFERROR(__xludf.DUMMYFUNCTION(""""""""" &amp; REGEXEXTRACT(B8702, ""/detail/([^/?]+)"") &amp; """""","""),"""oamfgaophpgocppjcgfobkbkkeehionm"",")</f>
        <v>"oamfgaophpgocppjcgfobkbkkeehionm",</v>
      </c>
    </row>
    <row r="8703">
      <c r="A8703" s="4" t="s">
        <v>27882</v>
      </c>
      <c r="B8703" s="4" t="s">
        <v>17322</v>
      </c>
      <c r="C8703" s="16" t="str">
        <f>IFERROR(__xludf.DUMMYFUNCTION(""""""""" &amp; REGEXEXTRACT(B8703, ""/detail/([^/?]+)"") &amp; """""","""),"""bnjdbijgcgbpnghpipedgnfedmpodnom"",")</f>
        <v>"bnjdbijgcgbpnghpipedgnfedmpodnom",</v>
      </c>
    </row>
    <row r="8704">
      <c r="A8704" s="4" t="s">
        <v>27883</v>
      </c>
      <c r="B8704" s="4" t="s">
        <v>17323</v>
      </c>
      <c r="C8704" s="16" t="str">
        <f>IFERROR(__xludf.DUMMYFUNCTION(""""""""" &amp; REGEXEXTRACT(B8704, ""/detail/([^/?]+)"") &amp; """""","""),"""dinicgnlokehfhgdpnmochdhhhcfgiga"",")</f>
        <v>"dinicgnlokehfhgdpnmochdhhhcfgiga",</v>
      </c>
    </row>
    <row r="8705">
      <c r="A8705" s="4" t="s">
        <v>27884</v>
      </c>
      <c r="B8705" s="4" t="s">
        <v>17325</v>
      </c>
      <c r="C8705" s="16" t="str">
        <f>IFERROR(__xludf.DUMMYFUNCTION(""""""""" &amp; REGEXEXTRACT(B8705, ""/detail/([^/?]+)"") &amp; """""","""),"""fagmfkolmknblpackhiildiemhmfnomn"",")</f>
        <v>"fagmfkolmknblpackhiildiemhmfnomn",</v>
      </c>
    </row>
    <row r="8706">
      <c r="A8706" s="4" t="s">
        <v>27885</v>
      </c>
      <c r="B8706" s="4" t="s">
        <v>17327</v>
      </c>
      <c r="C8706" s="16" t="str">
        <f>IFERROR(__xludf.DUMMYFUNCTION(""""""""" &amp; REGEXEXTRACT(B8706, ""/detail/([^/?]+)"") &amp; """""","""),"""gblfkgdklcmdedpcdedhoepgdldkfkfg"",")</f>
        <v>"gblfkgdklcmdedpcdedhoepgdldkfkfg",</v>
      </c>
    </row>
    <row r="8707">
      <c r="A8707" s="4" t="s">
        <v>27886</v>
      </c>
      <c r="B8707" s="4" t="s">
        <v>17329</v>
      </c>
      <c r="C8707" s="16" t="str">
        <f>IFERROR(__xludf.DUMMYFUNCTION(""""""""" &amp; REGEXEXTRACT(B8707, ""/detail/([^/?]+)"") &amp; """""","""),"""jfmggnnekbfhbphpfdcbpdeibilpkfck"",")</f>
        <v>"jfmggnnekbfhbphpfdcbpdeibilpkfck",</v>
      </c>
    </row>
    <row r="8708">
      <c r="A8708" s="4" t="s">
        <v>27887</v>
      </c>
      <c r="B8708" s="4" t="s">
        <v>17331</v>
      </c>
      <c r="C8708" s="16" t="str">
        <f>IFERROR(__xludf.DUMMYFUNCTION(""""""""" &amp; REGEXEXTRACT(B8708, ""/detail/([^/?]+)"") &amp; """""","""),"""lelcdhabkkjhffonhfcfflbjaekdmege"",")</f>
        <v>"lelcdhabkkjhffonhfcfflbjaekdmege",</v>
      </c>
    </row>
    <row r="8709">
      <c r="A8709" s="4" t="s">
        <v>27888</v>
      </c>
      <c r="B8709" s="4" t="s">
        <v>17333</v>
      </c>
      <c r="C8709" s="16" t="str">
        <f>IFERROR(__xludf.DUMMYFUNCTION(""""""""" &amp; REGEXEXTRACT(B8709, ""/detail/([^/?]+)"") &amp; """""","""),"""dhokeechijknaledflfhcpmjkmibhblc"",")</f>
        <v>"dhokeechijknaledflfhcpmjkmibhblc",</v>
      </c>
    </row>
    <row r="8710">
      <c r="A8710" s="4" t="s">
        <v>27889</v>
      </c>
      <c r="B8710" s="4" t="s">
        <v>17335</v>
      </c>
      <c r="C8710" s="16" t="str">
        <f>IFERROR(__xludf.DUMMYFUNCTION(""""""""" &amp; REGEXEXTRACT(B8710, ""/detail/([^/?]+)"") &amp; """""","""),"""eicjndbmlajfjdhephbcjdeegmmoadip"",")</f>
        <v>"eicjndbmlajfjdhephbcjdeegmmoadip",</v>
      </c>
    </row>
    <row r="8711">
      <c r="A8711" s="4" t="s">
        <v>27890</v>
      </c>
      <c r="B8711" s="4" t="s">
        <v>17337</v>
      </c>
      <c r="C8711" s="16" t="str">
        <f>IFERROR(__xludf.DUMMYFUNCTION(""""""""" &amp; REGEXEXTRACT(B8711, ""/detail/([^/?]+)"") &amp; """""","""),"""fakaldmaepeakkcjljcakjphgknbbbmp"",")</f>
        <v>"fakaldmaepeakkcjljcakjphgknbbbmp",</v>
      </c>
    </row>
    <row r="8712">
      <c r="A8712" s="4" t="s">
        <v>27891</v>
      </c>
      <c r="B8712" s="4" t="s">
        <v>17339</v>
      </c>
      <c r="C8712" s="16" t="str">
        <f>IFERROR(__xludf.DUMMYFUNCTION(""""""""" &amp; REGEXEXTRACT(B8712, ""/detail/([^/?]+)"") &amp; """""","""),"""gjponlefaghiebceidhikagiddaekbbi"",")</f>
        <v>"gjponlefaghiebceidhikagiddaekbbi",</v>
      </c>
    </row>
    <row r="8713">
      <c r="A8713" s="4" t="s">
        <v>27892</v>
      </c>
      <c r="B8713" s="4" t="s">
        <v>17341</v>
      </c>
      <c r="C8713" s="16" t="str">
        <f>IFERROR(__xludf.DUMMYFUNCTION(""""""""" &amp; REGEXEXTRACT(B8713, ""/detail/([^/?]+)"") &amp; """""","""),"""kccclhpedkhcdieldgnejhmdolcipdlg"",")</f>
        <v>"kccclhpedkhcdieldgnejhmdolcipdlg",</v>
      </c>
    </row>
    <row r="8714">
      <c r="A8714" s="4" t="s">
        <v>27893</v>
      </c>
      <c r="B8714" s="4" t="s">
        <v>17343</v>
      </c>
      <c r="C8714" s="16" t="str">
        <f>IFERROR(__xludf.DUMMYFUNCTION(""""""""" &amp; REGEXEXTRACT(B8714, ""/detail/([^/?]+)"") &amp; """""","""),"""lkfkidfbenipdkmnngmdjfnmkhekinlm"",")</f>
        <v>"lkfkidfbenipdkmnngmdjfnmkhekinlm",</v>
      </c>
    </row>
    <row r="8715">
      <c r="A8715" s="4" t="s">
        <v>27894</v>
      </c>
      <c r="B8715" s="4" t="s">
        <v>17345</v>
      </c>
      <c r="C8715" s="16" t="str">
        <f>IFERROR(__xludf.DUMMYFUNCTION(""""""""" &amp; REGEXEXTRACT(B8715, ""/detail/([^/?]+)"") &amp; """""","""),"""cimopngjedikbebkpcnemgokekenboam"",")</f>
        <v>"cimopngjedikbebkpcnemgokekenboam",</v>
      </c>
    </row>
    <row r="8716">
      <c r="A8716" s="4" t="s">
        <v>27895</v>
      </c>
      <c r="B8716" s="4" t="s">
        <v>17347</v>
      </c>
      <c r="C8716" s="16" t="str">
        <f>IFERROR(__xludf.DUMMYFUNCTION(""""""""" &amp; REGEXEXTRACT(B8716, ""/detail/([^/?]+)"") &amp; """""","""),"""ggjfoablenfkopjbdjeipgcjcocklhne"",")</f>
        <v>"ggjfoablenfkopjbdjeipgcjcocklhne",</v>
      </c>
    </row>
    <row r="8717">
      <c r="A8717" s="4" t="s">
        <v>27896</v>
      </c>
      <c r="B8717" s="4" t="s">
        <v>17349</v>
      </c>
      <c r="C8717" s="16" t="str">
        <f>IFERROR(__xludf.DUMMYFUNCTION(""""""""" &amp; REGEXEXTRACT(B8717, ""/detail/([^/?]+)"") &amp; """""","""),"""hdncbeemmadlkelehboocphbgnpagmgk"",")</f>
        <v>"hdncbeemmadlkelehboocphbgnpagmgk",</v>
      </c>
    </row>
    <row r="8718">
      <c r="A8718" s="4" t="s">
        <v>27897</v>
      </c>
      <c r="B8718" s="4" t="s">
        <v>17351</v>
      </c>
      <c r="C8718" s="16" t="str">
        <f>IFERROR(__xludf.DUMMYFUNCTION(""""""""" &amp; REGEXEXTRACT(B8718, ""/detail/([^/?]+)"") &amp; """""","""),"""lpohhpokidkkffkeaklfocgpkdlkpkki"",")</f>
        <v>"lpohhpokidkkffkeaklfocgpkdlkpkki",</v>
      </c>
    </row>
    <row r="8719">
      <c r="A8719" s="4" t="s">
        <v>27898</v>
      </c>
      <c r="B8719" s="4" t="s">
        <v>17353</v>
      </c>
      <c r="C8719" s="16" t="str">
        <f>IFERROR(__xludf.DUMMYFUNCTION(""""""""" &amp; REGEXEXTRACT(B8719, ""/detail/([^/?]+)"") &amp; """""","""),"""okbcoijdeebocmahlanbfemnckjonfnh"",")</f>
        <v>"okbcoijdeebocmahlanbfemnckjonfnh",</v>
      </c>
    </row>
    <row r="8720">
      <c r="A8720" s="4" t="s">
        <v>27899</v>
      </c>
      <c r="B8720" s="4" t="s">
        <v>17355</v>
      </c>
      <c r="C8720" s="16" t="str">
        <f>IFERROR(__xludf.DUMMYFUNCTION(""""""""" &amp; REGEXEXTRACT(B8720, ""/detail/([^/?]+)"") &amp; """""","""),"""peifeohiachhdbogbbhabeflggebbmol"",")</f>
        <v>"peifeohiachhdbogbbhabeflggebbmol",</v>
      </c>
    </row>
    <row r="8721">
      <c r="A8721" s="4" t="s">
        <v>27900</v>
      </c>
      <c r="B8721" s="4" t="s">
        <v>17357</v>
      </c>
      <c r="C8721" s="16" t="str">
        <f>IFERROR(__xludf.DUMMYFUNCTION(""""""""" &amp; REGEXEXTRACT(B8721, ""/detail/([^/?]+)"") &amp; """""","""),"""amcbnabgjffdhibpmgcnpnmjpfjliikh"",")</f>
        <v>"amcbnabgjffdhibpmgcnpnmjpfjliikh",</v>
      </c>
    </row>
    <row r="8722">
      <c r="A8722" s="4" t="s">
        <v>27901</v>
      </c>
      <c r="B8722" s="4" t="s">
        <v>17359</v>
      </c>
      <c r="C8722" s="16" t="str">
        <f>IFERROR(__xludf.DUMMYFUNCTION(""""""""" &amp; REGEXEXTRACT(B8722, ""/detail/([^/?]+)"") &amp; """""","""),"""bamdlgngndkdhmepijfgchpfbhlaimol"",")</f>
        <v>"bamdlgngndkdhmepijfgchpfbhlaimol",</v>
      </c>
    </row>
    <row r="8723">
      <c r="A8723" s="4" t="s">
        <v>27902</v>
      </c>
      <c r="B8723" s="4" t="s">
        <v>17361</v>
      </c>
      <c r="C8723" s="16" t="str">
        <f>IFERROR(__xludf.DUMMYFUNCTION(""""""""" &amp; REGEXEXTRACT(B8723, ""/detail/([^/?]+)"") &amp; """""","""),"""clccniplcefppppkbaaefjmkipnjgpek"",")</f>
        <v>"clccniplcefppppkbaaefjmkipnjgpek",</v>
      </c>
    </row>
    <row r="8724">
      <c r="A8724" s="4" t="s">
        <v>27903</v>
      </c>
      <c r="B8724" s="4" t="s">
        <v>17363</v>
      </c>
      <c r="C8724" s="16" t="str">
        <f>IFERROR(__xludf.DUMMYFUNCTION(""""""""" &amp; REGEXEXTRACT(B8724, ""/detail/([^/?]+)"") &amp; """""","""),"""idegoclkpbmijpnnldfgngfceghpfhpg"",")</f>
        <v>"idegoclkpbmijpnnldfgngfceghpfhpg",</v>
      </c>
    </row>
    <row r="8725">
      <c r="A8725" s="4" t="s">
        <v>27904</v>
      </c>
      <c r="B8725" s="4" t="s">
        <v>17365</v>
      </c>
      <c r="C8725" s="16" t="str">
        <f>IFERROR(__xludf.DUMMYFUNCTION(""""""""" &amp; REGEXEXTRACT(B8725, ""/detail/([^/?]+)"") &amp; """""","""),"""kbbdhdnamedaijdpppljhmddmjcncoho"",")</f>
        <v>"kbbdhdnamedaijdpppljhmddmjcncoho",</v>
      </c>
    </row>
    <row r="8726">
      <c r="A8726" s="4" t="s">
        <v>27905</v>
      </c>
      <c r="B8726" s="4" t="s">
        <v>17367</v>
      </c>
      <c r="C8726" s="16" t="str">
        <f>IFERROR(__xludf.DUMMYFUNCTION(""""""""" &amp; REGEXEXTRACT(B8726, ""/detail/([^/?]+)"") &amp; """""","""),"""mogcmmflienoigckdgnkkkafbgkaecbj"",")</f>
        <v>"mogcmmflienoigckdgnkkkafbgkaecbj",</v>
      </c>
    </row>
    <row r="8727">
      <c r="A8727" s="4" t="s">
        <v>27906</v>
      </c>
      <c r="B8727" s="4" t="s">
        <v>17369</v>
      </c>
      <c r="C8727" s="16" t="str">
        <f>IFERROR(__xludf.DUMMYFUNCTION(""""""""" &amp; REGEXEXTRACT(B8727, ""/detail/([^/?]+)"") &amp; """""","""),"""nlilibdmmomdoanihholgmofmhhdcpnm"",")</f>
        <v>"nlilibdmmomdoanihholgmofmhhdcpnm",</v>
      </c>
    </row>
    <row r="8728">
      <c r="A8728" s="4" t="s">
        <v>27907</v>
      </c>
      <c r="B8728" s="4" t="s">
        <v>17371</v>
      </c>
      <c r="C8728" s="16" t="str">
        <f>IFERROR(__xludf.DUMMYFUNCTION(""""""""" &amp; REGEXEXTRACT(B8728, ""/detail/([^/?]+)"") &amp; """""","""),"""ofmgjckcackgocnboajincbpjdmkbifg"",")</f>
        <v>"ofmgjckcackgocnboajincbpjdmkbifg",</v>
      </c>
    </row>
    <row r="8729">
      <c r="A8729" s="4" t="s">
        <v>27908</v>
      </c>
      <c r="B8729" s="4" t="s">
        <v>17373</v>
      </c>
      <c r="C8729" s="16" t="str">
        <f>IFERROR(__xludf.DUMMYFUNCTION(""""""""" &amp; REGEXEXTRACT(B8729, ""/detail/([^/?]+)"") &amp; """""","""),"""pjihmfnnfklnilcknhhihhkomnfeoefb"",")</f>
        <v>"pjihmfnnfklnilcknhhihhkomnfeoefb",</v>
      </c>
    </row>
    <row r="8730">
      <c r="A8730" s="4" t="s">
        <v>27909</v>
      </c>
      <c r="B8730" s="4" t="s">
        <v>17375</v>
      </c>
      <c r="C8730" s="16" t="str">
        <f>IFERROR(__xludf.DUMMYFUNCTION(""""""""" &amp; REGEXEXTRACT(B8730, ""/detail/([^/?]+)"") &amp; """""","""),"""ajchknafbabadjpbdkcnglcakmiknlge"",")</f>
        <v>"ajchknafbabadjpbdkcnglcakmiknlge",</v>
      </c>
    </row>
    <row r="8731">
      <c r="A8731" s="4" t="s">
        <v>27910</v>
      </c>
      <c r="B8731" s="4" t="s">
        <v>17377</v>
      </c>
      <c r="C8731" s="16" t="str">
        <f>IFERROR(__xludf.DUMMYFUNCTION(""""""""" &amp; REGEXEXTRACT(B8731, ""/detail/([^/?]+)"") &amp; """""","""),"""cokbkfdekagbhjgcbmfocehbmocjmgmk"",")</f>
        <v>"cokbkfdekagbhjgcbmfocehbmocjmgmk",</v>
      </c>
    </row>
    <row r="8732">
      <c r="A8732" s="4" t="s">
        <v>27911</v>
      </c>
      <c r="B8732" s="4" t="s">
        <v>17379</v>
      </c>
      <c r="C8732" s="16" t="str">
        <f>IFERROR(__xludf.DUMMYFUNCTION(""""""""" &amp; REGEXEXTRACT(B8732, ""/detail/([^/?]+)"") &amp; """""","""),"""eaphndngbeiabnejnachpmpmkapipihm"",")</f>
        <v>"eaphndngbeiabnejnachpmpmkapipihm",</v>
      </c>
    </row>
    <row r="8733">
      <c r="A8733" s="4" t="s">
        <v>27912</v>
      </c>
      <c r="B8733" s="4" t="s">
        <v>17381</v>
      </c>
      <c r="C8733" s="16" t="str">
        <f>IFERROR(__xludf.DUMMYFUNCTION(""""""""" &amp; REGEXEXTRACT(B8733, ""/detail/([^/?]+)"") &amp; """""","""),"""himebmdddlbemclikfplacbnmjgomlkk"",")</f>
        <v>"himebmdddlbemclikfplacbnmjgomlkk",</v>
      </c>
    </row>
    <row r="8734">
      <c r="A8734" s="4" t="s">
        <v>27913</v>
      </c>
      <c r="B8734" s="4" t="s">
        <v>17383</v>
      </c>
      <c r="C8734" s="16" t="str">
        <f>IFERROR(__xludf.DUMMYFUNCTION(""""""""" &amp; REGEXEXTRACT(B8734, ""/detail/([^/?]+)"") &amp; """""","""),"""libmlgomhhohdfldmdppljefhkdbcnci"",")</f>
        <v>"libmlgomhhohdfldmdppljefhkdbcnci",</v>
      </c>
    </row>
    <row r="8735">
      <c r="A8735" s="4" t="s">
        <v>27914</v>
      </c>
      <c r="B8735" s="4" t="s">
        <v>17385</v>
      </c>
      <c r="C8735" s="16" t="str">
        <f>IFERROR(__xludf.DUMMYFUNCTION(""""""""" &amp; REGEXEXTRACT(B8735, ""/detail/([^/?]+)"") &amp; """""","""),"""lmlkphhdlngaicolpmaakfmhplagoaln"",")</f>
        <v>"lmlkphhdlngaicolpmaakfmhplagoaln",</v>
      </c>
    </row>
    <row r="8736">
      <c r="A8736" s="4" t="s">
        <v>27915</v>
      </c>
      <c r="B8736" s="4" t="s">
        <v>17387</v>
      </c>
      <c r="C8736" s="16" t="str">
        <f>IFERROR(__xludf.DUMMYFUNCTION(""""""""" &amp; REGEXEXTRACT(B8736, ""/detail/([^/?]+)"") &amp; """""","""),"""lnhjdlekcjjldjbhnnhdehceokficdmo"",")</f>
        <v>"lnhjdlekcjjldjbhnnhdehceokficdmo",</v>
      </c>
    </row>
    <row r="8737">
      <c r="A8737" s="4" t="s">
        <v>27916</v>
      </c>
      <c r="B8737" s="4" t="s">
        <v>17389</v>
      </c>
      <c r="C8737" s="16" t="str">
        <f>IFERROR(__xludf.DUMMYFUNCTION(""""""""" &amp; REGEXEXTRACT(B8737, ""/detail/([^/?]+)"") &amp; """""","""),"""nclackehnjikcjeijdihkafcefjgnmmi"",")</f>
        <v>"nclackehnjikcjeijdihkafcefjgnmmi",</v>
      </c>
    </row>
    <row r="8738">
      <c r="A8738" s="4" t="s">
        <v>27917</v>
      </c>
      <c r="B8738" s="4" t="s">
        <v>17391</v>
      </c>
      <c r="C8738" s="16" t="str">
        <f>IFERROR(__xludf.DUMMYFUNCTION(""""""""" &amp; REGEXEXTRACT(B8738, ""/detail/([^/?]+)"") &amp; """""","""),"""oopiphpkgmkbppjlmhjeafmnmfgnidci"",")</f>
        <v>"oopiphpkgmkbppjlmhjeafmnmfgnidci",</v>
      </c>
    </row>
    <row r="8739">
      <c r="A8739" s="4" t="s">
        <v>27918</v>
      </c>
      <c r="B8739" s="4" t="s">
        <v>17393</v>
      </c>
      <c r="C8739" s="16" t="str">
        <f>IFERROR(__xludf.DUMMYFUNCTION(""""""""" &amp; REGEXEXTRACT(B8739, ""/detail/([^/?]+)"") &amp; """""","""),"""pakilipafnfgghkpekpnkbfgjdmodmai"",")</f>
        <v>"pakilipafnfgghkpekpnkbfgjdmodmai",</v>
      </c>
    </row>
    <row r="8740">
      <c r="A8740" s="4" t="s">
        <v>27919</v>
      </c>
      <c r="B8740" s="4" t="s">
        <v>17395</v>
      </c>
      <c r="C8740" s="16" t="str">
        <f>IFERROR(__xludf.DUMMYFUNCTION(""""""""" &amp; REGEXEXTRACT(B8740, ""/detail/([^/?]+)"") &amp; """""","""),"""pcjdkchmolbfddhnadplafncfeccjehi"",")</f>
        <v>"pcjdkchmolbfddhnadplafncfeccjehi",</v>
      </c>
    </row>
    <row r="8741">
      <c r="A8741" s="4" t="s">
        <v>27920</v>
      </c>
      <c r="B8741" s="4" t="s">
        <v>17397</v>
      </c>
      <c r="C8741" s="16" t="str">
        <f>IFERROR(__xludf.DUMMYFUNCTION(""""""""" &amp; REGEXEXTRACT(B8741, ""/detail/([^/?]+)"") &amp; """""","""),"""pplghaldkjlbeaebchaabadnigijmfbl"",")</f>
        <v>"pplghaldkjlbeaebchaabadnigijmfbl",</v>
      </c>
    </row>
    <row r="8742">
      <c r="A8742" s="4" t="s">
        <v>27921</v>
      </c>
      <c r="B8742" s="4" t="s">
        <v>17399</v>
      </c>
      <c r="C8742" s="16" t="str">
        <f>IFERROR(__xludf.DUMMYFUNCTION(""""""""" &amp; REGEXEXTRACT(B8742, ""/detail/([^/?]+)"") &amp; """""","""),"""bjojafcmlckaolcdpficjiohhgchcbcp"",")</f>
        <v>"bjojafcmlckaolcdpficjiohhgchcbcp",</v>
      </c>
    </row>
    <row r="8743">
      <c r="A8743" s="4" t="s">
        <v>27922</v>
      </c>
      <c r="B8743" s="4" t="s">
        <v>17401</v>
      </c>
      <c r="C8743" s="16" t="str">
        <f>IFERROR(__xludf.DUMMYFUNCTION(""""""""" &amp; REGEXEXTRACT(B8743, ""/detail/([^/?]+)"") &amp; """""","""),"""bldokddpppfjgaagcmmmomlmnpjmcmkg"",")</f>
        <v>"bldokddpppfjgaagcmmmomlmnpjmcmkg",</v>
      </c>
    </row>
    <row r="8744">
      <c r="A8744" s="4" t="s">
        <v>27923</v>
      </c>
      <c r="B8744" s="4" t="s">
        <v>17403</v>
      </c>
      <c r="C8744" s="16" t="str">
        <f>IFERROR(__xludf.DUMMYFUNCTION(""""""""" &amp; REGEXEXTRACT(B8744, ""/detail/([^/?]+)"") &amp; """""","""),"""efoabjckcjahofacmgekfhjadpjlmcap"",")</f>
        <v>"efoabjckcjahofacmgekfhjadpjlmcap",</v>
      </c>
    </row>
    <row r="8745">
      <c r="A8745" s="4" t="s">
        <v>27924</v>
      </c>
      <c r="B8745" s="4" t="s">
        <v>17405</v>
      </c>
      <c r="C8745" s="16" t="str">
        <f>IFERROR(__xludf.DUMMYFUNCTION(""""""""" &amp; REGEXEXTRACT(B8745, ""/detail/([^/?]+)"") &amp; """""","""),"""jfdchfmaajlngmheefmlphblannhnmlh"",")</f>
        <v>"jfdchfmaajlngmheefmlphblannhnmlh",</v>
      </c>
    </row>
    <row r="8746">
      <c r="A8746" s="4" t="s">
        <v>27925</v>
      </c>
      <c r="B8746" s="4" t="s">
        <v>17407</v>
      </c>
      <c r="C8746" s="16" t="str">
        <f>IFERROR(__xludf.DUMMYFUNCTION(""""""""" &amp; REGEXEXTRACT(B8746, ""/detail/([^/?]+)"") &amp; """""","""),"""ocdobpohceakpmoidfhhjiiglnpgphnf"",")</f>
        <v>"ocdobpohceakpmoidfhhjiiglnpgphnf",</v>
      </c>
    </row>
    <row r="8747">
      <c r="A8747" s="4" t="s">
        <v>27926</v>
      </c>
      <c r="B8747" s="4" t="s">
        <v>17409</v>
      </c>
      <c r="C8747" s="16" t="str">
        <f>IFERROR(__xludf.DUMMYFUNCTION(""""""""" &amp; REGEXEXTRACT(B8747, ""/detail/([^/?]+)"") &amp; """""","""),"""ocjjknbofcggmblgmlpfpmhccojaecnp"",")</f>
        <v>"ocjjknbofcggmblgmlpfpmhccojaecnp",</v>
      </c>
    </row>
    <row r="8748">
      <c r="A8748" s="4" t="s">
        <v>27927</v>
      </c>
      <c r="B8748" s="4" t="s">
        <v>17411</v>
      </c>
      <c r="C8748" s="16" t="str">
        <f>IFERROR(__xludf.DUMMYFUNCTION(""""""""" &amp; REGEXEXTRACT(B8748, ""/detail/([^/?]+)"") &amp; """""","""),"""ojdggcahaahmpphammjempihickghipi"",")</f>
        <v>"ojdggcahaahmpphammjempihickghipi",</v>
      </c>
    </row>
    <row r="8749">
      <c r="A8749" s="4" t="s">
        <v>27928</v>
      </c>
      <c r="B8749" s="4" t="s">
        <v>17413</v>
      </c>
      <c r="C8749" s="16" t="str">
        <f>IFERROR(__xludf.DUMMYFUNCTION(""""""""" &amp; REGEXEXTRACT(B8749, ""/detail/([^/?]+)"") &amp; """""","""),"""olifngmkabgkapkhkpancabcjmockpin"",")</f>
        <v>"olifngmkabgkapkhkpancabcjmockpin",</v>
      </c>
    </row>
    <row r="8750">
      <c r="A8750" s="4" t="s">
        <v>27929</v>
      </c>
      <c r="B8750" s="4" t="s">
        <v>17415</v>
      </c>
      <c r="C8750" s="16" t="str">
        <f>IFERROR(__xludf.DUMMYFUNCTION(""""""""" &amp; REGEXEXTRACT(B8750, ""/detail/([^/?]+)"") &amp; """""","""),"""aomkpmjejdlgpppabklnoacegopomlka"",")</f>
        <v>"aomkpmjejdlgpppabklnoacegopomlka",</v>
      </c>
    </row>
    <row r="8751">
      <c r="A8751" s="4" t="s">
        <v>27930</v>
      </c>
      <c r="B8751" s="4" t="s">
        <v>17417</v>
      </c>
      <c r="C8751" s="16" t="str">
        <f>IFERROR(__xludf.DUMMYFUNCTION(""""""""" &amp; REGEXEXTRACT(B8751, ""/detail/([^/?]+)"") &amp; """""","""),"""ddmncmoalbogclpicdmnhemgbhfapfhc"",")</f>
        <v>"ddmncmoalbogclpicdmnhemgbhfapfhc",</v>
      </c>
    </row>
    <row r="8752">
      <c r="A8752" s="4" t="s">
        <v>27931</v>
      </c>
      <c r="B8752" s="4" t="s">
        <v>17419</v>
      </c>
      <c r="C8752" s="16" t="str">
        <f>IFERROR(__xludf.DUMMYFUNCTION(""""""""" &amp; REGEXEXTRACT(B8752, ""/detail/([^/?]+)"") &amp; """""","""),"""epbiejjeicckcbackkiieaecponhfdbg"",")</f>
        <v>"epbiejjeicckcbackkiieaecponhfdbg",</v>
      </c>
    </row>
    <row r="8753">
      <c r="A8753" s="4" t="s">
        <v>27932</v>
      </c>
      <c r="B8753" s="4" t="s">
        <v>17421</v>
      </c>
      <c r="C8753" s="16" t="str">
        <f>IFERROR(__xludf.DUMMYFUNCTION(""""""""" &amp; REGEXEXTRACT(B8753, ""/detail/([^/?]+)"") &amp; """""","""),"""hjngkcigmlhefidinfbdnkegocefpjap"",")</f>
        <v>"hjngkcigmlhefidinfbdnkegocefpjap",</v>
      </c>
    </row>
    <row r="8754">
      <c r="A8754" s="4" t="s">
        <v>27933</v>
      </c>
      <c r="B8754" s="4" t="s">
        <v>17423</v>
      </c>
      <c r="C8754" s="16" t="str">
        <f>IFERROR(__xludf.DUMMYFUNCTION(""""""""" &amp; REGEXEXTRACT(B8754, ""/detail/([^/?]+)"") &amp; """""","""),"""idlphppimakcgpedfjiggllfncjdhafi"",")</f>
        <v>"idlphppimakcgpedfjiggllfncjdhafi",</v>
      </c>
    </row>
    <row r="8755">
      <c r="A8755" s="4" t="s">
        <v>27934</v>
      </c>
      <c r="B8755" s="4" t="s">
        <v>17425</v>
      </c>
      <c r="C8755" s="16" t="str">
        <f>IFERROR(__xludf.DUMMYFUNCTION(""""""""" &amp; REGEXEXTRACT(B8755, ""/detail/([^/?]+)"") &amp; """""","""),"""aggmkhbnakgocpdkcghekgnejbjobifi"",")</f>
        <v>"aggmkhbnakgocpdkcghekgnejbjobifi",</v>
      </c>
    </row>
    <row r="8756">
      <c r="A8756" s="4" t="s">
        <v>27935</v>
      </c>
      <c r="B8756" s="4" t="s">
        <v>17427</v>
      </c>
      <c r="C8756" s="16" t="str">
        <f>IFERROR(__xludf.DUMMYFUNCTION(""""""""" &amp; REGEXEXTRACT(B8756, ""/detail/([^/?]+)"") &amp; """""","""),"""bdimdjhcpdbgdnmclfgmlapnpokafhpe"",")</f>
        <v>"bdimdjhcpdbgdnmclfgmlapnpokafhpe",</v>
      </c>
    </row>
    <row r="8757">
      <c r="A8757" s="4" t="s">
        <v>27936</v>
      </c>
      <c r="B8757" s="4" t="s">
        <v>17429</v>
      </c>
      <c r="C8757" s="16" t="str">
        <f>IFERROR(__xludf.DUMMYFUNCTION(""""""""" &amp; REGEXEXTRACT(B8757, ""/detail/([^/?]+)"") &amp; """""","""),"""enlbmhdjeiioekgmgkllpacjpkfpmlpn"",")</f>
        <v>"enlbmhdjeiioekgmgkllpacjpkfpmlpn",</v>
      </c>
    </row>
    <row r="8758">
      <c r="A8758" s="4" t="s">
        <v>27937</v>
      </c>
      <c r="B8758" s="4" t="s">
        <v>17431</v>
      </c>
      <c r="C8758" s="16" t="str">
        <f>IFERROR(__xludf.DUMMYFUNCTION(""""""""" &amp; REGEXEXTRACT(B8758, ""/detail/([^/?]+)"") &amp; """""","""),"""fkfdafnifmdahipdpcbpefhjlceippna"",")</f>
        <v>"fkfdafnifmdahipdpcbpefhjlceippna",</v>
      </c>
    </row>
    <row r="8759">
      <c r="A8759" s="4" t="s">
        <v>27938</v>
      </c>
      <c r="B8759" s="4" t="s">
        <v>17433</v>
      </c>
      <c r="C8759" s="16" t="str">
        <f>IFERROR(__xludf.DUMMYFUNCTION(""""""""" &amp; REGEXEXTRACT(B8759, ""/detail/([^/?]+)"") &amp; """""","""),"""hlalmipkolibhponfnlmlllbgaifkija"",")</f>
        <v>"hlalmipkolibhponfnlmlllbgaifkija",</v>
      </c>
    </row>
    <row r="8760">
      <c r="A8760" s="4" t="s">
        <v>27939</v>
      </c>
      <c r="B8760" s="4" t="s">
        <v>17435</v>
      </c>
      <c r="C8760" s="16" t="str">
        <f>IFERROR(__xludf.DUMMYFUNCTION(""""""""" &amp; REGEXEXTRACT(B8760, ""/detail/([^/?]+)"") &amp; """""","""),"""mcckdcfjdoojbocjakigmogcaifofmef"",")</f>
        <v>"mcckdcfjdoojbocjakigmogcaifofmef",</v>
      </c>
    </row>
    <row r="8761">
      <c r="A8761" s="4" t="s">
        <v>27940</v>
      </c>
      <c r="B8761" s="4" t="s">
        <v>17437</v>
      </c>
      <c r="C8761" s="16" t="str">
        <f>IFERROR(__xludf.DUMMYFUNCTION(""""""""" &amp; REGEXEXTRACT(B8761, ""/detail/([^/?]+)"") &amp; """""","""),"""nhjpoicdffokejclclfchgbhfjcmnmic"",")</f>
        <v>"nhjpoicdffokejclclfchgbhfjcmnmic",</v>
      </c>
    </row>
    <row r="8762">
      <c r="A8762" s="4" t="s">
        <v>27941</v>
      </c>
      <c r="B8762" s="4" t="s">
        <v>17439</v>
      </c>
      <c r="C8762" s="16" t="str">
        <f>IFERROR(__xludf.DUMMYFUNCTION(""""""""" &amp; REGEXEXTRACT(B8762, ""/detail/([^/?]+)"") &amp; """""","""),"""kdnjphofldkbdpdpcpoknpdfjighjekb"",")</f>
        <v>"kdnjphofldkbdpdpcpoknpdfjighjekb",</v>
      </c>
    </row>
    <row r="8763">
      <c r="A8763" s="4" t="s">
        <v>27942</v>
      </c>
      <c r="B8763" s="4" t="s">
        <v>17441</v>
      </c>
      <c r="C8763" s="16" t="str">
        <f>IFERROR(__xludf.DUMMYFUNCTION(""""""""" &amp; REGEXEXTRACT(B8763, ""/detail/([^/?]+)"") &amp; """""","""),"""mnjnjkeobieedmmaindifdaaamnndboo"",")</f>
        <v>"mnjnjkeobieedmmaindifdaaamnndboo",</v>
      </c>
    </row>
    <row r="8764">
      <c r="A8764" s="4" t="s">
        <v>27943</v>
      </c>
      <c r="B8764" s="4" t="s">
        <v>17443</v>
      </c>
      <c r="C8764" s="16" t="str">
        <f>IFERROR(__xludf.DUMMYFUNCTION(""""""""" &amp; REGEXEXTRACT(B8764, ""/detail/([^/?]+)"") &amp; """""","""),"""pajikbgjooomggbhdalmlgiimicopmdi"",")</f>
        <v>"pajikbgjooomggbhdalmlgiimicopmdi",</v>
      </c>
    </row>
    <row r="8765">
      <c r="A8765" s="4" t="s">
        <v>27944</v>
      </c>
      <c r="B8765" s="4" t="s">
        <v>17445</v>
      </c>
      <c r="C8765" s="16" t="str">
        <f>IFERROR(__xludf.DUMMYFUNCTION(""""""""" &amp; REGEXEXTRACT(B8765, ""/detail/([^/?]+)"") &amp; """""","""),"""aichhaiboemcllfpjbgebagahdibmpnh"",")</f>
        <v>"aichhaiboemcllfpjbgebagahdibmpnh",</v>
      </c>
    </row>
    <row r="8766">
      <c r="A8766" s="4" t="s">
        <v>27945</v>
      </c>
      <c r="B8766" s="4" t="s">
        <v>17447</v>
      </c>
      <c r="C8766" s="16" t="str">
        <f>IFERROR(__xludf.DUMMYFUNCTION(""""""""" &amp; REGEXEXTRACT(B8766, ""/detail/([^/?]+)"") &amp; """""","""),"""bmbnngnjoagodaidjcmoiadioinjhhfb"",")</f>
        <v>"bmbnngnjoagodaidjcmoiadioinjhhfb",</v>
      </c>
    </row>
    <row r="8767">
      <c r="A8767" s="4" t="s">
        <v>27946</v>
      </c>
      <c r="B8767" s="4" t="s">
        <v>17449</v>
      </c>
      <c r="C8767" s="16" t="str">
        <f>IFERROR(__xludf.DUMMYFUNCTION(""""""""" &amp; REGEXEXTRACT(B8767, ""/detail/([^/?]+)"") &amp; """""","""),"""ghpadgbcphnomjfjjpockklhcgahebji"",")</f>
        <v>"ghpadgbcphnomjfjjpockklhcgahebji",</v>
      </c>
    </row>
    <row r="8768">
      <c r="A8768" s="4" t="s">
        <v>27947</v>
      </c>
      <c r="B8768" s="4" t="s">
        <v>17451</v>
      </c>
      <c r="C8768" s="16" t="str">
        <f>IFERROR(__xludf.DUMMYFUNCTION(""""""""" &amp; REGEXEXTRACT(B8768, ""/detail/([^/?]+)"") &amp; """""","""),"""ildbinpaafbhmjbafifhpglifncjhmdp"",")</f>
        <v>"ildbinpaafbhmjbafifhpglifncjhmdp",</v>
      </c>
    </row>
    <row r="8769">
      <c r="A8769" s="4" t="s">
        <v>27948</v>
      </c>
      <c r="B8769" s="4" t="s">
        <v>17453</v>
      </c>
      <c r="C8769" s="16" t="str">
        <f>IFERROR(__xludf.DUMMYFUNCTION(""""""""" &amp; REGEXEXTRACT(B8769, ""/detail/([^/?]+)"") &amp; """""","""),"""ipjappobohplmfjhjcaidnkndoodgjpk"",")</f>
        <v>"ipjappobohplmfjhjcaidnkndoodgjpk",</v>
      </c>
    </row>
    <row r="8770">
      <c r="A8770" s="4" t="s">
        <v>27949</v>
      </c>
      <c r="B8770" s="4" t="s">
        <v>17455</v>
      </c>
      <c r="C8770" s="16" t="str">
        <f>IFERROR(__xludf.DUMMYFUNCTION(""""""""" &amp; REGEXEXTRACT(B8770, ""/detail/([^/?]+)"") &amp; """""","""),"""kgdbcilceliahlggkengiekkhdjkfgmd"",")</f>
        <v>"kgdbcilceliahlggkengiekkhdjkfgmd",</v>
      </c>
    </row>
    <row r="8771">
      <c r="A8771" s="4" t="s">
        <v>27950</v>
      </c>
      <c r="B8771" s="4" t="s">
        <v>17457</v>
      </c>
      <c r="C8771" s="16" t="str">
        <f>IFERROR(__xludf.DUMMYFUNCTION(""""""""" &amp; REGEXEXTRACT(B8771, ""/detail/([^/?]+)"") &amp; """""","""),"""npafeekdijcbdmpgkelijopcbnhmhglo"",")</f>
        <v>"npafeekdijcbdmpgkelijopcbnhmhglo",</v>
      </c>
    </row>
    <row r="8772">
      <c r="A8772" s="4" t="s">
        <v>27951</v>
      </c>
      <c r="B8772" s="4" t="s">
        <v>17459</v>
      </c>
      <c r="C8772" s="16" t="str">
        <f>IFERROR(__xludf.DUMMYFUNCTION(""""""""" &amp; REGEXEXTRACT(B8772, ""/detail/([^/?]+)"") &amp; """""","""),"""bhoelabkohelcbnfmnmcljiahdkefdli"",")</f>
        <v>"bhoelabkohelcbnfmnmcljiahdkefdli",</v>
      </c>
    </row>
    <row r="8773">
      <c r="A8773" s="4" t="s">
        <v>27952</v>
      </c>
      <c r="B8773" s="4" t="s">
        <v>17461</v>
      </c>
      <c r="C8773" s="16" t="str">
        <f>IFERROR(__xludf.DUMMYFUNCTION(""""""""" &amp; REGEXEXTRACT(B8773, ""/detail/([^/?]+)"") &amp; """""","""),"""cfcckljlaljpfphabeilbhgilmmeafbg"",")</f>
        <v>"cfcckljlaljpfphabeilbhgilmmeafbg",</v>
      </c>
    </row>
    <row r="8774">
      <c r="A8774" s="4" t="s">
        <v>27953</v>
      </c>
      <c r="B8774" s="4" t="s">
        <v>17463</v>
      </c>
      <c r="C8774" s="16" t="str">
        <f>IFERROR(__xludf.DUMMYFUNCTION(""""""""" &amp; REGEXEXTRACT(B8774, ""/detail/([^/?]+)"") &amp; """""","""),"""cgmagalnhglnafodhkkojjiaejpdkbho"",")</f>
        <v>"cgmagalnhglnafodhkkojjiaejpdkbho",</v>
      </c>
    </row>
    <row r="8775">
      <c r="A8775" s="4" t="s">
        <v>27954</v>
      </c>
      <c r="B8775" s="4" t="s">
        <v>17465</v>
      </c>
      <c r="C8775" s="16" t="str">
        <f>IFERROR(__xludf.DUMMYFUNCTION(""""""""" &amp; REGEXEXTRACT(B8775, ""/detail/([^/?]+)"") &amp; """""","""),"""ejimgebkedeogomfckpbkbmoikpcdnce"",")</f>
        <v>"ejimgebkedeogomfckpbkbmoikpcdnce",</v>
      </c>
    </row>
    <row r="8776">
      <c r="A8776" s="4" t="s">
        <v>27955</v>
      </c>
      <c r="B8776" s="4" t="s">
        <v>17467</v>
      </c>
      <c r="C8776" s="16" t="str">
        <f>IFERROR(__xludf.DUMMYFUNCTION(""""""""" &amp; REGEXEXTRACT(B8776, ""/detail/([^/?]+)"") &amp; """""","""),"""emepkgfiamgdjilgkacpciojagbolepb"",")</f>
        <v>"emepkgfiamgdjilgkacpciojagbolepb",</v>
      </c>
    </row>
    <row r="8777">
      <c r="A8777" s="4" t="s">
        <v>27956</v>
      </c>
      <c r="B8777" s="4" t="s">
        <v>17469</v>
      </c>
      <c r="C8777" s="16" t="str">
        <f>IFERROR(__xludf.DUMMYFUNCTION(""""""""" &amp; REGEXEXTRACT(B8777, ""/detail/([^/?]+)"") &amp; """""","""),"""fgapjjkffggllllignindphnioliplok"",")</f>
        <v>"fgapjjkffggllllignindphnioliplok",</v>
      </c>
    </row>
    <row r="8778">
      <c r="A8778" s="4" t="s">
        <v>27957</v>
      </c>
      <c r="B8778" s="4" t="s">
        <v>17471</v>
      </c>
      <c r="C8778" s="16" t="str">
        <f>IFERROR(__xludf.DUMMYFUNCTION(""""""""" &amp; REGEXEXTRACT(B8778, ""/detail/([^/?]+)"") &amp; """""","""),"""gbhdnhlcnhgahhodfhipjigebhddgjke"",")</f>
        <v>"gbhdnhlcnhgahhodfhipjigebhddgjke",</v>
      </c>
    </row>
    <row r="8779">
      <c r="A8779" s="4" t="s">
        <v>27958</v>
      </c>
      <c r="B8779" s="4" t="s">
        <v>17473</v>
      </c>
      <c r="C8779" s="16" t="str">
        <f>IFERROR(__xludf.DUMMYFUNCTION(""""""""" &amp; REGEXEXTRACT(B8779, ""/detail/([^/?]+)"") &amp; """""","""),"""hcnpikjdiaedadmfkflhilndgailpogj"",")</f>
        <v>"hcnpikjdiaedadmfkflhilndgailpogj",</v>
      </c>
    </row>
    <row r="8780">
      <c r="A8780" s="4" t="s">
        <v>27959</v>
      </c>
      <c r="B8780" s="4" t="s">
        <v>17475</v>
      </c>
      <c r="C8780" s="16" t="str">
        <f>IFERROR(__xludf.DUMMYFUNCTION(""""""""" &amp; REGEXEXTRACT(B8780, ""/detail/([^/?]+)"") &amp; """""","""),"""jhfngpbbcdllkebjmllijaefmejolgpk"",")</f>
        <v>"jhfngpbbcdllkebjmllijaefmejolgpk",</v>
      </c>
    </row>
    <row r="8781">
      <c r="A8781" s="4" t="s">
        <v>27960</v>
      </c>
      <c r="B8781" s="4" t="s">
        <v>17477</v>
      </c>
      <c r="C8781" s="16" t="str">
        <f>IFERROR(__xludf.DUMMYFUNCTION(""""""""" &amp; REGEXEXTRACT(B8781, ""/detail/([^/?]+)"") &amp; """""","""),"""kjfbefcenipnnpbcbbklcidpjiamlcpl"",")</f>
        <v>"kjfbefcenipnnpbcbbklcidpjiamlcpl",</v>
      </c>
    </row>
    <row r="8782">
      <c r="A8782" s="4" t="s">
        <v>27961</v>
      </c>
      <c r="B8782" s="4" t="s">
        <v>17479</v>
      </c>
      <c r="C8782" s="16" t="str">
        <f>IFERROR(__xludf.DUMMYFUNCTION(""""""""" &amp; REGEXEXTRACT(B8782, ""/detail/([^/?]+)"") &amp; """""","""),"""lkhkeilhpkjliofkappbgdicjlmbgbkn"",")</f>
        <v>"lkhkeilhpkjliofkappbgdicjlmbgbkn",</v>
      </c>
    </row>
    <row r="8783">
      <c r="A8783" s="4" t="s">
        <v>27962</v>
      </c>
      <c r="B8783" s="4" t="s">
        <v>17481</v>
      </c>
      <c r="C8783" s="16" t="str">
        <f>IFERROR(__xludf.DUMMYFUNCTION(""""""""" &amp; REGEXEXTRACT(B8783, ""/detail/([^/?]+)"") &amp; """""","""),"""abbppfcokpiknbdhocmbjnngkkkckepp"",")</f>
        <v>"abbppfcokpiknbdhocmbjnngkkkckepp",</v>
      </c>
    </row>
    <row r="8784">
      <c r="A8784" s="4" t="s">
        <v>27963</v>
      </c>
      <c r="B8784" s="4" t="s">
        <v>17483</v>
      </c>
      <c r="C8784" s="16" t="str">
        <f>IFERROR(__xludf.DUMMYFUNCTION(""""""""" &amp; REGEXEXTRACT(B8784, ""/detail/([^/?]+)"") &amp; """""","""),"""bchomhcdomfcemjjfkagijhcinpbffan"",")</f>
        <v>"bchomhcdomfcemjjfkagijhcinpbffan",</v>
      </c>
    </row>
    <row r="8785">
      <c r="A8785" s="4" t="s">
        <v>27964</v>
      </c>
      <c r="B8785" s="4" t="s">
        <v>17485</v>
      </c>
      <c r="C8785" s="16" t="str">
        <f>IFERROR(__xludf.DUMMYFUNCTION(""""""""" &amp; REGEXEXTRACT(B8785, ""/detail/([^/?]+)"") &amp; """""","""),"""cchbgnifmhlbmkekmchaaonbhbhigjjd"",")</f>
        <v>"cchbgnifmhlbmkekmchaaonbhbhigjjd",</v>
      </c>
    </row>
    <row r="8786">
      <c r="A8786" s="10" t="s">
        <v>27965</v>
      </c>
      <c r="B8786" s="4" t="s">
        <v>17487</v>
      </c>
      <c r="C8786" s="16" t="str">
        <f>IFERROR(__xludf.DUMMYFUNCTION(""""""""" &amp; REGEXEXTRACT(B8786, ""/detail/([^/?]+)"") &amp; """""","""),"""kkmcklhlchnalgaeahleegkgodhiflgm"",")</f>
        <v>"kkmcklhlchnalgaeahleegkgodhiflgm",</v>
      </c>
    </row>
    <row r="8787">
      <c r="A8787" s="4" t="s">
        <v>27966</v>
      </c>
      <c r="B8787" s="4" t="s">
        <v>17489</v>
      </c>
      <c r="C8787" s="16" t="str">
        <f>IFERROR(__xludf.DUMMYFUNCTION(""""""""" &amp; REGEXEXTRACT(B8787, ""/detail/([^/?]+)"") &amp; """""","""),"""cogjjhnhjoiaopmcfmmckpiaeiinocco"",")</f>
        <v>"cogjjhnhjoiaopmcfmmckpiaeiinocco",</v>
      </c>
    </row>
    <row r="8788">
      <c r="A8788" s="4" t="s">
        <v>27967</v>
      </c>
      <c r="B8788" s="4" t="s">
        <v>17491</v>
      </c>
      <c r="C8788" s="16" t="str">
        <f>IFERROR(__xludf.DUMMYFUNCTION(""""""""" &amp; REGEXEXTRACT(B8788, ""/detail/([^/?]+)"") &amp; """""","""),"""eincngenkhohbbfpkohipekcmnkfamjp"",")</f>
        <v>"eincngenkhohbbfpkohipekcmnkfamjp",</v>
      </c>
    </row>
    <row r="8789">
      <c r="A8789" s="4" t="s">
        <v>27968</v>
      </c>
      <c r="B8789" s="4" t="s">
        <v>17493</v>
      </c>
      <c r="C8789" s="16" t="str">
        <f>IFERROR(__xludf.DUMMYFUNCTION(""""""""" &amp; REGEXEXTRACT(B8789, ""/detail/([^/?]+)"") &amp; """""","""),"""epcobhhlenfbjlmooebphgjcgdmbjgnb"",")</f>
        <v>"epcobhhlenfbjlmooebphgjcgdmbjgnb",</v>
      </c>
    </row>
    <row r="8790">
      <c r="A8790" s="4" t="s">
        <v>27969</v>
      </c>
      <c r="B8790" s="4" t="s">
        <v>17495</v>
      </c>
      <c r="C8790" s="16" t="str">
        <f>IFERROR(__xludf.DUMMYFUNCTION(""""""""" &amp; REGEXEXTRACT(B8790, ""/detail/([^/?]+)"") &amp; """""","""),"""ianoicddkdmdkamjaepdhgjlaonlodhd"",")</f>
        <v>"ianoicddkdmdkamjaepdhgjlaonlodhd",</v>
      </c>
    </row>
    <row r="8791">
      <c r="A8791" s="4" t="s">
        <v>27970</v>
      </c>
      <c r="B8791" s="4" t="s">
        <v>17497</v>
      </c>
      <c r="C8791" s="16" t="str">
        <f>IFERROR(__xludf.DUMMYFUNCTION(""""""""" &amp; REGEXEXTRACT(B8791, ""/detail/([^/?]+)"") &amp; """""","""),"""phenknepgmgjafkipebllabgcjjnnkbg"",")</f>
        <v>"phenknepgmgjafkipebllabgcjjnnkbg",</v>
      </c>
    </row>
    <row r="8792">
      <c r="A8792" s="4" t="s">
        <v>27971</v>
      </c>
      <c r="B8792" s="4" t="s">
        <v>17499</v>
      </c>
      <c r="C8792" s="16" t="str">
        <f>IFERROR(__xludf.DUMMYFUNCTION(""""""""" &amp; REGEXEXTRACT(B8792, ""/detail/([^/?]+)"") &amp; """""","""),"""dgkpokkbhpejphcgfmmmcfiedkhikfgh"",")</f>
        <v>"dgkpokkbhpejphcgfmmmcfiedkhikfgh",</v>
      </c>
    </row>
    <row r="8793">
      <c r="A8793" s="4" t="s">
        <v>27972</v>
      </c>
      <c r="B8793" s="4" t="s">
        <v>17501</v>
      </c>
      <c r="C8793" s="16" t="str">
        <f>IFERROR(__xludf.DUMMYFUNCTION(""""""""" &amp; REGEXEXTRACT(B8793, ""/detail/([^/?]+)"") &amp; """""","""),"""ghcmfikimieoeehcbgbdeegkgmpaihgg"",")</f>
        <v>"ghcmfikimieoeehcbgbdeegkgmpaihgg",</v>
      </c>
    </row>
    <row r="8794">
      <c r="A8794" s="4" t="s">
        <v>27973</v>
      </c>
      <c r="B8794" s="4" t="s">
        <v>17503</v>
      </c>
      <c r="C8794" s="16" t="str">
        <f>IFERROR(__xludf.DUMMYFUNCTION(""""""""" &amp; REGEXEXTRACT(B8794, ""/detail/([^/?]+)"") &amp; """""","""),"""hkilghidhmepkcebjphfhdcacbbhjcha"",")</f>
        <v>"hkilghidhmepkcebjphfhdcacbbhjcha",</v>
      </c>
    </row>
    <row r="8795">
      <c r="A8795" s="4" t="s">
        <v>27974</v>
      </c>
      <c r="B8795" s="4" t="s">
        <v>17505</v>
      </c>
      <c r="C8795" s="16" t="str">
        <f>IFERROR(__xludf.DUMMYFUNCTION(""""""""" &amp; REGEXEXTRACT(B8795, ""/detail/([^/?]+)"") &amp; """""","""),"""oaaobdcikfoafpadmjngnamnoecmpppg"",")</f>
        <v>"oaaobdcikfoafpadmjngnamnoecmpppg",</v>
      </c>
    </row>
    <row r="8796">
      <c r="A8796" s="4" t="s">
        <v>27975</v>
      </c>
      <c r="B8796" s="4" t="s">
        <v>17507</v>
      </c>
      <c r="C8796" s="16" t="str">
        <f>IFERROR(__xludf.DUMMYFUNCTION(""""""""" &amp; REGEXEXTRACT(B8796, ""/detail/([^/?]+)"") &amp; """""","""),"""aeohigfgkmgceofpjhmfmeiembnpobme"",")</f>
        <v>"aeohigfgkmgceofpjhmfmeiembnpobme",</v>
      </c>
    </row>
    <row r="8797">
      <c r="A8797" s="4" t="s">
        <v>27976</v>
      </c>
      <c r="B8797" s="4" t="s">
        <v>17509</v>
      </c>
      <c r="C8797" s="16" t="str">
        <f>IFERROR(__xludf.DUMMYFUNCTION(""""""""" &amp; REGEXEXTRACT(B8797, ""/detail/([^/?]+)"") &amp; """""","""),"""afcmlpnpmdljjlcpmlcnlokilglejfga"",")</f>
        <v>"afcmlpnpmdljjlcpmlcnlokilglejfga",</v>
      </c>
    </row>
    <row r="8798">
      <c r="A8798" s="4" t="s">
        <v>27977</v>
      </c>
      <c r="B8798" s="4" t="s">
        <v>17511</v>
      </c>
      <c r="C8798" s="16" t="str">
        <f>IFERROR(__xludf.DUMMYFUNCTION(""""""""" &amp; REGEXEXTRACT(B8798, ""/detail/([^/?]+)"") &amp; """""","""),"""aojpcmmnjojlfbkhgaefchagcballmdj"",")</f>
        <v>"aojpcmmnjojlfbkhgaefchagcballmdj",</v>
      </c>
    </row>
    <row r="8799">
      <c r="A8799" s="4" t="s">
        <v>27978</v>
      </c>
      <c r="B8799" s="4" t="s">
        <v>17513</v>
      </c>
      <c r="C8799" s="16" t="str">
        <f>IFERROR(__xludf.DUMMYFUNCTION(""""""""" &amp; REGEXEXTRACT(B8799, ""/detail/([^/?]+)"") &amp; """""","""),"""hpcpiffhohmgadgjlejekipdgnahkmhn"",")</f>
        <v>"hpcpiffhohmgadgjlejekipdgnahkmhn",</v>
      </c>
    </row>
    <row r="8800">
      <c r="A8800" s="4" t="s">
        <v>27979</v>
      </c>
      <c r="B8800" s="4" t="s">
        <v>17515</v>
      </c>
      <c r="C8800" s="16" t="str">
        <f>IFERROR(__xludf.DUMMYFUNCTION(""""""""" &amp; REGEXEXTRACT(B8800, ""/detail/([^/?]+)"") &amp; """""","""),"""ibmblmkjihglholefminaiddohamopnn"",")</f>
        <v>"ibmblmkjihglholefminaiddohamopnn",</v>
      </c>
    </row>
    <row r="8801">
      <c r="A8801" s="4" t="s">
        <v>27980</v>
      </c>
      <c r="B8801" s="4" t="s">
        <v>17517</v>
      </c>
      <c r="C8801" s="16" t="str">
        <f>IFERROR(__xludf.DUMMYFUNCTION(""""""""" &amp; REGEXEXTRACT(B8801, ""/detail/([^/?]+)"") &amp; """""","""),"""knbajhliaffgmfpjaogiapomekbioehf"",")</f>
        <v>"knbajhliaffgmfpjaogiapomekbioehf",</v>
      </c>
    </row>
    <row r="8802">
      <c r="A8802" s="4" t="s">
        <v>27981</v>
      </c>
      <c r="B8802" s="4" t="s">
        <v>17519</v>
      </c>
      <c r="C8802" s="16" t="str">
        <f>IFERROR(__xludf.DUMMYFUNCTION(""""""""" &amp; REGEXEXTRACT(B8802, ""/detail/([^/?]+)"") &amp; """""","""),"""ocbfkejiiffdfjjlhldhmooennlokpnp"",")</f>
        <v>"ocbfkejiiffdfjjlhldhmooennlokpnp",</v>
      </c>
    </row>
    <row r="8803">
      <c r="A8803" s="4" t="s">
        <v>27982</v>
      </c>
      <c r="B8803" s="4" t="s">
        <v>17521</v>
      </c>
      <c r="C8803" s="16" t="str">
        <f>IFERROR(__xludf.DUMMYFUNCTION(""""""""" &amp; REGEXEXTRACT(B8803, ""/detail/([^/?]+)"") &amp; """""","""),"""dlkkhffefpkmobphiphbghhhilhoopma"",")</f>
        <v>"dlkkhffefpkmobphiphbghhhilhoopma",</v>
      </c>
    </row>
    <row r="8804">
      <c r="A8804" s="4" t="s">
        <v>27983</v>
      </c>
      <c r="B8804" s="4" t="s">
        <v>17523</v>
      </c>
      <c r="C8804" s="16" t="str">
        <f>IFERROR(__xludf.DUMMYFUNCTION(""""""""" &amp; REGEXEXTRACT(B8804, ""/detail/([^/?]+)"") &amp; """""","""),"""hfimahjdppepinpohicfibpbgeamlmhh"",")</f>
        <v>"hfimahjdppepinpohicfibpbgeamlmhh",</v>
      </c>
    </row>
    <row r="8805">
      <c r="A8805" s="4" t="s">
        <v>27984</v>
      </c>
      <c r="B8805" s="4" t="s">
        <v>17525</v>
      </c>
      <c r="C8805" s="16" t="str">
        <f>IFERROR(__xludf.DUMMYFUNCTION(""""""""" &amp; REGEXEXTRACT(B8805, ""/detail/([^/?]+)"") &amp; """""","""),"""mfhniokedjnpbjfhjdnfhiljnidmebjc"",")</f>
        <v>"mfhniokedjnpbjfhjdnfhiljnidmebjc",</v>
      </c>
    </row>
    <row r="8806">
      <c r="A8806" s="4" t="s">
        <v>27985</v>
      </c>
      <c r="B8806" s="4" t="s">
        <v>17527</v>
      </c>
      <c r="C8806" s="16" t="str">
        <f>IFERROR(__xludf.DUMMYFUNCTION(""""""""" &amp; REGEXEXTRACT(B8806, ""/detail/([^/?]+)"") &amp; """""","""),"""palkjjlphmcnghoohihjdlhmpkoclidm"",")</f>
        <v>"palkjjlphmcnghoohihjdlhmpkoclidm",</v>
      </c>
    </row>
    <row r="8807">
      <c r="A8807" s="4" t="s">
        <v>27986</v>
      </c>
      <c r="B8807" s="4" t="s">
        <v>17529</v>
      </c>
      <c r="C8807" s="16" t="str">
        <f>IFERROR(__xludf.DUMMYFUNCTION(""""""""" &amp; REGEXEXTRACT(B8807, ""/detail/([^/?]+)"") &amp; """""","""),"""pieialbeacphlakbcihifblpinjpdhlb"",")</f>
        <v>"pieialbeacphlakbcihifblpinjpdhlb",</v>
      </c>
    </row>
    <row r="8808">
      <c r="A8808" s="4" t="s">
        <v>27987</v>
      </c>
      <c r="B8808" s="4" t="s">
        <v>17531</v>
      </c>
      <c r="C8808" s="16" t="str">
        <f>IFERROR(__xludf.DUMMYFUNCTION(""""""""" &amp; REGEXEXTRACT(B8808, ""/detail/([^/?]+)"") &amp; """""","""),"""dajjempcbjhhdgbkepjmbbbfcaiehmmd"",")</f>
        <v>"dajjempcbjhhdgbkepjmbbbfcaiehmmd",</v>
      </c>
    </row>
    <row r="8809">
      <c r="A8809" s="4" t="s">
        <v>27988</v>
      </c>
      <c r="B8809" s="4" t="s">
        <v>17533</v>
      </c>
      <c r="C8809" s="16" t="str">
        <f>IFERROR(__xludf.DUMMYFUNCTION(""""""""" &amp; REGEXEXTRACT(B8809, ""/detail/([^/?]+)"") &amp; """""","""),"""dmlflpmehdclkhdpmfajmonhhcdlhibh"",")</f>
        <v>"dmlflpmehdclkhdpmfajmonhhcdlhibh",</v>
      </c>
    </row>
    <row r="8810">
      <c r="A8810" s="4" t="s">
        <v>27989</v>
      </c>
      <c r="B8810" s="4" t="s">
        <v>17535</v>
      </c>
      <c r="C8810" s="16" t="str">
        <f>IFERROR(__xludf.DUMMYFUNCTION(""""""""" &amp; REGEXEXTRACT(B8810, ""/detail/([^/?]+)"") &amp; """""","""),"""jeiiokmlakmkkdkoenhffpnmbajippge"",")</f>
        <v>"jeiiokmlakmkkdkoenhffpnmbajippge",</v>
      </c>
    </row>
    <row r="8811">
      <c r="A8811" s="4" t="s">
        <v>27990</v>
      </c>
      <c r="B8811" s="4" t="s">
        <v>17537</v>
      </c>
      <c r="C8811" s="16" t="str">
        <f>IFERROR(__xludf.DUMMYFUNCTION(""""""""" &amp; REGEXEXTRACT(B8811, ""/detail/([^/?]+)"") &amp; """""","""),"""mlibmgejgeafgacoflmnkekjigookhhl"",")</f>
        <v>"mlibmgejgeafgacoflmnkekjigookhhl",</v>
      </c>
    </row>
    <row r="8812">
      <c r="A8812" s="4" t="s">
        <v>27991</v>
      </c>
      <c r="B8812" s="4" t="s">
        <v>17539</v>
      </c>
      <c r="C8812" s="16" t="str">
        <f>IFERROR(__xludf.DUMMYFUNCTION(""""""""" &amp; REGEXEXTRACT(B8812, ""/detail/([^/?]+)"") &amp; """""","""),"""nalkpgbfaadkpckoadhlkihofnbhfhek"",")</f>
        <v>"nalkpgbfaadkpckoadhlkihofnbhfhek",</v>
      </c>
    </row>
    <row r="8813">
      <c r="A8813" s="4" t="s">
        <v>27992</v>
      </c>
      <c r="B8813" s="4" t="s">
        <v>17541</v>
      </c>
      <c r="C8813" s="16" t="str">
        <f>IFERROR(__xludf.DUMMYFUNCTION(""""""""" &amp; REGEXEXTRACT(B8813, ""/detail/([^/?]+)"") &amp; """""","""),"""pcbkeahacgjckcikibohfhlofpbaegdo"",")</f>
        <v>"pcbkeahacgjckcikibohfhlofpbaegdo",</v>
      </c>
    </row>
    <row r="8814">
      <c r="A8814" s="4" t="s">
        <v>27993</v>
      </c>
      <c r="B8814" s="4" t="s">
        <v>17543</v>
      </c>
      <c r="C8814" s="16" t="str">
        <f>IFERROR(__xludf.DUMMYFUNCTION(""""""""" &amp; REGEXEXTRACT(B8814, ""/detail/([^/?]+)"") &amp; """""","""),"""aniaallgmlgdlefladlfhadglocahllm"",")</f>
        <v>"aniaallgmlgdlefladlfhadglocahllm",</v>
      </c>
    </row>
    <row r="8815">
      <c r="A8815" s="4" t="s">
        <v>27994</v>
      </c>
      <c r="B8815" s="4" t="s">
        <v>17545</v>
      </c>
      <c r="C8815" s="16" t="str">
        <f>IFERROR(__xludf.DUMMYFUNCTION(""""""""" &amp; REGEXEXTRACT(B8815, ""/detail/([^/?]+)"") &amp; """""","""),"""aonhigbncjadkdiafahcmaodemkipfpj"",")</f>
        <v>"aonhigbncjadkdiafahcmaodemkipfpj",</v>
      </c>
    </row>
    <row r="8816">
      <c r="A8816" s="4" t="s">
        <v>27995</v>
      </c>
      <c r="B8816" s="4" t="s">
        <v>17547</v>
      </c>
      <c r="C8816" s="16" t="str">
        <f>IFERROR(__xludf.DUMMYFUNCTION(""""""""" &amp; REGEXEXTRACT(B8816, ""/detail/([^/?]+)"") &amp; """""","""),"""dompoccllcaliphengbfbjihlnjnohae"",")</f>
        <v>"dompoccllcaliphengbfbjihlnjnohae",</v>
      </c>
    </row>
    <row r="8817">
      <c r="A8817" s="4" t="s">
        <v>27996</v>
      </c>
      <c r="B8817" s="4" t="s">
        <v>17549</v>
      </c>
      <c r="C8817" s="16" t="str">
        <f>IFERROR(__xludf.DUMMYFUNCTION(""""""""" &amp; REGEXEXTRACT(B8817, ""/detail/([^/?]+)"") &amp; """""","""),"""embpahkgankomlgihkjdjklnfmoablmb"",")</f>
        <v>"embpahkgankomlgihkjdjklnfmoablmb",</v>
      </c>
    </row>
    <row r="8818">
      <c r="A8818" s="4" t="s">
        <v>27997</v>
      </c>
      <c r="B8818" s="4" t="s">
        <v>17551</v>
      </c>
      <c r="C8818" s="16" t="str">
        <f>IFERROR(__xludf.DUMMYFUNCTION(""""""""" &amp; REGEXEXTRACT(B8818, ""/detail/([^/?]+)"") &amp; """""","""),"""fahdkaomhohfakdnjdcbidacihnhdpag"",")</f>
        <v>"fahdkaomhohfakdnjdcbidacihnhdpag",</v>
      </c>
    </row>
    <row r="8819">
      <c r="A8819" s="4" t="s">
        <v>27998</v>
      </c>
      <c r="B8819" s="4" t="s">
        <v>17553</v>
      </c>
      <c r="C8819" s="16" t="str">
        <f>IFERROR(__xludf.DUMMYFUNCTION(""""""""" &amp; REGEXEXTRACT(B8819, ""/detail/([^/?]+)"") &amp; """""","""),"""gaddempjlhhmknkhnhepmpfngekbjleg"",")</f>
        <v>"gaddempjlhhmknkhnhepmpfngekbjleg",</v>
      </c>
    </row>
    <row r="8820">
      <c r="A8820" s="4" t="s">
        <v>27999</v>
      </c>
      <c r="B8820" s="4" t="s">
        <v>17555</v>
      </c>
      <c r="C8820" s="16" t="str">
        <f>IFERROR(__xludf.DUMMYFUNCTION(""""""""" &amp; REGEXEXTRACT(B8820, ""/detail/([^/?]+)"") &amp; """""","""),"""kjipmmmmhgfalpbcpdegkooibbceaejg"",")</f>
        <v>"kjipmmmmhgfalpbcpdegkooibbceaejg",</v>
      </c>
    </row>
    <row r="8821">
      <c r="A8821" s="4" t="s">
        <v>28000</v>
      </c>
      <c r="B8821" s="4" t="s">
        <v>17557</v>
      </c>
      <c r="C8821" s="16" t="str">
        <f>IFERROR(__xludf.DUMMYFUNCTION(""""""""" &amp; REGEXEXTRACT(B8821, ""/detail/([^/?]+)"") &amp; """""","""),"""ljeoadpijoacanhinddngndcalkggkmf"",")</f>
        <v>"ljeoadpijoacanhinddngndcalkggkmf",</v>
      </c>
    </row>
    <row r="8822">
      <c r="A8822" s="4" t="s">
        <v>28001</v>
      </c>
      <c r="B8822" s="4" t="s">
        <v>17559</v>
      </c>
      <c r="C8822" s="16" t="str">
        <f>IFERROR(__xludf.DUMMYFUNCTION(""""""""" &amp; REGEXEXTRACT(B8822, ""/detail/([^/?]+)"") &amp; """""","""),"""mlmdmhbnfmhkpkkheagddlgpbncbinap"",")</f>
        <v>"mlmdmhbnfmhkpkkheagddlgpbncbinap",</v>
      </c>
    </row>
    <row r="8823">
      <c r="A8823" s="4" t="s">
        <v>28002</v>
      </c>
      <c r="B8823" s="4" t="s">
        <v>17561</v>
      </c>
      <c r="C8823" s="16" t="str">
        <f>IFERROR(__xludf.DUMMYFUNCTION(""""""""" &amp; REGEXEXTRACT(B8823, ""/detail/([^/?]+)"") &amp; """""","""),"""nckchkccbhcbbcheiegddadiipoekkah"",")</f>
        <v>"nckchkccbhcbbcheiegddadiipoekkah",</v>
      </c>
    </row>
    <row r="8824">
      <c r="A8824" s="4" t="s">
        <v>28003</v>
      </c>
      <c r="B8824" s="4" t="s">
        <v>17563</v>
      </c>
      <c r="C8824" s="16" t="str">
        <f>IFERROR(__xludf.DUMMYFUNCTION(""""""""" &amp; REGEXEXTRACT(B8824, ""/detail/([^/?]+)"") &amp; """""","""),"""ncpekhjjckjhhilnglgjcgpgapgiggbp"",")</f>
        <v>"ncpekhjjckjhhilnglgjcgpgapgiggbp",</v>
      </c>
    </row>
    <row r="8825">
      <c r="A8825" s="4" t="s">
        <v>28004</v>
      </c>
      <c r="B8825" s="4" t="s">
        <v>17565</v>
      </c>
      <c r="C8825" s="16" t="str">
        <f>IFERROR(__xludf.DUMMYFUNCTION(""""""""" &amp; REGEXEXTRACT(B8825, ""/detail/([^/?]+)"") &amp; """""","""),"""gncnccgkhldnjnmhlmgcghhgbckeobph"",")</f>
        <v>"gncnccgkhldnjnmhlmgcghhgbckeobph",</v>
      </c>
    </row>
    <row r="8826">
      <c r="A8826" s="4" t="s">
        <v>28005</v>
      </c>
      <c r="B8826" s="4" t="s">
        <v>17567</v>
      </c>
      <c r="C8826" s="16" t="str">
        <f>IFERROR(__xludf.DUMMYFUNCTION(""""""""" &amp; REGEXEXTRACT(B8826, ""/detail/([^/?]+)"") &amp; """""","""),"""iheckgdalcgijkcgcdfcpifpphodepnn"",")</f>
        <v>"iheckgdalcgijkcgcdfcpifpphodepnn",</v>
      </c>
    </row>
    <row r="8827">
      <c r="A8827" s="4" t="s">
        <v>28006</v>
      </c>
      <c r="B8827" s="4" t="s">
        <v>17569</v>
      </c>
      <c r="C8827" s="16" t="str">
        <f>IFERROR(__xludf.DUMMYFUNCTION(""""""""" &amp; REGEXEXTRACT(B8827, ""/detail/([^/?]+)"") &amp; """""","""),"""ccmdndlnhcdglijejfihecppioenfpmh"",")</f>
        <v>"ccmdndlnhcdglijejfihecppioenfpmh",</v>
      </c>
    </row>
    <row r="8828">
      <c r="A8828" s="4" t="s">
        <v>28007</v>
      </c>
      <c r="B8828" s="4" t="s">
        <v>17571</v>
      </c>
      <c r="C8828" s="16" t="str">
        <f>IFERROR(__xludf.DUMMYFUNCTION(""""""""" &amp; REGEXEXTRACT(B8828, ""/detail/([^/?]+)"") &amp; """""","""),"""fajipgpjjoingnglmfndnookaiebecop"",")</f>
        <v>"fajipgpjjoingnglmfndnookaiebecop",</v>
      </c>
    </row>
    <row r="8829">
      <c r="A8829" s="4" t="s">
        <v>28008</v>
      </c>
      <c r="B8829" s="4" t="s">
        <v>17573</v>
      </c>
      <c r="C8829" s="16" t="str">
        <f>IFERROR(__xludf.DUMMYFUNCTION(""""""""" &amp; REGEXEXTRACT(B8829, ""/detail/([^/?]+)"") &amp; """""","""),"""jmbpbefdpfhenpmkomolgmnhnpnbbchj"",")</f>
        <v>"jmbpbefdpfhenpmkomolgmnhnpnbbchj",</v>
      </c>
    </row>
    <row r="8830">
      <c r="A8830" s="4" t="s">
        <v>28009</v>
      </c>
      <c r="B8830" s="4" t="s">
        <v>17575</v>
      </c>
      <c r="C8830" s="16" t="str">
        <f>IFERROR(__xludf.DUMMYFUNCTION(""""""""" &amp; REGEXEXTRACT(B8830, ""/detail/([^/?]+)"") &amp; """""","""),"""kagabgbcemdhfgefjnnpfnhfpednebbk"",")</f>
        <v>"kagabgbcemdhfgefjnnpfnhfpednebbk",</v>
      </c>
    </row>
    <row r="8831">
      <c r="A8831" s="4" t="s">
        <v>28010</v>
      </c>
      <c r="B8831" s="4" t="s">
        <v>17577</v>
      </c>
      <c r="C8831" s="16" t="str">
        <f>IFERROR(__xludf.DUMMYFUNCTION(""""""""" &amp; REGEXEXTRACT(B8831, ""/detail/([^/?]+)"") &amp; """""","""),"""komfkgoihfgcnnklcajfojdjjcfigdom"",")</f>
        <v>"komfkgoihfgcnnklcajfojdjjcfigdom",</v>
      </c>
    </row>
    <row r="8832">
      <c r="A8832" s="4" t="s">
        <v>28011</v>
      </c>
      <c r="B8832" s="4" t="s">
        <v>17579</v>
      </c>
      <c r="C8832" s="16" t="str">
        <f>IFERROR(__xludf.DUMMYFUNCTION(""""""""" &amp; REGEXEXTRACT(B8832, ""/detail/([^/?]+)"") &amp; """""","""),"""mahdbdckklbgglbaoniollkkcacmmdea"",")</f>
        <v>"mahdbdckklbgglbaoniollkkcacmmdea",</v>
      </c>
    </row>
    <row r="8833">
      <c r="A8833" s="4" t="s">
        <v>28012</v>
      </c>
      <c r="B8833" s="4" t="s">
        <v>17581</v>
      </c>
      <c r="C8833" s="16" t="str">
        <f>IFERROR(__xludf.DUMMYFUNCTION(""""""""" &amp; REGEXEXTRACT(B8833, ""/detail/([^/?]+)"") &amp; """""","""),"""mipgaapolfgfbonecakhhacpmafffogo"",")</f>
        <v>"mipgaapolfgfbonecakhhacpmafffogo",</v>
      </c>
    </row>
    <row r="8834">
      <c r="A8834" s="4" t="s">
        <v>28013</v>
      </c>
      <c r="B8834" s="4" t="s">
        <v>17583</v>
      </c>
      <c r="C8834" s="16" t="str">
        <f>IFERROR(__xludf.DUMMYFUNCTION(""""""""" &amp; REGEXEXTRACT(B8834, ""/detail/([^/?]+)"") &amp; """""","""),"""plpdigadhhbhmljndnmeipfjfohhcjad"",")</f>
        <v>"plpdigadhhbhmljndnmeipfjfohhcjad",</v>
      </c>
    </row>
    <row r="8835">
      <c r="A8835" s="4" t="s">
        <v>28014</v>
      </c>
      <c r="B8835" s="4" t="s">
        <v>17585</v>
      </c>
      <c r="C8835" s="16" t="str">
        <f>IFERROR(__xludf.DUMMYFUNCTION(""""""""" &amp; REGEXEXTRACT(B8835, ""/detail/([^/?]+)"") &amp; """""","""),"""gpghflbiabfangjnelpihcokfmanppgi"",")</f>
        <v>"gpghflbiabfangjnelpihcokfmanppgi",</v>
      </c>
    </row>
    <row r="8836">
      <c r="A8836" s="4" t="s">
        <v>28015</v>
      </c>
      <c r="B8836" s="4" t="s">
        <v>17587</v>
      </c>
      <c r="C8836" s="16" t="str">
        <f>IFERROR(__xludf.DUMMYFUNCTION(""""""""" &amp; REGEXEXTRACT(B8836, ""/detail/([^/?]+)"") &amp; """""","""),"""kcacjknamjmflfkgibhnidhhddiaidao"",")</f>
        <v>"kcacjknamjmflfkgibhnidhhddiaidao",</v>
      </c>
    </row>
    <row r="8837">
      <c r="A8837" s="4" t="s">
        <v>28016</v>
      </c>
      <c r="B8837" s="4" t="s">
        <v>17589</v>
      </c>
      <c r="C8837" s="16" t="str">
        <f>IFERROR(__xludf.DUMMYFUNCTION(""""""""" &amp; REGEXEXTRACT(B8837, ""/detail/([^/?]+)"") &amp; """""","""),"""acceemkibcpgddpfjefmgjiaccmcdpdb"",")</f>
        <v>"acceemkibcpgddpfjefmgjiaccmcdpdb",</v>
      </c>
    </row>
    <row r="8838">
      <c r="A8838" s="4" t="s">
        <v>28017</v>
      </c>
      <c r="B8838" s="4" t="s">
        <v>17591</v>
      </c>
      <c r="C8838" s="16" t="str">
        <f>IFERROR(__xludf.DUMMYFUNCTION(""""""""" &amp; REGEXEXTRACT(B8838, ""/detail/([^/?]+)"") &amp; """""","""),"""bjooleocnlcahbnfieoojeijeddfdnfe"",")</f>
        <v>"bjooleocnlcahbnfieoojeijeddfdnfe",</v>
      </c>
    </row>
    <row r="8839">
      <c r="A8839" s="4" t="s">
        <v>28018</v>
      </c>
      <c r="B8839" s="4" t="s">
        <v>17593</v>
      </c>
      <c r="C8839" s="16" t="str">
        <f>IFERROR(__xludf.DUMMYFUNCTION(""""""""" &amp; REGEXEXTRACT(B8839, ""/detail/([^/?]+)"") &amp; """""","""),"""cppldildcdnknnlhamcokaigkpaopdbe"",")</f>
        <v>"cppldildcdnknnlhamcokaigkpaopdbe",</v>
      </c>
    </row>
    <row r="8840">
      <c r="A8840" s="4" t="s">
        <v>28019</v>
      </c>
      <c r="B8840" s="4" t="s">
        <v>17595</v>
      </c>
      <c r="C8840" s="16" t="str">
        <f>IFERROR(__xludf.DUMMYFUNCTION(""""""""" &amp; REGEXEXTRACT(B8840, ""/detail/([^/?]+)"") &amp; """""","""),"""hcjcddodebcglcolmmcnnpcbhbbgchpk"",")</f>
        <v>"hcjcddodebcglcolmmcnnpcbhbbgchpk",</v>
      </c>
    </row>
    <row r="8841">
      <c r="A8841" s="4" t="s">
        <v>28020</v>
      </c>
      <c r="B8841" s="4" t="s">
        <v>17597</v>
      </c>
      <c r="C8841" s="16" t="str">
        <f>IFERROR(__xludf.DUMMYFUNCTION(""""""""" &amp; REGEXEXTRACT(B8841, ""/detail/([^/?]+)"") &amp; """""","""),"""incoejagnokjhlkjkgpbdbooagggckdg"",")</f>
        <v>"incoejagnokjhlkjkgpbdbooagggckdg",</v>
      </c>
    </row>
    <row r="8842">
      <c r="A8842" s="4" t="s">
        <v>28021</v>
      </c>
      <c r="B8842" s="4" t="s">
        <v>17599</v>
      </c>
      <c r="C8842" s="16" t="str">
        <f>IFERROR(__xludf.DUMMYFUNCTION(""""""""" &amp; REGEXEXTRACT(B8842, ""/detail/([^/?]+)"") &amp; """""","""),"""jobcfphcbjegddipbcennpjnofgpkjfe"",")</f>
        <v>"jobcfphcbjegddipbcennpjnofgpkjfe",</v>
      </c>
    </row>
    <row r="8843">
      <c r="A8843" s="4" t="s">
        <v>28022</v>
      </c>
      <c r="B8843" s="4" t="s">
        <v>17601</v>
      </c>
      <c r="C8843" s="16" t="str">
        <f>IFERROR(__xludf.DUMMYFUNCTION(""""""""" &amp; REGEXEXTRACT(B8843, ""/detail/([^/?]+)"") &amp; """""","""),"""ldjhogknogpdklogdocbicnlpljekejl"",")</f>
        <v>"ldjhogknogpdklogdocbicnlpljekejl",</v>
      </c>
    </row>
    <row r="8844">
      <c r="A8844" s="4" t="s">
        <v>28023</v>
      </c>
      <c r="B8844" s="4" t="s">
        <v>17603</v>
      </c>
      <c r="C8844" s="16" t="str">
        <f>IFERROR(__xludf.DUMMYFUNCTION(""""""""" &amp; REGEXEXTRACT(B8844, ""/detail/([^/?]+)"") &amp; """""","""),"""llkmokplhmmidnailmlnfcoilkhmkiki"",")</f>
        <v>"llkmokplhmmidnailmlnfcoilkhmkiki",</v>
      </c>
    </row>
    <row r="8845">
      <c r="A8845" s="4" t="s">
        <v>28024</v>
      </c>
      <c r="B8845" s="4" t="s">
        <v>17605</v>
      </c>
      <c r="C8845" s="16" t="str">
        <f>IFERROR(__xludf.DUMMYFUNCTION(""""""""" &amp; REGEXEXTRACT(B8845, ""/detail/([^/?]+)"") &amp; """""","""),"""mchdhakjpgbgfcecgihfggmdmlclkgib"",")</f>
        <v>"mchdhakjpgbgfcecgihfggmdmlclkgib",</v>
      </c>
    </row>
    <row r="8846">
      <c r="A8846" s="4" t="s">
        <v>28025</v>
      </c>
      <c r="B8846" s="4" t="s">
        <v>17607</v>
      </c>
      <c r="C8846" s="16" t="str">
        <f>IFERROR(__xludf.DUMMYFUNCTION(""""""""" &amp; REGEXEXTRACT(B8846, ""/detail/([^/?]+)"") &amp; """""","""),"""oilpcbohncpdjdadofhbldfmojneciop"",")</f>
        <v>"oilpcbohncpdjdadofhbldfmojneciop",</v>
      </c>
    </row>
    <row r="8847">
      <c r="A8847" s="4" t="s">
        <v>28026</v>
      </c>
      <c r="B8847" s="4" t="s">
        <v>17609</v>
      </c>
      <c r="C8847" s="16" t="str">
        <f>IFERROR(__xludf.DUMMYFUNCTION(""""""""" &amp; REGEXEXTRACT(B8847, ""/detail/([^/?]+)"") &amp; """""","""),"""oonojkdagfgjmempbfipokgjjigkoocj"",")</f>
        <v>"oonojkdagfgjmempbfipokgjjigkoocj",</v>
      </c>
    </row>
    <row r="8848">
      <c r="A8848" s="4" t="s">
        <v>28027</v>
      </c>
      <c r="B8848" s="4" t="s">
        <v>17611</v>
      </c>
      <c r="C8848" s="16" t="str">
        <f>IFERROR(__xludf.DUMMYFUNCTION(""""""""" &amp; REGEXEXTRACT(B8848, ""/detail/([^/?]+)"") &amp; """""","""),"""djjcljbdcefigahiaaoinifennidmapi"",")</f>
        <v>"djjcljbdcefigahiaaoinifennidmapi",</v>
      </c>
    </row>
    <row r="8849">
      <c r="A8849" s="4" t="s">
        <v>28028</v>
      </c>
      <c r="B8849" s="4" t="s">
        <v>17613</v>
      </c>
      <c r="C8849" s="16" t="str">
        <f>IFERROR(__xludf.DUMMYFUNCTION(""""""""" &amp; REGEXEXTRACT(B8849, ""/detail/([^/?]+)"") &amp; """""","""),"""gldgceachgdhbcdjanalgkkibnjohapa"",")</f>
        <v>"gldgceachgdhbcdjanalgkkibnjohapa",</v>
      </c>
    </row>
    <row r="8850">
      <c r="A8850" s="4" t="s">
        <v>28029</v>
      </c>
      <c r="B8850" s="4" t="s">
        <v>17615</v>
      </c>
      <c r="C8850" s="16" t="str">
        <f>IFERROR(__xludf.DUMMYFUNCTION(""""""""" &amp; REGEXEXTRACT(B8850, ""/detail/([^/?]+)"") &amp; """""","""),"""kmnlfjgamfnhcmpfnmgpiapacncdipad"",")</f>
        <v>"kmnlfjgamfnhcmpfnmgpiapacncdipad",</v>
      </c>
    </row>
    <row r="8851">
      <c r="A8851" s="4" t="s">
        <v>28030</v>
      </c>
      <c r="B8851" s="4" t="s">
        <v>17617</v>
      </c>
      <c r="C8851" s="16" t="str">
        <f>IFERROR(__xludf.DUMMYFUNCTION(""""""""" &amp; REGEXEXTRACT(B8851, ""/detail/([^/?]+)"") &amp; """""","""),"""lbhcpjpfnaflkbnabhnpppjokidnpbih"",")</f>
        <v>"lbhcpjpfnaflkbnabhnpppjokidnpbih",</v>
      </c>
    </row>
    <row r="8852">
      <c r="A8852" s="4" t="s">
        <v>28031</v>
      </c>
      <c r="B8852" s="4" t="s">
        <v>17619</v>
      </c>
      <c r="C8852" s="16" t="str">
        <f>IFERROR(__xludf.DUMMYFUNCTION(""""""""" &amp; REGEXEXTRACT(B8852, ""/detail/([^/?]+)"") &amp; """""","""),"""mdkoanlgchgnkbfjcecafkadgneapali"",")</f>
        <v>"mdkoanlgchgnkbfjcecafkadgneapali",</v>
      </c>
    </row>
    <row r="8853">
      <c r="A8853" s="4" t="s">
        <v>28032</v>
      </c>
      <c r="B8853" s="4" t="s">
        <v>17621</v>
      </c>
      <c r="C8853" s="16" t="str">
        <f>IFERROR(__xludf.DUMMYFUNCTION(""""""""" &amp; REGEXEXTRACT(B8853, ""/detail/([^/?]+)"") &amp; """""","""),"""mlcfcepfmnjphcdkfbfgokkjodlkmemo"",")</f>
        <v>"mlcfcepfmnjphcdkfbfgokkjodlkmemo",</v>
      </c>
    </row>
    <row r="8854">
      <c r="A8854" s="4" t="s">
        <v>28033</v>
      </c>
      <c r="B8854" s="4" t="s">
        <v>17623</v>
      </c>
      <c r="C8854" s="16" t="str">
        <f>IFERROR(__xludf.DUMMYFUNCTION(""""""""" &amp; REGEXEXTRACT(B8854, ""/detail/([^/?]+)"") &amp; """""","""),"""pppjpgngihocgpbiofdhconpbfinimnn"",")</f>
        <v>"pppjpgngihocgpbiofdhconpbfinimnn",</v>
      </c>
    </row>
    <row r="8855">
      <c r="A8855" s="4" t="s">
        <v>28034</v>
      </c>
      <c r="B8855" s="4" t="s">
        <v>17625</v>
      </c>
      <c r="C8855" s="16" t="str">
        <f>IFERROR(__xludf.DUMMYFUNCTION(""""""""" &amp; REGEXEXTRACT(B8855, ""/detail/([^/?]+)"") &amp; """""","""),"""bdabfmaodlcecidafckneiiaodjakoho"",")</f>
        <v>"bdabfmaodlcecidafckneiiaodjakoho",</v>
      </c>
    </row>
    <row r="8856">
      <c r="A8856" s="4" t="s">
        <v>28035</v>
      </c>
      <c r="B8856" s="4" t="s">
        <v>17627</v>
      </c>
      <c r="C8856" s="16" t="str">
        <f>IFERROR(__xludf.DUMMYFUNCTION(""""""""" &amp; REGEXEXTRACT(B8856, ""/detail/([^/?]+)"") &amp; """""","""),"""fbnblgfdjledfgkfbbcddejlopemmhcn"",")</f>
        <v>"fbnblgfdjledfgkfbbcddejlopemmhcn",</v>
      </c>
    </row>
    <row r="8857">
      <c r="A8857" s="4" t="s">
        <v>28036</v>
      </c>
      <c r="B8857" s="4" t="s">
        <v>17629</v>
      </c>
      <c r="C8857" s="16" t="str">
        <f>IFERROR(__xludf.DUMMYFUNCTION(""""""""" &amp; REGEXEXTRACT(B8857, ""/detail/([^/?]+)"") &amp; """""","""),"""odppiocdkdolfcmkjkdjaogdbkahcfck"",")</f>
        <v>"odppiocdkdolfcmkjkdjaogdbkahcfck",</v>
      </c>
    </row>
    <row r="8858">
      <c r="A8858" s="4" t="s">
        <v>28037</v>
      </c>
      <c r="B8858" s="4" t="s">
        <v>17631</v>
      </c>
      <c r="C8858" s="16" t="str">
        <f>IFERROR(__xludf.DUMMYFUNCTION(""""""""" &amp; REGEXEXTRACT(B8858, ""/detail/([^/?]+)"") &amp; """""","""),"""ojekneoedmekheoagiblbpdanchcoaoo"",")</f>
        <v>"ojekneoedmekheoagiblbpdanchcoaoo",</v>
      </c>
    </row>
    <row r="8859">
      <c r="A8859" s="4" t="s">
        <v>28038</v>
      </c>
      <c r="B8859" s="4" t="s">
        <v>17632</v>
      </c>
      <c r="C8859" s="16" t="str">
        <f>IFERROR(__xludf.DUMMYFUNCTION(""""""""" &amp; REGEXEXTRACT(B8859, ""/detail/([^/?]+)"") &amp; """""","""),"""acidanpljleklgoiogphejmiiiakhnel"",")</f>
        <v>"acidanpljleklgoiogphejmiiiakhnel",</v>
      </c>
    </row>
    <row r="8860">
      <c r="A8860" s="4" t="s">
        <v>28039</v>
      </c>
      <c r="B8860" s="4" t="s">
        <v>17634</v>
      </c>
      <c r="C8860" s="16" t="str">
        <f>IFERROR(__xludf.DUMMYFUNCTION(""""""""" &amp; REGEXEXTRACT(B8860, ""/detail/([^/?]+)"") &amp; """""","""),"""ahdbpipoojeoedkjhjmfflbgnlhpheoa"",")</f>
        <v>"ahdbpipoojeoedkjhjmfflbgnlhpheoa",</v>
      </c>
    </row>
    <row r="8861">
      <c r="A8861" s="4" t="s">
        <v>28040</v>
      </c>
      <c r="B8861" s="4" t="s">
        <v>17636</v>
      </c>
      <c r="C8861" s="16" t="str">
        <f>IFERROR(__xludf.DUMMYFUNCTION(""""""""" &amp; REGEXEXTRACT(B8861, ""/detail/([^/?]+)"") &amp; """""","""),"""bndclkkabaajpgnfimggpjkjbocchjco"",")</f>
        <v>"bndclkkabaajpgnfimggpjkjbocchjco",</v>
      </c>
    </row>
    <row r="8862">
      <c r="A8862" s="4" t="s">
        <v>28041</v>
      </c>
      <c r="B8862" s="4" t="s">
        <v>17638</v>
      </c>
      <c r="C8862" s="16" t="str">
        <f>IFERROR(__xludf.DUMMYFUNCTION(""""""""" &amp; REGEXEXTRACT(B8862, ""/detail/([^/?]+)"") &amp; """""","""),"""ffapagmeaendpngophdffbjjcobilago"",")</f>
        <v>"ffapagmeaendpngophdffbjjcobilago",</v>
      </c>
    </row>
    <row r="8863">
      <c r="A8863" s="4" t="s">
        <v>28042</v>
      </c>
      <c r="B8863" s="4" t="s">
        <v>17640</v>
      </c>
      <c r="C8863" s="16" t="str">
        <f>IFERROR(__xludf.DUMMYFUNCTION(""""""""" &amp; REGEXEXTRACT(B8863, ""/detail/([^/?]+)"") &amp; """""","""),"""ghkkenepdhmbnphekgoccdbmgknkljeb"",")</f>
        <v>"ghkkenepdhmbnphekgoccdbmgknkljeb",</v>
      </c>
    </row>
    <row r="8864">
      <c r="A8864" s="4" t="s">
        <v>28043</v>
      </c>
      <c r="B8864" s="4" t="s">
        <v>17642</v>
      </c>
      <c r="C8864" s="16" t="str">
        <f>IFERROR(__xludf.DUMMYFUNCTION(""""""""" &amp; REGEXEXTRACT(B8864, ""/detail/([^/?]+)"") &amp; """""","""),"""iiejoaicifeelebkogojhminengkecao"",")</f>
        <v>"iiejoaicifeelebkogojhminengkecao",</v>
      </c>
    </row>
    <row r="8865">
      <c r="A8865" s="4" t="s">
        <v>28044</v>
      </c>
      <c r="B8865" s="4" t="s">
        <v>17644</v>
      </c>
      <c r="C8865" s="16" t="str">
        <f>IFERROR(__xludf.DUMMYFUNCTION(""""""""" &amp; REGEXEXTRACT(B8865, ""/detail/([^/?]+)"") &amp; """""","""),"""iinbdidfpllkdmibmbhfgkdooollcfep"",")</f>
        <v>"iinbdidfpllkdmibmbhfgkdooollcfep",</v>
      </c>
    </row>
    <row r="8866">
      <c r="A8866" s="4" t="s">
        <v>28045</v>
      </c>
      <c r="B8866" s="4" t="s">
        <v>17646</v>
      </c>
      <c r="C8866" s="16" t="str">
        <f>IFERROR(__xludf.DUMMYFUNCTION(""""""""" &amp; REGEXEXTRACT(B8866, ""/detail/([^/?]+)"") &amp; """""","""),"""ljcfldklachdgiohiobmmcfaogcdohlj"",")</f>
        <v>"ljcfldklachdgiohiobmmcfaogcdohlj",</v>
      </c>
    </row>
    <row r="8867">
      <c r="A8867" s="4" t="s">
        <v>28046</v>
      </c>
      <c r="B8867" s="4" t="s">
        <v>17648</v>
      </c>
      <c r="C8867" s="16" t="str">
        <f>IFERROR(__xludf.DUMMYFUNCTION(""""""""" &amp; REGEXEXTRACT(B8867, ""/detail/([^/?]+)"") &amp; """""","""),"""mapcabglfimcakpljgnfikciblinngha"",")</f>
        <v>"mapcabglfimcakpljgnfikciblinngha",</v>
      </c>
    </row>
    <row r="8868">
      <c r="A8868" s="4" t="s">
        <v>28047</v>
      </c>
      <c r="B8868" s="4" t="s">
        <v>17650</v>
      </c>
      <c r="C8868" s="16" t="str">
        <f>IFERROR(__xludf.DUMMYFUNCTION(""""""""" &amp; REGEXEXTRACT(B8868, ""/detail/([^/?]+)"") &amp; """""","""),"""mgahkababiglakgnlbhcalcfagfmbiij"",")</f>
        <v>"mgahkababiglakgnlbhcalcfagfmbiij",</v>
      </c>
    </row>
    <row r="8869">
      <c r="A8869" s="4" t="s">
        <v>28048</v>
      </c>
      <c r="B8869" s="4" t="s">
        <v>17652</v>
      </c>
      <c r="C8869" s="16" t="str">
        <f>IFERROR(__xludf.DUMMYFUNCTION(""""""""" &amp; REGEXEXTRACT(B8869, ""/detail/([^/?]+)"") &amp; """""","""),"""ojpmgjhofceebfifeajnjojpokebkkji"",")</f>
        <v>"ojpmgjhofceebfifeajnjojpokebkkji",</v>
      </c>
    </row>
    <row r="8870">
      <c r="A8870" s="4" t="s">
        <v>28049</v>
      </c>
      <c r="B8870" s="4" t="s">
        <v>17654</v>
      </c>
      <c r="C8870" s="16" t="str">
        <f>IFERROR(__xludf.DUMMYFUNCTION(""""""""" &amp; REGEXEXTRACT(B8870, ""/detail/([^/?]+)"") &amp; """""","""),"""pljgdilmpnfcjmfmnfdlpjodmhiglmlb"",")</f>
        <v>"pljgdilmpnfcjmfmnfdlpjodmhiglmlb",</v>
      </c>
    </row>
    <row r="8871">
      <c r="A8871" s="4" t="s">
        <v>28050</v>
      </c>
      <c r="B8871" s="4" t="s">
        <v>17656</v>
      </c>
      <c r="C8871" s="16" t="str">
        <f>IFERROR(__xludf.DUMMYFUNCTION(""""""""" &amp; REGEXEXTRACT(B8871, ""/detail/([^/?]+)"") &amp; """""","""),"""dleebjeddgmiegbcpkfpcmamfiblbijm"",")</f>
        <v>"dleebjeddgmiegbcpkfpcmamfiblbijm",</v>
      </c>
    </row>
    <row r="8872">
      <c r="A8872" s="4" t="s">
        <v>28051</v>
      </c>
      <c r="B8872" s="4" t="s">
        <v>17658</v>
      </c>
      <c r="C8872" s="16" t="str">
        <f>IFERROR(__xludf.DUMMYFUNCTION(""""""""" &amp; REGEXEXTRACT(B8872, ""/detail/([^/?]+)"") &amp; """""","""),"""pbjaladifincbflhpknphchnapmemgnm"",")</f>
        <v>"pbjaladifincbflhpknphchnapmemgnm",</v>
      </c>
    </row>
    <row r="8873">
      <c r="A8873" s="4" t="s">
        <v>28052</v>
      </c>
      <c r="B8873" s="4" t="s">
        <v>17660</v>
      </c>
      <c r="C8873" s="16" t="str">
        <f>IFERROR(__xludf.DUMMYFUNCTION(""""""""" &amp; REGEXEXTRACT(B8873, ""/detail/([^/?]+)"") &amp; """""","""),"""adbhljgcighanpkeebnecodhpnidhgfg"",")</f>
        <v>"adbhljgcighanpkeebnecodhpnidhgfg",</v>
      </c>
    </row>
    <row r="8874">
      <c r="A8874" s="4" t="s">
        <v>28053</v>
      </c>
      <c r="B8874" s="4" t="s">
        <v>17662</v>
      </c>
      <c r="C8874" s="16" t="str">
        <f>IFERROR(__xludf.DUMMYFUNCTION(""""""""" &amp; REGEXEXTRACT(B8874, ""/detail/([^/?]+)"") &amp; """""","""),"""hihimkdiejoifppkbeflopmfkgnbdiec"",")</f>
        <v>"hihimkdiejoifppkbeflopmfkgnbdiec",</v>
      </c>
    </row>
    <row r="8875">
      <c r="A8875" s="4" t="s">
        <v>28054</v>
      </c>
      <c r="B8875" s="4" t="s">
        <v>17664</v>
      </c>
      <c r="C8875" s="16" t="str">
        <f>IFERROR(__xludf.DUMMYFUNCTION(""""""""" &amp; REGEXEXTRACT(B8875, ""/detail/([^/?]+)"") &amp; """""","""),"""ijlbjmbbhgpceiplhgfngkplbbpfpdge"",")</f>
        <v>"ijlbjmbbhgpceiplhgfngkplbbpfpdge",</v>
      </c>
    </row>
    <row r="8876">
      <c r="A8876" s="4" t="s">
        <v>28055</v>
      </c>
      <c r="B8876" s="4" t="s">
        <v>17665</v>
      </c>
      <c r="C8876" s="16" t="str">
        <f>IFERROR(__xludf.DUMMYFUNCTION(""""""""" &amp; REGEXEXTRACT(B8876, ""/detail/([^/?]+)"") &amp; """""","""),"""oihjnlgmlpagpafdmegndjahnbkhcfge"",")</f>
        <v>"oihjnlgmlpagpafdmegndjahnbkhcfge",</v>
      </c>
    </row>
    <row r="8877">
      <c r="A8877" s="4" t="s">
        <v>28056</v>
      </c>
      <c r="B8877" s="4" t="s">
        <v>17667</v>
      </c>
      <c r="C8877" s="16" t="str">
        <f>IFERROR(__xludf.DUMMYFUNCTION(""""""""" &amp; REGEXEXTRACT(B8877, ""/detail/([^/?]+)"") &amp; """""","""),"""phlcknmppnmpgnjhjncggkidgkbilndd"",")</f>
        <v>"phlcknmppnmpgnjhjncggkidgkbilndd",</v>
      </c>
    </row>
    <row r="8878">
      <c r="A8878" s="4" t="s">
        <v>28057</v>
      </c>
      <c r="B8878" s="4" t="s">
        <v>17669</v>
      </c>
      <c r="C8878" s="16" t="str">
        <f>IFERROR(__xludf.DUMMYFUNCTION(""""""""" &amp; REGEXEXTRACT(B8878, ""/detail/([^/?]+)"") &amp; """""","""),"""plbdiohbpbliejbjhdndgcimcepgjnpm"",")</f>
        <v>"plbdiohbpbliejbjhdndgcimcepgjnpm",</v>
      </c>
    </row>
    <row r="8879">
      <c r="A8879" s="4" t="s">
        <v>28058</v>
      </c>
      <c r="B8879" s="4" t="s">
        <v>17671</v>
      </c>
      <c r="C8879" s="16" t="str">
        <f>IFERROR(__xludf.DUMMYFUNCTION(""""""""" &amp; REGEXEXTRACT(B8879, ""/detail/([^/?]+)"") &amp; """""","""),"""plfomeoohioccimoghmbgpnihfbeekak"",")</f>
        <v>"plfomeoohioccimoghmbgpnihfbeekak",</v>
      </c>
    </row>
    <row r="8880">
      <c r="A8880" s="4" t="s">
        <v>28059</v>
      </c>
      <c r="B8880" s="4" t="s">
        <v>17673</v>
      </c>
      <c r="C8880" s="16" t="str">
        <f>IFERROR(__xludf.DUMMYFUNCTION(""""""""" &amp; REGEXEXTRACT(B8880, ""/detail/([^/?]+)"") &amp; """""","""),"""poilkhacfacheblaajlfkdclgbpjolmd"",")</f>
        <v>"poilkhacfacheblaajlfkdclgbpjolmd",</v>
      </c>
    </row>
    <row r="8881">
      <c r="A8881" s="4" t="s">
        <v>28060</v>
      </c>
      <c r="B8881" s="4" t="s">
        <v>17675</v>
      </c>
      <c r="C8881" s="16" t="str">
        <f>IFERROR(__xludf.DUMMYFUNCTION(""""""""" &amp; REGEXEXTRACT(B8881, ""/detail/([^/?]+)"") &amp; """""","""),"""akmeopjagninifebigecedjdmmbfmibn"",")</f>
        <v>"akmeopjagninifebigecedjdmmbfmibn",</v>
      </c>
    </row>
    <row r="8882">
      <c r="A8882" s="4" t="s">
        <v>28061</v>
      </c>
      <c r="B8882" s="4" t="s">
        <v>17677</v>
      </c>
      <c r="C8882" s="16" t="str">
        <f>IFERROR(__xludf.DUMMYFUNCTION(""""""""" &amp; REGEXEXTRACT(B8882, ""/detail/([^/?]+)"") &amp; """""","""),"""bdinnahhocpbhaolpffbceckdfiafffn"",")</f>
        <v>"bdinnahhocpbhaolpffbceckdfiafffn",</v>
      </c>
    </row>
    <row r="8883">
      <c r="A8883" s="4" t="s">
        <v>28062</v>
      </c>
      <c r="B8883" s="4" t="s">
        <v>17679</v>
      </c>
      <c r="C8883" s="16" t="str">
        <f>IFERROR(__xludf.DUMMYFUNCTION(""""""""" &amp; REGEXEXTRACT(B8883, ""/detail/([^/?]+)"") &amp; """""","""),"""bieeiojdjdkkacfckmaamnbinloppgjf"",")</f>
        <v>"bieeiojdjdkkacfckmaamnbinloppgjf",</v>
      </c>
    </row>
    <row r="8884">
      <c r="A8884" s="4" t="s">
        <v>28063</v>
      </c>
      <c r="B8884" s="4" t="s">
        <v>17681</v>
      </c>
      <c r="C8884" s="16" t="str">
        <f>IFERROR(__xludf.DUMMYFUNCTION(""""""""" &amp; REGEXEXTRACT(B8884, ""/detail/([^/?]+)"") &amp; """""","""),"""icifceekaomdahfoiipifbhbkgbnmicj"",")</f>
        <v>"icifceekaomdahfoiipifbhbkgbnmicj",</v>
      </c>
    </row>
    <row r="8885">
      <c r="A8885" s="4" t="s">
        <v>28064</v>
      </c>
      <c r="B8885" s="4" t="s">
        <v>17683</v>
      </c>
      <c r="C8885" s="16" t="str">
        <f>IFERROR(__xludf.DUMMYFUNCTION(""""""""" &amp; REGEXEXTRACT(B8885, ""/detail/([^/?]+)"") &amp; """""","""),"""jopifgpfoeeeodfdpbmibkidoldcpeco"",")</f>
        <v>"jopifgpfoeeeodfdpbmibkidoldcpeco",</v>
      </c>
    </row>
    <row r="8886">
      <c r="A8886" s="4" t="s">
        <v>28065</v>
      </c>
      <c r="B8886" s="4" t="s">
        <v>17685</v>
      </c>
      <c r="C8886" s="16" t="str">
        <f>IFERROR(__xludf.DUMMYFUNCTION(""""""""" &amp; REGEXEXTRACT(B8886, ""/detail/([^/?]+)"") &amp; """""","""),"""kibbhpioncdhmamhflnnmfonadknnoan"",")</f>
        <v>"kibbhpioncdhmamhflnnmfonadknnoan",</v>
      </c>
    </row>
    <row r="8887">
      <c r="A8887" s="4" t="s">
        <v>28066</v>
      </c>
      <c r="B8887" s="4" t="s">
        <v>17687</v>
      </c>
      <c r="C8887" s="16" t="str">
        <f>IFERROR(__xludf.DUMMYFUNCTION(""""""""" &amp; REGEXEXTRACT(B8887, ""/detail/([^/?]+)"") &amp; """""","""),"""kpnomjccnbnihhpembhgccdlcofhjibb"",")</f>
        <v>"kpnomjccnbnihhpembhgccdlcofhjibb",</v>
      </c>
    </row>
    <row r="8888">
      <c r="A8888" s="4" t="s">
        <v>28067</v>
      </c>
      <c r="B8888" s="4" t="s">
        <v>17689</v>
      </c>
      <c r="C8888" s="16" t="str">
        <f>IFERROR(__xludf.DUMMYFUNCTION(""""""""" &amp; REGEXEXTRACT(B8888, ""/detail/([^/?]+)"") &amp; """""","""),"""lohmkcogbijdfgphbioenppfnjfdjebp"",")</f>
        <v>"lohmkcogbijdfgphbioenppfnjfdjebp",</v>
      </c>
    </row>
    <row r="8889">
      <c r="A8889" s="4" t="s">
        <v>28068</v>
      </c>
      <c r="B8889" s="4" t="s">
        <v>17691</v>
      </c>
      <c r="C8889" s="16" t="str">
        <f>IFERROR(__xludf.DUMMYFUNCTION(""""""""" &amp; REGEXEXTRACT(B8889, ""/detail/([^/?]+)"") &amp; """""","""),"""npmecoflnofnegeagppimmobngmfdhhl"",")</f>
        <v>"npmecoflnofnegeagppimmobngmfdhhl",</v>
      </c>
    </row>
    <row r="8890">
      <c r="A8890" s="4" t="s">
        <v>28069</v>
      </c>
      <c r="B8890" s="4" t="s">
        <v>17693</v>
      </c>
      <c r="C8890" s="16" t="str">
        <f>IFERROR(__xludf.DUMMYFUNCTION(""""""""" &amp; REGEXEXTRACT(B8890, ""/detail/([^/?]+)"") &amp; """""","""),"""pneldbfhblmldbhmkolclpkijgnjcmng"",")</f>
        <v>"pneldbfhblmldbhmkolclpkijgnjcmng",</v>
      </c>
    </row>
    <row r="8891">
      <c r="A8891" s="4" t="s">
        <v>28070</v>
      </c>
      <c r="B8891" s="4" t="s">
        <v>17695</v>
      </c>
      <c r="C8891" s="16" t="str">
        <f>IFERROR(__xludf.DUMMYFUNCTION(""""""""" &amp; REGEXEXTRACT(B8891, ""/detail/([^/?]+)"") &amp; """""","""),"""cfjoidodkheihhbijaddfhglagcdhchp"",")</f>
        <v>"cfjoidodkheihhbijaddfhglagcdhchp",</v>
      </c>
    </row>
    <row r="8892">
      <c r="A8892" s="4" t="s">
        <v>28071</v>
      </c>
      <c r="B8892" s="4" t="s">
        <v>17697</v>
      </c>
      <c r="C8892" s="16" t="str">
        <f>IFERROR(__xludf.DUMMYFUNCTION(""""""""" &amp; REGEXEXTRACT(B8892, ""/detail/([^/?]+)"") &amp; """""","""),"""cjpnlmdbmlefonmfkobjpfpmpbaijldn"",")</f>
        <v>"cjpnlmdbmlefonmfkobjpfpmpbaijldn",</v>
      </c>
    </row>
    <row r="8893">
      <c r="A8893" s="4" t="s">
        <v>28072</v>
      </c>
      <c r="B8893" s="4" t="s">
        <v>17699</v>
      </c>
      <c r="C8893" s="16" t="str">
        <f>IFERROR(__xludf.DUMMYFUNCTION(""""""""" &amp; REGEXEXTRACT(B8893, ""/detail/([^/?]+)"") &amp; """""","""),"""dobommehlbkjcjnbmhnnbcphncncjpid"",")</f>
        <v>"dobommehlbkjcjnbmhnnbcphncncjpid",</v>
      </c>
    </row>
    <row r="8894">
      <c r="A8894" s="4" t="s">
        <v>28073</v>
      </c>
      <c r="B8894" s="4" t="s">
        <v>17701</v>
      </c>
      <c r="C8894" s="16" t="str">
        <f>IFERROR(__xludf.DUMMYFUNCTION(""""""""" &amp; REGEXEXTRACT(B8894, ""/detail/([^/?]+)"") &amp; """""","""),"""jfcmmaflpnmfpdpfpbklhkhdgimkiogh"",")</f>
        <v>"jfcmmaflpnmfpdpfpbklhkhdgimkiogh",</v>
      </c>
    </row>
    <row r="8895">
      <c r="A8895" s="4" t="s">
        <v>28074</v>
      </c>
      <c r="B8895" s="4" t="s">
        <v>17703</v>
      </c>
      <c r="C8895" s="16" t="str">
        <f>IFERROR(__xludf.DUMMYFUNCTION(""""""""" &amp; REGEXEXTRACT(B8895, ""/detail/([^/?]+)"") &amp; """""","""),"""jialeippmpkpbljcfhglaakoknfiojof"",")</f>
        <v>"jialeippmpkpbljcfhglaakoknfiojof",</v>
      </c>
    </row>
    <row r="8896">
      <c r="A8896" s="4" t="s">
        <v>28075</v>
      </c>
      <c r="B8896" s="4" t="s">
        <v>17705</v>
      </c>
      <c r="C8896" s="16" t="str">
        <f>IFERROR(__xludf.DUMMYFUNCTION(""""""""" &amp; REGEXEXTRACT(B8896, ""/detail/([^/?]+)"") &amp; """""","""),"""odimgloihnchgmijalnlkanefghommpp"",")</f>
        <v>"odimgloihnchgmijalnlkanefghommpp",</v>
      </c>
    </row>
    <row r="8897">
      <c r="A8897" s="4" t="s">
        <v>28076</v>
      </c>
      <c r="B8897" s="4" t="s">
        <v>17707</v>
      </c>
      <c r="C8897" s="16" t="str">
        <f>IFERROR(__xludf.DUMMYFUNCTION(""""""""" &amp; REGEXEXTRACT(B8897, ""/detail/([^/?]+)"") &amp; """""","""),"""pmdfibcbflleichjmjllkklkpkgildkh"",")</f>
        <v>"pmdfibcbflleichjmjllkklkpkgildkh",</v>
      </c>
    </row>
    <row r="8898">
      <c r="A8898" s="4" t="s">
        <v>28077</v>
      </c>
      <c r="B8898" s="4" t="s">
        <v>17709</v>
      </c>
      <c r="C8898" s="16" t="str">
        <f>IFERROR(__xludf.DUMMYFUNCTION(""""""""" &amp; REGEXEXTRACT(B8898, ""/detail/([^/?]+)"") &amp; """""","""),"""cijfoobajnpgpphocpkdcplfphadeaea"",")</f>
        <v>"cijfoobajnpgpphocpkdcplfphadeaea",</v>
      </c>
    </row>
    <row r="8899">
      <c r="A8899" s="4" t="s">
        <v>28078</v>
      </c>
      <c r="B8899" s="4" t="s">
        <v>17711</v>
      </c>
      <c r="C8899" s="16" t="str">
        <f>IFERROR(__xludf.DUMMYFUNCTION(""""""""" &amp; REGEXEXTRACT(B8899, ""/detail/([^/?]+)"") &amp; """""","""),"""gllkphpjfmmfknhhiakefhnmklbnmhdm"",")</f>
        <v>"gllkphpjfmmfknhhiakefhnmklbnmhdm",</v>
      </c>
    </row>
    <row r="8900">
      <c r="A8900" s="4" t="s">
        <v>28079</v>
      </c>
      <c r="B8900" s="4" t="s">
        <v>17713</v>
      </c>
      <c r="C8900" s="16" t="str">
        <f>IFERROR(__xludf.DUMMYFUNCTION(""""""""" &amp; REGEXEXTRACT(B8900, ""/detail/([^/?]+)"") &amp; """""","""),"""hkpikghhilldnolmkpcikajpjdcfgcop"",")</f>
        <v>"hkpikghhilldnolmkpcikajpjdcfgcop",</v>
      </c>
    </row>
    <row r="8901">
      <c r="A8901" s="4" t="s">
        <v>28080</v>
      </c>
      <c r="B8901" s="4" t="s">
        <v>17715</v>
      </c>
      <c r="C8901" s="16" t="str">
        <f>IFERROR(__xludf.DUMMYFUNCTION(""""""""" &amp; REGEXEXTRACT(B8901, ""/detail/([^/?]+)"") &amp; """""","""),"""nmcploolhdjnilphpifheagcogmojdpd"",")</f>
        <v>"nmcploolhdjnilphpifheagcogmojdpd",</v>
      </c>
    </row>
    <row r="8902">
      <c r="A8902" s="4" t="s">
        <v>28081</v>
      </c>
      <c r="B8902" s="4" t="s">
        <v>17717</v>
      </c>
      <c r="C8902" s="16" t="str">
        <f>IFERROR(__xludf.DUMMYFUNCTION(""""""""" &amp; REGEXEXTRACT(B8902, ""/detail/([^/?]+)"") &amp; """""","""),"""dpkcmpfeohfppbgflelbkemojphgjdhf"",")</f>
        <v>"dpkcmpfeohfppbgflelbkemojphgjdhf",</v>
      </c>
    </row>
    <row r="8903">
      <c r="A8903" s="4" t="s">
        <v>28082</v>
      </c>
      <c r="B8903" s="4" t="s">
        <v>17719</v>
      </c>
      <c r="C8903" s="16" t="str">
        <f>IFERROR(__xludf.DUMMYFUNCTION(""""""""" &amp; REGEXEXTRACT(B8903, ""/detail/([^/?]+)"") &amp; """""","""),"""fffpcpifbaimmmmclpmfhjgbiokbhnea"",")</f>
        <v>"fffpcpifbaimmmmclpmfhjgbiokbhnea",</v>
      </c>
    </row>
    <row r="8904">
      <c r="A8904" s="4" t="s">
        <v>28083</v>
      </c>
      <c r="B8904" s="4" t="s">
        <v>17721</v>
      </c>
      <c r="C8904" s="16" t="str">
        <f>IFERROR(__xludf.DUMMYFUNCTION(""""""""" &amp; REGEXEXTRACT(B8904, ""/detail/([^/?]+)"") &amp; """""","""),"""gnnkbfjpmnmnclphplfogchgeaeildlc"",")</f>
        <v>"gnnkbfjpmnmnclphplfogchgeaeildlc",</v>
      </c>
    </row>
    <row r="8905">
      <c r="A8905" s="4" t="s">
        <v>28084</v>
      </c>
      <c r="B8905" s="4" t="s">
        <v>17723</v>
      </c>
      <c r="C8905" s="16" t="str">
        <f>IFERROR(__xludf.DUMMYFUNCTION(""""""""" &amp; REGEXEXTRACT(B8905, ""/detail/([^/?]+)"") &amp; """""","""),"""ilhmkkocekbajiikponcokjdabiipecj"",")</f>
        <v>"ilhmkkocekbajiikponcokjdabiipecj",</v>
      </c>
    </row>
    <row r="8906">
      <c r="A8906" s="4" t="s">
        <v>28085</v>
      </c>
      <c r="B8906" s="4" t="s">
        <v>17724</v>
      </c>
      <c r="C8906" s="16" t="str">
        <f>IFERROR(__xludf.DUMMYFUNCTION(""""""""" &amp; REGEXEXTRACT(B8906, ""/detail/([^/?]+)"") &amp; """""","""),"""jdpnokacamibfikmngoeoiaadfhlhaea"",")</f>
        <v>"jdpnokacamibfikmngoeoiaadfhlhaea",</v>
      </c>
    </row>
    <row r="8907">
      <c r="A8907" s="4" t="s">
        <v>28086</v>
      </c>
      <c r="B8907" s="4" t="s">
        <v>17726</v>
      </c>
      <c r="C8907" s="16" t="str">
        <f>IFERROR(__xludf.DUMMYFUNCTION(""""""""" &amp; REGEXEXTRACT(B8907, ""/detail/([^/?]+)"") &amp; """""","""),"""onkejpdhplmfiiafhkjjfalenddohccb"",")</f>
        <v>"onkejpdhplmfiiafhkjjfalenddohccb",</v>
      </c>
    </row>
    <row r="8908">
      <c r="A8908" s="4" t="s">
        <v>28087</v>
      </c>
      <c r="B8908" s="4" t="s">
        <v>17728</v>
      </c>
      <c r="C8908" s="16" t="str">
        <f>IFERROR(__xludf.DUMMYFUNCTION(""""""""" &amp; REGEXEXTRACT(B8908, ""/detail/([^/?]+)"") &amp; """""","""),"""pddlbiopkcimgjfkjlfkophopecpdbai"",")</f>
        <v>"pddlbiopkcimgjfkjlfkophopecpdbai",</v>
      </c>
    </row>
    <row r="8909">
      <c r="A8909" s="4" t="s">
        <v>28088</v>
      </c>
      <c r="B8909" s="4" t="s">
        <v>17730</v>
      </c>
      <c r="C8909" s="16" t="str">
        <f>IFERROR(__xludf.DUMMYFUNCTION(""""""""" &amp; REGEXEXTRACT(B8909, ""/detail/([^/?]+)"") &amp; """""","""),"""acmoiaipblimhfnjejofmmfjkgpedcpd"",")</f>
        <v>"acmoiaipblimhfnjejofmmfjkgpedcpd",</v>
      </c>
    </row>
    <row r="8910">
      <c r="A8910" s="4" t="s">
        <v>28089</v>
      </c>
      <c r="B8910" s="4" t="s">
        <v>17732</v>
      </c>
      <c r="C8910" s="16" t="str">
        <f>IFERROR(__xludf.DUMMYFUNCTION(""""""""" &amp; REGEXEXTRACT(B8910, ""/detail/([^/?]+)"") &amp; """""","""),"""nfepmeogoknijeenahgdfobjfemdahmo"",")</f>
        <v>"nfepmeogoknijeenahgdfobjfemdahmo",</v>
      </c>
    </row>
    <row r="8911">
      <c r="A8911" s="4" t="s">
        <v>28090</v>
      </c>
      <c r="B8911" s="4" t="s">
        <v>17734</v>
      </c>
      <c r="C8911" s="16" t="str">
        <f>IFERROR(__xludf.DUMMYFUNCTION(""""""""" &amp; REGEXEXTRACT(B8911, ""/detail/([^/?]+)"") &amp; """""","""),"""nmffepbfehaggnekgkookagkcklaieji"",")</f>
        <v>"nmffepbfehaggnekgkookagkcklaieji",</v>
      </c>
    </row>
    <row r="8912">
      <c r="A8912" s="4" t="s">
        <v>28091</v>
      </c>
      <c r="B8912" s="4" t="s">
        <v>17736</v>
      </c>
      <c r="C8912" s="16" t="str">
        <f>IFERROR(__xludf.DUMMYFUNCTION(""""""""" &amp; REGEXEXTRACT(B8912, ""/detail/([^/?]+)"") &amp; """""","""),"""ooaojgckeodgdnbfdlecfgkbgaahegle"",")</f>
        <v>"ooaojgckeodgdnbfdlecfgkbgaahegle",</v>
      </c>
    </row>
    <row r="8913">
      <c r="A8913" s="4" t="s">
        <v>28092</v>
      </c>
      <c r="B8913" s="4" t="s">
        <v>17738</v>
      </c>
      <c r="C8913" s="16" t="str">
        <f>IFERROR(__xludf.DUMMYFUNCTION(""""""""" &amp; REGEXEXTRACT(B8913, ""/detail/([^/?]+)"") &amp; """""","""),"""bmemoakjblaajdlfbgmlplpbddjpjecc"",")</f>
        <v>"bmemoakjblaajdlfbgmlplpbddjpjecc",</v>
      </c>
    </row>
    <row r="8914">
      <c r="A8914" s="4" t="s">
        <v>28093</v>
      </c>
      <c r="B8914" s="4" t="s">
        <v>17740</v>
      </c>
      <c r="C8914" s="16" t="str">
        <f>IFERROR(__xludf.DUMMYFUNCTION(""""""""" &amp; REGEXEXTRACT(B8914, ""/detail/([^/?]+)"") &amp; """""","""),"""bnekaigbnpcpfdlmmdehkkjbedfpbadj"",")</f>
        <v>"bnekaigbnpcpfdlmmdehkkjbedfpbadj",</v>
      </c>
    </row>
    <row r="8915">
      <c r="A8915" s="4" t="s">
        <v>28094</v>
      </c>
      <c r="B8915" s="4" t="s">
        <v>17742</v>
      </c>
      <c r="C8915" s="16" t="str">
        <f>IFERROR(__xludf.DUMMYFUNCTION(""""""""" &amp; REGEXEXTRACT(B8915, ""/detail/([^/?]+)"") &amp; """""","""),"""cidibllgamjkhlpkchjnfhanabejnecl"",")</f>
        <v>"cidibllgamjkhlpkchjnfhanabejnecl",</v>
      </c>
    </row>
    <row r="8916">
      <c r="A8916" s="4" t="s">
        <v>28095</v>
      </c>
      <c r="B8916" s="4" t="s">
        <v>17744</v>
      </c>
      <c r="C8916" s="16" t="str">
        <f>IFERROR(__xludf.DUMMYFUNCTION(""""""""" &amp; REGEXEXTRACT(B8916, ""/detail/([^/?]+)"") &amp; """""","""),"""cifbgbbgjlehgddmhdognpncdjpiepgn"",")</f>
        <v>"cifbgbbgjlehgddmhdognpncdjpiepgn",</v>
      </c>
    </row>
    <row r="8917">
      <c r="A8917" s="4" t="s">
        <v>28096</v>
      </c>
      <c r="B8917" s="4" t="s">
        <v>17746</v>
      </c>
      <c r="C8917" s="16" t="str">
        <f>IFERROR(__xludf.DUMMYFUNCTION(""""""""" &amp; REGEXEXTRACT(B8917, ""/detail/([^/?]+)"") &amp; """""","""),"""dlnepfckckhaaehhcgkakkgnnkhdlhma"",")</f>
        <v>"dlnepfckckhaaehhcgkakkgnnkhdlhma",</v>
      </c>
    </row>
    <row r="8918">
      <c r="A8918" s="4" t="s">
        <v>28097</v>
      </c>
      <c r="B8918" s="4" t="s">
        <v>17748</v>
      </c>
      <c r="C8918" s="16" t="str">
        <f>IFERROR(__xludf.DUMMYFUNCTION(""""""""" &amp; REGEXEXTRACT(B8918, ""/detail/([^/?]+)"") &amp; """""","""),"""fdaifolckhmjnlkapifnkphgdolgabfb"",")</f>
        <v>"fdaifolckhmjnlkapifnkphgdolgabfb",</v>
      </c>
    </row>
    <row r="8919">
      <c r="A8919" s="4" t="s">
        <v>28098</v>
      </c>
      <c r="B8919" s="4" t="s">
        <v>17750</v>
      </c>
      <c r="C8919" s="16" t="str">
        <f>IFERROR(__xludf.DUMMYFUNCTION(""""""""" &amp; REGEXEXTRACT(B8919, ""/detail/([^/?]+)"") &amp; """""","""),"""iiaadipohcenaagngllohhjehohdcehp"",")</f>
        <v>"iiaadipohcenaagngllohhjehohdcehp",</v>
      </c>
    </row>
    <row r="8920">
      <c r="A8920" s="4" t="s">
        <v>28099</v>
      </c>
      <c r="B8920" s="4" t="s">
        <v>17752</v>
      </c>
      <c r="C8920" s="16" t="str">
        <f>IFERROR(__xludf.DUMMYFUNCTION(""""""""" &amp; REGEXEXTRACT(B8920, ""/detail/([^/?]+)"") &amp; """""","""),"""lenbalkolcmmgpoiegdplhkfjljaiiag"",")</f>
        <v>"lenbalkolcmmgpoiegdplhkfjljaiiag",</v>
      </c>
    </row>
    <row r="8921">
      <c r="A8921" s="4" t="s">
        <v>28100</v>
      </c>
      <c r="B8921" s="4" t="s">
        <v>17754</v>
      </c>
      <c r="C8921" s="16" t="str">
        <f>IFERROR(__xludf.DUMMYFUNCTION(""""""""" &amp; REGEXEXTRACT(B8921, ""/detail/([^/?]+)"") &amp; """""","""),"""pkjmppjgkieeognifhdpkmcgkiaiioem"",")</f>
        <v>"pkjmppjgkieeognifhdpkmcgkiaiioem",</v>
      </c>
    </row>
    <row r="8922">
      <c r="A8922" s="4" t="s">
        <v>28101</v>
      </c>
      <c r="B8922" s="4" t="s">
        <v>17756</v>
      </c>
      <c r="C8922" s="16" t="str">
        <f>IFERROR(__xludf.DUMMYFUNCTION(""""""""" &amp; REGEXEXTRACT(B8922, ""/detail/([^/?]+)"") &amp; """""","""),"""bledfcibpogbpmaijpcohjdkoifeciak"",")</f>
        <v>"bledfcibpogbpmaijpcohjdkoifeciak",</v>
      </c>
    </row>
    <row r="8923">
      <c r="A8923" s="4" t="s">
        <v>28102</v>
      </c>
      <c r="B8923" s="4" t="s">
        <v>17758</v>
      </c>
      <c r="C8923" s="16" t="str">
        <f>IFERROR(__xludf.DUMMYFUNCTION(""""""""" &amp; REGEXEXTRACT(B8923, ""/detail/([^/?]+)"") &amp; """""","""),"""efceaemlnabjahlebbmejdafdmpofgop"",")</f>
        <v>"efceaemlnabjahlebbmejdafdmpofgop",</v>
      </c>
    </row>
    <row r="8924">
      <c r="A8924" s="4" t="s">
        <v>28103</v>
      </c>
      <c r="B8924" s="4" t="s">
        <v>17760</v>
      </c>
      <c r="C8924" s="16" t="str">
        <f>IFERROR(__xludf.DUMMYFUNCTION(""""""""" &amp; REGEXEXTRACT(B8924, ""/detail/([^/?]+)"") &amp; """""","""),"""iemijfhdlipdpcjfnphcdalpccnkfedb"",")</f>
        <v>"iemijfhdlipdpcjfnphcdalpccnkfedb",</v>
      </c>
    </row>
    <row r="8925">
      <c r="A8925" s="4" t="s">
        <v>28104</v>
      </c>
      <c r="B8925" s="4" t="s">
        <v>17762</v>
      </c>
      <c r="C8925" s="16" t="str">
        <f>IFERROR(__xludf.DUMMYFUNCTION(""""""""" &amp; REGEXEXTRACT(B8925, ""/detail/([^/?]+)"") &amp; """""","""),"""kgohcolckgjlahpbhoocahejhpcbbdnj"",")</f>
        <v>"kgohcolckgjlahpbhoocahejhpcbbdnj",</v>
      </c>
    </row>
    <row r="8926">
      <c r="A8926" s="4" t="s">
        <v>28105</v>
      </c>
      <c r="B8926" s="4" t="s">
        <v>17764</v>
      </c>
      <c r="C8926" s="16" t="str">
        <f>IFERROR(__xludf.DUMMYFUNCTION(""""""""" &amp; REGEXEXTRACT(B8926, ""/detail/([^/?]+)"") &amp; """""","""),"""lfofpannpmmeeicgiiacjghmcfgnebbi"",")</f>
        <v>"lfofpannpmmeeicgiiacjghmcfgnebbi",</v>
      </c>
    </row>
    <row r="8927">
      <c r="A8927" s="4" t="s">
        <v>28106</v>
      </c>
      <c r="B8927" s="4" t="s">
        <v>17766</v>
      </c>
      <c r="C8927" s="16" t="str">
        <f>IFERROR(__xludf.DUMMYFUNCTION(""""""""" &amp; REGEXEXTRACT(B8927, ""/detail/([^/?]+)"") &amp; """""","""),"""lfoiccenjgkalnhcgbfganoapdfeaeib"",")</f>
        <v>"lfoiccenjgkalnhcgbfganoapdfeaeib",</v>
      </c>
    </row>
    <row r="8928">
      <c r="A8928" s="4" t="s">
        <v>28107</v>
      </c>
      <c r="B8928" s="4" t="s">
        <v>17768</v>
      </c>
      <c r="C8928" s="16" t="str">
        <f>IFERROR(__xludf.DUMMYFUNCTION(""""""""" &amp; REGEXEXTRACT(B8928, ""/detail/([^/?]+)"") &amp; """""","""),"""mjehakjobcplgegfdicpmagplbkaineo"",")</f>
        <v>"mjehakjobcplgegfdicpmagplbkaineo",</v>
      </c>
    </row>
    <row r="8929">
      <c r="A8929" s="4" t="s">
        <v>28108</v>
      </c>
      <c r="B8929" s="4" t="s">
        <v>17770</v>
      </c>
      <c r="C8929" s="16" t="str">
        <f>IFERROR(__xludf.DUMMYFUNCTION(""""""""" &amp; REGEXEXTRACT(B8929, ""/detail/([^/?]+)"") &amp; """""","""),"""dbcojchbgnoapagipaamdjfdkcmdgjek"",")</f>
        <v>"dbcojchbgnoapagipaamdjfdkcmdgjek",</v>
      </c>
    </row>
    <row r="8930">
      <c r="A8930" s="4" t="s">
        <v>28109</v>
      </c>
      <c r="B8930" s="4" t="s">
        <v>17772</v>
      </c>
      <c r="C8930" s="16" t="str">
        <f>IFERROR(__xludf.DUMMYFUNCTION(""""""""" &amp; REGEXEXTRACT(B8930, ""/detail/([^/?]+)"") &amp; """""","""),"""dfnlhmckmnmlabejbjjfmodjmfoimnii"",")</f>
        <v>"dfnlhmckmnmlabejbjjfmodjmfoimnii",</v>
      </c>
    </row>
    <row r="8931">
      <c r="A8931" s="4" t="s">
        <v>28110</v>
      </c>
      <c r="B8931" s="4" t="s">
        <v>17774</v>
      </c>
      <c r="C8931" s="16" t="str">
        <f>IFERROR(__xludf.DUMMYFUNCTION(""""""""" &amp; REGEXEXTRACT(B8931, ""/detail/([^/?]+)"") &amp; """""","""),"""dpcjebpeapbinnkjcogooeedeebgoido"",")</f>
        <v>"dpcjebpeapbinnkjcogooeedeebgoido",</v>
      </c>
    </row>
    <row r="8932">
      <c r="A8932" s="4" t="s">
        <v>28111</v>
      </c>
      <c r="B8932" s="4" t="s">
        <v>17776</v>
      </c>
      <c r="C8932" s="16" t="str">
        <f>IFERROR(__xludf.DUMMYFUNCTION(""""""""" &amp; REGEXEXTRACT(B8932, ""/detail/([^/?]+)"") &amp; """""","""),"""fjdnbfpmonlaapmkboaihnaecphjjakd"",")</f>
        <v>"fjdnbfpmonlaapmkboaihnaecphjjakd",</v>
      </c>
    </row>
    <row r="8933">
      <c r="A8933" s="4" t="s">
        <v>28112</v>
      </c>
      <c r="B8933" s="4" t="s">
        <v>17778</v>
      </c>
      <c r="C8933" s="16" t="str">
        <f>IFERROR(__xludf.DUMMYFUNCTION(""""""""" &amp; REGEXEXTRACT(B8933, ""/detail/([^/?]+)"") &amp; """""","""),"""hikodglhajlfmnanaiegolkfdjbencnk"",")</f>
        <v>"hikodglhajlfmnanaiegolkfdjbencnk",</v>
      </c>
    </row>
    <row r="8934">
      <c r="A8934" s="4" t="s">
        <v>28113</v>
      </c>
      <c r="B8934" s="4" t="s">
        <v>17780</v>
      </c>
      <c r="C8934" s="16" t="str">
        <f>IFERROR(__xludf.DUMMYFUNCTION(""""""""" &amp; REGEXEXTRACT(B8934, ""/detail/([^/?]+)"") &amp; """""","""),"""hogpngcijkfmbfijfkaapeejhijipddp"",")</f>
        <v>"hogpngcijkfmbfijfkaapeejhijipddp",</v>
      </c>
    </row>
    <row r="8935">
      <c r="A8935" s="4" t="s">
        <v>28114</v>
      </c>
      <c r="B8935" s="4" t="s">
        <v>17782</v>
      </c>
      <c r="C8935" s="16" t="str">
        <f>IFERROR(__xludf.DUMMYFUNCTION(""""""""" &amp; REGEXEXTRACT(B8935, ""/detail/([^/?]+)"") &amp; """""","""),"""ioanfgolggheljoabjhdjnpigeieipol"",")</f>
        <v>"ioanfgolggheljoabjhdjnpigeieipol",</v>
      </c>
    </row>
    <row r="8936">
      <c r="A8936" s="4" t="s">
        <v>28115</v>
      </c>
      <c r="B8936" s="4" t="s">
        <v>17784</v>
      </c>
      <c r="C8936" s="16" t="str">
        <f>IFERROR(__xludf.DUMMYFUNCTION(""""""""" &amp; REGEXEXTRACT(B8936, ""/detail/([^/?]+)"") &amp; """""","""),"""iobkgicmookonkhaijnhoodijfhiljha"",")</f>
        <v>"iobkgicmookonkhaijnhoodijfhiljha",</v>
      </c>
    </row>
    <row r="8937">
      <c r="A8937" s="4" t="s">
        <v>28116</v>
      </c>
      <c r="B8937" s="4" t="s">
        <v>17786</v>
      </c>
      <c r="C8937" s="16" t="str">
        <f>IFERROR(__xludf.DUMMYFUNCTION(""""""""" &amp; REGEXEXTRACT(B8937, ""/detail/([^/?]+)"") &amp; """""","""),"""kpoogeanhkgkbkagbgeibbokbjdbjodb"",")</f>
        <v>"kpoogeanhkgkbkagbgeibbokbjdbjodb",</v>
      </c>
    </row>
    <row r="8938">
      <c r="A8938" s="4" t="s">
        <v>28117</v>
      </c>
      <c r="B8938" s="4" t="s">
        <v>17788</v>
      </c>
      <c r="C8938" s="16" t="str">
        <f>IFERROR(__xludf.DUMMYFUNCTION(""""""""" &amp; REGEXEXTRACT(B8938, ""/detail/([^/?]+)"") &amp; """""","""),"""lggmpimhpmplkengmfmfecohbdbooiem"",")</f>
        <v>"lggmpimhpmplkengmfmfecohbdbooiem",</v>
      </c>
    </row>
    <row r="8939">
      <c r="A8939" s="4" t="s">
        <v>28118</v>
      </c>
      <c r="B8939" s="4" t="s">
        <v>17790</v>
      </c>
      <c r="C8939" s="16" t="str">
        <f>IFERROR(__xludf.DUMMYFUNCTION(""""""""" &amp; REGEXEXTRACT(B8939, ""/detail/([^/?]+)"") &amp; """""","""),"""ohkbjcfpicefkagfejabhddfbmkeiojm"",")</f>
        <v>"ohkbjcfpicefkagfejabhddfbmkeiojm",</v>
      </c>
    </row>
    <row r="8940">
      <c r="A8940" s="4" t="s">
        <v>28119</v>
      </c>
      <c r="B8940" s="4" t="s">
        <v>17792</v>
      </c>
      <c r="C8940" s="16" t="str">
        <f>IFERROR(__xludf.DUMMYFUNCTION(""""""""" &amp; REGEXEXTRACT(B8940, ""/detail/([^/?]+)"") &amp; """""","""),"""blkcalljbilnpflcagdojnldcdifnndp"",")</f>
        <v>"blkcalljbilnpflcagdojnldcdifnndp",</v>
      </c>
    </row>
    <row r="8941">
      <c r="A8941" s="4" t="s">
        <v>28120</v>
      </c>
      <c r="B8941" s="4" t="s">
        <v>17794</v>
      </c>
      <c r="C8941" s="16" t="str">
        <f>IFERROR(__xludf.DUMMYFUNCTION(""""""""" &amp; REGEXEXTRACT(B8941, ""/detail/([^/?]+)"") &amp; """""","""),"""ephfokcaimjfldlhakieekmoogekdegf"",")</f>
        <v>"ephfokcaimjfldlhakieekmoogekdegf",</v>
      </c>
    </row>
    <row r="8942">
      <c r="A8942" s="4" t="s">
        <v>28121</v>
      </c>
      <c r="B8942" s="4" t="s">
        <v>17796</v>
      </c>
      <c r="C8942" s="16" t="str">
        <f>IFERROR(__xludf.DUMMYFUNCTION(""""""""" &amp; REGEXEXTRACT(B8942, ""/detail/([^/?]+)"") &amp; """""","""),"""kpceegmoghjiacgkllncdimobpcfnhoo"",")</f>
        <v>"kpceegmoghjiacgkllncdimobpcfnhoo",</v>
      </c>
    </row>
    <row r="8943">
      <c r="A8943" s="4" t="s">
        <v>28122</v>
      </c>
      <c r="B8943" s="4" t="s">
        <v>17798</v>
      </c>
      <c r="C8943" s="16" t="str">
        <f>IFERROR(__xludf.DUMMYFUNCTION(""""""""" &amp; REGEXEXTRACT(B8943, ""/detail/([^/?]+)"") &amp; """""","""),"""oinfhocbmbejhpajcpefdhoifkcdepba"",")</f>
        <v>"oinfhocbmbejhpajcpefdhoifkcdepba",</v>
      </c>
    </row>
    <row r="8944">
      <c r="A8944" s="4" t="s">
        <v>28123</v>
      </c>
      <c r="B8944" s="4" t="s">
        <v>17800</v>
      </c>
      <c r="C8944" s="16" t="str">
        <f>IFERROR(__xludf.DUMMYFUNCTION(""""""""" &amp; REGEXEXTRACT(B8944, ""/detail/([^/?]+)"") &amp; """""","""),"""cckkkpbokoogdeeeikjdkfkgdngfjpdm"",")</f>
        <v>"cckkkpbokoogdeeeikjdkfkgdngfjpdm",</v>
      </c>
    </row>
    <row r="8945">
      <c r="A8945" s="4" t="s">
        <v>28124</v>
      </c>
      <c r="B8945" s="4" t="s">
        <v>17802</v>
      </c>
      <c r="C8945" s="16" t="str">
        <f>IFERROR(__xludf.DUMMYFUNCTION(""""""""" &amp; REGEXEXTRACT(B8945, ""/detail/([^/?]+)"") &amp; """""","""),"""dllmmaniogaffdnagcenlnnlbahmlmld"",")</f>
        <v>"dllmmaniogaffdnagcenlnnlbahmlmld",</v>
      </c>
    </row>
    <row r="8946">
      <c r="A8946" s="4" t="s">
        <v>28125</v>
      </c>
      <c r="B8946" s="4" t="s">
        <v>17804</v>
      </c>
      <c r="C8946" s="16" t="str">
        <f>IFERROR(__xludf.DUMMYFUNCTION(""""""""" &amp; REGEXEXTRACT(B8946, ""/detail/([^/?]+)"") &amp; """""","""),"""lahbgnkbojlfaocemjpkjgmdcnmpkfgc"",")</f>
        <v>"lahbgnkbojlfaocemjpkjgmdcnmpkfgc",</v>
      </c>
    </row>
    <row r="8947">
      <c r="A8947" s="4" t="s">
        <v>28126</v>
      </c>
      <c r="B8947" s="4" t="s">
        <v>17806</v>
      </c>
      <c r="C8947" s="16" t="str">
        <f>IFERROR(__xludf.DUMMYFUNCTION(""""""""" &amp; REGEXEXTRACT(B8947, ""/detail/([^/?]+)"") &amp; """""","""),"""lclakbkgdadioimjddglmnoioedafelc"",")</f>
        <v>"lclakbkgdadioimjddglmnoioedafelc",</v>
      </c>
    </row>
    <row r="8948">
      <c r="A8948" s="4" t="s">
        <v>28127</v>
      </c>
      <c r="B8948" s="4" t="s">
        <v>17808</v>
      </c>
      <c r="C8948" s="16" t="str">
        <f>IFERROR(__xludf.DUMMYFUNCTION(""""""""" &amp; REGEXEXTRACT(B8948, ""/detail/([^/?]+)"") &amp; """""","""),"""opdmehohhkdbnjihfleldcpjenmghobl"",")</f>
        <v>"opdmehohhkdbnjihfleldcpjenmghobl",</v>
      </c>
    </row>
    <row r="8949">
      <c r="A8949" s="4" t="s">
        <v>28128</v>
      </c>
      <c r="B8949" s="4" t="s">
        <v>17810</v>
      </c>
      <c r="C8949" s="16" t="str">
        <f>IFERROR(__xludf.DUMMYFUNCTION(""""""""" &amp; REGEXEXTRACT(B8949, ""/detail/([^/?]+)"") &amp; """""","""),"""aegcebaebekmenognkfkamfpinmldpll"",")</f>
        <v>"aegcebaebekmenognkfkamfpinmldpll",</v>
      </c>
    </row>
    <row r="8950">
      <c r="A8950" s="4" t="s">
        <v>28129</v>
      </c>
      <c r="B8950" s="4" t="s">
        <v>17812</v>
      </c>
      <c r="C8950" s="16" t="str">
        <f>IFERROR(__xludf.DUMMYFUNCTION(""""""""" &amp; REGEXEXTRACT(B8950, ""/detail/([^/?]+)"") &amp; """""","""),"""cgckffknepmgikkhnildjodfjobncckg"",")</f>
        <v>"cgckffknepmgikkhnildjodfjobncckg",</v>
      </c>
    </row>
    <row r="8951">
      <c r="A8951" s="4" t="s">
        <v>28130</v>
      </c>
      <c r="B8951" s="4" t="s">
        <v>17814</v>
      </c>
      <c r="C8951" s="16" t="str">
        <f>IFERROR(__xludf.DUMMYFUNCTION(""""""""" &amp; REGEXEXTRACT(B8951, ""/detail/([^/?]+)"") &amp; """""","""),"""dhlbnhklidocogdehbgocdffpaicihjo"",")</f>
        <v>"dhlbnhklidocogdehbgocdffpaicihjo",</v>
      </c>
    </row>
    <row r="8952">
      <c r="A8952" s="4" t="s">
        <v>28131</v>
      </c>
      <c r="B8952" s="4" t="s">
        <v>17816</v>
      </c>
      <c r="C8952" s="16" t="str">
        <f>IFERROR(__xludf.DUMMYFUNCTION(""""""""" &amp; REGEXEXTRACT(B8952, ""/detail/([^/?]+)"") &amp; """""","""),"""eaeejmnfacdjjdgdmijgefaaokfkhihi"",")</f>
        <v>"eaeejmnfacdjjdgdmijgefaaokfkhihi",</v>
      </c>
    </row>
    <row r="8953">
      <c r="A8953" s="4" t="s">
        <v>28132</v>
      </c>
      <c r="B8953" s="4" t="s">
        <v>17818</v>
      </c>
      <c r="C8953" s="16" t="str">
        <f>IFERROR(__xludf.DUMMYFUNCTION(""""""""" &amp; REGEXEXTRACT(B8953, ""/detail/([^/?]+)"") &amp; """""","""),"""fmbbdgpoheokfdcgbpaofghkgbghadod"",")</f>
        <v>"fmbbdgpoheokfdcgbpaofghkgbghadod",</v>
      </c>
    </row>
    <row r="8954">
      <c r="A8954" s="4" t="s">
        <v>28133</v>
      </c>
      <c r="B8954" s="4" t="s">
        <v>17820</v>
      </c>
      <c r="C8954" s="16" t="str">
        <f>IFERROR(__xludf.DUMMYFUNCTION(""""""""" &amp; REGEXEXTRACT(B8954, ""/detail/([^/?]+)"") &amp; """""","""),"""hdjegjggiogfkaldbfphfdkpggjemaha"",")</f>
        <v>"hdjegjggiogfkaldbfphfdkpggjemaha",</v>
      </c>
    </row>
    <row r="8955">
      <c r="A8955" s="4" t="s">
        <v>28134</v>
      </c>
      <c r="B8955" s="4" t="s">
        <v>17822</v>
      </c>
      <c r="C8955" s="16" t="str">
        <f>IFERROR(__xludf.DUMMYFUNCTION(""""""""" &amp; REGEXEXTRACT(B8955, ""/detail/([^/?]+)"") &amp; """""","""),"""aigindmbmcgegjhjnonholgaebnldmln"",")</f>
        <v>"aigindmbmcgegjhjnonholgaebnldmln",</v>
      </c>
    </row>
    <row r="8956">
      <c r="A8956" s="4" t="s">
        <v>28135</v>
      </c>
      <c r="B8956" s="4" t="s">
        <v>17824</v>
      </c>
      <c r="C8956" s="16" t="str">
        <f>IFERROR(__xludf.DUMMYFUNCTION(""""""""" &amp; REGEXEXTRACT(B8956, ""/detail/([^/?]+)"") &amp; """""","""),"""bdhijffnjccdajojfpahnjfeladlpefp"",")</f>
        <v>"bdhijffnjccdajojfpahnjfeladlpefp",</v>
      </c>
    </row>
    <row r="8957">
      <c r="A8957" s="4" t="s">
        <v>28136</v>
      </c>
      <c r="B8957" s="4" t="s">
        <v>17826</v>
      </c>
      <c r="C8957" s="16" t="str">
        <f>IFERROR(__xludf.DUMMYFUNCTION(""""""""" &amp; REGEXEXTRACT(B8957, ""/detail/([^/?]+)"") &amp; """""","""),"""fhbfhmmifmgcmnhdgjbgmkbaieembhha"",")</f>
        <v>"fhbfhmmifmgcmnhdgjbgmkbaieembhha",</v>
      </c>
    </row>
    <row r="8958">
      <c r="A8958" s="4" t="s">
        <v>28137</v>
      </c>
      <c r="B8958" s="4" t="s">
        <v>17828</v>
      </c>
      <c r="C8958" s="16" t="str">
        <f>IFERROR(__xludf.DUMMYFUNCTION(""""""""" &amp; REGEXEXTRACT(B8958, ""/detail/([^/?]+)"") &amp; """""","""),"""gmlnkohmoacknnggklomnmkohdcnjeak"",")</f>
        <v>"gmlnkohmoacknnggklomnmkohdcnjeak",</v>
      </c>
    </row>
    <row r="8959">
      <c r="A8959" s="4" t="s">
        <v>28138</v>
      </c>
      <c r="B8959" s="4" t="s">
        <v>17830</v>
      </c>
      <c r="C8959" s="16" t="str">
        <f>IFERROR(__xludf.DUMMYFUNCTION(""""""""" &amp; REGEXEXTRACT(B8959, ""/detail/([^/?]+)"") &amp; """""","""),"""hpfapdojmefbgndfagcapgboejdnlddl"",")</f>
        <v>"hpfapdojmefbgndfagcapgboejdnlddl",</v>
      </c>
    </row>
    <row r="8960">
      <c r="A8960" s="4" t="s">
        <v>28139</v>
      </c>
      <c r="B8960" s="4" t="s">
        <v>17832</v>
      </c>
      <c r="C8960" s="16" t="str">
        <f>IFERROR(__xludf.DUMMYFUNCTION(""""""""" &amp; REGEXEXTRACT(B8960, ""/detail/([^/?]+)"") &amp; """""","""),"""ihahdkpgnaoiidnkndhginfpianaindd"",")</f>
        <v>"ihahdkpgnaoiidnkndhginfpianaindd",</v>
      </c>
    </row>
    <row r="8961">
      <c r="A8961" s="4" t="s">
        <v>28140</v>
      </c>
      <c r="B8961" s="4" t="s">
        <v>17834</v>
      </c>
      <c r="C8961" s="16" t="str">
        <f>IFERROR(__xludf.DUMMYFUNCTION(""""""""" &amp; REGEXEXTRACT(B8961, ""/detail/([^/?]+)"") &amp; """""","""),"""ilagjaefinhaihnmcmnhfnikaimpapeb"",")</f>
        <v>"ilagjaefinhaihnmcmnhfnikaimpapeb",</v>
      </c>
    </row>
    <row r="8962">
      <c r="A8962" s="4" t="s">
        <v>28141</v>
      </c>
      <c r="B8962" s="4" t="s">
        <v>17836</v>
      </c>
      <c r="C8962" s="16" t="str">
        <f>IFERROR(__xludf.DUMMYFUNCTION(""""""""" &amp; REGEXEXTRACT(B8962, ""/detail/([^/?]+)"") &amp; """""","""),"""ingodapckfhiolgmnjdocgfdfhgmokob"",")</f>
        <v>"ingodapckfhiolgmnjdocgfdfhgmokob",</v>
      </c>
    </row>
    <row r="8963">
      <c r="A8963" s="4" t="s">
        <v>28142</v>
      </c>
      <c r="B8963" s="4" t="s">
        <v>17838</v>
      </c>
      <c r="C8963" s="16" t="str">
        <f>IFERROR(__xludf.DUMMYFUNCTION(""""""""" &amp; REGEXEXTRACT(B8963, ""/detail/([^/?]+)"") &amp; """""","""),"""jagapdgjhcbmakebkbilceabfeflnllk"",")</f>
        <v>"jagapdgjhcbmakebkbilceabfeflnllk",</v>
      </c>
    </row>
    <row r="8964">
      <c r="A8964" s="4" t="s">
        <v>28143</v>
      </c>
      <c r="B8964" s="4" t="s">
        <v>17839</v>
      </c>
      <c r="C8964" s="16" t="str">
        <f>IFERROR(__xludf.DUMMYFUNCTION(""""""""" &amp; REGEXEXTRACT(B8964, ""/detail/([^/?]+)"") &amp; """""","""),"""jojafcbgfjjagedlpbpgpnafaedfjclk"",")</f>
        <v>"jojafcbgfjjagedlpbpgpnafaedfjclk",</v>
      </c>
    </row>
    <row r="8965">
      <c r="A8965" s="4" t="s">
        <v>28144</v>
      </c>
      <c r="B8965" s="4" t="s">
        <v>17841</v>
      </c>
      <c r="C8965" s="16" t="str">
        <f>IFERROR(__xludf.DUMMYFUNCTION(""""""""" &amp; REGEXEXTRACT(B8965, ""/detail/([^/?]+)"") &amp; """""","""),"""jpagnmodhfdmdkmgjcolnnfienejokpo"",")</f>
        <v>"jpagnmodhfdmdkmgjcolnnfienejokpo",</v>
      </c>
    </row>
    <row r="8966">
      <c r="A8966" s="4" t="s">
        <v>28145</v>
      </c>
      <c r="B8966" s="4" t="s">
        <v>17843</v>
      </c>
      <c r="C8966" s="16" t="str">
        <f>IFERROR(__xludf.DUMMYFUNCTION(""""""""" &amp; REGEXEXTRACT(B8966, ""/detail/([^/?]+)"") &amp; """""","""),"""nadkgipbdodikbebedanhfpeedgbgail"",")</f>
        <v>"nadkgipbdodikbebedanhfpeedgbgail",</v>
      </c>
    </row>
    <row r="8967">
      <c r="A8967" s="4" t="s">
        <v>28146</v>
      </c>
      <c r="B8967" s="4" t="s">
        <v>17845</v>
      </c>
      <c r="C8967" s="16" t="str">
        <f>IFERROR(__xludf.DUMMYFUNCTION(""""""""" &amp; REGEXEXTRACT(B8967, ""/detail/([^/?]+)"") &amp; """""","""),"""oinkglklklhaloidmggmafgbibhnlidg"",")</f>
        <v>"oinkglklklhaloidmggmafgbibhnlidg",</v>
      </c>
    </row>
    <row r="8968">
      <c r="A8968" s="4" t="s">
        <v>28147</v>
      </c>
      <c r="B8968" s="4" t="s">
        <v>17847</v>
      </c>
      <c r="C8968" s="16" t="str">
        <f>IFERROR(__xludf.DUMMYFUNCTION(""""""""" &amp; REGEXEXTRACT(B8968, ""/detail/([^/?]+)"") &amp; """""","""),"""pofkcckikkdhiieipefhkaelgnbdkcib"",")</f>
        <v>"pofkcckikkdhiieipefhkaelgnbdkcib",</v>
      </c>
    </row>
    <row r="8969">
      <c r="A8969" s="4" t="s">
        <v>28148</v>
      </c>
      <c r="B8969" s="4" t="s">
        <v>17849</v>
      </c>
      <c r="C8969" s="16" t="str">
        <f>IFERROR(__xludf.DUMMYFUNCTION(""""""""" &amp; REGEXEXTRACT(B8969, ""/detail/([^/?]+)"") &amp; """""","""),"""ppjfndcalabkncdafadlfkiilbjceggd"",")</f>
        <v>"ppjfndcalabkncdafadlfkiilbjceggd",</v>
      </c>
    </row>
    <row r="8970">
      <c r="A8970" s="4" t="s">
        <v>28149</v>
      </c>
      <c r="B8970" s="4" t="s">
        <v>17851</v>
      </c>
      <c r="C8970" s="16" t="str">
        <f>IFERROR(__xludf.DUMMYFUNCTION(""""""""" &amp; REGEXEXTRACT(B8970, ""/detail/([^/?]+)"") &amp; """""","""),"""bplpmfnmpdgiodnlpcafealcfbjnffmc"",")</f>
        <v>"bplpmfnmpdgiodnlpcafealcfbjnffmc",</v>
      </c>
    </row>
    <row r="8971">
      <c r="A8971" s="4" t="s">
        <v>28150</v>
      </c>
      <c r="B8971" s="4" t="s">
        <v>17853</v>
      </c>
      <c r="C8971" s="16" t="str">
        <f>IFERROR(__xludf.DUMMYFUNCTION(""""""""" &amp; REGEXEXTRACT(B8971, ""/detail/([^/?]+)"") &amp; """""","""),"""caembjifniahacfdkkhdaehanlaebefd"",")</f>
        <v>"caembjifniahacfdkkhdaehanlaebefd",</v>
      </c>
    </row>
    <row r="8972">
      <c r="A8972" s="4" t="s">
        <v>28151</v>
      </c>
      <c r="B8972" s="4" t="s">
        <v>17855</v>
      </c>
      <c r="C8972" s="16" t="str">
        <f>IFERROR(__xludf.DUMMYFUNCTION(""""""""" &amp; REGEXEXTRACT(B8972, ""/detail/([^/?]+)"") &amp; """""","""),"""cekpldeffalionmgoedldkdnlcbphamp"",")</f>
        <v>"cekpldeffalionmgoedldkdnlcbphamp",</v>
      </c>
    </row>
    <row r="8973">
      <c r="A8973" s="4" t="s">
        <v>28152</v>
      </c>
      <c r="B8973" s="4" t="s">
        <v>17857</v>
      </c>
      <c r="C8973" s="16" t="str">
        <f>IFERROR(__xludf.DUMMYFUNCTION(""""""""" &amp; REGEXEXTRACT(B8973, ""/detail/([^/?]+)"") &amp; """""","""),"""dlgodcdpmjmeegcakjjldfobmooajhhe"",")</f>
        <v>"dlgodcdpmjmeegcakjjldfobmooajhhe",</v>
      </c>
    </row>
    <row r="8974">
      <c r="A8974" s="4" t="s">
        <v>28153</v>
      </c>
      <c r="B8974" s="4" t="s">
        <v>17859</v>
      </c>
      <c r="C8974" s="16" t="str">
        <f>IFERROR(__xludf.DUMMYFUNCTION(""""""""" &amp; REGEXEXTRACT(B8974, ""/detail/([^/?]+)"") &amp; """""","""),"""ghpdiolckpncfliklbmgiljggbokjban"",")</f>
        <v>"ghpdiolckpncfliklbmgiljggbokjban",</v>
      </c>
    </row>
    <row r="8975">
      <c r="A8975" s="4" t="s">
        <v>28154</v>
      </c>
      <c r="B8975" s="4" t="s">
        <v>17861</v>
      </c>
      <c r="C8975" s="16" t="str">
        <f>IFERROR(__xludf.DUMMYFUNCTION(""""""""" &amp; REGEXEXTRACT(B8975, ""/detail/([^/?]+)"") &amp; """""","""),"""jdjkeinggenkakinhdoodppfjcggnmlo"",")</f>
        <v>"jdjkeinggenkakinhdoodppfjcggnmlo",</v>
      </c>
    </row>
    <row r="8976">
      <c r="A8976" s="4" t="s">
        <v>28155</v>
      </c>
      <c r="B8976" s="4" t="s">
        <v>17863</v>
      </c>
      <c r="C8976" s="16" t="str">
        <f>IFERROR(__xludf.DUMMYFUNCTION(""""""""" &amp; REGEXEXTRACT(B8976, ""/detail/([^/?]+)"") &amp; """""","""),"""jhppfdbphdfchpfholhiehcdnbgkfjio"",")</f>
        <v>"jhppfdbphdfchpfholhiehcdnbgkfjio",</v>
      </c>
    </row>
    <row r="8977">
      <c r="A8977" s="4" t="s">
        <v>28156</v>
      </c>
      <c r="B8977" s="4" t="s">
        <v>17865</v>
      </c>
      <c r="C8977" s="16" t="str">
        <f>IFERROR(__xludf.DUMMYFUNCTION(""""""""" &amp; REGEXEXTRACT(B8977, ""/detail/([^/?]+)"") &amp; """""","""),"""jlmgmdcfeikdeijcnjmkfapchfamjodj"",")</f>
        <v>"jlmgmdcfeikdeijcnjmkfapchfamjodj",</v>
      </c>
    </row>
    <row r="8978">
      <c r="A8978" s="4" t="s">
        <v>28157</v>
      </c>
      <c r="B8978" s="4" t="s">
        <v>17867</v>
      </c>
      <c r="C8978" s="16" t="str">
        <f>IFERROR(__xludf.DUMMYFUNCTION(""""""""" &amp; REGEXEXTRACT(B8978, ""/detail/([^/?]+)"") &amp; """""","""),"""leenefgjoiioafkijlmlhjjmokoijfmn"",")</f>
        <v>"leenefgjoiioafkijlmlhjjmokoijfmn",</v>
      </c>
    </row>
    <row r="8979">
      <c r="A8979" s="4" t="s">
        <v>28158</v>
      </c>
      <c r="B8979" s="4" t="s">
        <v>17869</v>
      </c>
      <c r="C8979" s="16" t="str">
        <f>IFERROR(__xludf.DUMMYFUNCTION(""""""""" &amp; REGEXEXTRACT(B8979, ""/detail/([^/?]+)"") &amp; """""","""),"""anphjljedkjpfppcialbhbhlpeknhagf"",")</f>
        <v>"anphjljedkjpfppcialbhbhlpeknhagf",</v>
      </c>
    </row>
    <row r="8980">
      <c r="A8980" s="4" t="s">
        <v>28159</v>
      </c>
      <c r="B8980" s="4" t="s">
        <v>17871</v>
      </c>
      <c r="C8980" s="16" t="str">
        <f>IFERROR(__xludf.DUMMYFUNCTION(""""""""" &amp; REGEXEXTRACT(B8980, ""/detail/([^/?]+)"") &amp; """""","""),"""ehlignmalehipfgjncjmngndbgpjehed"",")</f>
        <v>"ehlignmalehipfgjncjmngndbgpjehed",</v>
      </c>
    </row>
    <row r="8981">
      <c r="A8981" s="4" t="s">
        <v>28160</v>
      </c>
      <c r="B8981" s="4" t="s">
        <v>17873</v>
      </c>
      <c r="C8981" s="16" t="str">
        <f>IFERROR(__xludf.DUMMYFUNCTION(""""""""" &amp; REGEXEXTRACT(B8981, ""/detail/([^/?]+)"") &amp; """""","""),"""ibglpalofdjmncnanplfjcapcaakoinb"",")</f>
        <v>"ibglpalofdjmncnanplfjcapcaakoinb",</v>
      </c>
    </row>
    <row r="8982">
      <c r="A8982" s="4" t="s">
        <v>28161</v>
      </c>
      <c r="B8982" s="4" t="s">
        <v>17875</v>
      </c>
      <c r="C8982" s="16" t="str">
        <f>IFERROR(__xludf.DUMMYFUNCTION(""""""""" &amp; REGEXEXTRACT(B8982, ""/detail/([^/?]+)"") &amp; """""","""),"""jmjhfnknadodnkbgoahbconhpboioofh"",")</f>
        <v>"jmjhfnknadodnkbgoahbconhpboioofh",</v>
      </c>
    </row>
    <row r="8983">
      <c r="A8983" s="4" t="s">
        <v>28162</v>
      </c>
      <c r="B8983" s="4" t="s">
        <v>17877</v>
      </c>
      <c r="C8983" s="16" t="str">
        <f>IFERROR(__xludf.DUMMYFUNCTION(""""""""" &amp; REGEXEXTRACT(B8983, ""/detail/([^/?]+)"") &amp; """""","""),"""khoooekfjeadpjimigdbbalnbdcbapbm"",")</f>
        <v>"khoooekfjeadpjimigdbbalnbdcbapbm",</v>
      </c>
    </row>
    <row r="8984">
      <c r="A8984" s="4" t="s">
        <v>28163</v>
      </c>
      <c r="B8984" s="4" t="s">
        <v>17879</v>
      </c>
      <c r="C8984" s="16" t="str">
        <f>IFERROR(__xludf.DUMMYFUNCTION(""""""""" &amp; REGEXEXTRACT(B8984, ""/detail/([^/?]+)"") &amp; """""","""),"""kjcdpojndfkkmblojbgaohcakjfbmhkm"",")</f>
        <v>"kjcdpojndfkkmblojbgaohcakjfbmhkm",</v>
      </c>
    </row>
    <row r="8985">
      <c r="A8985" s="4" t="s">
        <v>28164</v>
      </c>
      <c r="B8985" s="4" t="s">
        <v>17881</v>
      </c>
      <c r="C8985" s="16" t="str">
        <f>IFERROR(__xludf.DUMMYFUNCTION(""""""""" &amp; REGEXEXTRACT(B8985, ""/detail/([^/?]+)"") &amp; """""","""),"""lmfmialbcmpnhcdldmonpbmcclhdnaie"",")</f>
        <v>"lmfmialbcmpnhcdldmonpbmcclhdnaie",</v>
      </c>
    </row>
    <row r="8986">
      <c r="A8986" s="4" t="s">
        <v>28165</v>
      </c>
      <c r="B8986" s="4" t="s">
        <v>17883</v>
      </c>
      <c r="C8986" s="16" t="str">
        <f>IFERROR(__xludf.DUMMYFUNCTION(""""""""" &amp; REGEXEXTRACT(B8986, ""/detail/([^/?]+)"") &amp; """""","""),"""ngdpilmbmplccomcgkoggnodcmaomfnj"",")</f>
        <v>"ngdpilmbmplccomcgkoggnodcmaomfnj",</v>
      </c>
    </row>
    <row r="8987">
      <c r="A8987" s="4" t="s">
        <v>28166</v>
      </c>
      <c r="B8987" s="4" t="s">
        <v>17885</v>
      </c>
      <c r="C8987" s="16" t="str">
        <f>IFERROR(__xludf.DUMMYFUNCTION(""""""""" &amp; REGEXEXTRACT(B8987, ""/detail/([^/?]+)"") &amp; """""","""),"""nigpljchmlcjkhbglkdimgaplklombph"",")</f>
        <v>"nigpljchmlcjkhbglkdimgaplklombph",</v>
      </c>
    </row>
    <row r="8988">
      <c r="A8988" s="4" t="s">
        <v>28167</v>
      </c>
      <c r="B8988" s="4" t="s">
        <v>17887</v>
      </c>
      <c r="C8988" s="16" t="str">
        <f>IFERROR(__xludf.DUMMYFUNCTION(""""""""" &amp; REGEXEXTRACT(B8988, ""/detail/([^/?]+)"") &amp; """""","""),"""omhjmmilocdnjgploallbdoicffjnmpl"",")</f>
        <v>"omhjmmilocdnjgploallbdoicffjnmpl",</v>
      </c>
    </row>
    <row r="8989">
      <c r="A8989" s="4" t="s">
        <v>28168</v>
      </c>
      <c r="B8989" s="4" t="s">
        <v>17889</v>
      </c>
      <c r="C8989" s="16" t="str">
        <f>IFERROR(__xludf.DUMMYFUNCTION(""""""""" &amp; REGEXEXTRACT(B8989, ""/detail/([^/?]+)"") &amp; """""","""),"""ajcjkemninihecbgljahanflndoeggao"",")</f>
        <v>"ajcjkemninihecbgljahanflndoeggao",</v>
      </c>
    </row>
    <row r="8990">
      <c r="A8990" s="4" t="s">
        <v>28169</v>
      </c>
      <c r="B8990" s="4" t="s">
        <v>17891</v>
      </c>
      <c r="C8990" s="16" t="str">
        <f>IFERROR(__xludf.DUMMYFUNCTION(""""""""" &amp; REGEXEXTRACT(B8990, ""/detail/([^/?]+)"") &amp; """""","""),"""bkoaabafngkddaofpjomdmembpcblbgk"",")</f>
        <v>"bkoaabafngkddaofpjomdmembpcblbgk",</v>
      </c>
    </row>
    <row r="8991">
      <c r="A8991" s="4" t="s">
        <v>28170</v>
      </c>
      <c r="B8991" s="4" t="s">
        <v>17893</v>
      </c>
      <c r="C8991" s="16" t="str">
        <f>IFERROR(__xludf.DUMMYFUNCTION(""""""""" &amp; REGEXEXTRACT(B8991, ""/detail/([^/?]+)"") &amp; """""","""),"""fcoeelnejimjadoffcopbkkcbggfmmfa"",")</f>
        <v>"fcoeelnejimjadoffcopbkkcbggfmmfa",</v>
      </c>
    </row>
    <row r="8992">
      <c r="A8992" s="4" t="s">
        <v>28171</v>
      </c>
      <c r="B8992" s="4" t="s">
        <v>17895</v>
      </c>
      <c r="C8992" s="16" t="str">
        <f>IFERROR(__xludf.DUMMYFUNCTION(""""""""" &amp; REGEXEXTRACT(B8992, ""/detail/([^/?]+)"") &amp; """""","""),"""hglojnclbngnbmijmgdllkkimnoiohig"",")</f>
        <v>"hglojnclbngnbmijmgdllkkimnoiohig",</v>
      </c>
    </row>
    <row r="8993">
      <c r="A8993" s="4" t="s">
        <v>28172</v>
      </c>
      <c r="B8993" s="4" t="s">
        <v>17897</v>
      </c>
      <c r="C8993" s="16" t="str">
        <f>IFERROR(__xludf.DUMMYFUNCTION(""""""""" &amp; REGEXEXTRACT(B8993, ""/detail/([^/?]+)"") &amp; """""","""),"""hobkoafajocifjponaoifdnmgdcaehin"",")</f>
        <v>"hobkoafajocifjponaoifdnmgdcaehin",</v>
      </c>
    </row>
    <row r="8994">
      <c r="A8994" s="4" t="s">
        <v>28173</v>
      </c>
      <c r="B8994" s="4" t="s">
        <v>17899</v>
      </c>
      <c r="C8994" s="16" t="str">
        <f>IFERROR(__xludf.DUMMYFUNCTION(""""""""" &amp; REGEXEXTRACT(B8994, ""/detail/([^/?]+)"") &amp; """""","""),"""jbnodnfpdcegpnflleanllmiihkinkio"",")</f>
        <v>"jbnodnfpdcegpnflleanllmiihkinkio",</v>
      </c>
    </row>
    <row r="8995">
      <c r="A8995" s="4" t="s">
        <v>28174</v>
      </c>
      <c r="B8995" s="4" t="s">
        <v>17901</v>
      </c>
      <c r="C8995" s="16" t="str">
        <f>IFERROR(__xludf.DUMMYFUNCTION(""""""""" &amp; REGEXEXTRACT(B8995, ""/detail/([^/?]+)"") &amp; """""","""),"""lckkkmepbdjcpfbpcjidlmafmfhfklgh"",")</f>
        <v>"lckkkmepbdjcpfbpcjidlmafmfhfklgh",</v>
      </c>
    </row>
    <row r="8996">
      <c r="A8996" s="4" t="s">
        <v>28175</v>
      </c>
      <c r="B8996" s="4" t="s">
        <v>17903</v>
      </c>
      <c r="C8996" s="16" t="str">
        <f>IFERROR(__xludf.DUMMYFUNCTION(""""""""" &amp; REGEXEXTRACT(B8996, ""/detail/([^/?]+)"") &amp; """""","""),"""mknemajaeeddmehlbllajcpggnlaaeag"",")</f>
        <v>"mknemajaeeddmehlbllajcpggnlaaeag",</v>
      </c>
    </row>
    <row r="8997">
      <c r="A8997" s="4" t="s">
        <v>28176</v>
      </c>
      <c r="B8997" s="4" t="s">
        <v>17905</v>
      </c>
      <c r="C8997" s="16" t="str">
        <f>IFERROR(__xludf.DUMMYFUNCTION(""""""""" &amp; REGEXEXTRACT(B8997, ""/detail/([^/?]+)"") &amp; """""","""),"""noapiahhhhccobnbmaajnmadmjjaeadg"",")</f>
        <v>"noapiahhhhccobnbmaajnmadmjjaeadg",</v>
      </c>
    </row>
    <row r="8998">
      <c r="A8998" s="4" t="s">
        <v>28177</v>
      </c>
      <c r="B8998" s="4" t="s">
        <v>17907</v>
      </c>
      <c r="C8998" s="16" t="str">
        <f>IFERROR(__xludf.DUMMYFUNCTION(""""""""" &amp; REGEXEXTRACT(B8998, ""/detail/([^/?]+)"") &amp; """""","""),"""ogbiebalkhkimkogbkofjbfclocdaofg"",")</f>
        <v>"ogbiebalkhkimkogbkofjbfclocdaofg",</v>
      </c>
    </row>
    <row r="8999">
      <c r="A8999" s="4" t="s">
        <v>28178</v>
      </c>
      <c r="B8999" s="4" t="s">
        <v>17909</v>
      </c>
      <c r="C8999" s="16" t="str">
        <f>IFERROR(__xludf.DUMMYFUNCTION(""""""""" &amp; REGEXEXTRACT(B8999, ""/detail/([^/?]+)"") &amp; """""","""),"""ondhmbdgfiglnkgddjdkiippodobhjad"",")</f>
        <v>"ondhmbdgfiglnkgddjdkiippodobhjad",</v>
      </c>
    </row>
    <row r="9000">
      <c r="A9000" s="4" t="s">
        <v>28179</v>
      </c>
      <c r="B9000" s="4" t="s">
        <v>17911</v>
      </c>
      <c r="C9000" s="16" t="str">
        <f>IFERROR(__xludf.DUMMYFUNCTION(""""""""" &amp; REGEXEXTRACT(B9000, ""/detail/([^/?]+)"") &amp; """""","""),"""akaeanmingfpniomcfbdjklhnkcfchmm"",")</f>
        <v>"akaeanmingfpniomcfbdjklhnkcfchmm",</v>
      </c>
    </row>
    <row r="9001">
      <c r="A9001" s="4" t="s">
        <v>28180</v>
      </c>
      <c r="B9001" s="4" t="s">
        <v>17913</v>
      </c>
      <c r="C9001" s="16" t="str">
        <f>IFERROR(__xludf.DUMMYFUNCTION(""""""""" &amp; REGEXEXTRACT(B9001, ""/detail/([^/?]+)"") &amp; """""","""),"""blagblbojfibhijpbaobmcdeanilmmdj"",")</f>
        <v>"blagblbojfibhijpbaobmcdeanilmmdj",</v>
      </c>
    </row>
    <row r="9002">
      <c r="A9002" s="4" t="s">
        <v>28181</v>
      </c>
      <c r="B9002" s="4" t="s">
        <v>17915</v>
      </c>
      <c r="C9002" s="16" t="str">
        <f>IFERROR(__xludf.DUMMYFUNCTION(""""""""" &amp; REGEXEXTRACT(B9002, ""/detail/([^/?]+)"") &amp; """""","""),"""ecddapgifccgblebfibdgkagfbdagjfn"",")</f>
        <v>"ecddapgifccgblebfibdgkagfbdagjfn",</v>
      </c>
    </row>
    <row r="9003">
      <c r="A9003" s="4" t="s">
        <v>28182</v>
      </c>
      <c r="B9003" s="4" t="s">
        <v>17917</v>
      </c>
      <c r="C9003" s="16" t="str">
        <f>IFERROR(__xludf.DUMMYFUNCTION(""""""""" &amp; REGEXEXTRACT(B9003, ""/detail/([^/?]+)"") &amp; """""","""),"""imdkdmbnblpapcdidcofglgbjbgaegle"",")</f>
        <v>"imdkdmbnblpapcdidcofglgbjbgaegle",</v>
      </c>
    </row>
    <row r="9004">
      <c r="A9004" s="4" t="s">
        <v>28183</v>
      </c>
      <c r="B9004" s="4" t="s">
        <v>17919</v>
      </c>
      <c r="C9004" s="16" t="str">
        <f>IFERROR(__xludf.DUMMYFUNCTION(""""""""" &amp; REGEXEXTRACT(B9004, ""/detail/([^/?]+)"") &amp; """""","""),"""oehmhenndanplepahcoagomojffbiooj"",")</f>
        <v>"oehmhenndanplepahcoagomojffbiooj",</v>
      </c>
    </row>
    <row r="9005">
      <c r="A9005" s="4" t="s">
        <v>28184</v>
      </c>
      <c r="B9005" s="4" t="s">
        <v>17921</v>
      </c>
      <c r="C9005" s="16" t="str">
        <f>IFERROR(__xludf.DUMMYFUNCTION(""""""""" &amp; REGEXEXTRACT(B9005, ""/detail/([^/?]+)"") &amp; """""","""),"""bdnfnkhfbgepokkkkbookefhdfibpnbc"",")</f>
        <v>"bdnfnkhfbgepokkkkbookefhdfibpnbc",</v>
      </c>
    </row>
    <row r="9006">
      <c r="A9006" s="4" t="s">
        <v>28185</v>
      </c>
      <c r="B9006" s="4" t="s">
        <v>17922</v>
      </c>
      <c r="C9006" s="16" t="str">
        <f>IFERROR(__xludf.DUMMYFUNCTION(""""""""" &amp; REGEXEXTRACT(B9006, ""/detail/([^/?]+)"") &amp; """""","""),"""hfggooianhnifmngaedjoiooohhdedim"",")</f>
        <v>"hfggooianhnifmngaedjoiooohhdedim",</v>
      </c>
    </row>
    <row r="9007">
      <c r="A9007" s="4" t="s">
        <v>28186</v>
      </c>
      <c r="B9007" s="4" t="s">
        <v>17924</v>
      </c>
      <c r="C9007" s="16" t="str">
        <f>IFERROR(__xludf.DUMMYFUNCTION(""""""""" &amp; REGEXEXTRACT(B9007, ""/detail/([^/?]+)"") &amp; """""","""),"""jpoihkknbjjfhbancpejlbejefpghmnc"",")</f>
        <v>"jpoihkknbjjfhbancpejlbejefpghmnc",</v>
      </c>
    </row>
    <row r="9008">
      <c r="A9008" s="4" t="s">
        <v>28187</v>
      </c>
      <c r="B9008" s="4" t="s">
        <v>17926</v>
      </c>
      <c r="C9008" s="16" t="str">
        <f>IFERROR(__xludf.DUMMYFUNCTION(""""""""" &amp; REGEXEXTRACT(B9008, ""/detail/([^/?]+)"") &amp; """""","""),"""kboomnlecbmbikamlaaeabjacbbadojh"",")</f>
        <v>"kboomnlecbmbikamlaaeabjacbbadojh",</v>
      </c>
    </row>
    <row r="9009">
      <c r="A9009" s="4" t="s">
        <v>28188</v>
      </c>
      <c r="B9009" s="4" t="s">
        <v>17928</v>
      </c>
      <c r="C9009" s="16" t="str">
        <f>IFERROR(__xludf.DUMMYFUNCTION(""""""""" &amp; REGEXEXTRACT(B9009, ""/detail/([^/?]+)"") &amp; """""","""),"""ldofhkbmbgplenhclhekpidbmgecnehb"",")</f>
        <v>"ldofhkbmbgplenhclhekpidbmgecnehb",</v>
      </c>
    </row>
    <row r="9010">
      <c r="A9010" s="4" t="s">
        <v>28189</v>
      </c>
      <c r="B9010" s="4" t="s">
        <v>17930</v>
      </c>
      <c r="C9010" s="16" t="str">
        <f>IFERROR(__xludf.DUMMYFUNCTION(""""""""" &amp; REGEXEXTRACT(B9010, ""/detail/([^/?]+)"") &amp; """""","""),"""okkbjbehpablhojbihehiacmkbdfebmp"",")</f>
        <v>"okkbjbehpablhojbihehiacmkbdfebmp",</v>
      </c>
    </row>
    <row r="9011">
      <c r="A9011" s="4" t="s">
        <v>28190</v>
      </c>
      <c r="B9011" s="4" t="s">
        <v>17932</v>
      </c>
      <c r="C9011" s="16" t="str">
        <f>IFERROR(__xludf.DUMMYFUNCTION(""""""""" &amp; REGEXEXTRACT(B9011, ""/detail/([^/?]+)"") &amp; """""","""),"""olbjmgkbokabjfaelgogjjllpnfjgdoe"",")</f>
        <v>"olbjmgkbokabjfaelgogjjllpnfjgdoe",</v>
      </c>
    </row>
    <row r="9012">
      <c r="A9012" s="4" t="s">
        <v>28191</v>
      </c>
      <c r="B9012" s="4" t="s">
        <v>17934</v>
      </c>
      <c r="C9012" s="16" t="str">
        <f>IFERROR(__xludf.DUMMYFUNCTION(""""""""" &amp; REGEXEXTRACT(B9012, ""/detail/([^/?]+)"") &amp; """""","""),"""plhglaflppbkmegaobkfdhjclakmmpmd"",")</f>
        <v>"plhglaflppbkmegaobkfdhjclakmmpmd",</v>
      </c>
    </row>
    <row r="9013">
      <c r="A9013" s="4" t="s">
        <v>28192</v>
      </c>
      <c r="B9013" s="4" t="s">
        <v>17936</v>
      </c>
      <c r="C9013" s="16" t="str">
        <f>IFERROR(__xludf.DUMMYFUNCTION(""""""""" &amp; REGEXEXTRACT(B9013, ""/detail/([^/?]+)"") &amp; """""","""),"""acckhcfpncdacfmhnmipaiheghjlhdjp"",")</f>
        <v>"acckhcfpncdacfmhnmipaiheghjlhdjp",</v>
      </c>
    </row>
    <row r="9014">
      <c r="A9014" s="4" t="s">
        <v>28193</v>
      </c>
      <c r="B9014" s="4" t="s">
        <v>17938</v>
      </c>
      <c r="C9014" s="16" t="str">
        <f>IFERROR(__xludf.DUMMYFUNCTION(""""""""" &amp; REGEXEXTRACT(B9014, ""/detail/([^/?]+)"") &amp; """""","""),"""ahgbcbjdcoaijfoeakpnjaghpdndekbg"",")</f>
        <v>"ahgbcbjdcoaijfoeakpnjaghpdndekbg",</v>
      </c>
    </row>
    <row r="9015">
      <c r="A9015" s="4" t="s">
        <v>28194</v>
      </c>
      <c r="B9015" s="4" t="s">
        <v>17940</v>
      </c>
      <c r="C9015" s="16" t="str">
        <f>IFERROR(__xludf.DUMMYFUNCTION(""""""""" &amp; REGEXEXTRACT(B9015, ""/detail/([^/?]+)"") &amp; """""","""),"""bajlcoahedhgjfpfgahdfaoeohmjbhfb"",")</f>
        <v>"bajlcoahedhgjfpfgahdfaoeohmjbhfb",</v>
      </c>
    </row>
    <row r="9016">
      <c r="A9016" s="4" t="s">
        <v>28195</v>
      </c>
      <c r="B9016" s="4" t="s">
        <v>17942</v>
      </c>
      <c r="C9016" s="16" t="str">
        <f>IFERROR(__xludf.DUMMYFUNCTION(""""""""" &amp; REGEXEXTRACT(B9016, ""/detail/([^/?]+)"") &amp; """""","""),"""gebbknledcndnnoamiccckbbodbhimde"",")</f>
        <v>"gebbknledcndnnoamiccckbbodbhimde",</v>
      </c>
    </row>
    <row r="9017">
      <c r="A9017" s="4" t="s">
        <v>28196</v>
      </c>
      <c r="B9017" s="4" t="s">
        <v>17944</v>
      </c>
      <c r="C9017" s="16" t="str">
        <f>IFERROR(__xludf.DUMMYFUNCTION(""""""""" &amp; REGEXEXTRACT(B9017, ""/detail/([^/?]+)"") &amp; """""","""),"""hegpcollkgldlimbhkimijhhhoaicipp"",")</f>
        <v>"hegpcollkgldlimbhkimijhhhoaicipp",</v>
      </c>
    </row>
    <row r="9018">
      <c r="A9018" s="4" t="s">
        <v>28197</v>
      </c>
      <c r="B9018" s="4" t="s">
        <v>17946</v>
      </c>
      <c r="C9018" s="16" t="str">
        <f>IFERROR(__xludf.DUMMYFUNCTION(""""""""" &amp; REGEXEXTRACT(B9018, ""/detail/([^/?]+)"") &amp; """""","""),"""aigghblcdebcjepbepaankbbjkibcncn"",")</f>
        <v>"aigghblcdebcjepbepaankbbjkibcncn",</v>
      </c>
    </row>
    <row r="9019">
      <c r="A9019" s="4" t="s">
        <v>28198</v>
      </c>
      <c r="B9019" s="4" t="s">
        <v>17948</v>
      </c>
      <c r="C9019" s="16" t="str">
        <f>IFERROR(__xludf.DUMMYFUNCTION(""""""""" &amp; REGEXEXTRACT(B9019, ""/detail/([^/?]+)"") &amp; """""","""),"""ampfnhkbibnmhgoiaaokkejbajllamfj"",")</f>
        <v>"ampfnhkbibnmhgoiaaokkejbajllamfj",</v>
      </c>
    </row>
    <row r="9020">
      <c r="A9020" s="4" t="s">
        <v>28199</v>
      </c>
      <c r="B9020" s="4" t="s">
        <v>17950</v>
      </c>
      <c r="C9020" s="16" t="str">
        <f>IFERROR(__xludf.DUMMYFUNCTION(""""""""" &amp; REGEXEXTRACT(B9020, ""/detail/([^/?]+)"") &amp; """""","""),"""bndphnggikgjkhappgdnhijgnlafnfph"",")</f>
        <v>"bndphnggikgjkhappgdnhijgnlafnfph",</v>
      </c>
    </row>
    <row r="9021">
      <c r="A9021" s="4" t="s">
        <v>28200</v>
      </c>
      <c r="B9021" s="4" t="s">
        <v>17952</v>
      </c>
      <c r="C9021" s="16" t="str">
        <f>IFERROR(__xludf.DUMMYFUNCTION(""""""""" &amp; REGEXEXTRACT(B9021, ""/detail/([^/?]+)"") &amp; """""","""),"""ciamdnecdjnljmaaoneckkojbdbkmdhe"",")</f>
        <v>"ciamdnecdjnljmaaoneckkojbdbkmdhe",</v>
      </c>
    </row>
    <row r="9022">
      <c r="A9022" s="4" t="s">
        <v>28201</v>
      </c>
      <c r="B9022" s="4" t="s">
        <v>17954</v>
      </c>
      <c r="C9022" s="16" t="str">
        <f>IFERROR(__xludf.DUMMYFUNCTION(""""""""" &amp; REGEXEXTRACT(B9022, ""/detail/([^/?]+)"") &amp; """""","""),"""eakhakkpdlepncdbafeaagegpgnjhcij"",")</f>
        <v>"eakhakkpdlepncdbafeaagegpgnjhcij",</v>
      </c>
    </row>
    <row r="9023">
      <c r="A9023" s="4" t="s">
        <v>28202</v>
      </c>
      <c r="B9023" s="4" t="s">
        <v>17956</v>
      </c>
      <c r="C9023" s="16" t="str">
        <f>IFERROR(__xludf.DUMMYFUNCTION(""""""""" &amp; REGEXEXTRACT(B9023, ""/detail/([^/?]+)"") &amp; """""","""),"""fkkfdilehekamhmocmkicmebbhcanobi"",")</f>
        <v>"fkkfdilehekamhmocmkicmebbhcanobi",</v>
      </c>
    </row>
    <row r="9024">
      <c r="A9024" s="4" t="s">
        <v>28203</v>
      </c>
      <c r="B9024" s="4" t="s">
        <v>17958</v>
      </c>
      <c r="C9024" s="16" t="str">
        <f>IFERROR(__xludf.DUMMYFUNCTION(""""""""" &amp; REGEXEXTRACT(B9024, ""/detail/([^/?]+)"") &amp; """""","""),"""klapbdjmkdbfdboihdcopnlfdemplphc"",")</f>
        <v>"klapbdjmkdbfdboihdcopnlfdemplphc",</v>
      </c>
    </row>
    <row r="9025">
      <c r="A9025" s="4" t="s">
        <v>28204</v>
      </c>
      <c r="B9025" s="4" t="s">
        <v>17960</v>
      </c>
      <c r="C9025" s="16" t="str">
        <f>IFERROR(__xludf.DUMMYFUNCTION(""""""""" &amp; REGEXEXTRACT(B9025, ""/detail/([^/?]+)"") &amp; """""","""),"""dilakjjoblnfllhnlhcpmnpfeblkbajp"",")</f>
        <v>"dilakjjoblnfllhnlhcpmnpfeblkbajp",</v>
      </c>
    </row>
    <row r="9026">
      <c r="A9026" s="4" t="s">
        <v>28205</v>
      </c>
      <c r="B9026" s="4" t="s">
        <v>17962</v>
      </c>
      <c r="C9026" s="16" t="str">
        <f>IFERROR(__xludf.DUMMYFUNCTION(""""""""" &amp; REGEXEXTRACT(B9026, ""/detail/([^/?]+)"") &amp; """""","""),"""eoepooeledpjaoehhokhalpmlmjbedhe"",")</f>
        <v>"eoepooeledpjaoehhokhalpmlmjbedhe",</v>
      </c>
    </row>
    <row r="9027">
      <c r="A9027" s="4" t="s">
        <v>28206</v>
      </c>
      <c r="B9027" s="4" t="s">
        <v>17964</v>
      </c>
      <c r="C9027" s="16" t="str">
        <f>IFERROR(__xludf.DUMMYFUNCTION(""""""""" &amp; REGEXEXTRACT(B9027, ""/detail/([^/?]+)"") &amp; """""","""),"""epidbhilfagblclcplbdhfcnhhbehgnd"",")</f>
        <v>"epidbhilfagblclcplbdhfcnhhbehgnd",</v>
      </c>
    </row>
    <row r="9028">
      <c r="A9028" s="4" t="s">
        <v>28207</v>
      </c>
      <c r="B9028" s="4" t="s">
        <v>17966</v>
      </c>
      <c r="C9028" s="16" t="str">
        <f>IFERROR(__xludf.DUMMYFUNCTION(""""""""" &amp; REGEXEXTRACT(B9028, ""/detail/([^/?]+)"") &amp; """""","""),"""hcbdbiggklmbnbhhmepnebffpmajnkai"",")</f>
        <v>"hcbdbiggklmbnbhhmepnebffpmajnkai",</v>
      </c>
    </row>
    <row r="9029">
      <c r="A9029" s="4" t="s">
        <v>28208</v>
      </c>
      <c r="B9029" s="4" t="s">
        <v>17968</v>
      </c>
      <c r="C9029" s="16" t="str">
        <f>IFERROR(__xludf.DUMMYFUNCTION(""""""""" &amp; REGEXEXTRACT(B9029, ""/detail/([^/?]+)"") &amp; """""","""),"""ihfolgbjkckclahmpoejnoglilaeenji"",")</f>
        <v>"ihfolgbjkckclahmpoejnoglilaeenji",</v>
      </c>
    </row>
    <row r="9030">
      <c r="A9030" s="4" t="s">
        <v>28209</v>
      </c>
      <c r="B9030" s="4" t="s">
        <v>17970</v>
      </c>
      <c r="C9030" s="16" t="str">
        <f>IFERROR(__xludf.DUMMYFUNCTION(""""""""" &amp; REGEXEXTRACT(B9030, ""/detail/([^/?]+)"") &amp; """""","""),"""jdojhcokhpkdijmhpdgfmkbflaokjmgn"",")</f>
        <v>"jdojhcokhpkdijmhpdgfmkbflaokjmgn",</v>
      </c>
    </row>
    <row r="9031">
      <c r="A9031" s="4" t="s">
        <v>28210</v>
      </c>
      <c r="B9031" s="4" t="s">
        <v>17972</v>
      </c>
      <c r="C9031" s="16" t="str">
        <f>IFERROR(__xludf.DUMMYFUNCTION(""""""""" &amp; REGEXEXTRACT(B9031, ""/detail/([^/?]+)"") &amp; """""","""),"""kcogbonnkheeologjkpkclphajgomnjf"",")</f>
        <v>"kcogbonnkheeologjkpkclphajgomnjf",</v>
      </c>
    </row>
    <row r="9032">
      <c r="A9032" s="4" t="s">
        <v>28211</v>
      </c>
      <c r="B9032" s="4" t="s">
        <v>17974</v>
      </c>
      <c r="C9032" s="16" t="str">
        <f>IFERROR(__xludf.DUMMYFUNCTION(""""""""" &amp; REGEXEXTRACT(B9032, ""/detail/([^/?]+)"") &amp; """""","""),"""mhpjihcolfmanjipbiileobmpljepjod"",")</f>
        <v>"mhpjihcolfmanjipbiileobmpljepjod",</v>
      </c>
    </row>
    <row r="9033">
      <c r="A9033" s="4" t="s">
        <v>28212</v>
      </c>
      <c r="B9033" s="4" t="s">
        <v>17976</v>
      </c>
      <c r="C9033" s="16" t="str">
        <f>IFERROR(__xludf.DUMMYFUNCTION(""""""""" &amp; REGEXEXTRACT(B9033, ""/detail/([^/?]+)"") &amp; """""","""),"""niipgeipgmcgikcempmopgfaifponeni"",")</f>
        <v>"niipgeipgmcgikcempmopgfaifponeni",</v>
      </c>
    </row>
    <row r="9034">
      <c r="A9034" s="4" t="s">
        <v>28213</v>
      </c>
      <c r="B9034" s="4" t="s">
        <v>17978</v>
      </c>
      <c r="C9034" s="16" t="str">
        <f>IFERROR(__xludf.DUMMYFUNCTION(""""""""" &amp; REGEXEXTRACT(B9034, ""/detail/([^/?]+)"") &amp; """""","""),"""nlhbmonchdkgilbpglpghlokfggebfdk"",")</f>
        <v>"nlhbmonchdkgilbpglpghlokfggebfdk",</v>
      </c>
    </row>
    <row r="9035">
      <c r="A9035" s="4" t="s">
        <v>28214</v>
      </c>
      <c r="B9035" s="4" t="s">
        <v>17980</v>
      </c>
      <c r="C9035" s="16" t="str">
        <f>IFERROR(__xludf.DUMMYFUNCTION(""""""""" &amp; REGEXEXTRACT(B9035, ""/detail/([^/?]+)"") &amp; """""","""),"""pmgahbdihjhjdgnpnapldpddkodhhchn"",")</f>
        <v>"pmgahbdihjhjdgnpnapldpddkodhhchn",</v>
      </c>
    </row>
    <row r="9036">
      <c r="A9036" s="4" t="s">
        <v>28215</v>
      </c>
      <c r="B9036" s="4" t="s">
        <v>17982</v>
      </c>
      <c r="C9036" s="16" t="str">
        <f>IFERROR(__xludf.DUMMYFUNCTION(""""""""" &amp; REGEXEXTRACT(B9036, ""/detail/([^/?]+)"") &amp; """""","""),"""hgniihpjiioldkafogebpkbaiflmpimb"",")</f>
        <v>"hgniihpjiioldkafogebpkbaiflmpimb",</v>
      </c>
    </row>
    <row r="9037">
      <c r="A9037" s="4" t="s">
        <v>28216</v>
      </c>
      <c r="B9037" s="4" t="s">
        <v>17984</v>
      </c>
      <c r="C9037" s="16" t="str">
        <f>IFERROR(__xludf.DUMMYFUNCTION(""""""""" &amp; REGEXEXTRACT(B9037, ""/detail/([^/?]+)"") &amp; """""","""),"""hjonhidkkghlaifloofeebkchkakglfa"",")</f>
        <v>"hjonhidkkghlaifloofeebkchkakglfa",</v>
      </c>
    </row>
    <row r="9038">
      <c r="A9038" s="4" t="s">
        <v>28217</v>
      </c>
      <c r="B9038" s="4" t="s">
        <v>17986</v>
      </c>
      <c r="C9038" s="16" t="str">
        <f>IFERROR(__xludf.DUMMYFUNCTION(""""""""" &amp; REGEXEXTRACT(B9038, ""/detail/([^/?]+)"") &amp; """""","""),"""ndifefelacmidghjaehmhicbchbidhpe"",")</f>
        <v>"ndifefelacmidghjaehmhicbchbidhpe",</v>
      </c>
    </row>
    <row r="9039">
      <c r="A9039" s="4" t="s">
        <v>28218</v>
      </c>
      <c r="B9039" s="4" t="s">
        <v>17988</v>
      </c>
      <c r="C9039" s="16" t="str">
        <f>IFERROR(__xludf.DUMMYFUNCTION(""""""""" &amp; REGEXEXTRACT(B9039, ""/detail/([^/?]+)"") &amp; """""","""),"""okomebddpkofkggafolekknmhookbkcf"",")</f>
        <v>"okomebddpkofkggafolekknmhookbkcf",</v>
      </c>
    </row>
    <row r="9040">
      <c r="A9040" s="4" t="s">
        <v>28219</v>
      </c>
      <c r="B9040" s="4" t="s">
        <v>17989</v>
      </c>
      <c r="C9040" s="16" t="str">
        <f>IFERROR(__xludf.DUMMYFUNCTION(""""""""" &amp; REGEXEXTRACT(B9040, ""/detail/([^/?]+)"") &amp; """""","""),"""aegabhjcjoamaadpaegobifbdodfecil"",")</f>
        <v>"aegabhjcjoamaadpaegobifbdodfecil",</v>
      </c>
    </row>
    <row r="9041">
      <c r="A9041" s="4" t="s">
        <v>28220</v>
      </c>
      <c r="B9041" s="4" t="s">
        <v>17991</v>
      </c>
      <c r="C9041" s="16" t="str">
        <f>IFERROR(__xludf.DUMMYFUNCTION(""""""""" &amp; REGEXEXTRACT(B9041, ""/detail/([^/?]+)"") &amp; """""","""),"""clfldjhhkpaihbcdbamcdgpiegepodfh"",")</f>
        <v>"clfldjhhkpaihbcdbamcdgpiegepodfh",</v>
      </c>
    </row>
    <row r="9042">
      <c r="A9042" s="4" t="s">
        <v>28221</v>
      </c>
      <c r="B9042" s="4" t="s">
        <v>17993</v>
      </c>
      <c r="C9042" s="16" t="str">
        <f>IFERROR(__xludf.DUMMYFUNCTION(""""""""" &amp; REGEXEXTRACT(B9042, ""/detail/([^/?]+)"") &amp; """""","""),"""colfckdffhgmegmaidpianbffeabajll"",")</f>
        <v>"colfckdffhgmegmaidpianbffeabajll",</v>
      </c>
    </row>
    <row r="9043">
      <c r="A9043" s="4" t="s">
        <v>28222</v>
      </c>
      <c r="B9043" s="4" t="s">
        <v>17995</v>
      </c>
      <c r="C9043" s="16" t="str">
        <f>IFERROR(__xludf.DUMMYFUNCTION(""""""""" &amp; REGEXEXTRACT(B9043, ""/detail/([^/?]+)"") &amp; """""","""),"""eaabheapbodnjapjjhmgdkkgppadjgnf"",")</f>
        <v>"eaabheapbodnjapjjhmgdkkgppadjgnf",</v>
      </c>
    </row>
    <row r="9044">
      <c r="A9044" s="4" t="s">
        <v>28223</v>
      </c>
      <c r="B9044" s="4" t="s">
        <v>17997</v>
      </c>
      <c r="C9044" s="16" t="str">
        <f>IFERROR(__xludf.DUMMYFUNCTION(""""""""" &amp; REGEXEXTRACT(B9044, ""/detail/([^/?]+)"") &amp; """""","""),"""fndcklhnahjoejfeafoogjdplfgagnmm"",")</f>
        <v>"fndcklhnahjoejfeafoogjdplfgagnmm",</v>
      </c>
    </row>
    <row r="9045">
      <c r="A9045" s="4" t="s">
        <v>28224</v>
      </c>
      <c r="B9045" s="4" t="s">
        <v>17999</v>
      </c>
      <c r="C9045" s="16" t="str">
        <f>IFERROR(__xludf.DUMMYFUNCTION(""""""""" &amp; REGEXEXTRACT(B9045, ""/detail/([^/?]+)"") &amp; """""","""),"""gcjeljdjmnjhgldhjhomjfacoedjaabg"",")</f>
        <v>"gcjeljdjmnjhgldhjhomjfacoedjaabg",</v>
      </c>
    </row>
    <row r="9046">
      <c r="A9046" s="4" t="s">
        <v>28225</v>
      </c>
      <c r="B9046" s="4" t="s">
        <v>18001</v>
      </c>
      <c r="C9046" s="16" t="str">
        <f>IFERROR(__xludf.DUMMYFUNCTION(""""""""" &amp; REGEXEXTRACT(B9046, ""/detail/([^/?]+)"") &amp; """""","""),"""iidccgfffeecdihjbmgoedphgmeeolka"",")</f>
        <v>"iidccgfffeecdihjbmgoedphgmeeolka",</v>
      </c>
    </row>
    <row r="9047">
      <c r="A9047" s="4" t="s">
        <v>28226</v>
      </c>
      <c r="B9047" s="4" t="s">
        <v>18003</v>
      </c>
      <c r="C9047" s="16" t="str">
        <f>IFERROR(__xludf.DUMMYFUNCTION(""""""""" &amp; REGEXEXTRACT(B9047, ""/detail/([^/?]+)"") &amp; """""","""),"""lgjbbgpdcecjcfmmlgpjedodehfeepcg"",")</f>
        <v>"lgjbbgpdcecjcfmmlgpjedodehfeepcg",</v>
      </c>
    </row>
    <row r="9048">
      <c r="A9048" s="4" t="s">
        <v>28227</v>
      </c>
      <c r="B9048" s="4" t="s">
        <v>18005</v>
      </c>
      <c r="C9048" s="16" t="str">
        <f>IFERROR(__xludf.DUMMYFUNCTION(""""""""" &amp; REGEXEXTRACT(B9048, ""/detail/([^/?]+)"") &amp; """""","""),"""mpjnbjlbcohfkbdmoffafmdmlokagjek"",")</f>
        <v>"mpjnbjlbcohfkbdmoffafmdmlokagjek",</v>
      </c>
    </row>
    <row r="9049">
      <c r="A9049" s="4" t="s">
        <v>28228</v>
      </c>
      <c r="B9049" s="4" t="s">
        <v>18007</v>
      </c>
      <c r="C9049" s="16" t="str">
        <f>IFERROR(__xludf.DUMMYFUNCTION(""""""""" &amp; REGEXEXTRACT(B9049, ""/detail/([^/?]+)"") &amp; """""","""),"""pmghhbcidenacjapeocgagkkaffnbfdd"",")</f>
        <v>"pmghhbcidenacjapeocgagkkaffnbfdd",</v>
      </c>
    </row>
    <row r="9050">
      <c r="A9050" s="4" t="s">
        <v>28229</v>
      </c>
      <c r="B9050" s="4" t="s">
        <v>18009</v>
      </c>
      <c r="C9050" s="16" t="str">
        <f>IFERROR(__xludf.DUMMYFUNCTION(""""""""" &amp; REGEXEXTRACT(B9050, ""/detail/([^/?]+)"") &amp; """""","""),"""aiamoeimgpbjfhmagepggjdickchgpfd"",")</f>
        <v>"aiamoeimgpbjfhmagepggjdickchgpfd",</v>
      </c>
    </row>
    <row r="9051">
      <c r="A9051" s="4" t="s">
        <v>28230</v>
      </c>
      <c r="B9051" s="4" t="s">
        <v>18011</v>
      </c>
      <c r="C9051" s="16" t="str">
        <f>IFERROR(__xludf.DUMMYFUNCTION(""""""""" &amp; REGEXEXTRACT(B9051, ""/detail/([^/?]+)"") &amp; """""","""),"""cpeddbaihddojignldpdabddpklmmjmj"",")</f>
        <v>"cpeddbaihddojignldpdabddpklmmjmj",</v>
      </c>
    </row>
    <row r="9052">
      <c r="A9052" s="4" t="s">
        <v>28231</v>
      </c>
      <c r="B9052" s="4" t="s">
        <v>18013</v>
      </c>
      <c r="C9052" s="16" t="str">
        <f>IFERROR(__xludf.DUMMYFUNCTION(""""""""" &amp; REGEXEXTRACT(B9052, ""/detail/([^/?]+)"") &amp; """""","""),"""dkbgcfcjbajlpblohlndijcdnhkfjcck"",")</f>
        <v>"dkbgcfcjbajlpblohlndijcdnhkfjcck",</v>
      </c>
    </row>
    <row r="9053">
      <c r="A9053" s="4" t="s">
        <v>28232</v>
      </c>
      <c r="B9053" s="4" t="s">
        <v>18015</v>
      </c>
      <c r="C9053" s="16" t="str">
        <f>IFERROR(__xludf.DUMMYFUNCTION(""""""""" &amp; REGEXEXTRACT(B9053, ""/detail/([^/?]+)"") &amp; """""","""),"""fgeegfpfgemgobpccccnaflpoipcopja"",")</f>
        <v>"fgeegfpfgemgobpccccnaflpoipcopja",</v>
      </c>
    </row>
    <row r="9054">
      <c r="A9054" s="4" t="s">
        <v>28233</v>
      </c>
      <c r="B9054" s="4" t="s">
        <v>18017</v>
      </c>
      <c r="C9054" s="16" t="str">
        <f>IFERROR(__xludf.DUMMYFUNCTION(""""""""" &amp; REGEXEXTRACT(B9054, ""/detail/([^/?]+)"") &amp; """""","""),"""iepofmbkhfelkphdhkldbiemijmgcmlc"",")</f>
        <v>"iepofmbkhfelkphdhkldbiemijmgcmlc",</v>
      </c>
    </row>
    <row r="9055">
      <c r="A9055" s="4" t="s">
        <v>28234</v>
      </c>
      <c r="B9055" s="4" t="s">
        <v>18019</v>
      </c>
      <c r="C9055" s="16" t="str">
        <f>IFERROR(__xludf.DUMMYFUNCTION(""""""""" &amp; REGEXEXTRACT(B9055, ""/detail/([^/?]+)"") &amp; """""","""),"""jfpknileagbhhhmmkbadkiecgjcbpfpk"",")</f>
        <v>"jfpknileagbhhhmmkbadkiecgjcbpfpk",</v>
      </c>
    </row>
    <row r="9056">
      <c r="A9056" s="4" t="s">
        <v>28235</v>
      </c>
      <c r="B9056" s="4" t="s">
        <v>18021</v>
      </c>
      <c r="C9056" s="16" t="str">
        <f>IFERROR(__xludf.DUMMYFUNCTION(""""""""" &amp; REGEXEXTRACT(B9056, ""/detail/([^/?]+)"") &amp; """""","""),"""kpkjomcemjimkbmhiobdobpiocgnkgoc"",")</f>
        <v>"kpkjomcemjimkbmhiobdobpiocgnkgoc",</v>
      </c>
    </row>
    <row r="9057">
      <c r="A9057" s="4" t="s">
        <v>28236</v>
      </c>
      <c r="B9057" s="4" t="s">
        <v>18023</v>
      </c>
      <c r="C9057" s="16" t="str">
        <f>IFERROR(__xludf.DUMMYFUNCTION(""""""""" &amp; REGEXEXTRACT(B9057, ""/detail/([^/?]+)"") &amp; """""","""),"""mfhiahbobigkjofkpcbelhaojlcfkiah"",")</f>
        <v>"mfhiahbobigkjofkpcbelhaojlcfkiah",</v>
      </c>
    </row>
    <row r="9058">
      <c r="A9058" s="4" t="s">
        <v>28237</v>
      </c>
      <c r="B9058" s="4" t="s">
        <v>18025</v>
      </c>
      <c r="C9058" s="16" t="str">
        <f>IFERROR(__xludf.DUMMYFUNCTION(""""""""" &amp; REGEXEXTRACT(B9058, ""/detail/([^/?]+)"") &amp; """""","""),"""nhogooppmliljkaickdcmdnmaheaicmg"",")</f>
        <v>"nhogooppmliljkaickdcmdnmaheaicmg",</v>
      </c>
    </row>
    <row r="9059">
      <c r="A9059" s="4" t="s">
        <v>28238</v>
      </c>
      <c r="B9059" s="4" t="s">
        <v>18026</v>
      </c>
      <c r="C9059" s="16" t="str">
        <f>IFERROR(__xludf.DUMMYFUNCTION(""""""""" &amp; REGEXEXTRACT(B9059, ""/detail/([^/?]+)"") &amp; """""","""),"""adgbiebneebkejegnebimeflfkofcalj"",")</f>
        <v>"adgbiebneebkejegnebimeflfkofcalj",</v>
      </c>
    </row>
    <row r="9060">
      <c r="A9060" s="4" t="s">
        <v>28239</v>
      </c>
      <c r="B9060" s="4" t="s">
        <v>18028</v>
      </c>
      <c r="C9060" s="16" t="str">
        <f>IFERROR(__xludf.DUMMYFUNCTION(""""""""" &amp; REGEXEXTRACT(B9060, ""/detail/([^/?]+)"") &amp; """""","""),"""aeildolmfjhmlbbambcaobkjkhppphod"",")</f>
        <v>"aeildolmfjhmlbbambcaobkjkhppphod",</v>
      </c>
    </row>
    <row r="9061">
      <c r="A9061" s="4" t="s">
        <v>28240</v>
      </c>
      <c r="B9061" s="4" t="s">
        <v>18030</v>
      </c>
      <c r="C9061" s="16" t="str">
        <f>IFERROR(__xludf.DUMMYFUNCTION(""""""""" &amp; REGEXEXTRACT(B9061, ""/detail/([^/?]+)"") &amp; """""","""),"""biejinfobcnfmjjgggmldodnbjppplod"",")</f>
        <v>"biejinfobcnfmjjgggmldodnbjppplod",</v>
      </c>
    </row>
    <row r="9062">
      <c r="A9062" s="4" t="s">
        <v>28241</v>
      </c>
      <c r="B9062" s="4" t="s">
        <v>18032</v>
      </c>
      <c r="C9062" s="16" t="str">
        <f>IFERROR(__xludf.DUMMYFUNCTION(""""""""" &amp; REGEXEXTRACT(B9062, ""/detail/([^/?]+)"") &amp; """""","""),"""dhabdofcfmbcogjdnlnjnodicfmaaiej"",")</f>
        <v>"dhabdofcfmbcogjdnlnjnodicfmaaiej",</v>
      </c>
    </row>
    <row r="9063">
      <c r="A9063" s="4" t="s">
        <v>28242</v>
      </c>
      <c r="B9063" s="4" t="s">
        <v>18034</v>
      </c>
      <c r="C9063" s="16" t="str">
        <f>IFERROR(__xludf.DUMMYFUNCTION(""""""""" &amp; REGEXEXTRACT(B9063, ""/detail/([^/?]+)"") &amp; """""","""),"""ehdcdancjbfkckpjnpjlakcfililnhkl"",")</f>
        <v>"ehdcdancjbfkckpjnpjlakcfililnhkl",</v>
      </c>
    </row>
    <row r="9064">
      <c r="A9064" s="4" t="s">
        <v>28243</v>
      </c>
      <c r="B9064" s="4" t="s">
        <v>18036</v>
      </c>
      <c r="C9064" s="16" t="str">
        <f>IFERROR(__xludf.DUMMYFUNCTION(""""""""" &amp; REGEXEXTRACT(B9064, ""/detail/([^/?]+)"") &amp; """""","""),"""fmceajdookgglbnmeonlcedeoajmchpn"",")</f>
        <v>"fmceajdookgglbnmeonlcedeoajmchpn",</v>
      </c>
    </row>
    <row r="9065">
      <c r="A9065" s="4" t="s">
        <v>28244</v>
      </c>
      <c r="B9065" s="4" t="s">
        <v>18038</v>
      </c>
      <c r="C9065" s="16" t="str">
        <f>IFERROR(__xludf.DUMMYFUNCTION(""""""""" &amp; REGEXEXTRACT(B9065, ""/detail/([^/?]+)"") &amp; """""","""),"""iodgmdnioenechbmenajalhpadghigfa"",")</f>
        <v>"iodgmdnioenechbmenajalhpadghigfa",</v>
      </c>
    </row>
    <row r="9066">
      <c r="A9066" s="4" t="s">
        <v>28245</v>
      </c>
      <c r="B9066" s="4" t="s">
        <v>18040</v>
      </c>
      <c r="C9066" s="16" t="str">
        <f>IFERROR(__xludf.DUMMYFUNCTION(""""""""" &amp; REGEXEXTRACT(B9066, ""/detail/([^/?]+)"") &amp; """""","""),"""likibnmpifknedmpikkllcfikoknafen"",")</f>
        <v>"likibnmpifknedmpikkllcfikoknafen",</v>
      </c>
    </row>
    <row r="9067">
      <c r="A9067" s="4" t="s">
        <v>28246</v>
      </c>
      <c r="B9067" s="4" t="s">
        <v>18042</v>
      </c>
      <c r="C9067" s="16" t="str">
        <f>IFERROR(__xludf.DUMMYFUNCTION(""""""""" &amp; REGEXEXTRACT(B9067, ""/detail/([^/?]+)"") &amp; """""","""),"""llimijeljhcflhcakemjahakijmllgbe"",")</f>
        <v>"llimijeljhcflhcakemjahakijmllgbe",</v>
      </c>
    </row>
    <row r="9068">
      <c r="A9068" s="4" t="s">
        <v>28247</v>
      </c>
      <c r="B9068" s="4" t="s">
        <v>18044</v>
      </c>
      <c r="C9068" s="16" t="str">
        <f>IFERROR(__xludf.DUMMYFUNCTION(""""""""" &amp; REGEXEXTRACT(B9068, ""/detail/([^/?]+)"") &amp; """""","""),"""pbjkodijnlbkbbkjmhgemlpigeaoaken"",")</f>
        <v>"pbjkodijnlbkbbkjmhgemlpigeaoaken",</v>
      </c>
    </row>
    <row r="9069">
      <c r="A9069" s="4" t="s">
        <v>28248</v>
      </c>
      <c r="B9069" s="4" t="s">
        <v>18046</v>
      </c>
      <c r="C9069" s="16" t="str">
        <f>IFERROR(__xludf.DUMMYFUNCTION(""""""""" &amp; REGEXEXTRACT(B9069, ""/detail/([^/?]+)"") &amp; """""","""),"""dnkbidmoaefofeklbalbfncodbfhcpgn"",")</f>
        <v>"dnkbidmoaefofeklbalbfncodbfhcpgn",</v>
      </c>
    </row>
    <row r="9070">
      <c r="A9070" s="4" t="s">
        <v>28249</v>
      </c>
      <c r="B9070" s="4" t="s">
        <v>18048</v>
      </c>
      <c r="C9070" s="16" t="str">
        <f>IFERROR(__xludf.DUMMYFUNCTION(""""""""" &amp; REGEXEXTRACT(B9070, ""/detail/([^/?]+)"") &amp; """""","""),"""eimfpbhegdjjclmjalemkpkgngdolccp"",")</f>
        <v>"eimfpbhegdjjclmjalemkpkgngdolccp",</v>
      </c>
    </row>
    <row r="9071">
      <c r="A9071" s="4" t="s">
        <v>28250</v>
      </c>
      <c r="B9071" s="4" t="s">
        <v>18050</v>
      </c>
      <c r="C9071" s="16" t="str">
        <f>IFERROR(__xludf.DUMMYFUNCTION(""""""""" &amp; REGEXEXTRACT(B9071, ""/detail/([^/?]+)"") &amp; """""","""),"""fnapinimcdpmgkedhjbfckmpjppnbhba"",")</f>
        <v>"fnapinimcdpmgkedhjbfckmpjppnbhba",</v>
      </c>
    </row>
    <row r="9072">
      <c r="A9072" s="4" t="s">
        <v>28251</v>
      </c>
      <c r="B9072" s="4" t="s">
        <v>18052</v>
      </c>
      <c r="C9072" s="16" t="str">
        <f>IFERROR(__xludf.DUMMYFUNCTION(""""""""" &amp; REGEXEXTRACT(B9072, ""/detail/([^/?]+)"") &amp; """""","""),"""lhiljglgmbfgpamafdpljdplhkfnnboh"",")</f>
        <v>"lhiljglgmbfgpamafdpljdplhkfnnboh",</v>
      </c>
    </row>
    <row r="9073">
      <c r="A9073" s="4" t="s">
        <v>28252</v>
      </c>
      <c r="B9073" s="4" t="s">
        <v>18054</v>
      </c>
      <c r="C9073" s="16" t="str">
        <f>IFERROR(__xludf.DUMMYFUNCTION(""""""""" &amp; REGEXEXTRACT(B9073, ""/detail/([^/?]+)"") &amp; """""","""),"""lljbpnomhjlnohbcipjjjmnbncfofobe"",")</f>
        <v>"lljbpnomhjlnohbcipjjjmnbncfofobe",</v>
      </c>
    </row>
    <row r="9074">
      <c r="A9074" s="4" t="s">
        <v>28253</v>
      </c>
      <c r="B9074" s="4" t="s">
        <v>18056</v>
      </c>
      <c r="C9074" s="16" t="str">
        <f>IFERROR(__xludf.DUMMYFUNCTION(""""""""" &amp; REGEXEXTRACT(B9074, ""/detail/([^/?]+)"") &amp; """""","""),"""maaihlnpjfbdfajjbhbpmjpklkodbdca"",")</f>
        <v>"maaihlnpjfbdfajjbhbpmjpklkodbdca",</v>
      </c>
    </row>
    <row r="9075">
      <c r="A9075" s="4" t="s">
        <v>28254</v>
      </c>
      <c r="B9075" s="4" t="s">
        <v>18058</v>
      </c>
      <c r="C9075" s="16" t="str">
        <f>IFERROR(__xludf.DUMMYFUNCTION(""""""""" &amp; REGEXEXTRACT(B9075, ""/detail/([^/?]+)"") &amp; """""","""),"""pkfmefgcldahebkaebdcjlkgijkaebmg"",")</f>
        <v>"pkfmefgcldahebkaebdcjlkgijkaebmg",</v>
      </c>
    </row>
    <row r="9076">
      <c r="A9076" s="4" t="s">
        <v>28255</v>
      </c>
      <c r="B9076" s="4" t="s">
        <v>18060</v>
      </c>
      <c r="C9076" s="16" t="str">
        <f>IFERROR(__xludf.DUMMYFUNCTION(""""""""" &amp; REGEXEXTRACT(B9076, ""/detail/([^/?]+)"") &amp; """""","""),"""bmmflkcfgkjchdcgfmdleaekoplpjlgb"",")</f>
        <v>"bmmflkcfgkjchdcgfmdleaekoplpjlgb",</v>
      </c>
    </row>
    <row r="9077">
      <c r="A9077" s="4" t="s">
        <v>28256</v>
      </c>
      <c r="B9077" s="4" t="s">
        <v>18062</v>
      </c>
      <c r="C9077" s="16" t="str">
        <f>IFERROR(__xludf.DUMMYFUNCTION(""""""""" &amp; REGEXEXTRACT(B9077, ""/detail/([^/?]+)"") &amp; """""","""),"""dghlnbdlgkaocplkljohkjdbhpghgboo"",")</f>
        <v>"dghlnbdlgkaocplkljohkjdbhpghgboo",</v>
      </c>
    </row>
    <row r="9078">
      <c r="A9078" s="4" t="s">
        <v>28257</v>
      </c>
      <c r="B9078" s="4" t="s">
        <v>18064</v>
      </c>
      <c r="C9078" s="16" t="str">
        <f>IFERROR(__xludf.DUMMYFUNCTION(""""""""" &amp; REGEXEXTRACT(B9078, ""/detail/([^/?]+)"") &amp; """""","""),"""emclpejnhkiogdlimfgipbdfpdcnhhoj"",")</f>
        <v>"emclpejnhkiogdlimfgipbdfpdcnhhoj",</v>
      </c>
    </row>
    <row r="9079">
      <c r="A9079" s="4" t="s">
        <v>28258</v>
      </c>
      <c r="B9079" s="4" t="s">
        <v>18066</v>
      </c>
      <c r="C9079" s="16" t="str">
        <f>IFERROR(__xludf.DUMMYFUNCTION(""""""""" &amp; REGEXEXTRACT(B9079, ""/detail/([^/?]+)"") &amp; """""","""),"""fbnkdiommanmaggjbppgecgpekigaceb"",")</f>
        <v>"fbnkdiommanmaggjbppgecgpekigaceb",</v>
      </c>
    </row>
    <row r="9080">
      <c r="A9080" s="4" t="s">
        <v>28259</v>
      </c>
      <c r="B9080" s="4" t="s">
        <v>18068</v>
      </c>
      <c r="C9080" s="16" t="str">
        <f>IFERROR(__xludf.DUMMYFUNCTION(""""""""" &amp; REGEXEXTRACT(B9080, ""/detail/([^/?]+)"") &amp; """""","""),"""fipaibmadbngajchpclbkjlomacfbicc"",")</f>
        <v>"fipaibmadbngajchpclbkjlomacfbicc",</v>
      </c>
    </row>
    <row r="9081">
      <c r="A9081" s="4" t="s">
        <v>28260</v>
      </c>
      <c r="B9081" s="4" t="s">
        <v>18070</v>
      </c>
      <c r="C9081" s="16" t="str">
        <f>IFERROR(__xludf.DUMMYFUNCTION(""""""""" &amp; REGEXEXTRACT(B9081, ""/detail/([^/?]+)"") &amp; """""","""),"""gbpjnlpngmlonccincackjglapdnlckf"",")</f>
        <v>"gbpjnlpngmlonccincackjglapdnlckf",</v>
      </c>
    </row>
    <row r="9082">
      <c r="A9082" s="4" t="s">
        <v>28261</v>
      </c>
      <c r="B9082" s="4" t="s">
        <v>18072</v>
      </c>
      <c r="C9082" s="16" t="str">
        <f>IFERROR(__xludf.DUMMYFUNCTION(""""""""" &amp; REGEXEXTRACT(B9082, ""/detail/([^/?]+)"") &amp; """""","""),"""gmklieclhlmicflemopmbllaldmejnkp"",")</f>
        <v>"gmklieclhlmicflemopmbllaldmejnkp",</v>
      </c>
    </row>
    <row r="9083">
      <c r="A9083" s="4" t="s">
        <v>28262</v>
      </c>
      <c r="B9083" s="4" t="s">
        <v>18074</v>
      </c>
      <c r="C9083" s="16" t="str">
        <f>IFERROR(__xludf.DUMMYFUNCTION(""""""""" &amp; REGEXEXTRACT(B9083, ""/detail/([^/?]+)"") &amp; """""","""),"""ioknjbncflfoefodkjodmddcpahnhkgh"",")</f>
        <v>"ioknjbncflfoefodkjodmddcpahnhkgh",</v>
      </c>
    </row>
    <row r="9084">
      <c r="A9084" s="4" t="s">
        <v>28263</v>
      </c>
      <c r="B9084" s="4" t="s">
        <v>18076</v>
      </c>
      <c r="C9084" s="16" t="str">
        <f>IFERROR(__xludf.DUMMYFUNCTION(""""""""" &amp; REGEXEXTRACT(B9084, ""/detail/([^/?]+)"") &amp; """""","""),"""ogkhimnfjdkddagddmckolplacmmhiai"",")</f>
        <v>"ogkhimnfjdkddagddmckolplacmmhiai",</v>
      </c>
    </row>
    <row r="9085">
      <c r="A9085" s="4" t="s">
        <v>28264</v>
      </c>
      <c r="B9085" s="4" t="s">
        <v>18078</v>
      </c>
      <c r="C9085" s="16" t="str">
        <f>IFERROR(__xludf.DUMMYFUNCTION(""""""""" &amp; REGEXEXTRACT(B9085, ""/detail/([^/?]+)"") &amp; """""","""),"""omcldlkglopofaoiicnhommadfecgdeo"",")</f>
        <v>"omcldlkglopofaoiicnhommadfecgdeo",</v>
      </c>
    </row>
    <row r="9086">
      <c r="A9086" s="4" t="s">
        <v>28265</v>
      </c>
      <c r="B9086" s="4" t="s">
        <v>18080</v>
      </c>
      <c r="C9086" s="16" t="str">
        <f>IFERROR(__xludf.DUMMYFUNCTION(""""""""" &amp; REGEXEXTRACT(B9086, ""/detail/([^/?]+)"") &amp; """""","""),"""plpjemecoefaeikldhckbggehnhiokjn"",")</f>
        <v>"plpjemecoefaeikldhckbggehnhiokjn",</v>
      </c>
    </row>
    <row r="9087">
      <c r="A9087" s="4" t="s">
        <v>28266</v>
      </c>
      <c r="B9087" s="4" t="s">
        <v>18082</v>
      </c>
      <c r="C9087" s="16" t="str">
        <f>IFERROR(__xludf.DUMMYFUNCTION(""""""""" &amp; REGEXEXTRACT(B9087, ""/detail/([^/?]+)"") &amp; """""","""),"""clofnhpoigphigpholmoimnmkojlpmjg"",")</f>
        <v>"clofnhpoigphigpholmoimnmkojlpmjg",</v>
      </c>
    </row>
    <row r="9088">
      <c r="A9088" s="4" t="s">
        <v>28267</v>
      </c>
      <c r="B9088" s="4" t="s">
        <v>18084</v>
      </c>
      <c r="C9088" s="16" t="str">
        <f>IFERROR(__xludf.DUMMYFUNCTION(""""""""" &amp; REGEXEXTRACT(B9088, ""/detail/([^/?]+)"") &amp; """""","""),"""fiomkbglnahplbafedejbebpfnmmpgdj"",")</f>
        <v>"fiomkbglnahplbafedejbebpfnmmpgdj",</v>
      </c>
    </row>
    <row r="9089">
      <c r="A9089" s="4" t="s">
        <v>28268</v>
      </c>
      <c r="B9089" s="4" t="s">
        <v>18086</v>
      </c>
      <c r="C9089" s="16" t="str">
        <f>IFERROR(__xludf.DUMMYFUNCTION(""""""""" &amp; REGEXEXTRACT(B9089, ""/detail/([^/?]+)"") &amp; """""","""),"""jgfpgkknopphgdcaoclnaoecckinkhda"",")</f>
        <v>"jgfpgkknopphgdcaoclnaoecckinkhda",</v>
      </c>
    </row>
    <row r="9090">
      <c r="A9090" s="4" t="s">
        <v>28269</v>
      </c>
      <c r="B9090" s="4" t="s">
        <v>18088</v>
      </c>
      <c r="C9090" s="16" t="str">
        <f>IFERROR(__xludf.DUMMYFUNCTION(""""""""" &amp; REGEXEXTRACT(B9090, ""/detail/([^/?]+)"") &amp; """""","""),"""negipcmgbepcfhamlpdbkepipeiidkfk"",")</f>
        <v>"negipcmgbepcfhamlpdbkepipeiidkfk",</v>
      </c>
    </row>
    <row r="9091">
      <c r="A9091" s="4" t="s">
        <v>28270</v>
      </c>
      <c r="B9091" s="4" t="s">
        <v>18090</v>
      </c>
      <c r="C9091" s="16" t="str">
        <f>IFERROR(__xludf.DUMMYFUNCTION(""""""""" &amp; REGEXEXTRACT(B9091, ""/detail/([^/?]+)"") &amp; """""","""),"""odifiogjabgjhgkodimeiikghfgpfaoh"",")</f>
        <v>"odifiogjabgjhgkodimeiikghfgpfaoh",</v>
      </c>
    </row>
    <row r="9092">
      <c r="A9092" s="4" t="s">
        <v>28271</v>
      </c>
      <c r="B9092" s="4" t="s">
        <v>18092</v>
      </c>
      <c r="C9092" s="16" t="str">
        <f>IFERROR(__xludf.DUMMYFUNCTION(""""""""" &amp; REGEXEXTRACT(B9092, ""/detail/([^/?]+)"") &amp; """""","""),"""pcdmjenfjbffehpfmmdbkbdbgllpnmac"",")</f>
        <v>"pcdmjenfjbffehpfmmdbkbdbgllpnmac",</v>
      </c>
    </row>
    <row r="9093">
      <c r="A9093" s="4" t="s">
        <v>28272</v>
      </c>
      <c r="B9093" s="4" t="s">
        <v>18094</v>
      </c>
      <c r="C9093" s="16" t="str">
        <f>IFERROR(__xludf.DUMMYFUNCTION(""""""""" &amp; REGEXEXTRACT(B9093, ""/detail/([^/?]+)"") &amp; """""","""),"""alanjgmjccmkkpmpejgdhaodfjlmcone"",")</f>
        <v>"alanjgmjccmkkpmpejgdhaodfjlmcone",</v>
      </c>
    </row>
    <row r="9094">
      <c r="A9094" s="4" t="s">
        <v>28273</v>
      </c>
      <c r="B9094" s="4" t="s">
        <v>18096</v>
      </c>
      <c r="C9094" s="16" t="str">
        <f>IFERROR(__xludf.DUMMYFUNCTION(""""""""" &amp; REGEXEXTRACT(B9094, ""/detail/([^/?]+)"") &amp; """""","""),"""bnlabgojebipbkffbebpecgapkakdikp"",")</f>
        <v>"bnlabgojebipbkffbebpecgapkakdikp",</v>
      </c>
    </row>
    <row r="9095">
      <c r="A9095" s="4" t="s">
        <v>28274</v>
      </c>
      <c r="B9095" s="4" t="s">
        <v>18098</v>
      </c>
      <c r="C9095" s="16" t="str">
        <f>IFERROR(__xludf.DUMMYFUNCTION(""""""""" &amp; REGEXEXTRACT(B9095, ""/detail/([^/?]+)"") &amp; """""","""),"""ejnboneedfadhjddmbckhflmpnlcomge"",")</f>
        <v>"ejnboneedfadhjddmbckhflmpnlcomge",</v>
      </c>
    </row>
    <row r="9096">
      <c r="A9096" s="4" t="s">
        <v>28275</v>
      </c>
      <c r="B9096" s="4" t="s">
        <v>18100</v>
      </c>
      <c r="C9096" s="16" t="str">
        <f>IFERROR(__xludf.DUMMYFUNCTION(""""""""" &amp; REGEXEXTRACT(B9096, ""/detail/([^/?]+)"") &amp; """""","""),"""ghfpifklepifimmmnfggkakdiahccacp"",")</f>
        <v>"ghfpifklepifimmmnfggkakdiahccacp",</v>
      </c>
    </row>
    <row r="9097">
      <c r="A9097" s="4" t="s">
        <v>28276</v>
      </c>
      <c r="B9097" s="4" t="s">
        <v>18102</v>
      </c>
      <c r="C9097" s="16" t="str">
        <f>IFERROR(__xludf.DUMMYFUNCTION(""""""""" &amp; REGEXEXTRACT(B9097, ""/detail/([^/?]+)"") &amp; """""","""),"""ipijpiahkomdgeglkmndmegpgkfeddaj"",")</f>
        <v>"ipijpiahkomdgeglkmndmegpgkfeddaj",</v>
      </c>
    </row>
    <row r="9098">
      <c r="A9098" s="4" t="s">
        <v>28277</v>
      </c>
      <c r="B9098" s="4" t="s">
        <v>18104</v>
      </c>
      <c r="C9098" s="16" t="str">
        <f>IFERROR(__xludf.DUMMYFUNCTION(""""""""" &amp; REGEXEXTRACT(B9098, ""/detail/([^/?]+)"") &amp; """""","""),"""jcinkpfmclffaehlhmpfbicnkgpanmjo"",")</f>
        <v>"jcinkpfmclffaehlhmpfbicnkgpanmjo",</v>
      </c>
    </row>
    <row r="9099">
      <c r="A9099" s="4" t="s">
        <v>28278</v>
      </c>
      <c r="B9099" s="4" t="s">
        <v>18106</v>
      </c>
      <c r="C9099" s="16" t="str">
        <f>IFERROR(__xludf.DUMMYFUNCTION(""""""""" &amp; REGEXEXTRACT(B9099, ""/detail/([^/?]+)"") &amp; """""","""),"""kfenghlfdhpjbnmdmbhnhhojdcofilcd"",")</f>
        <v>"kfenghlfdhpjbnmdmbhnhhojdcofilcd",</v>
      </c>
    </row>
    <row r="9100">
      <c r="A9100" s="4" t="s">
        <v>28279</v>
      </c>
      <c r="B9100" s="4" t="s">
        <v>18108</v>
      </c>
      <c r="C9100" s="16" t="str">
        <f>IFERROR(__xludf.DUMMYFUNCTION(""""""""" &amp; REGEXEXTRACT(B9100, ""/detail/([^/?]+)"") &amp; """""","""),"""lcgbimfijafcjjijgjoodgpblgmkckhn"",")</f>
        <v>"lcgbimfijafcjjijgjoodgpblgmkckhn",</v>
      </c>
    </row>
    <row r="9101">
      <c r="A9101" s="4" t="s">
        <v>28280</v>
      </c>
      <c r="B9101" s="4" t="s">
        <v>18110</v>
      </c>
      <c r="C9101" s="16" t="str">
        <f>IFERROR(__xludf.DUMMYFUNCTION(""""""""" &amp; REGEXEXTRACT(B9101, ""/detail/([^/?]+)"") &amp; """""","""),"""mnipkeanijngbipifgacmcjjhkiklddc"",")</f>
        <v>"mnipkeanijngbipifgacmcjjhkiklddc",</v>
      </c>
    </row>
    <row r="9102">
      <c r="A9102" s="4" t="s">
        <v>28281</v>
      </c>
      <c r="B9102" s="4" t="s">
        <v>18112</v>
      </c>
      <c r="C9102" s="16" t="str">
        <f>IFERROR(__xludf.DUMMYFUNCTION(""""""""" &amp; REGEXEXTRACT(B9102, ""/detail/([^/?]+)"") &amp; """""","""),"""ojaledjgjlkpjaebmdphdkcmljibaeen"",")</f>
        <v>"ojaledjgjlkpjaebmdphdkcmljibaeen",</v>
      </c>
    </row>
    <row r="9103">
      <c r="A9103" s="4" t="s">
        <v>28282</v>
      </c>
      <c r="B9103" s="4" t="s">
        <v>18114</v>
      </c>
      <c r="C9103" s="16" t="str">
        <f>IFERROR(__xludf.DUMMYFUNCTION(""""""""" &amp; REGEXEXTRACT(B9103, ""/detail/([^/?]+)"") &amp; """""","""),"""cmbmkopbnnbhdeknahmdkfkjogdlbdjf"",")</f>
        <v>"cmbmkopbnnbhdeknahmdkfkjogdlbdjf",</v>
      </c>
    </row>
    <row r="9104">
      <c r="A9104" s="4" t="s">
        <v>28283</v>
      </c>
      <c r="B9104" s="4" t="s">
        <v>18116</v>
      </c>
      <c r="C9104" s="16" t="str">
        <f>IFERROR(__xludf.DUMMYFUNCTION(""""""""" &amp; REGEXEXTRACT(B9104, ""/detail/([^/?]+)"") &amp; """""","""),"""dhnojfogghcjfmlomjdaohbfldkblfap"",")</f>
        <v>"dhnojfogghcjfmlomjdaohbfldkblfap",</v>
      </c>
    </row>
    <row r="9105">
      <c r="A9105" s="4" t="s">
        <v>28284</v>
      </c>
      <c r="B9105" s="4" t="s">
        <v>18118</v>
      </c>
      <c r="C9105" s="16" t="str">
        <f>IFERROR(__xludf.DUMMYFUNCTION(""""""""" &amp; REGEXEXTRACT(B9105, ""/detail/([^/?]+)"") &amp; """""","""),"""fcakhfmaloljamcmhcedibdmbdpihdin"",")</f>
        <v>"fcakhfmaloljamcmhcedibdmbdpihdin",</v>
      </c>
    </row>
    <row r="9106">
      <c r="A9106" s="4" t="s">
        <v>28285</v>
      </c>
      <c r="B9106" s="4" t="s">
        <v>18120</v>
      </c>
      <c r="C9106" s="16" t="str">
        <f>IFERROR(__xludf.DUMMYFUNCTION(""""""""" &amp; REGEXEXTRACT(B9106, ""/detail/([^/?]+)"") &amp; """""","""),"""kmdmcbadibaallgjciaabcimfbdcgaom"",")</f>
        <v>"kmdmcbadibaallgjciaabcimfbdcgaom",</v>
      </c>
    </row>
    <row r="9107">
      <c r="A9107" s="4" t="s">
        <v>28286</v>
      </c>
      <c r="B9107" s="4" t="s">
        <v>18122</v>
      </c>
      <c r="C9107" s="16" t="str">
        <f>IFERROR(__xludf.DUMMYFUNCTION(""""""""" &amp; REGEXEXTRACT(B9107, ""/detail/([^/?]+)"") &amp; """""","""),"""mdpeibincallapdamgmhhpneloaoipii"",")</f>
        <v>"mdpeibincallapdamgmhhpneloaoipii",</v>
      </c>
    </row>
    <row r="9108">
      <c r="A9108" s="4" t="s">
        <v>28287</v>
      </c>
      <c r="B9108" s="4" t="s">
        <v>18124</v>
      </c>
      <c r="C9108" s="16" t="str">
        <f>IFERROR(__xludf.DUMMYFUNCTION(""""""""" &amp; REGEXEXTRACT(B9108, ""/detail/([^/?]+)"") &amp; """""","""),"""papagkpjldglcaifeipgcfkhddlefnkk"",")</f>
        <v>"papagkpjldglcaifeipgcfkhddlefnkk",</v>
      </c>
    </row>
    <row r="9109">
      <c r="A9109" s="4" t="s">
        <v>28288</v>
      </c>
      <c r="B9109" s="4" t="s">
        <v>18126</v>
      </c>
      <c r="C9109" s="16" t="str">
        <f>IFERROR(__xludf.DUMMYFUNCTION(""""""""" &amp; REGEXEXTRACT(B9109, ""/detail/([^/?]+)"") &amp; """""","""),"""plhaoajbhnjfbdkkimekccjpojkphmmp"",")</f>
        <v>"plhaoajbhnjfbdkkimekccjpojkphmmp",</v>
      </c>
    </row>
    <row r="9110">
      <c r="A9110" s="4" t="s">
        <v>28289</v>
      </c>
      <c r="B9110" s="4" t="s">
        <v>18128</v>
      </c>
      <c r="C9110" s="16" t="str">
        <f>IFERROR(__xludf.DUMMYFUNCTION(""""""""" &amp; REGEXEXTRACT(B9110, ""/detail/([^/?]+)"") &amp; """""","""),"""dioedokjeinagmkffeoffbiiclofpjgd"",")</f>
        <v>"dioedokjeinagmkffeoffbiiclofpjgd",</v>
      </c>
    </row>
    <row r="9111">
      <c r="A9111" s="4" t="s">
        <v>28290</v>
      </c>
      <c r="B9111" s="4" t="s">
        <v>18130</v>
      </c>
      <c r="C9111" s="16" t="str">
        <f>IFERROR(__xludf.DUMMYFUNCTION(""""""""" &amp; REGEXEXTRACT(B9111, ""/detail/([^/?]+)"") &amp; """""","""),"""eolfdjgkgipepdbbfokjnlohdbdpmafe"",")</f>
        <v>"eolfdjgkgipepdbbfokjnlohdbdpmafe",</v>
      </c>
    </row>
    <row r="9112">
      <c r="A9112" s="4" t="s">
        <v>28291</v>
      </c>
      <c r="B9112" s="4" t="s">
        <v>18132</v>
      </c>
      <c r="C9112" s="16" t="str">
        <f>IFERROR(__xludf.DUMMYFUNCTION(""""""""" &amp; REGEXEXTRACT(B9112, ""/detail/([^/?]+)"") &amp; """""","""),"""hflmhkgipblnfcplmdlkcknmenjmnedp"",")</f>
        <v>"hflmhkgipblnfcplmdlkcknmenjmnedp",</v>
      </c>
    </row>
    <row r="9113">
      <c r="A9113" s="4" t="s">
        <v>28292</v>
      </c>
      <c r="B9113" s="4" t="s">
        <v>18134</v>
      </c>
      <c r="C9113" s="16" t="str">
        <f>IFERROR(__xludf.DUMMYFUNCTION(""""""""" &amp; REGEXEXTRACT(B9113, ""/detail/([^/?]+)"") &amp; """""","""),"""ooajpgmiljldhgplahlcofjljmoibkfh"",")</f>
        <v>"ooajpgmiljldhgplahlcofjljmoibkfh",</v>
      </c>
    </row>
    <row r="9114">
      <c r="A9114" s="4" t="s">
        <v>28293</v>
      </c>
      <c r="B9114" s="4" t="s">
        <v>18136</v>
      </c>
      <c r="C9114" s="16" t="str">
        <f>IFERROR(__xludf.DUMMYFUNCTION(""""""""" &amp; REGEXEXTRACT(B9114, ""/detail/([^/?]+)"") &amp; """""","""),"""pdbloggijnnlfodlddjfaemaegfpdgea"",")</f>
        <v>"pdbloggijnnlfodlddjfaemaegfpdgea",</v>
      </c>
    </row>
    <row r="9115">
      <c r="A9115" s="4" t="s">
        <v>28294</v>
      </c>
      <c r="B9115" s="4" t="s">
        <v>18138</v>
      </c>
      <c r="C9115" s="16" t="str">
        <f>IFERROR(__xludf.DUMMYFUNCTION(""""""""" &amp; REGEXEXTRACT(B9115, ""/detail/([^/?]+)"") &amp; """""","""),"""ddagcmmgpaibmjkiobcgggeiblnjnfkm"",")</f>
        <v>"ddagcmmgpaibmjkiobcgggeiblnjnfkm",</v>
      </c>
    </row>
    <row r="9116">
      <c r="A9116" s="4" t="s">
        <v>28295</v>
      </c>
      <c r="B9116" s="4" t="s">
        <v>18140</v>
      </c>
      <c r="C9116" s="16" t="str">
        <f>IFERROR(__xludf.DUMMYFUNCTION(""""""""" &amp; REGEXEXTRACT(B9116, ""/detail/([^/?]+)"") &amp; """""","""),"""dnpclnddefebpffecjjfaebhoiekpggj"",")</f>
        <v>"dnpclnddefebpffecjjfaebhoiekpggj",</v>
      </c>
    </row>
    <row r="9117">
      <c r="A9117" s="4" t="s">
        <v>28296</v>
      </c>
      <c r="B9117" s="4" t="s">
        <v>18142</v>
      </c>
      <c r="C9117" s="16" t="str">
        <f>IFERROR(__xludf.DUMMYFUNCTION(""""""""" &amp; REGEXEXTRACT(B9117, ""/detail/([^/?]+)"") &amp; """""","""),"""gddplijpjcadnhpnlpkjoppgedpengbo"",")</f>
        <v>"gddplijpjcadnhpnlpkjoppgedpengbo",</v>
      </c>
    </row>
    <row r="9118">
      <c r="A9118" s="4" t="s">
        <v>28297</v>
      </c>
      <c r="B9118" s="4" t="s">
        <v>18144</v>
      </c>
      <c r="C9118" s="16" t="str">
        <f>IFERROR(__xludf.DUMMYFUNCTION(""""""""" &amp; REGEXEXTRACT(B9118, ""/detail/([^/?]+)"") &amp; """""","""),"""kakifckibanjlglpkbnfdichejplgdap"",")</f>
        <v>"kakifckibanjlglpkbnfdichejplgdap",</v>
      </c>
    </row>
    <row r="9119">
      <c r="A9119" s="4" t="s">
        <v>28298</v>
      </c>
      <c r="B9119" s="4" t="s">
        <v>18146</v>
      </c>
      <c r="C9119" s="16" t="str">
        <f>IFERROR(__xludf.DUMMYFUNCTION(""""""""" &amp; REGEXEXTRACT(B9119, ""/detail/([^/?]+)"") &amp; """""","""),"""kfdibhbheajeacnkkakomaliggbgndcf"",")</f>
        <v>"kfdibhbheajeacnkkakomaliggbgndcf",</v>
      </c>
    </row>
    <row r="9120">
      <c r="A9120" s="4" t="s">
        <v>28299</v>
      </c>
      <c r="B9120" s="4" t="s">
        <v>18148</v>
      </c>
      <c r="C9120" s="16" t="str">
        <f>IFERROR(__xludf.DUMMYFUNCTION(""""""""" &amp; REGEXEXTRACT(B9120, ""/detail/([^/?]+)"") &amp; """""","""),"""lafhdjlbfokddafjkiakhcmgkpnkeagh"",")</f>
        <v>"lafhdjlbfokddafjkiakhcmgkpnkeagh",</v>
      </c>
    </row>
    <row r="9121">
      <c r="A9121" s="4" t="s">
        <v>28300</v>
      </c>
      <c r="B9121" s="4" t="s">
        <v>18150</v>
      </c>
      <c r="C9121" s="16" t="str">
        <f>IFERROR(__xludf.DUMMYFUNCTION(""""""""" &amp; REGEXEXTRACT(B9121, ""/detail/([^/?]+)"") &amp; """""","""),"""nbihfiblmebjoppccegmiopkipcknedo"",")</f>
        <v>"nbihfiblmebjoppccegmiopkipcknedo",</v>
      </c>
    </row>
    <row r="9122">
      <c r="A9122" s="4" t="s">
        <v>28301</v>
      </c>
      <c r="B9122" s="4" t="s">
        <v>18152</v>
      </c>
      <c r="C9122" s="16" t="str">
        <f>IFERROR(__xludf.DUMMYFUNCTION(""""""""" &amp; REGEXEXTRACT(B9122, ""/detail/([^/?]+)"") &amp; """""","""),"""nkiecajlaphenndjpfjoeldeljkgpjec"",")</f>
        <v>"nkiecajlaphenndjpfjoeldeljkgpjec",</v>
      </c>
    </row>
    <row r="9123">
      <c r="A9123" s="4" t="s">
        <v>28302</v>
      </c>
      <c r="B9123" s="4" t="s">
        <v>18154</v>
      </c>
      <c r="C9123" s="16" t="str">
        <f>IFERROR(__xludf.DUMMYFUNCTION(""""""""" &amp; REGEXEXTRACT(B9123, ""/detail/([^/?]+)"") &amp; """""","""),"""onbipggmljeocamidpecljdkaicfibep"",")</f>
        <v>"onbipggmljeocamidpecljdkaicfibep",</v>
      </c>
    </row>
    <row r="9124">
      <c r="A9124" s="4" t="s">
        <v>28303</v>
      </c>
      <c r="B9124" s="4" t="s">
        <v>18156</v>
      </c>
      <c r="C9124" s="16" t="str">
        <f>IFERROR(__xludf.DUMMYFUNCTION(""""""""" &amp; REGEXEXTRACT(B9124, ""/detail/([^/?]+)"") &amp; """""","""),"""agijkohaieagbidlmjjlajhlkpfoegao"",")</f>
        <v>"agijkohaieagbidlmjjlajhlkpfoegao",</v>
      </c>
    </row>
    <row r="9125">
      <c r="A9125" s="4" t="s">
        <v>28304</v>
      </c>
      <c r="B9125" s="4" t="s">
        <v>18158</v>
      </c>
      <c r="C9125" s="16" t="str">
        <f>IFERROR(__xludf.DUMMYFUNCTION(""""""""" &amp; REGEXEXTRACT(B9125, ""/detail/([^/?]+)"") &amp; """""","""),"""cfmnokobeamddnjilinmidbkkdlheghh"",")</f>
        <v>"cfmnokobeamddnjilinmidbkkdlheghh",</v>
      </c>
    </row>
    <row r="9126">
      <c r="A9126" s="4" t="s">
        <v>28305</v>
      </c>
      <c r="B9126" s="4" t="s">
        <v>18160</v>
      </c>
      <c r="C9126" s="16" t="str">
        <f>IFERROR(__xludf.DUMMYFUNCTION(""""""""" &amp; REGEXEXTRACT(B9126, ""/detail/([^/?]+)"") &amp; """""","""),"""fccbmnpilngffifjlblcnaaeoahbamfp"",")</f>
        <v>"fccbmnpilngffifjlblcnaaeoahbamfp",</v>
      </c>
    </row>
    <row r="9127">
      <c r="A9127" s="4" t="s">
        <v>28306</v>
      </c>
      <c r="B9127" s="4" t="s">
        <v>18162</v>
      </c>
      <c r="C9127" s="16" t="str">
        <f>IFERROR(__xludf.DUMMYFUNCTION(""""""""" &amp; REGEXEXTRACT(B9127, ""/detail/([^/?]+)"") &amp; """""","""),"""mcdomdjmmhkcdhejlgfjmnljkkedogln"",")</f>
        <v>"mcdomdjmmhkcdhejlgfjmnljkkedogln",</v>
      </c>
    </row>
    <row r="9128">
      <c r="A9128" s="4" t="s">
        <v>28307</v>
      </c>
      <c r="B9128" s="4" t="s">
        <v>18164</v>
      </c>
      <c r="C9128" s="16" t="str">
        <f>IFERROR(__xludf.DUMMYFUNCTION(""""""""" &amp; REGEXEXTRACT(B9128, ""/detail/([^/?]+)"") &amp; """""","""),"""mfgdchikohkibmghmbklpiijfakcmlfl"",")</f>
        <v>"mfgdchikohkibmghmbklpiijfakcmlfl",</v>
      </c>
    </row>
    <row r="9129">
      <c r="A9129" s="4" t="s">
        <v>28308</v>
      </c>
      <c r="B9129" s="4" t="s">
        <v>18166</v>
      </c>
      <c r="C9129" s="16" t="str">
        <f>IFERROR(__xludf.DUMMYFUNCTION(""""""""" &amp; REGEXEXTRACT(B9129, ""/detail/([^/?]+)"") &amp; """""","""),"""nfldfdiecanfehfklddallboddlhedgh"",")</f>
        <v>"nfldfdiecanfehfklddallboddlhedgh",</v>
      </c>
    </row>
    <row r="9130">
      <c r="A9130" s="4" t="s">
        <v>28309</v>
      </c>
      <c r="B9130" s="4" t="s">
        <v>18168</v>
      </c>
      <c r="C9130" s="16" t="str">
        <f>IFERROR(__xludf.DUMMYFUNCTION(""""""""" &amp; REGEXEXTRACT(B9130, ""/detail/([^/?]+)"") &amp; """""","""),"""njnffblfmpifpannonhbmfiellngpade"",")</f>
        <v>"njnffblfmpifpannonhbmfiellngpade",</v>
      </c>
    </row>
    <row r="9131">
      <c r="A9131" s="4" t="s">
        <v>28310</v>
      </c>
      <c r="B9131" s="4" t="s">
        <v>18170</v>
      </c>
      <c r="C9131" s="16" t="str">
        <f>IFERROR(__xludf.DUMMYFUNCTION(""""""""" &amp; REGEXEXTRACT(B9131, ""/detail/([^/?]+)"") &amp; """""","""),"""obbcdbanojflckhlbghdaclhkdemindp"",")</f>
        <v>"obbcdbanojflckhlbghdaclhkdemindp",</v>
      </c>
    </row>
    <row r="9132">
      <c r="A9132" s="4" t="s">
        <v>28311</v>
      </c>
      <c r="B9132" s="4" t="s">
        <v>18172</v>
      </c>
      <c r="C9132" s="16" t="str">
        <f>IFERROR(__xludf.DUMMYFUNCTION(""""""""" &amp; REGEXEXTRACT(B9132, ""/detail/([^/?]+)"") &amp; """""","""),"""oendodccclbjedifljnlkapjejklgekf"",")</f>
        <v>"oendodccclbjedifljnlkapjejklgekf",</v>
      </c>
    </row>
    <row r="9133">
      <c r="A9133" s="4" t="s">
        <v>28312</v>
      </c>
      <c r="B9133" s="4" t="s">
        <v>18174</v>
      </c>
      <c r="C9133" s="16" t="str">
        <f>IFERROR(__xludf.DUMMYFUNCTION(""""""""" &amp; REGEXEXTRACT(B9133, ""/detail/([^/?]+)"") &amp; """""","""),"""hjbommnhodlfagkpepengkjokfpanpjj"",")</f>
        <v>"hjbommnhodlfagkpepengkjokfpanpjj",</v>
      </c>
    </row>
    <row r="9134">
      <c r="A9134" s="4" t="s">
        <v>28313</v>
      </c>
      <c r="B9134" s="4" t="s">
        <v>18176</v>
      </c>
      <c r="C9134" s="16" t="str">
        <f>IFERROR(__xludf.DUMMYFUNCTION(""""""""" &amp; REGEXEXTRACT(B9134, ""/detail/([^/?]+)"") &amp; """""","""),"""icphdcfpompgbdikholnedfeidemgobg"",")</f>
        <v>"icphdcfpompgbdikholnedfeidemgobg",</v>
      </c>
    </row>
    <row r="9135">
      <c r="A9135" s="4" t="s">
        <v>28314</v>
      </c>
      <c r="B9135" s="4" t="s">
        <v>18178</v>
      </c>
      <c r="C9135" s="16" t="str">
        <f>IFERROR(__xludf.DUMMYFUNCTION(""""""""" &amp; REGEXEXTRACT(B9135, ""/detail/([^/?]+)"") &amp; """""","""),"""iiolkehjeklhkdphaakkceadenbcdahj"",")</f>
        <v>"iiolkehjeklhkdphaakkceadenbcdahj",</v>
      </c>
    </row>
    <row r="9136">
      <c r="A9136" s="4" t="s">
        <v>28315</v>
      </c>
      <c r="B9136" s="4" t="s">
        <v>18180</v>
      </c>
      <c r="C9136" s="16" t="str">
        <f>IFERROR(__xludf.DUMMYFUNCTION(""""""""" &amp; REGEXEXTRACT(B9136, ""/detail/([^/?]+)"") &amp; """""","""),"""kolcdbonbggbngfdehifhfkcboihnnih"",")</f>
        <v>"kolcdbonbggbngfdehifhfkcboihnnih",</v>
      </c>
    </row>
    <row r="9137">
      <c r="A9137" s="4" t="s">
        <v>28316</v>
      </c>
      <c r="B9137" s="4" t="s">
        <v>18182</v>
      </c>
      <c r="C9137" s="16" t="str">
        <f>IFERROR(__xludf.DUMMYFUNCTION(""""""""" &amp; REGEXEXTRACT(B9137, ""/detail/([^/?]+)"") &amp; """""","""),"""cencjkmlbgldjkepigaaelkodbfbifba"",")</f>
        <v>"cencjkmlbgldjkepigaaelkodbfbifba",</v>
      </c>
    </row>
    <row r="9138">
      <c r="A9138" s="4" t="s">
        <v>28317</v>
      </c>
      <c r="B9138" s="4" t="s">
        <v>18184</v>
      </c>
      <c r="C9138" s="16" t="str">
        <f>IFERROR(__xludf.DUMMYFUNCTION(""""""""" &amp; REGEXEXTRACT(B9138, ""/detail/([^/?]+)"") &amp; """""","""),"""hhmhabdjafcnejipbcpfdkdhfolfpheo"",")</f>
        <v>"hhmhabdjafcnejipbcpfdkdhfolfpheo",</v>
      </c>
    </row>
    <row r="9139">
      <c r="A9139" s="4" t="s">
        <v>28318</v>
      </c>
      <c r="B9139" s="4" t="s">
        <v>18186</v>
      </c>
      <c r="C9139" s="16" t="str">
        <f>IFERROR(__xludf.DUMMYFUNCTION(""""""""" &amp; REGEXEXTRACT(B9139, ""/detail/([^/?]+)"") &amp; """""","""),"""ibmpjnmlhfboaljbechlinicnlpmlgnp"",")</f>
        <v>"ibmpjnmlhfboaljbechlinicnlpmlgnp",</v>
      </c>
    </row>
    <row r="9140">
      <c r="A9140" s="4" t="s">
        <v>28319</v>
      </c>
      <c r="B9140" s="4" t="s">
        <v>18188</v>
      </c>
      <c r="C9140" s="16" t="str">
        <f>IFERROR(__xludf.DUMMYFUNCTION(""""""""" &amp; REGEXEXTRACT(B9140, ""/detail/([^/?]+)"") &amp; """""","""),"""jgmilfbglekpibpaeflpioddklgajnno"",")</f>
        <v>"jgmilfbglekpibpaeflpioddklgajnno",</v>
      </c>
    </row>
    <row r="9141">
      <c r="A9141" s="4" t="s">
        <v>28320</v>
      </c>
      <c r="B9141" s="4" t="s">
        <v>18190</v>
      </c>
      <c r="C9141" s="16" t="str">
        <f>IFERROR(__xludf.DUMMYFUNCTION(""""""""" &amp; REGEXEXTRACT(B9141, ""/detail/([^/?]+)"") &amp; """""","""),"""nihfemnmeopfggpfdfjjfjclpimfchlk"",")</f>
        <v>"nihfemnmeopfggpfdfjjfjclpimfchlk",</v>
      </c>
    </row>
    <row r="9142">
      <c r="A9142" s="4" t="s">
        <v>28321</v>
      </c>
      <c r="B9142" s="4" t="s">
        <v>18192</v>
      </c>
      <c r="C9142" s="16" t="str">
        <f>IFERROR(__xludf.DUMMYFUNCTION(""""""""" &amp; REGEXEXTRACT(B9142, ""/detail/([^/?]+)"") &amp; """""","""),"""egcoefibmfbgpclkjljnmnljppfaafio"",")</f>
        <v>"egcoefibmfbgpclkjljnmnljppfaafio",</v>
      </c>
    </row>
    <row r="9143">
      <c r="A9143" s="4" t="s">
        <v>28322</v>
      </c>
      <c r="B9143" s="4" t="s">
        <v>18194</v>
      </c>
      <c r="C9143" s="16" t="str">
        <f>IFERROR(__xludf.DUMMYFUNCTION(""""""""" &amp; REGEXEXTRACT(B9143, ""/detail/([^/?]+)"") &amp; """""","""),"""ghcobbkjdobahlopkoohegcbgmnikpaa"",")</f>
        <v>"ghcobbkjdobahlopkoohegcbgmnikpaa",</v>
      </c>
    </row>
    <row r="9144">
      <c r="A9144" s="4" t="s">
        <v>28323</v>
      </c>
      <c r="B9144" s="4" t="s">
        <v>18196</v>
      </c>
      <c r="C9144" s="16" t="str">
        <f>IFERROR(__xludf.DUMMYFUNCTION(""""""""" &amp; REGEXEXTRACT(B9144, ""/detail/([^/?]+)"") &amp; """""","""),"""iajmbllmbjojpoilecapflgebmodnfio"",")</f>
        <v>"iajmbllmbjojpoilecapflgebmodnfio",</v>
      </c>
    </row>
    <row r="9145">
      <c r="A9145" s="4" t="s">
        <v>28324</v>
      </c>
      <c r="B9145" s="4" t="s">
        <v>18198</v>
      </c>
      <c r="C9145" s="16" t="str">
        <f>IFERROR(__xludf.DUMMYFUNCTION(""""""""" &amp; REGEXEXTRACT(B9145, ""/detail/([^/?]+)"") &amp; """""","""),"""pfickflbfbmpobjaglfcfjcebifakiln"",")</f>
        <v>"pfickflbfbmpobjaglfcfjcebifakiln",</v>
      </c>
    </row>
    <row r="9146">
      <c r="A9146" s="4" t="s">
        <v>28325</v>
      </c>
      <c r="B9146" s="4" t="s">
        <v>18200</v>
      </c>
      <c r="C9146" s="16" t="str">
        <f>IFERROR(__xludf.DUMMYFUNCTION(""""""""" &amp; REGEXEXTRACT(B9146, ""/detail/([^/?]+)"") &amp; """""","""),"""pknpbhgcekdpigobealnbgjbeaonegad"",")</f>
        <v>"pknpbhgcekdpigobealnbgjbeaonegad",</v>
      </c>
    </row>
    <row r="9147">
      <c r="A9147" s="4" t="s">
        <v>28326</v>
      </c>
      <c r="B9147" s="4" t="s">
        <v>18202</v>
      </c>
      <c r="C9147" s="16" t="str">
        <f>IFERROR(__xludf.DUMMYFUNCTION(""""""""" &amp; REGEXEXTRACT(B9147, ""/detail/([^/?]+)"") &amp; """""","""),"""dpipdndjcofdfhknlfloeokjiooiojoo"",")</f>
        <v>"dpipdndjcofdfhknlfloeokjiooiojoo",</v>
      </c>
    </row>
    <row r="9148">
      <c r="A9148" s="4" t="s">
        <v>28327</v>
      </c>
      <c r="B9148" s="4" t="s">
        <v>18204</v>
      </c>
      <c r="C9148" s="16" t="str">
        <f>IFERROR(__xludf.DUMMYFUNCTION(""""""""" &amp; REGEXEXTRACT(B9148, ""/detail/([^/?]+)"") &amp; """""","""),"""gfengfepgheocmfajdhhjgkodffaemio"",")</f>
        <v>"gfengfepgheocmfajdhhjgkodffaemio",</v>
      </c>
    </row>
    <row r="9149">
      <c r="A9149" s="4" t="s">
        <v>28328</v>
      </c>
      <c r="B9149" s="4" t="s">
        <v>18206</v>
      </c>
      <c r="C9149" s="16" t="str">
        <f>IFERROR(__xludf.DUMMYFUNCTION(""""""""" &amp; REGEXEXTRACT(B9149, ""/detail/([^/?]+)"") &amp; """""","""),"""gpejlkhibgecggplgogpbgbdpnhogmhk"",")</f>
        <v>"gpejlkhibgecggplgogpbgbdpnhogmhk",</v>
      </c>
    </row>
    <row r="9150">
      <c r="A9150" s="4" t="s">
        <v>28329</v>
      </c>
      <c r="B9150" s="4" t="s">
        <v>18208</v>
      </c>
      <c r="C9150" s="16" t="str">
        <f>IFERROR(__xludf.DUMMYFUNCTION(""""""""" &amp; REGEXEXTRACT(B9150, ""/detail/([^/?]+)"") &amp; """""","""),"""jlmpdldjipfblopcdkcfccmnmnmiajnb"",")</f>
        <v>"jlmpdldjipfblopcdkcfccmnmnmiajnb",</v>
      </c>
    </row>
    <row r="9151">
      <c r="A9151" s="4" t="s">
        <v>28330</v>
      </c>
      <c r="B9151" s="4" t="s">
        <v>18210</v>
      </c>
      <c r="C9151" s="16" t="str">
        <f>IFERROR(__xludf.DUMMYFUNCTION(""""""""" &amp; REGEXEXTRACT(B9151, ""/detail/([^/?]+)"") &amp; """""","""),"""kaplchpcmcaefdeghnckianhbdecjlmp"",")</f>
        <v>"kaplchpcmcaefdeghnckianhbdecjlmp",</v>
      </c>
    </row>
    <row r="9152">
      <c r="A9152" s="4" t="s">
        <v>28331</v>
      </c>
      <c r="B9152" s="4" t="s">
        <v>18212</v>
      </c>
      <c r="C9152" s="16" t="str">
        <f>IFERROR(__xludf.DUMMYFUNCTION(""""""""" &amp; REGEXEXTRACT(B9152, ""/detail/([^/?]+)"") &amp; """""","""),"""kcckcfoaiogdeajdbekopnhbepigidgb"",")</f>
        <v>"kcckcfoaiogdeajdbekopnhbepigidgb",</v>
      </c>
    </row>
    <row r="9153">
      <c r="A9153" s="4" t="s">
        <v>28332</v>
      </c>
      <c r="B9153" s="4" t="s">
        <v>18214</v>
      </c>
      <c r="C9153" s="16" t="str">
        <f>IFERROR(__xludf.DUMMYFUNCTION(""""""""" &amp; REGEXEXTRACT(B9153, ""/detail/([^/?]+)"") &amp; """""","""),"""kgoaofjpjpekifclaoindlockcngoeed"",")</f>
        <v>"kgoaofjpjpekifclaoindlockcngoeed",</v>
      </c>
    </row>
    <row r="9154">
      <c r="A9154" s="4" t="s">
        <v>28333</v>
      </c>
      <c r="B9154" s="4" t="s">
        <v>18216</v>
      </c>
      <c r="C9154" s="16" t="str">
        <f>IFERROR(__xludf.DUMMYFUNCTION(""""""""" &amp; REGEXEXTRACT(B9154, ""/detail/([^/?]+)"") &amp; """""","""),"""mjohncgoeaibcnalddkaneigndiiblnp"",")</f>
        <v>"mjohncgoeaibcnalddkaneigndiiblnp",</v>
      </c>
    </row>
    <row r="9155">
      <c r="A9155" s="4" t="s">
        <v>28334</v>
      </c>
      <c r="B9155" s="4" t="s">
        <v>18218</v>
      </c>
      <c r="C9155" s="16" t="str">
        <f>IFERROR(__xludf.DUMMYFUNCTION(""""""""" &amp; REGEXEXTRACT(B9155, ""/detail/([^/?]+)"") &amp; """""","""),"""pcdcihhemnmdojkkhloildjcoobklnhb"",")</f>
        <v>"pcdcihhemnmdojkkhloildjcoobklnhb",</v>
      </c>
    </row>
    <row r="9156">
      <c r="A9156" s="4" t="s">
        <v>28335</v>
      </c>
      <c r="B9156" s="4" t="s">
        <v>18220</v>
      </c>
      <c r="C9156" s="16" t="str">
        <f>IFERROR(__xludf.DUMMYFUNCTION(""""""""" &amp; REGEXEXTRACT(B9156, ""/detail/([^/?]+)"") &amp; """""","""),"""pnkafpodkpnigbkdmplabdcdmfagpibk"",")</f>
        <v>"pnkafpodkpnigbkdmplabdcdmfagpibk",</v>
      </c>
    </row>
    <row r="9157">
      <c r="A9157" s="4" t="s">
        <v>28336</v>
      </c>
      <c r="B9157" s="4" t="s">
        <v>18222</v>
      </c>
      <c r="C9157" s="16" t="str">
        <f>IFERROR(__xludf.DUMMYFUNCTION(""""""""" &amp; REGEXEXTRACT(B9157, ""/detail/([^/?]+)"") &amp; """""","""),"""aljgmbpcdmgelhkanifjjbgdkohoefme"",")</f>
        <v>"aljgmbpcdmgelhkanifjjbgdkohoefme",</v>
      </c>
    </row>
    <row r="9158">
      <c r="A9158" s="4" t="s">
        <v>28337</v>
      </c>
      <c r="B9158" s="4" t="s">
        <v>18224</v>
      </c>
      <c r="C9158" s="16" t="str">
        <f>IFERROR(__xludf.DUMMYFUNCTION(""""""""" &amp; REGEXEXTRACT(B9158, ""/detail/([^/?]+)"") &amp; """""","""),"""ccoehijdbponhcemihobmdpaeenmgchg"",")</f>
        <v>"ccoehijdbponhcemihobmdpaeenmgchg",</v>
      </c>
    </row>
    <row r="9159">
      <c r="A9159" s="4" t="s">
        <v>28338</v>
      </c>
      <c r="B9159" s="4" t="s">
        <v>18226</v>
      </c>
      <c r="C9159" s="16" t="str">
        <f>IFERROR(__xludf.DUMMYFUNCTION(""""""""" &amp; REGEXEXTRACT(B9159, ""/detail/([^/?]+)"") &amp; """""","""),"""ckohnlaiommapdclfdndapcofmkacino"",")</f>
        <v>"ckohnlaiommapdclfdndapcofmkacino",</v>
      </c>
    </row>
    <row r="9160">
      <c r="A9160" s="4" t="s">
        <v>28339</v>
      </c>
      <c r="B9160" s="4" t="s">
        <v>18228</v>
      </c>
      <c r="C9160" s="16" t="str">
        <f>IFERROR(__xludf.DUMMYFUNCTION(""""""""" &amp; REGEXEXTRACT(B9160, ""/detail/([^/?]+)"") &amp; """""","""),"""ecnpogknkjmbicoiindidldgedjibfep"",")</f>
        <v>"ecnpogknkjmbicoiindidldgedjibfep",</v>
      </c>
    </row>
    <row r="9161">
      <c r="A9161" s="4" t="s">
        <v>28340</v>
      </c>
      <c r="B9161" s="4" t="s">
        <v>18230</v>
      </c>
      <c r="C9161" s="16" t="str">
        <f>IFERROR(__xludf.DUMMYFUNCTION(""""""""" &amp; REGEXEXTRACT(B9161, ""/detail/([^/?]+)"") &amp; """""","""),"""gpphaggniggaeijgmkaoleflnpflnfdo"",")</f>
        <v>"gpphaggniggaeijgmkaoleflnpflnfdo",</v>
      </c>
    </row>
    <row r="9162">
      <c r="A9162" s="4" t="s">
        <v>28341</v>
      </c>
      <c r="B9162" s="4" t="s">
        <v>18232</v>
      </c>
      <c r="C9162" s="16" t="str">
        <f>IFERROR(__xludf.DUMMYFUNCTION(""""""""" &amp; REGEXEXTRACT(B9162, ""/detail/([^/?]+)"") &amp; """""","""),"""hjgdojaimecndelgeocadjencgnellfp"",")</f>
        <v>"hjgdojaimecndelgeocadjencgnellfp",</v>
      </c>
    </row>
    <row r="9163">
      <c r="A9163" s="4" t="s">
        <v>28342</v>
      </c>
      <c r="B9163" s="4" t="s">
        <v>18234</v>
      </c>
      <c r="C9163" s="16" t="str">
        <f>IFERROR(__xludf.DUMMYFUNCTION(""""""""" &amp; REGEXEXTRACT(B9163, ""/detail/([^/?]+)"") &amp; """""","""),"""igigbeogifbmkfgbllimpgdaelhilgkj"",")</f>
        <v>"igigbeogifbmkfgbllimpgdaelhilgkj",</v>
      </c>
    </row>
    <row r="9164">
      <c r="A9164" s="4" t="s">
        <v>28343</v>
      </c>
      <c r="B9164" s="4" t="s">
        <v>18236</v>
      </c>
      <c r="C9164" s="16" t="str">
        <f>IFERROR(__xludf.DUMMYFUNCTION(""""""""" &amp; REGEXEXTRACT(B9164, ""/detail/([^/?]+)"") &amp; """""","""),"""mehjcgdbdmogjojkhjgmlkalcipmijej"",")</f>
        <v>"mehjcgdbdmogjojkhjgmlkalcipmijej",</v>
      </c>
    </row>
    <row r="9165">
      <c r="A9165" s="4" t="s">
        <v>28344</v>
      </c>
      <c r="B9165" s="4" t="s">
        <v>18238</v>
      </c>
      <c r="C9165" s="16" t="str">
        <f>IFERROR(__xludf.DUMMYFUNCTION(""""""""" &amp; REGEXEXTRACT(B9165, ""/detail/([^/?]+)"") &amp; """""","""),"""nnpojipjpkoejmlcpkiedbgjlgikpndl"",")</f>
        <v>"nnpojipjpkoejmlcpkiedbgjlgikpndl",</v>
      </c>
    </row>
    <row r="9166">
      <c r="A9166" s="4" t="s">
        <v>28345</v>
      </c>
      <c r="B9166" s="4" t="s">
        <v>18240</v>
      </c>
      <c r="C9166" s="16" t="str">
        <f>IFERROR(__xludf.DUMMYFUNCTION(""""""""" &amp; REGEXEXTRACT(B9166, ""/detail/([^/?]+)"") &amp; """""","""),"""mmgclnghbacfjdopkijbanbpnkblbnhp"",")</f>
        <v>"mmgclnghbacfjdopkijbanbpnkblbnhp",</v>
      </c>
    </row>
    <row r="9167">
      <c r="A9167" s="4" t="s">
        <v>28346</v>
      </c>
      <c r="B9167" s="4" t="s">
        <v>18242</v>
      </c>
      <c r="C9167" s="16" t="str">
        <f>IFERROR(__xludf.DUMMYFUNCTION(""""""""" &amp; REGEXEXTRACT(B9167, ""/detail/([^/?]+)"") &amp; """""","""),"""dnbhlnmdfibonmpgckakiehcdjppnmjd"",")</f>
        <v>"dnbhlnmdfibonmpgckakiehcdjppnmjd",</v>
      </c>
    </row>
    <row r="9168">
      <c r="A9168" s="4" t="s">
        <v>28347</v>
      </c>
      <c r="B9168" s="4" t="s">
        <v>18244</v>
      </c>
      <c r="C9168" s="16" t="str">
        <f>IFERROR(__xludf.DUMMYFUNCTION(""""""""" &amp; REGEXEXTRACT(B9168, ""/detail/([^/?]+)"") &amp; """""","""),"""ehmpabgeehikhdodemjoenbonjkdeopn"",")</f>
        <v>"ehmpabgeehikhdodemjoenbonjkdeopn",</v>
      </c>
    </row>
    <row r="9169">
      <c r="A9169" s="4" t="s">
        <v>28348</v>
      </c>
      <c r="B9169" s="4" t="s">
        <v>18246</v>
      </c>
      <c r="C9169" s="16" t="str">
        <f>IFERROR(__xludf.DUMMYFUNCTION(""""""""" &amp; REGEXEXTRACT(B9169, ""/detail/([^/?]+)"") &amp; """""","""),"""fccpjkafgoedeodcfoiibmanhjdhhdod"",")</f>
        <v>"fccpjkafgoedeodcfoiibmanhjdhhdod",</v>
      </c>
    </row>
    <row r="9170">
      <c r="A9170" s="4" t="s">
        <v>28349</v>
      </c>
      <c r="B9170" s="4" t="s">
        <v>18248</v>
      </c>
      <c r="C9170" s="16" t="str">
        <f>IFERROR(__xludf.DUMMYFUNCTION(""""""""" &amp; REGEXEXTRACT(B9170, ""/detail/([^/?]+)"") &amp; """""","""),"""hajinknmolbghbepmjdcajndkodbejgb"",")</f>
        <v>"hajinknmolbghbepmjdcajndkodbejgb",</v>
      </c>
    </row>
    <row r="9171">
      <c r="A9171" s="4" t="s">
        <v>28350</v>
      </c>
      <c r="B9171" s="4" t="s">
        <v>18250</v>
      </c>
      <c r="C9171" s="16" t="str">
        <f>IFERROR(__xludf.DUMMYFUNCTION(""""""""" &amp; REGEXEXTRACT(B9171, ""/detail/([^/?]+)"") &amp; """""","""),"""mdjleeiifigofkgmmandpmfejhpaaaee"",")</f>
        <v>"mdjleeiifigofkgmmandpmfejhpaaaee",</v>
      </c>
    </row>
    <row r="9172">
      <c r="A9172" s="4" t="s">
        <v>28351</v>
      </c>
      <c r="B9172" s="4" t="s">
        <v>18252</v>
      </c>
      <c r="C9172" s="16" t="str">
        <f>IFERROR(__xludf.DUMMYFUNCTION(""""""""" &amp; REGEXEXTRACT(B9172, ""/detail/([^/?]+)"") &amp; """""","""),"""cbdjbceefoomlmgnbhpodmeldoihbaim"",")</f>
        <v>"cbdjbceefoomlmgnbhpodmeldoihbaim",</v>
      </c>
    </row>
    <row r="9173">
      <c r="A9173" s="4" t="s">
        <v>28352</v>
      </c>
      <c r="B9173" s="4" t="s">
        <v>18254</v>
      </c>
      <c r="C9173" s="16" t="str">
        <f>IFERROR(__xludf.DUMMYFUNCTION(""""""""" &amp; REGEXEXTRACT(B9173, ""/detail/([^/?]+)"") &amp; """""","""),"""eapfaoggapmabingclmjigiflhhcedfj"",")</f>
        <v>"eapfaoggapmabingclmjigiflhhcedfj",</v>
      </c>
    </row>
    <row r="9174">
      <c r="A9174" s="4" t="s">
        <v>28353</v>
      </c>
      <c r="B9174" s="4" t="s">
        <v>18256</v>
      </c>
      <c r="C9174" s="16" t="str">
        <f>IFERROR(__xludf.DUMMYFUNCTION(""""""""" &amp; REGEXEXTRACT(B9174, ""/detail/([^/?]+)"") &amp; """""","""),"""fhlafpdjfmnemncaeglkalapcajehmhe"",")</f>
        <v>"fhlafpdjfmnemncaeglkalapcajehmhe",</v>
      </c>
    </row>
    <row r="9175">
      <c r="A9175" s="4" t="s">
        <v>28354</v>
      </c>
      <c r="B9175" s="4" t="s">
        <v>18258</v>
      </c>
      <c r="C9175" s="16" t="str">
        <f>IFERROR(__xludf.DUMMYFUNCTION(""""""""" &amp; REGEXEXTRACT(B9175, ""/detail/([^/?]+)"") &amp; """""","""),"""lkdjojiegmcnckccpmclhbkfinkedcge"",")</f>
        <v>"lkdjojiegmcnckccpmclhbkfinkedcge",</v>
      </c>
    </row>
    <row r="9176">
      <c r="A9176" s="4" t="s">
        <v>28355</v>
      </c>
      <c r="B9176" s="4" t="s">
        <v>18260</v>
      </c>
      <c r="C9176" s="16" t="str">
        <f>IFERROR(__xludf.DUMMYFUNCTION(""""""""" &amp; REGEXEXTRACT(B9176, ""/detail/([^/?]+)"") &amp; """""","""),"""cdjfjpoffkbfepobmlegdknkbddecodc"",")</f>
        <v>"cdjfjpoffkbfepobmlegdknkbddecodc",</v>
      </c>
    </row>
    <row r="9177">
      <c r="A9177" s="4" t="s">
        <v>28356</v>
      </c>
      <c r="B9177" s="4" t="s">
        <v>18262</v>
      </c>
      <c r="C9177" s="16" t="str">
        <f>IFERROR(__xludf.DUMMYFUNCTION(""""""""" &amp; REGEXEXTRACT(B9177, ""/detail/([^/?]+)"") &amp; """""","""),"""fpgnjacboogigbfnlemfjfeoefijihhd"",")</f>
        <v>"fpgnjacboogigbfnlemfjfeoefijihhd",</v>
      </c>
    </row>
    <row r="9178">
      <c r="A9178" s="4" t="s">
        <v>28357</v>
      </c>
      <c r="B9178" s="4" t="s">
        <v>18264</v>
      </c>
      <c r="C9178" s="16" t="str">
        <f>IFERROR(__xludf.DUMMYFUNCTION(""""""""" &amp; REGEXEXTRACT(B9178, ""/detail/([^/?]+)"") &amp; """""","""),"""ijdkccjcpjdoibhmmfihppfgpfhjkkch"",")</f>
        <v>"ijdkccjcpjdoibhmmfihppfgpfhjkkch",</v>
      </c>
    </row>
    <row r="9179">
      <c r="A9179" s="4" t="s">
        <v>28358</v>
      </c>
      <c r="B9179" s="4" t="s">
        <v>18266</v>
      </c>
      <c r="C9179" s="16" t="str">
        <f>IFERROR(__xludf.DUMMYFUNCTION(""""""""" &amp; REGEXEXTRACT(B9179, ""/detail/([^/?]+)"") &amp; """""","""),"""kbfakkkdllpodegeoggpfcmjabodhpca"",")</f>
        <v>"kbfakkkdllpodegeoggpfcmjabodhpca",</v>
      </c>
    </row>
    <row r="9180">
      <c r="A9180" s="4" t="s">
        <v>28359</v>
      </c>
      <c r="B9180" s="4" t="s">
        <v>18268</v>
      </c>
      <c r="C9180" s="16" t="str">
        <f>IFERROR(__xludf.DUMMYFUNCTION(""""""""" &amp; REGEXEXTRACT(B9180, ""/detail/([^/?]+)"") &amp; """""","""),"""kjhffdfdniogmdjbgepekhidjbioofia"",")</f>
        <v>"kjhffdfdniogmdjbgepekhidjbioofia",</v>
      </c>
    </row>
    <row r="9181">
      <c r="A9181" s="4" t="s">
        <v>28360</v>
      </c>
      <c r="B9181" s="4" t="s">
        <v>18270</v>
      </c>
      <c r="C9181" s="16" t="str">
        <f>IFERROR(__xludf.DUMMYFUNCTION(""""""""" &amp; REGEXEXTRACT(B9181, ""/detail/([^/?]+)"") &amp; """""","""),"""nohcngapdkhdknlekkchkmhcnkkbpdmk"",")</f>
        <v>"nohcngapdkhdknlekkchkmhcnkkbpdmk",</v>
      </c>
    </row>
    <row r="9182">
      <c r="A9182" s="4" t="s">
        <v>28361</v>
      </c>
      <c r="B9182" s="4" t="s">
        <v>18272</v>
      </c>
      <c r="C9182" s="16" t="str">
        <f>IFERROR(__xludf.DUMMYFUNCTION(""""""""" &amp; REGEXEXTRACT(B9182, ""/detail/([^/?]+)"") &amp; """""","""),"""pghmiecjdbdaibecngmefbdmglkcboof"",")</f>
        <v>"pghmiecjdbdaibecngmefbdmglkcboof",</v>
      </c>
    </row>
    <row r="9183">
      <c r="A9183" s="4" t="s">
        <v>28362</v>
      </c>
      <c r="B9183" s="4" t="s">
        <v>18274</v>
      </c>
      <c r="C9183" s="16" t="str">
        <f>IFERROR(__xludf.DUMMYFUNCTION(""""""""" &amp; REGEXEXTRACT(B9183, ""/detail/([^/?]+)"") &amp; """""","""),"""amhdmooncdllnoekdgggjhjlfnlbkdei"",")</f>
        <v>"amhdmooncdllnoekdgggjhjlfnlbkdei",</v>
      </c>
    </row>
    <row r="9184">
      <c r="A9184" s="4" t="s">
        <v>28363</v>
      </c>
      <c r="B9184" s="4" t="s">
        <v>18276</v>
      </c>
      <c r="C9184" s="16" t="str">
        <f>IFERROR(__xludf.DUMMYFUNCTION(""""""""" &amp; REGEXEXTRACT(B9184, ""/detail/([^/?]+)"") &amp; """""","""),"""delfklcekebhdglimiacenamgoimjedp"",")</f>
        <v>"delfklcekebhdglimiacenamgoimjedp",</v>
      </c>
    </row>
    <row r="9185">
      <c r="A9185" s="4" t="s">
        <v>28364</v>
      </c>
      <c r="B9185" s="4" t="s">
        <v>18278</v>
      </c>
      <c r="C9185" s="16" t="str">
        <f>IFERROR(__xludf.DUMMYFUNCTION(""""""""" &amp; REGEXEXTRACT(B9185, ""/detail/([^/?]+)"") &amp; """""","""),"""diobhoifomoegojeaaghkfleolkhbipj"",")</f>
        <v>"diobhoifomoegojeaaghkfleolkhbipj",</v>
      </c>
    </row>
    <row r="9186">
      <c r="A9186" s="4" t="s">
        <v>28365</v>
      </c>
      <c r="B9186" s="4" t="s">
        <v>18280</v>
      </c>
      <c r="C9186" s="16" t="str">
        <f>IFERROR(__xludf.DUMMYFUNCTION(""""""""" &amp; REGEXEXTRACT(B9186, ""/detail/([^/?]+)"") &amp; """""","""),"""eoelfnihmeicibagdaalkdhmmdohcgml"",")</f>
        <v>"eoelfnihmeicibagdaalkdhmmdohcgml",</v>
      </c>
    </row>
    <row r="9187">
      <c r="A9187" s="4" t="s">
        <v>28366</v>
      </c>
      <c r="B9187" s="4" t="s">
        <v>18282</v>
      </c>
      <c r="C9187" s="16" t="str">
        <f>IFERROR(__xludf.DUMMYFUNCTION(""""""""" &amp; REGEXEXTRACT(B9187, ""/detail/([^/?]+)"") &amp; """""","""),"""hhnfajcbggahlcegcochjopcogeekljh"",")</f>
        <v>"hhnfajcbggahlcegcochjopcogeekljh",</v>
      </c>
    </row>
    <row r="9188">
      <c r="A9188" s="4" t="s">
        <v>28367</v>
      </c>
      <c r="B9188" s="4" t="s">
        <v>18284</v>
      </c>
      <c r="C9188" s="16" t="str">
        <f>IFERROR(__xludf.DUMMYFUNCTION(""""""""" &amp; REGEXEXTRACT(B9188, ""/detail/([^/?]+)"") &amp; """""","""),"""jalepliekfbfmbckeiloniladgoldfid"",")</f>
        <v>"jalepliekfbfmbckeiloniladgoldfid",</v>
      </c>
    </row>
    <row r="9189">
      <c r="A9189" s="4" t="s">
        <v>28368</v>
      </c>
      <c r="B9189" s="4" t="s">
        <v>18286</v>
      </c>
      <c r="C9189" s="16" t="str">
        <f>IFERROR(__xludf.DUMMYFUNCTION(""""""""" &amp; REGEXEXTRACT(B9189, ""/detail/([^/?]+)"") &amp; """""","""),"""jfocolikmfgljlbblhgpkcjlpehnapkm"",")</f>
        <v>"jfocolikmfgljlbblhgpkcjlpehnapkm",</v>
      </c>
    </row>
    <row r="9190">
      <c r="A9190" s="4" t="s">
        <v>28369</v>
      </c>
      <c r="B9190" s="4" t="s">
        <v>18288</v>
      </c>
      <c r="C9190" s="16" t="str">
        <f>IFERROR(__xludf.DUMMYFUNCTION(""""""""" &amp; REGEXEXTRACT(B9190, ""/detail/([^/?]+)"") &amp; """""","""),"""nojpnnfpfaepolalpokjlblonedknfgf"",")</f>
        <v>"nojpnnfpfaepolalpokjlblonedknfgf",</v>
      </c>
    </row>
    <row r="9191">
      <c r="A9191" s="4" t="s">
        <v>28370</v>
      </c>
      <c r="B9191" s="4" t="s">
        <v>18290</v>
      </c>
      <c r="C9191" s="16" t="str">
        <f>IFERROR(__xludf.DUMMYFUNCTION(""""""""" &amp; REGEXEXTRACT(B9191, ""/detail/([^/?]+)"") &amp; """""","""),"""odhjpfjdlmcoajgnphnpnkapienploji"",")</f>
        <v>"odhjpfjdlmcoajgnphnpnkapienploji",</v>
      </c>
    </row>
    <row r="9192">
      <c r="A9192" s="4" t="s">
        <v>28371</v>
      </c>
      <c r="B9192" s="4" t="s">
        <v>18292</v>
      </c>
      <c r="C9192" s="16" t="str">
        <f>IFERROR(__xludf.DUMMYFUNCTION(""""""""" &amp; REGEXEXTRACT(B9192, ""/detail/([^/?]+)"") &amp; """""","""),"""lfklaoaoaampgnpbcdhbpdeccmjncina"",")</f>
        <v>"lfklaoaoaampgnpbcdhbpdeccmjncina",</v>
      </c>
    </row>
    <row r="9193">
      <c r="A9193" s="4" t="s">
        <v>28372</v>
      </c>
      <c r="B9193" s="4" t="s">
        <v>18294</v>
      </c>
      <c r="C9193" s="16" t="str">
        <f>IFERROR(__xludf.DUMMYFUNCTION(""""""""" &amp; REGEXEXTRACT(B9193, ""/detail/([^/?]+)"") &amp; """""","""),"""nppohjmfdbpkfmenclcalicmdhmpnfpp"",")</f>
        <v>"nppohjmfdbpkfmenclcalicmdhmpnfpp",</v>
      </c>
    </row>
    <row r="9194">
      <c r="A9194" s="4" t="s">
        <v>28373</v>
      </c>
      <c r="B9194" s="4" t="s">
        <v>18296</v>
      </c>
      <c r="C9194" s="16" t="str">
        <f>IFERROR(__xludf.DUMMYFUNCTION(""""""""" &amp; REGEXEXTRACT(B9194, ""/detail/([^/?]+)"") &amp; """""","""),"""pgojdfajgcjjpjnbpfaelnpnjocakldb"",")</f>
        <v>"pgojdfajgcjjpjnbpfaelnpnjocakldb",</v>
      </c>
    </row>
    <row r="9195">
      <c r="A9195" s="4" t="s">
        <v>28374</v>
      </c>
      <c r="B9195" s="4" t="s">
        <v>18298</v>
      </c>
      <c r="C9195" s="16" t="str">
        <f>IFERROR(__xludf.DUMMYFUNCTION(""""""""" &amp; REGEXEXTRACT(B9195, ""/detail/([^/?]+)"") &amp; """""","""),"""ponjalfncfogplhjlmalcbbclbappnaf"",")</f>
        <v>"ponjalfncfogplhjlmalcbbclbappnaf",</v>
      </c>
    </row>
    <row r="9196">
      <c r="A9196" s="4" t="s">
        <v>28375</v>
      </c>
      <c r="B9196" s="4" t="s">
        <v>18300</v>
      </c>
      <c r="C9196" s="16" t="str">
        <f>IFERROR(__xludf.DUMMYFUNCTION(""""""""" &amp; REGEXEXTRACT(B9196, ""/detail/([^/?]+)"") &amp; """""","""),"""bjnemjdjapmakafpckmbdanhglffgpoc"",")</f>
        <v>"bjnemjdjapmakafpckmbdanhglffgpoc",</v>
      </c>
    </row>
    <row r="9197">
      <c r="A9197" s="4" t="s">
        <v>28376</v>
      </c>
      <c r="B9197" s="4" t="s">
        <v>18302</v>
      </c>
      <c r="C9197" s="16" t="str">
        <f>IFERROR(__xludf.DUMMYFUNCTION(""""""""" &amp; REGEXEXTRACT(B9197, ""/detail/([^/?]+)"") &amp; """""","""),"""cfebnighhmfngiliojpieankfedbgloi"",")</f>
        <v>"cfebnighhmfngiliojpieankfedbgloi",</v>
      </c>
    </row>
    <row r="9198">
      <c r="A9198" s="4" t="s">
        <v>28377</v>
      </c>
      <c r="B9198" s="4" t="s">
        <v>18304</v>
      </c>
      <c r="C9198" s="16" t="str">
        <f>IFERROR(__xludf.DUMMYFUNCTION(""""""""" &amp; REGEXEXTRACT(B9198, ""/detail/([^/?]+)"") &amp; """""","""),"""dejjobgejdajdjjhjcindbjcfohoiehn"",")</f>
        <v>"dejjobgejdajdjjhjcindbjcfohoiehn",</v>
      </c>
    </row>
    <row r="9199">
      <c r="A9199" s="4" t="s">
        <v>28378</v>
      </c>
      <c r="B9199" s="4" t="s">
        <v>18306</v>
      </c>
      <c r="C9199" s="16" t="str">
        <f>IFERROR(__xludf.DUMMYFUNCTION(""""""""" &amp; REGEXEXTRACT(B9199, ""/detail/([^/?]+)"") &amp; """""","""),"""ifbcdobnjihilgldbjeomakdaejhplii"",")</f>
        <v>"ifbcdobnjihilgldbjeomakdaejhplii",</v>
      </c>
    </row>
    <row r="9200">
      <c r="A9200" s="4" t="s">
        <v>28379</v>
      </c>
      <c r="B9200" s="4" t="s">
        <v>18308</v>
      </c>
      <c r="C9200" s="16" t="str">
        <f>IFERROR(__xludf.DUMMYFUNCTION(""""""""" &amp; REGEXEXTRACT(B9200, ""/detail/([^/?]+)"") &amp; """""","""),"""kenphjfhfggmidbljbbnfjmeagicjbdh"",")</f>
        <v>"kenphjfhfggmidbljbbnfjmeagicjbdh",</v>
      </c>
    </row>
    <row r="9201">
      <c r="A9201" s="4" t="s">
        <v>28380</v>
      </c>
      <c r="B9201" s="4" t="s">
        <v>18310</v>
      </c>
      <c r="C9201" s="16" t="str">
        <f>IFERROR(__xludf.DUMMYFUNCTION(""""""""" &amp; REGEXEXTRACT(B9201, ""/detail/([^/?]+)"") &amp; """""","""),"""lhgkcnjcljlcpopbleiggddjimcaphef"",")</f>
        <v>"lhgkcnjcljlcpopbleiggddjimcaphef",</v>
      </c>
    </row>
    <row r="9202">
      <c r="A9202" s="4" t="s">
        <v>28381</v>
      </c>
      <c r="B9202" s="4" t="s">
        <v>18312</v>
      </c>
      <c r="C9202" s="16" t="str">
        <f>IFERROR(__xludf.DUMMYFUNCTION(""""""""" &amp; REGEXEXTRACT(B9202, ""/detail/([^/?]+)"") &amp; """""","""),"""mbfdhnjobheppodaolenppfegicnhmhp"",")</f>
        <v>"mbfdhnjobheppodaolenppfegicnhmhp",</v>
      </c>
    </row>
    <row r="9203">
      <c r="A9203" s="4" t="s">
        <v>28382</v>
      </c>
      <c r="B9203" s="4" t="s">
        <v>18314</v>
      </c>
      <c r="C9203" s="16" t="str">
        <f>IFERROR(__xludf.DUMMYFUNCTION(""""""""" &amp; REGEXEXTRACT(B9203, ""/detail/([^/?]+)"") &amp; """""","""),"""mbgdnfmdelffjdhkdggilmphfdihnmcj"",")</f>
        <v>"mbgdnfmdelffjdhkdggilmphfdihnmcj",</v>
      </c>
    </row>
    <row r="9204">
      <c r="A9204" s="4" t="s">
        <v>28383</v>
      </c>
      <c r="B9204" s="4" t="s">
        <v>18316</v>
      </c>
      <c r="C9204" s="16" t="str">
        <f>IFERROR(__xludf.DUMMYFUNCTION(""""""""" &amp; REGEXEXTRACT(B9204, ""/detail/([^/?]+)"") &amp; """""","""),"""mmgepjldageingldphdeebmgaemdciio"",")</f>
        <v>"mmgepjldageingldphdeebmgaemdciio",</v>
      </c>
    </row>
    <row r="9205">
      <c r="A9205" s="4" t="s">
        <v>28384</v>
      </c>
      <c r="B9205" s="4" t="s">
        <v>18318</v>
      </c>
      <c r="C9205" s="16" t="str">
        <f>IFERROR(__xludf.DUMMYFUNCTION(""""""""" &amp; REGEXEXTRACT(B9205, ""/detail/([^/?]+)"") &amp; """""","""),"""dfhigdjfidfnbmhockldodfnnaaolplm"",")</f>
        <v>"dfhigdjfidfnbmhockldodfnnaaolplm",</v>
      </c>
    </row>
    <row r="9206">
      <c r="A9206" s="4" t="s">
        <v>28385</v>
      </c>
      <c r="B9206" s="4" t="s">
        <v>18320</v>
      </c>
      <c r="C9206" s="16" t="str">
        <f>IFERROR(__xludf.DUMMYFUNCTION(""""""""" &amp; REGEXEXTRACT(B9206, ""/detail/([^/?]+)"") &amp; """""","""),"""edfnfekndkopmlejjmlplpceflfldoae"",")</f>
        <v>"edfnfekndkopmlejjmlplpceflfldoae",</v>
      </c>
    </row>
    <row r="9207">
      <c r="A9207" s="4" t="s">
        <v>28386</v>
      </c>
      <c r="B9207" s="4" t="s">
        <v>18322</v>
      </c>
      <c r="C9207" s="16" t="str">
        <f>IFERROR(__xludf.DUMMYFUNCTION(""""""""" &amp; REGEXEXTRACT(B9207, ""/detail/([^/?]+)"") &amp; """""","""),"""efhmjnajoegmphjiohhkedfejkkeffhe"",")</f>
        <v>"efhmjnajoegmphjiohhkedfejkkeffhe",</v>
      </c>
    </row>
    <row r="9208">
      <c r="A9208" s="4" t="s">
        <v>28387</v>
      </c>
      <c r="B9208" s="4" t="s">
        <v>18324</v>
      </c>
      <c r="C9208" s="16" t="str">
        <f>IFERROR(__xludf.DUMMYFUNCTION(""""""""" &amp; REGEXEXTRACT(B9208, ""/detail/([^/?]+)"") &amp; """""","""),"""egbeoffgmdepbefhbiilpkalgnfjbmjg"",")</f>
        <v>"egbeoffgmdepbefhbiilpkalgnfjbmjg",</v>
      </c>
    </row>
    <row r="9209">
      <c r="A9209" s="4" t="s">
        <v>28388</v>
      </c>
      <c r="B9209" s="4" t="s">
        <v>18326</v>
      </c>
      <c r="C9209" s="16" t="str">
        <f>IFERROR(__xludf.DUMMYFUNCTION(""""""""" &amp; REGEXEXTRACT(B9209, ""/detail/([^/?]+)"") &amp; """""","""),"""nbccedaochfcpakfdgclnjkdbagniplh"",")</f>
        <v>"nbccedaochfcpakfdgclnjkdbagniplh",</v>
      </c>
    </row>
    <row r="9210">
      <c r="A9210" s="4" t="s">
        <v>28389</v>
      </c>
      <c r="B9210" s="4" t="s">
        <v>18328</v>
      </c>
      <c r="C9210" s="16" t="str">
        <f>IFERROR(__xludf.DUMMYFUNCTION(""""""""" &amp; REGEXEXTRACT(B9210, ""/detail/([^/?]+)"") &amp; """""","""),"""nbnocjjjcabknnadklnobhnlnlbgcfnj"",")</f>
        <v>"nbnocjjjcabknnadklnobhnlnlbgcfnj",</v>
      </c>
    </row>
    <row r="9211">
      <c r="A9211" s="4" t="s">
        <v>28390</v>
      </c>
      <c r="B9211" s="4" t="s">
        <v>18330</v>
      </c>
      <c r="C9211" s="16" t="str">
        <f>IFERROR(__xludf.DUMMYFUNCTION(""""""""" &amp; REGEXEXTRACT(B9211, ""/detail/([^/?]+)"") &amp; """""","""),"""nhihjlnjgibefgjhobhcphmnckoogdea"",")</f>
        <v>"nhihjlnjgibefgjhobhcphmnckoogdea",</v>
      </c>
    </row>
    <row r="9212">
      <c r="A9212" s="4" t="s">
        <v>28391</v>
      </c>
      <c r="B9212" s="4" t="s">
        <v>18332</v>
      </c>
      <c r="C9212" s="16" t="str">
        <f>IFERROR(__xludf.DUMMYFUNCTION(""""""""" &amp; REGEXEXTRACT(B9212, ""/detail/([^/?]+)"") &amp; """""","""),"""acbomgcfbkgbbomhfclpojgceiglbnhl"",")</f>
        <v>"acbomgcfbkgbbomhfclpojgceiglbnhl",</v>
      </c>
    </row>
    <row r="9213">
      <c r="A9213" s="4" t="s">
        <v>28392</v>
      </c>
      <c r="B9213" s="4" t="s">
        <v>18334</v>
      </c>
      <c r="C9213" s="16" t="str">
        <f>IFERROR(__xludf.DUMMYFUNCTION(""""""""" &amp; REGEXEXTRACT(B9213, ""/detail/([^/?]+)"") &amp; """""","""),"""aonfphdgolcjagpgmlejfpinabbckiio"",")</f>
        <v>"aonfphdgolcjagpgmlejfpinabbckiio",</v>
      </c>
    </row>
    <row r="9214">
      <c r="A9214" s="4" t="s">
        <v>28393</v>
      </c>
      <c r="B9214" s="4" t="s">
        <v>18336</v>
      </c>
      <c r="C9214" s="16" t="str">
        <f>IFERROR(__xludf.DUMMYFUNCTION(""""""""" &amp; REGEXEXTRACT(B9214, ""/detail/([^/?]+)"") &amp; """""","""),"""effeahbhlcfhmgljedehdfjpkgmachjg"",")</f>
        <v>"effeahbhlcfhmgljedehdfjpkgmachjg",</v>
      </c>
    </row>
    <row r="9215">
      <c r="A9215" s="4" t="s">
        <v>28394</v>
      </c>
      <c r="B9215" s="4" t="s">
        <v>18338</v>
      </c>
      <c r="C9215" s="16" t="str">
        <f>IFERROR(__xludf.DUMMYFUNCTION(""""""""" &amp; REGEXEXTRACT(B9215, ""/detail/([^/?]+)"") &amp; """""","""),"""gacfakhdjblhojjecllgohnjgjikdhgb"",")</f>
        <v>"gacfakhdjblhojjecllgohnjgjikdhgb",</v>
      </c>
    </row>
    <row r="9216">
      <c r="A9216" s="4" t="s">
        <v>28395</v>
      </c>
      <c r="B9216" s="4" t="s">
        <v>18340</v>
      </c>
      <c r="C9216" s="16" t="str">
        <f>IFERROR(__xludf.DUMMYFUNCTION(""""""""" &amp; REGEXEXTRACT(B9216, ""/detail/([^/?]+)"") &amp; """""","""),"""glpjomjkomefedfilfhgoijnfkneifje"",")</f>
        <v>"glpjomjkomefedfilfhgoijnfkneifje",</v>
      </c>
    </row>
    <row r="9217">
      <c r="A9217" s="4" t="s">
        <v>28396</v>
      </c>
      <c r="B9217" s="4" t="s">
        <v>18342</v>
      </c>
      <c r="C9217" s="16" t="str">
        <f>IFERROR(__xludf.DUMMYFUNCTION(""""""""" &amp; REGEXEXTRACT(B9217, ""/detail/([^/?]+)"") &amp; """""","""),"""jljhicbdjdmlkfllfabjigbaedlphhcn"",")</f>
        <v>"jljhicbdjdmlkfllfabjigbaedlphhcn",</v>
      </c>
    </row>
    <row r="9218">
      <c r="A9218" s="4" t="s">
        <v>28397</v>
      </c>
      <c r="B9218" s="4" t="s">
        <v>18344</v>
      </c>
      <c r="C9218" s="16" t="str">
        <f>IFERROR(__xludf.DUMMYFUNCTION(""""""""" &amp; REGEXEXTRACT(B9218, ""/detail/([^/?]+)"") &amp; """""","""),"""mlpgkhbppppangggoealpdcadohcanmf"",")</f>
        <v>"mlpgkhbppppangggoealpdcadohcanmf",</v>
      </c>
    </row>
    <row r="9219">
      <c r="A9219" s="4" t="s">
        <v>28398</v>
      </c>
      <c r="B9219" s="4" t="s">
        <v>18346</v>
      </c>
      <c r="C9219" s="16" t="str">
        <f>IFERROR(__xludf.DUMMYFUNCTION(""""""""" &amp; REGEXEXTRACT(B9219, ""/detail/([^/?]+)"") &amp; """""","""),"""oejekcmlccpmnakekbpjcejffnfibado"",")</f>
        <v>"oejekcmlccpmnakekbpjcejffnfibado",</v>
      </c>
    </row>
    <row r="9220">
      <c r="A9220" s="4" t="s">
        <v>28399</v>
      </c>
      <c r="B9220" s="4" t="s">
        <v>18348</v>
      </c>
      <c r="C9220" s="16" t="str">
        <f>IFERROR(__xludf.DUMMYFUNCTION(""""""""" &amp; REGEXEXTRACT(B9220, ""/detail/([^/?]+)"") &amp; """""","""),"""oijpbohhmbgkoajncbndffonkoojgbde"",")</f>
        <v>"oijpbohhmbgkoajncbndffonkoojgbde",</v>
      </c>
    </row>
    <row r="9221">
      <c r="A9221" s="4" t="s">
        <v>28400</v>
      </c>
      <c r="B9221" s="4" t="s">
        <v>18350</v>
      </c>
      <c r="C9221" s="16" t="str">
        <f>IFERROR(__xludf.DUMMYFUNCTION(""""""""" &amp; REGEXEXTRACT(B9221, ""/detail/([^/?]+)"") &amp; """""","""),"""anibbblaeamdcgglangaglnkdeobafpk"",")</f>
        <v>"anibbblaeamdcgglangaglnkdeobafpk",</v>
      </c>
    </row>
    <row r="9222">
      <c r="A9222" s="4" t="s">
        <v>28401</v>
      </c>
      <c r="B9222" s="4" t="s">
        <v>18352</v>
      </c>
      <c r="C9222" s="16" t="str">
        <f>IFERROR(__xludf.DUMMYFUNCTION(""""""""" &amp; REGEXEXTRACT(B9222, ""/detail/([^/?]+)"") &amp; """""","""),"""blpekcjocjpcaapokbakkpdgmodcehmd"",")</f>
        <v>"blpekcjocjpcaapokbakkpdgmodcehmd",</v>
      </c>
    </row>
    <row r="9223">
      <c r="A9223" s="4" t="s">
        <v>28402</v>
      </c>
      <c r="B9223" s="4" t="s">
        <v>18354</v>
      </c>
      <c r="C9223" s="16" t="str">
        <f>IFERROR(__xludf.DUMMYFUNCTION(""""""""" &amp; REGEXEXTRACT(B9223, ""/detail/([^/?]+)"") &amp; """""","""),"""clgllpfjkdamohelagafdabapfkbmjnb"",")</f>
        <v>"clgllpfjkdamohelagafdabapfkbmjnb",</v>
      </c>
    </row>
    <row r="9224">
      <c r="A9224" s="4" t="s">
        <v>28403</v>
      </c>
      <c r="B9224" s="4" t="s">
        <v>18356</v>
      </c>
      <c r="C9224" s="16" t="str">
        <f>IFERROR(__xludf.DUMMYFUNCTION(""""""""" &amp; REGEXEXTRACT(B9224, ""/detail/([^/?]+)"") &amp; """""","""),"""clicahnjhfeibcmkenkdhajfmpihlbof"",")</f>
        <v>"clicahnjhfeibcmkenkdhajfmpihlbof",</v>
      </c>
    </row>
    <row r="9225">
      <c r="A9225" s="4" t="s">
        <v>28404</v>
      </c>
      <c r="B9225" s="4" t="s">
        <v>18358</v>
      </c>
      <c r="C9225" s="16" t="str">
        <f>IFERROR(__xludf.DUMMYFUNCTION(""""""""" &amp; REGEXEXTRACT(B9225, ""/detail/([^/?]+)"") &amp; """""","""),"""ecpdhlloflbgbfjklnpedhiapeckiapa"",")</f>
        <v>"ecpdhlloflbgbfjklnpedhiapeckiapa",</v>
      </c>
    </row>
    <row r="9226">
      <c r="A9226" s="4" t="s">
        <v>28405</v>
      </c>
      <c r="B9226" s="4" t="s">
        <v>18360</v>
      </c>
      <c r="C9226" s="16" t="str">
        <f>IFERROR(__xludf.DUMMYFUNCTION(""""""""" &amp; REGEXEXTRACT(B9226, ""/detail/([^/?]+)"") &amp; """""","""),"""gpmmebokjcjjnjkljpjliaepcchkmbda"",")</f>
        <v>"gpmmebokjcjjnjkljpjliaepcchkmbda",</v>
      </c>
    </row>
    <row r="9227">
      <c r="A9227" s="4" t="s">
        <v>28406</v>
      </c>
      <c r="B9227" s="4" t="s">
        <v>18362</v>
      </c>
      <c r="C9227" s="16" t="str">
        <f>IFERROR(__xludf.DUMMYFUNCTION(""""""""" &amp; REGEXEXTRACT(B9227, ""/detail/([^/?]+)"") &amp; """""","""),"""jbkijmblapoebmohgplflegpphdbnbdl"",")</f>
        <v>"jbkijmblapoebmohgplflegpphdbnbdl",</v>
      </c>
    </row>
    <row r="9228">
      <c r="A9228" s="4" t="s">
        <v>28407</v>
      </c>
      <c r="B9228" s="4" t="s">
        <v>18364</v>
      </c>
      <c r="C9228" s="16" t="str">
        <f>IFERROR(__xludf.DUMMYFUNCTION(""""""""" &amp; REGEXEXTRACT(B9228, ""/detail/([^/?]+)"") &amp; """""","""),"""mmgdfanogcpmailplabpbfpbjpipkmbo"",")</f>
        <v>"mmgdfanogcpmailplabpbfpbjpipkmbo",</v>
      </c>
    </row>
    <row r="9229">
      <c r="A9229" s="4" t="s">
        <v>28408</v>
      </c>
      <c r="B9229" s="4" t="s">
        <v>18366</v>
      </c>
      <c r="C9229" s="16" t="str">
        <f>IFERROR(__xludf.DUMMYFUNCTION(""""""""" &amp; REGEXEXTRACT(B9229, ""/detail/([^/?]+)"") &amp; """""","""),"""nbmahpfopnacpfdbmkfdlpempcdjkmck"",")</f>
        <v>"nbmahpfopnacpfdbmkfdlpempcdjkmck",</v>
      </c>
    </row>
    <row r="9230">
      <c r="A9230" s="4" t="s">
        <v>28409</v>
      </c>
      <c r="B9230" s="4" t="s">
        <v>18368</v>
      </c>
      <c r="C9230" s="16" t="str">
        <f>IFERROR(__xludf.DUMMYFUNCTION(""""""""" &amp; REGEXEXTRACT(B9230, ""/detail/([^/?]+)"") &amp; """""","""),"""nddnfbflpmmehfdabfgcblekmffaiokf"",")</f>
        <v>"nddnfbflpmmehfdabfgcblekmffaiokf",</v>
      </c>
    </row>
    <row r="9231">
      <c r="A9231" s="4" t="s">
        <v>28410</v>
      </c>
      <c r="B9231" s="4" t="s">
        <v>18370</v>
      </c>
      <c r="C9231" s="16" t="str">
        <f>IFERROR(__xludf.DUMMYFUNCTION(""""""""" &amp; REGEXEXTRACT(B9231, ""/detail/([^/?]+)"") &amp; """""","""),"""pchamnkhkeokbpahnocjaeednpbpacop"",")</f>
        <v>"pchamnkhkeokbpahnocjaeednpbpacop",</v>
      </c>
    </row>
    <row r="9232">
      <c r="A9232" s="4" t="s">
        <v>28411</v>
      </c>
      <c r="B9232" s="4" t="s">
        <v>18372</v>
      </c>
      <c r="C9232" s="16" t="str">
        <f>IFERROR(__xludf.DUMMYFUNCTION(""""""""" &amp; REGEXEXTRACT(B9232, ""/detail/([^/?]+)"") &amp; """""","""),"""bbnebelkeejofcgifppobddnljclghgn"",")</f>
        <v>"bbnebelkeejofcgifppobddnljclghgn",</v>
      </c>
    </row>
    <row r="9233">
      <c r="A9233" s="4" t="s">
        <v>28412</v>
      </c>
      <c r="B9233" s="4" t="s">
        <v>18374</v>
      </c>
      <c r="C9233" s="16" t="str">
        <f>IFERROR(__xludf.DUMMYFUNCTION(""""""""" &amp; REGEXEXTRACT(B9233, ""/detail/([^/?]+)"") &amp; """""","""),"""doecnbidkbkagliekcdcmchdnfmacdpm"",")</f>
        <v>"doecnbidkbkagliekcdcmchdnfmacdpm",</v>
      </c>
    </row>
    <row r="9234">
      <c r="A9234" s="4" t="s">
        <v>28413</v>
      </c>
      <c r="B9234" s="4" t="s">
        <v>18375</v>
      </c>
      <c r="C9234" s="16" t="str">
        <f>IFERROR(__xludf.DUMMYFUNCTION(""""""""" &amp; REGEXEXTRACT(B9234, ""/detail/([^/?]+)"") &amp; """""","""),"""jcjhfdkgoknpajcmibcodfibkklpmknc"",")</f>
        <v>"jcjhfdkgoknpajcmibcodfibkklpmknc",</v>
      </c>
    </row>
    <row r="9235">
      <c r="A9235" s="4" t="s">
        <v>28414</v>
      </c>
      <c r="B9235" s="4" t="s">
        <v>18377</v>
      </c>
      <c r="C9235" s="16" t="str">
        <f>IFERROR(__xludf.DUMMYFUNCTION(""""""""" &amp; REGEXEXTRACT(B9235, ""/detail/([^/?]+)"") &amp; """""","""),"""jnjmpncmhemcbbknebmcpclgmmmjbkcd"",")</f>
        <v>"jnjmpncmhemcbbknebmcpclgmmmjbkcd",</v>
      </c>
    </row>
    <row r="9236">
      <c r="A9236" s="4" t="s">
        <v>28415</v>
      </c>
      <c r="B9236" s="4" t="s">
        <v>18379</v>
      </c>
      <c r="C9236" s="16" t="str">
        <f>IFERROR(__xludf.DUMMYFUNCTION(""""""""" &amp; REGEXEXTRACT(B9236, ""/detail/([^/?]+)"") &amp; """""","""),"""ldbheajkebdflbjdckojokbfdndkahnl"",")</f>
        <v>"ldbheajkebdflbjdckojokbfdndkahnl",</v>
      </c>
    </row>
    <row r="9237">
      <c r="A9237" s="4" t="s">
        <v>28416</v>
      </c>
      <c r="B9237" s="4" t="s">
        <v>18381</v>
      </c>
      <c r="C9237" s="16" t="str">
        <f>IFERROR(__xludf.DUMMYFUNCTION(""""""""" &amp; REGEXEXTRACT(B9237, ""/detail/([^/?]+)"") &amp; """""","""),"""mkfebldlkodkmhpdlgigfneaajboegdl"",")</f>
        <v>"mkfebldlkodkmhpdlgigfneaajboegdl",</v>
      </c>
    </row>
    <row r="9238">
      <c r="A9238" s="4" t="s">
        <v>28417</v>
      </c>
      <c r="B9238" s="4" t="s">
        <v>18383</v>
      </c>
      <c r="C9238" s="16" t="str">
        <f>IFERROR(__xludf.DUMMYFUNCTION(""""""""" &amp; REGEXEXTRACT(B9238, ""/detail/([^/?]+)"") &amp; """""","""),"""oaieodbeeaaamklhaolaphcllihkafpa"",")</f>
        <v>"oaieodbeeaaamklhaolaphcllihkafpa",</v>
      </c>
    </row>
    <row r="9239">
      <c r="A9239" s="4" t="s">
        <v>28418</v>
      </c>
      <c r="B9239" s="4" t="s">
        <v>18385</v>
      </c>
      <c r="C9239" s="16" t="str">
        <f>IFERROR(__xludf.DUMMYFUNCTION(""""""""" &amp; REGEXEXTRACT(B9239, ""/detail/([^/?]+)"") &amp; """""","""),"""hodhokibkpkmpfgpenceamiahfffabem"",")</f>
        <v>"hodhokibkpkmpfgpenceamiahfffabem",</v>
      </c>
    </row>
    <row r="9240">
      <c r="A9240" s="4" t="s">
        <v>28419</v>
      </c>
      <c r="B9240" s="4" t="s">
        <v>18387</v>
      </c>
      <c r="C9240" s="16" t="str">
        <f>IFERROR(__xludf.DUMMYFUNCTION(""""""""" &amp; REGEXEXTRACT(B9240, ""/detail/([^/?]+)"") &amp; """""","""),"""icflgpakhkkjeaefoedcbdbahmjopbdc"",")</f>
        <v>"icflgpakhkkjeaefoedcbdbahmjopbdc",</v>
      </c>
    </row>
    <row r="9241">
      <c r="A9241" s="4" t="s">
        <v>28420</v>
      </c>
      <c r="B9241" s="4" t="s">
        <v>18389</v>
      </c>
      <c r="C9241" s="16" t="str">
        <f>IFERROR(__xludf.DUMMYFUNCTION(""""""""" &amp; REGEXEXTRACT(B9241, ""/detail/([^/?]+)"") &amp; """""","""),"""jibhdmmjibghbdidboicahioanhpofbn"",")</f>
        <v>"jibhdmmjibghbdidboicahioanhpofbn",</v>
      </c>
    </row>
    <row r="9242">
      <c r="A9242" s="4" t="s">
        <v>28421</v>
      </c>
      <c r="B9242" s="4" t="s">
        <v>18391</v>
      </c>
      <c r="C9242" s="16" t="str">
        <f>IFERROR(__xludf.DUMMYFUNCTION(""""""""" &amp; REGEXEXTRACT(B9242, ""/detail/([^/?]+)"") &amp; """""","""),"""jpciphlnnncgmpdmebmnffmiffncmeoj"",")</f>
        <v>"jpciphlnnncgmpdmebmnffmiffncmeoj",</v>
      </c>
    </row>
    <row r="9243">
      <c r="A9243" s="4" t="s">
        <v>28422</v>
      </c>
      <c r="B9243" s="4" t="s">
        <v>18393</v>
      </c>
      <c r="C9243" s="16" t="str">
        <f>IFERROR(__xludf.DUMMYFUNCTION(""""""""" &amp; REGEXEXTRACT(B9243, ""/detail/([^/?]+)"") &amp; """""","""),"""lbkfekhldbhpmanjgbepioddcbpbcfbo"",")</f>
        <v>"lbkfekhldbhpmanjgbepioddcbpbcfbo",</v>
      </c>
    </row>
    <row r="9244">
      <c r="A9244" s="4" t="s">
        <v>28423</v>
      </c>
      <c r="B9244" s="4" t="s">
        <v>18395</v>
      </c>
      <c r="C9244" s="16" t="str">
        <f>IFERROR(__xludf.DUMMYFUNCTION(""""""""" &amp; REGEXEXTRACT(B9244, ""/detail/([^/?]+)"") &amp; """""","""),"""liinagkdcgnopnmeodlgmccpiaalbbpa"",")</f>
        <v>"liinagkdcgnopnmeodlgmccpiaalbbpa",</v>
      </c>
    </row>
    <row r="9245">
      <c r="A9245" s="4" t="s">
        <v>28424</v>
      </c>
      <c r="B9245" s="4" t="s">
        <v>18397</v>
      </c>
      <c r="C9245" s="16" t="str">
        <f>IFERROR(__xludf.DUMMYFUNCTION(""""""""" &amp; REGEXEXTRACT(B9245, ""/detail/([^/?]+)"") &amp; """""","""),"""nbkmegijepdgaibmjgkbkckmcabkabhc"",")</f>
        <v>"nbkmegijepdgaibmjgkbkckmcabkabhc",</v>
      </c>
    </row>
    <row r="9246">
      <c r="A9246" s="4" t="s">
        <v>28425</v>
      </c>
      <c r="B9246" s="4" t="s">
        <v>18399</v>
      </c>
      <c r="C9246" s="16" t="str">
        <f>IFERROR(__xludf.DUMMYFUNCTION(""""""""" &amp; REGEXEXTRACT(B9246, ""/detail/([^/?]+)"") &amp; """""","""),"""ncnlhecpjoajcgfdgpgfnkanieakhlcb"",")</f>
        <v>"ncnlhecpjoajcgfdgpgfnkanieakhlcb",</v>
      </c>
    </row>
    <row r="9247">
      <c r="A9247" s="4" t="s">
        <v>28426</v>
      </c>
      <c r="B9247" s="4" t="s">
        <v>18401</v>
      </c>
      <c r="C9247" s="16" t="str">
        <f>IFERROR(__xludf.DUMMYFUNCTION(""""""""" &amp; REGEXEXTRACT(B9247, ""/detail/([^/?]+)"") &amp; """""","""),"""pbbmhedhahomalkbcigoejgllbbopofi"",")</f>
        <v>"pbbmhedhahomalkbcigoejgllbbopofi",</v>
      </c>
    </row>
    <row r="9248">
      <c r="A9248" s="4" t="s">
        <v>28427</v>
      </c>
      <c r="B9248" s="4" t="s">
        <v>18403</v>
      </c>
      <c r="C9248" s="16" t="str">
        <f>IFERROR(__xludf.DUMMYFUNCTION(""""""""" &amp; REGEXEXTRACT(B9248, ""/detail/([^/?]+)"") &amp; """""","""),"""piadnaffpgcjalpkfmkpgeamkajfeedc"",")</f>
        <v>"piadnaffpgcjalpkfmkpgeamkajfeedc",</v>
      </c>
    </row>
    <row r="9249">
      <c r="A9249" s="4" t="s">
        <v>28428</v>
      </c>
      <c r="B9249" s="4" t="s">
        <v>18405</v>
      </c>
      <c r="C9249" s="16" t="str">
        <f>IFERROR(__xludf.DUMMYFUNCTION(""""""""" &amp; REGEXEXTRACT(B9249, ""/detail/([^/?]+)"") &amp; """""","""),"""bieiemldejhpeepmahblpodiifacebnd"",")</f>
        <v>"bieiemldejhpeepmahblpodiifacebnd",</v>
      </c>
    </row>
    <row r="9250">
      <c r="A9250" s="4" t="s">
        <v>28429</v>
      </c>
      <c r="B9250" s="4" t="s">
        <v>18407</v>
      </c>
      <c r="C9250" s="16" t="str">
        <f>IFERROR(__xludf.DUMMYFUNCTION(""""""""" &amp; REGEXEXTRACT(B9250, ""/detail/([^/?]+)"") &amp; """""","""),"""dickhbnfhenadgcniknhlcihnkhoecai"",")</f>
        <v>"dickhbnfhenadgcniknhlcihnkhoecai",</v>
      </c>
    </row>
    <row r="9251">
      <c r="A9251" s="4" t="s">
        <v>28430</v>
      </c>
      <c r="B9251" s="4" t="s">
        <v>18409</v>
      </c>
      <c r="C9251" s="16" t="str">
        <f>IFERROR(__xludf.DUMMYFUNCTION(""""""""" &amp; REGEXEXTRACT(B9251, ""/detail/([^/?]+)"") &amp; """""","""),"""epafonmjgndegnblfbkfkdniaflmkioi"",")</f>
        <v>"epafonmjgndegnblfbkfkdniaflmkioi",</v>
      </c>
    </row>
    <row r="9252">
      <c r="A9252" s="4" t="s">
        <v>28431</v>
      </c>
      <c r="B9252" s="4" t="s">
        <v>18411</v>
      </c>
      <c r="C9252" s="16" t="str">
        <f>IFERROR(__xludf.DUMMYFUNCTION(""""""""" &amp; REGEXEXTRACT(B9252, ""/detail/([^/?]+)"") &amp; """""","""),"""hpijhaededegbedhfnamnajebmhbdcla"",")</f>
        <v>"hpijhaededegbedhfnamnajebmhbdcla",</v>
      </c>
    </row>
    <row r="9253">
      <c r="A9253" s="4" t="s">
        <v>28432</v>
      </c>
      <c r="B9253" s="4" t="s">
        <v>18413</v>
      </c>
      <c r="C9253" s="16" t="str">
        <f>IFERROR(__xludf.DUMMYFUNCTION(""""""""" &amp; REGEXEXTRACT(B9253, ""/detail/([^/?]+)"") &amp; """""","""),"""jigkbfpiflmklapapepfgefgdangijbo"",")</f>
        <v>"jigkbfpiflmklapapepfgefgdangijbo",</v>
      </c>
    </row>
    <row r="9254">
      <c r="A9254" s="4" t="s">
        <v>28433</v>
      </c>
      <c r="B9254" s="4" t="s">
        <v>18415</v>
      </c>
      <c r="C9254" s="16" t="str">
        <f>IFERROR(__xludf.DUMMYFUNCTION(""""""""" &amp; REGEXEXTRACT(B9254, ""/detail/([^/?]+)"") &amp; """""","""),"""jjoopnaocjjmddfhakebddhnaabiofhe"",")</f>
        <v>"jjoopnaocjjmddfhakebddhnaabiofhe",</v>
      </c>
    </row>
    <row r="9255">
      <c r="A9255" s="4" t="s">
        <v>28434</v>
      </c>
      <c r="B9255" s="4" t="s">
        <v>18417</v>
      </c>
      <c r="C9255" s="16" t="str">
        <f>IFERROR(__xludf.DUMMYFUNCTION(""""""""" &amp; REGEXEXTRACT(B9255, ""/detail/([^/?]+)"") &amp; """""","""),"""jngegpjnningopcmphbohclpgcfocipi"",")</f>
        <v>"jngegpjnningopcmphbohclpgcfocipi",</v>
      </c>
    </row>
    <row r="9256">
      <c r="A9256" s="4" t="s">
        <v>28435</v>
      </c>
      <c r="B9256" s="4" t="s">
        <v>18419</v>
      </c>
      <c r="C9256" s="16" t="str">
        <f>IFERROR(__xludf.DUMMYFUNCTION(""""""""" &amp; REGEXEXTRACT(B9256, ""/detail/([^/?]+)"") &amp; """""","""),"""leebpoidhlfgjiepgjfafdbnlpnpmfod"",")</f>
        <v>"leebpoidhlfgjiepgjfafdbnlpnpmfod",</v>
      </c>
    </row>
    <row r="9257">
      <c r="A9257" s="4" t="s">
        <v>28436</v>
      </c>
      <c r="B9257" s="4" t="s">
        <v>18421</v>
      </c>
      <c r="C9257" s="16" t="str">
        <f>IFERROR(__xludf.DUMMYFUNCTION(""""""""" &amp; REGEXEXTRACT(B9257, ""/detail/([^/?]+)"") &amp; """""","""),"""mcfagipaddidedeajmcppionkanblpie"",")</f>
        <v>"mcfagipaddidedeajmcppionkanblpie",</v>
      </c>
    </row>
    <row r="9258">
      <c r="A9258" s="4" t="s">
        <v>28437</v>
      </c>
      <c r="B9258" s="4" t="s">
        <v>18423</v>
      </c>
      <c r="C9258" s="16" t="str">
        <f>IFERROR(__xludf.DUMMYFUNCTION(""""""""" &amp; REGEXEXTRACT(B9258, ""/detail/([^/?]+)"") &amp; """""","""),"""nlkgkpmmdbibfgbognoefhlnhpbkdefo"",")</f>
        <v>"nlkgkpmmdbibfgbognoefhlnhpbkdefo",</v>
      </c>
    </row>
    <row r="9259">
      <c r="A9259" s="4" t="s">
        <v>28438</v>
      </c>
      <c r="B9259" s="4" t="s">
        <v>18425</v>
      </c>
      <c r="C9259" s="16" t="str">
        <f>IFERROR(__xludf.DUMMYFUNCTION(""""""""" &amp; REGEXEXTRACT(B9259, ""/detail/([^/?]+)"") &amp; """""","""),"""pogmhkgpgojoolbdonmccgnnmfopelka"",")</f>
        <v>"pogmhkgpgojoolbdonmccgnnmfopelka",</v>
      </c>
    </row>
    <row r="9260">
      <c r="A9260" s="4" t="s">
        <v>28439</v>
      </c>
      <c r="B9260" s="4" t="s">
        <v>18427</v>
      </c>
      <c r="C9260" s="16" t="str">
        <f>IFERROR(__xludf.DUMMYFUNCTION(""""""""" &amp; REGEXEXTRACT(B9260, ""/detail/([^/?]+)"") &amp; """""","""),"""akaefbhdlppmfdecoakjogglbjgacdhm"",")</f>
        <v>"akaefbhdlppmfdecoakjogglbjgacdhm",</v>
      </c>
    </row>
    <row r="9261">
      <c r="A9261" s="4" t="s">
        <v>28440</v>
      </c>
      <c r="B9261" s="4" t="s">
        <v>18429</v>
      </c>
      <c r="C9261" s="16" t="str">
        <f>IFERROR(__xludf.DUMMYFUNCTION(""""""""" &amp; REGEXEXTRACT(B9261, ""/detail/([^/?]+)"") &amp; """""","""),"""apcmgifpdnhpakoggmocekhmihigllcc"",")</f>
        <v>"apcmgifpdnhpakoggmocekhmihigllcc",</v>
      </c>
    </row>
    <row r="9262">
      <c r="A9262" s="4" t="s">
        <v>28441</v>
      </c>
      <c r="B9262" s="4" t="s">
        <v>18431</v>
      </c>
      <c r="C9262" s="16" t="str">
        <f>IFERROR(__xludf.DUMMYFUNCTION(""""""""" &amp; REGEXEXTRACT(B9262, ""/detail/([^/?]+)"") &amp; """""","""),"""bnnggflmajmfkpdnaagpjmnaaagbpjpd"",")</f>
        <v>"bnnggflmajmfkpdnaagpjmnaaagbpjpd",</v>
      </c>
    </row>
    <row r="9263">
      <c r="A9263" s="4" t="s">
        <v>28442</v>
      </c>
      <c r="B9263" s="4" t="s">
        <v>18433</v>
      </c>
      <c r="C9263" s="16" t="str">
        <f>IFERROR(__xludf.DUMMYFUNCTION(""""""""" &amp; REGEXEXTRACT(B9263, ""/detail/([^/?]+)"") &amp; """""","""),"""cebflmlebmjjbdclelkjbcmepkejmcnp"",")</f>
        <v>"cebflmlebmjjbdclelkjbcmepkejmcnp",</v>
      </c>
    </row>
    <row r="9264">
      <c r="A9264" s="4" t="s">
        <v>28443</v>
      </c>
      <c r="B9264" s="4" t="s">
        <v>18435</v>
      </c>
      <c r="C9264" s="16" t="str">
        <f>IFERROR(__xludf.DUMMYFUNCTION(""""""""" &amp; REGEXEXTRACT(B9264, ""/detail/([^/?]+)"") &amp; """""","""),"""cmgdgmohnilgoblgjmnklajoedgpenan"",")</f>
        <v>"cmgdgmohnilgoblgjmnklajoedgpenan",</v>
      </c>
    </row>
    <row r="9265">
      <c r="A9265" s="4" t="s">
        <v>28444</v>
      </c>
      <c r="B9265" s="4" t="s">
        <v>18437</v>
      </c>
      <c r="C9265" s="16" t="str">
        <f>IFERROR(__xludf.DUMMYFUNCTION(""""""""" &amp; REGEXEXTRACT(B9265, ""/detail/([^/?]+)"") &amp; """""","""),"""dmfhnejhgijefokeolmpgielghdplame"",")</f>
        <v>"dmfhnejhgijefokeolmpgielghdplame",</v>
      </c>
    </row>
    <row r="9266">
      <c r="A9266" s="4" t="s">
        <v>28445</v>
      </c>
      <c r="B9266" s="4" t="s">
        <v>18439</v>
      </c>
      <c r="C9266" s="16" t="str">
        <f>IFERROR(__xludf.DUMMYFUNCTION(""""""""" &amp; REGEXEXTRACT(B9266, ""/detail/([^/?]+)"") &amp; """""","""),"""hofephhkknhfjphbcggfdjaohefcfohm"",")</f>
        <v>"hofephhkknhfjphbcggfdjaohefcfohm",</v>
      </c>
    </row>
    <row r="9267">
      <c r="A9267" s="4" t="s">
        <v>28446</v>
      </c>
      <c r="B9267" s="4" t="s">
        <v>18441</v>
      </c>
      <c r="C9267" s="16" t="str">
        <f>IFERROR(__xludf.DUMMYFUNCTION(""""""""" &amp; REGEXEXTRACT(B9267, ""/detail/([^/?]+)"") &amp; """""","""),"""ichdjcfpibgdoecejabegkfpnbdjhhhf"",")</f>
        <v>"ichdjcfpibgdoecejabegkfpnbdjhhhf",</v>
      </c>
    </row>
    <row r="9268">
      <c r="A9268" s="4" t="s">
        <v>28447</v>
      </c>
      <c r="B9268" s="4" t="s">
        <v>18443</v>
      </c>
      <c r="C9268" s="16" t="str">
        <f>IFERROR(__xludf.DUMMYFUNCTION(""""""""" &amp; REGEXEXTRACT(B9268, ""/detail/([^/?]+)"") &amp; """""","""),"""idoiiaaneaalcjpokjiaopdcbikfjkgi"",")</f>
        <v>"idoiiaaneaalcjpokjiaopdcbikfjkgi",</v>
      </c>
    </row>
    <row r="9269">
      <c r="A9269" s="4" t="s">
        <v>28448</v>
      </c>
      <c r="B9269" s="4" t="s">
        <v>18445</v>
      </c>
      <c r="C9269" s="16" t="str">
        <f>IFERROR(__xludf.DUMMYFUNCTION(""""""""" &amp; REGEXEXTRACT(B9269, ""/detail/([^/?]+)"") &amp; """""","""),"""jikfjlngciobhhkkbmamhnjckmhmcfje"",")</f>
        <v>"jikfjlngciobhhkkbmamhnjckmhmcfje",</v>
      </c>
    </row>
    <row r="9270">
      <c r="A9270" s="4" t="s">
        <v>28449</v>
      </c>
      <c r="B9270" s="4" t="s">
        <v>18447</v>
      </c>
      <c r="C9270" s="16" t="str">
        <f>IFERROR(__xludf.DUMMYFUNCTION(""""""""" &amp; REGEXEXTRACT(B9270, ""/detail/([^/?]+)"") &amp; """""","""),"""ojpinamipebjamgiknkdehdikemaiegi"",")</f>
        <v>"ojpinamipebjamgiknkdehdikemaiegi",</v>
      </c>
    </row>
    <row r="9271">
      <c r="A9271" s="4" t="s">
        <v>28450</v>
      </c>
      <c r="B9271" s="4" t="s">
        <v>18449</v>
      </c>
      <c r="C9271" s="16" t="str">
        <f>IFERROR(__xludf.DUMMYFUNCTION(""""""""" &amp; REGEXEXTRACT(B9271, ""/detail/([^/?]+)"") &amp; """""","""),"""olejfcpiodohggkokfkaecelidkbdpal"",")</f>
        <v>"olejfcpiodohggkokfkaecelidkbdpal",</v>
      </c>
    </row>
    <row r="9272">
      <c r="A9272" s="4" t="s">
        <v>28451</v>
      </c>
      <c r="B9272" s="4" t="s">
        <v>18451</v>
      </c>
      <c r="C9272" s="16" t="str">
        <f>IFERROR(__xludf.DUMMYFUNCTION(""""""""" &amp; REGEXEXTRACT(B9272, ""/detail/([^/?]+)"") &amp; """""","""),"""onkdeianmpjnloefjlmjjofjllkimmdk"",")</f>
        <v>"onkdeianmpjnloefjlmjjofjllkimmdk",</v>
      </c>
    </row>
    <row r="9273">
      <c r="A9273" s="4" t="s">
        <v>28452</v>
      </c>
      <c r="B9273" s="4" t="s">
        <v>18453</v>
      </c>
      <c r="C9273" s="16" t="str">
        <f>IFERROR(__xludf.DUMMYFUNCTION(""""""""" &amp; REGEXEXTRACT(B9273, ""/detail/([^/?]+)"") &amp; """""","""),"""piphpieodkchnlmjjefbbniabeikafha"",")</f>
        <v>"piphpieodkchnlmjjefbbniabeikafha",</v>
      </c>
    </row>
    <row r="9274">
      <c r="A9274" s="4" t="s">
        <v>28453</v>
      </c>
      <c r="B9274" s="4" t="s">
        <v>18455</v>
      </c>
      <c r="C9274" s="16" t="str">
        <f>IFERROR(__xludf.DUMMYFUNCTION(""""""""" &amp; REGEXEXTRACT(B9274, ""/detail/([^/?]+)"") &amp; """""","""),"""adgfnlgphaiikchoamabifhaakkpbcpl"",")</f>
        <v>"adgfnlgphaiikchoamabifhaakkpbcpl",</v>
      </c>
    </row>
    <row r="9275">
      <c r="A9275" s="4" t="s">
        <v>28454</v>
      </c>
      <c r="B9275" s="4" t="s">
        <v>18457</v>
      </c>
      <c r="C9275" s="16" t="str">
        <f>IFERROR(__xludf.DUMMYFUNCTION(""""""""" &amp; REGEXEXTRACT(B9275, ""/detail/([^/?]+)"") &amp; """""","""),"""gajpkncnknlljkhblhllcnnfjpbcmebm"",")</f>
        <v>"gajpkncnknlljkhblhllcnnfjpbcmebm",</v>
      </c>
    </row>
    <row r="9276">
      <c r="A9276" s="4" t="s">
        <v>28455</v>
      </c>
      <c r="B9276" s="4" t="s">
        <v>18459</v>
      </c>
      <c r="C9276" s="16" t="str">
        <f>IFERROR(__xludf.DUMMYFUNCTION(""""""""" &amp; REGEXEXTRACT(B9276, ""/detail/([^/?]+)"") &amp; """""","""),"""hojbfdlckjamkeacedcejbahgkgagedk"",")</f>
        <v>"hojbfdlckjamkeacedcejbahgkgagedk",</v>
      </c>
    </row>
    <row r="9277">
      <c r="A9277" s="4" t="s">
        <v>28456</v>
      </c>
      <c r="B9277" s="4" t="s">
        <v>18461</v>
      </c>
      <c r="C9277" s="16" t="str">
        <f>IFERROR(__xludf.DUMMYFUNCTION(""""""""" &amp; REGEXEXTRACT(B9277, ""/detail/([^/?]+)"") &amp; """""","""),"""idfmjdjoikafiimapdkidadjjlfppdma"",")</f>
        <v>"idfmjdjoikafiimapdkidadjjlfppdma",</v>
      </c>
    </row>
    <row r="9278">
      <c r="A9278" s="4" t="s">
        <v>28457</v>
      </c>
      <c r="B9278" s="4" t="s">
        <v>18463</v>
      </c>
      <c r="C9278" s="16" t="str">
        <f>IFERROR(__xludf.DUMMYFUNCTION(""""""""" &amp; REGEXEXTRACT(B9278, ""/detail/([^/?]+)"") &amp; """""","""),"""okngmpienjhpihnacbkkabmepmfkaojc"",")</f>
        <v>"okngmpienjhpihnacbkkabmepmfkaojc",</v>
      </c>
    </row>
    <row r="9279">
      <c r="A9279" s="4" t="s">
        <v>28458</v>
      </c>
      <c r="B9279" s="4" t="s">
        <v>18465</v>
      </c>
      <c r="C9279" s="16" t="str">
        <f>IFERROR(__xludf.DUMMYFUNCTION(""""""""" &amp; REGEXEXTRACT(B9279, ""/detail/([^/?]+)"") &amp; """""","""),"""ppnedjgfgifikffabnchhklloiiioklm"",")</f>
        <v>"ppnedjgfgifikffabnchhklloiiioklm",</v>
      </c>
    </row>
    <row r="9280">
      <c r="A9280" s="4" t="s">
        <v>28459</v>
      </c>
      <c r="B9280" s="4" t="s">
        <v>18467</v>
      </c>
      <c r="C9280" s="16" t="str">
        <f>IFERROR(__xludf.DUMMYFUNCTION(""""""""" &amp; REGEXEXTRACT(B9280, ""/detail/([^/?]+)"") &amp; """""","""),"""aealfaceeajkaclbgikjbmndohfadiok"",")</f>
        <v>"aealfaceeajkaclbgikjbmndohfadiok",</v>
      </c>
    </row>
    <row r="9281">
      <c r="A9281" s="4" t="s">
        <v>28460</v>
      </c>
      <c r="B9281" s="4" t="s">
        <v>18469</v>
      </c>
      <c r="C9281" s="16" t="str">
        <f>IFERROR(__xludf.DUMMYFUNCTION(""""""""" &amp; REGEXEXTRACT(B9281, ""/detail/([^/?]+)"") &amp; """""","""),"""ahcfljhlbjpnbcgpdolhdbnbogddlmnl"",")</f>
        <v>"ahcfljhlbjpnbcgpdolhdbnbogddlmnl",</v>
      </c>
    </row>
    <row r="9282">
      <c r="A9282" s="4" t="s">
        <v>28461</v>
      </c>
      <c r="B9282" s="4" t="s">
        <v>18471</v>
      </c>
      <c r="C9282" s="16" t="str">
        <f>IFERROR(__xludf.DUMMYFUNCTION(""""""""" &amp; REGEXEXTRACT(B9282, ""/detail/([^/?]+)"") &amp; """""","""),"""bliaamgfpeogldcelkmkegfofapaocfn"",")</f>
        <v>"bliaamgfpeogldcelkmkegfofapaocfn",</v>
      </c>
    </row>
    <row r="9283">
      <c r="A9283" s="4" t="s">
        <v>28462</v>
      </c>
      <c r="B9283" s="4" t="s">
        <v>18473</v>
      </c>
      <c r="C9283" s="16" t="str">
        <f>IFERROR(__xludf.DUMMYFUNCTION(""""""""" &amp; REGEXEXTRACT(B9283, ""/detail/([^/?]+)"") &amp; """""","""),"""dbcjaehchnikgdjjcehagpcikmlpjefh"",")</f>
        <v>"dbcjaehchnikgdjjcehagpcikmlpjefh",</v>
      </c>
    </row>
    <row r="9284">
      <c r="A9284" s="4" t="s">
        <v>28463</v>
      </c>
      <c r="B9284" s="4" t="s">
        <v>18475</v>
      </c>
      <c r="C9284" s="16" t="str">
        <f>IFERROR(__xludf.DUMMYFUNCTION(""""""""" &amp; REGEXEXTRACT(B9284, ""/detail/([^/?]+)"") &amp; """""","""),"""eadnohgkalgkbmhiehaonnjekbdfeldi"",")</f>
        <v>"eadnohgkalgkbmhiehaonnjekbdfeldi",</v>
      </c>
    </row>
    <row r="9285">
      <c r="A9285" s="4" t="s">
        <v>28464</v>
      </c>
      <c r="B9285" s="4" t="s">
        <v>18477</v>
      </c>
      <c r="C9285" s="16" t="str">
        <f>IFERROR(__xludf.DUMMYFUNCTION(""""""""" &amp; REGEXEXTRACT(B9285, ""/detail/([^/?]+)"") &amp; """""","""),"""gikkckcfijodmnfgadbgcknkmcpkecej"",")</f>
        <v>"gikkckcfijodmnfgadbgcknkmcpkecej",</v>
      </c>
    </row>
    <row r="9286">
      <c r="A9286" s="4" t="s">
        <v>28465</v>
      </c>
      <c r="B9286" s="4" t="s">
        <v>18479</v>
      </c>
      <c r="C9286" s="16" t="str">
        <f>IFERROR(__xludf.DUMMYFUNCTION(""""""""" &amp; REGEXEXTRACT(B9286, ""/detail/([^/?]+)"") &amp; """""","""),"""hogemhpfbepbbdpfgighdmjbfdpaeein"",")</f>
        <v>"hogemhpfbepbbdpfgighdmjbfdpaeein",</v>
      </c>
    </row>
    <row r="9287">
      <c r="A9287" s="4" t="s">
        <v>28466</v>
      </c>
      <c r="B9287" s="4" t="s">
        <v>18481</v>
      </c>
      <c r="C9287" s="16" t="str">
        <f>IFERROR(__xludf.DUMMYFUNCTION(""""""""" &amp; REGEXEXTRACT(B9287, ""/detail/([^/?]+)"") &amp; """""","""),"""icmnddchchkigidflpbndpmmjfmnlajl"",")</f>
        <v>"icmnddchchkigidflpbndpmmjfmnlajl",</v>
      </c>
    </row>
    <row r="9288">
      <c r="A9288" s="4" t="s">
        <v>28467</v>
      </c>
      <c r="B9288" s="4" t="s">
        <v>18483</v>
      </c>
      <c r="C9288" s="16" t="str">
        <f>IFERROR(__xludf.DUMMYFUNCTION(""""""""" &amp; REGEXEXTRACT(B9288, ""/detail/([^/?]+)"") &amp; """""","""),"""kbhafnckenhchoejjiebccaehcnphgja"",")</f>
        <v>"kbhafnckenhchoejjiebccaehcnphgja",</v>
      </c>
    </row>
    <row r="9289">
      <c r="A9289" s="4" t="s">
        <v>28468</v>
      </c>
      <c r="B9289" s="4" t="s">
        <v>18485</v>
      </c>
      <c r="C9289" s="16" t="str">
        <f>IFERROR(__xludf.DUMMYFUNCTION(""""""""" &amp; REGEXEXTRACT(B9289, ""/detail/([^/?]+)"") &amp; """""","""),"""oehcmjobdahgnbfpbpaeboddkhkfkddi"",")</f>
        <v>"oehcmjobdahgnbfpbpaeboddkhkfkddi",</v>
      </c>
    </row>
    <row r="9290">
      <c r="A9290" s="4" t="s">
        <v>28469</v>
      </c>
      <c r="B9290" s="4" t="s">
        <v>18487</v>
      </c>
      <c r="C9290" s="16" t="str">
        <f>IFERROR(__xludf.DUMMYFUNCTION(""""""""" &amp; REGEXEXTRACT(B9290, ""/detail/([^/?]+)"") &amp; """""","""),"""phkflnpejpgehjgficbbikeclfcageic"",")</f>
        <v>"phkflnpejpgehjgficbbikeclfcageic",</v>
      </c>
    </row>
    <row r="9291">
      <c r="A9291" s="4" t="s">
        <v>28470</v>
      </c>
      <c r="B9291" s="4" t="s">
        <v>18489</v>
      </c>
      <c r="C9291" s="16" t="str">
        <f>IFERROR(__xludf.DUMMYFUNCTION(""""""""" &amp; REGEXEXTRACT(B9291, ""/detail/([^/?]+)"") &amp; """""","""),"""djlpaeoknhjfjpedkniaphkhmnhmcgal"",")</f>
        <v>"djlpaeoknhjfjpedkniaphkhmnhmcgal",</v>
      </c>
    </row>
    <row r="9292">
      <c r="A9292" s="4" t="s">
        <v>28471</v>
      </c>
      <c r="B9292" s="4" t="s">
        <v>18491</v>
      </c>
      <c r="C9292" s="16" t="str">
        <f>IFERROR(__xludf.DUMMYFUNCTION(""""""""" &amp; REGEXEXTRACT(B9292, ""/detail/([^/?]+)"") &amp; """""","""),"""dlckklnbefkepkjemodnlbjokaimbedb"",")</f>
        <v>"dlckklnbefkepkjemodnlbjokaimbedb",</v>
      </c>
    </row>
    <row r="9293">
      <c r="A9293" s="4" t="s">
        <v>28472</v>
      </c>
      <c r="B9293" s="4" t="s">
        <v>18493</v>
      </c>
      <c r="C9293" s="16" t="str">
        <f>IFERROR(__xludf.DUMMYFUNCTION(""""""""" &amp; REGEXEXTRACT(B9293, ""/detail/([^/?]+)"") &amp; """""","""),"""gcjfilpilmofnjgelhjkhjndgnhgchmd"",")</f>
        <v>"gcjfilpilmofnjgelhjkhjndgnhgchmd",</v>
      </c>
    </row>
    <row r="9294">
      <c r="A9294" s="4" t="s">
        <v>28473</v>
      </c>
      <c r="B9294" s="4" t="s">
        <v>18495</v>
      </c>
      <c r="C9294" s="16" t="str">
        <f>IFERROR(__xludf.DUMMYFUNCTION(""""""""" &amp; REGEXEXTRACT(B9294, ""/detail/([^/?]+)"") &amp; """""","""),"""khhoinnlielpfndhpjldbednoefaficf"",")</f>
        <v>"khhoinnlielpfndhpjldbednoefaficf",</v>
      </c>
    </row>
    <row r="9295">
      <c r="A9295" s="4" t="s">
        <v>28474</v>
      </c>
      <c r="B9295" s="4" t="s">
        <v>18497</v>
      </c>
      <c r="C9295" s="16" t="str">
        <f>IFERROR(__xludf.DUMMYFUNCTION(""""""""" &amp; REGEXEXTRACT(B9295, ""/detail/([^/?]+)"") &amp; """""","""),"""lhlnaecofifmbdeegoffjohnfknbdeip"",")</f>
        <v>"lhlnaecofifmbdeegoffjohnfknbdeip",</v>
      </c>
    </row>
    <row r="9296">
      <c r="A9296" s="4" t="s">
        <v>28475</v>
      </c>
      <c r="B9296" s="4" t="s">
        <v>18499</v>
      </c>
      <c r="C9296" s="16" t="str">
        <f>IFERROR(__xludf.DUMMYFUNCTION(""""""""" &amp; REGEXEXTRACT(B9296, ""/detail/([^/?]+)"") &amp; """""","""),"""mlcoidohpcjfjnknjjggenjccckcgmpn"",")</f>
        <v>"mlcoidohpcjfjnknjjggenjccckcgmpn",</v>
      </c>
    </row>
    <row r="9297">
      <c r="A9297" s="4" t="s">
        <v>28476</v>
      </c>
      <c r="B9297" s="4" t="s">
        <v>18501</v>
      </c>
      <c r="C9297" s="16" t="str">
        <f>IFERROR(__xludf.DUMMYFUNCTION(""""""""" &amp; REGEXEXTRACT(B9297, ""/detail/([^/?]+)"") &amp; """""","""),"""plpmkifleemfflmlnogdncmhlljcpdab"",")</f>
        <v>"plpmkifleemfflmlnogdncmhlljcpdab",</v>
      </c>
    </row>
    <row r="9298">
      <c r="A9298" s="4" t="s">
        <v>28477</v>
      </c>
      <c r="B9298" s="4" t="s">
        <v>18503</v>
      </c>
      <c r="C9298" s="16" t="str">
        <f>IFERROR(__xludf.DUMMYFUNCTION(""""""""" &amp; REGEXEXTRACT(B9298, ""/detail/([^/?]+)"") &amp; """""","""),"""mhenhjfdnnhdfejcbhmpebenecffeolh"",")</f>
        <v>"mhenhjfdnnhdfejcbhmpebenecffeolh",</v>
      </c>
    </row>
    <row r="9299">
      <c r="A9299" s="4" t="s">
        <v>28478</v>
      </c>
      <c r="B9299" s="4" t="s">
        <v>18505</v>
      </c>
      <c r="C9299" s="16" t="str">
        <f>IFERROR(__xludf.DUMMYFUNCTION(""""""""" &amp; REGEXEXTRACT(B9299, ""/detail/([^/?]+)"") &amp; """""","""),"""egkebhhogppokoapdkjmbddeagahoifp"",")</f>
        <v>"egkebhhogppokoapdkjmbddeagahoifp",</v>
      </c>
    </row>
    <row r="9300">
      <c r="A9300" s="4" t="s">
        <v>28479</v>
      </c>
      <c r="B9300" s="4" t="s">
        <v>18507</v>
      </c>
      <c r="C9300" s="16" t="str">
        <f>IFERROR(__xludf.DUMMYFUNCTION(""""""""" &amp; REGEXEXTRACT(B9300, ""/detail/([^/?]+)"") &amp; """""","""),"""ggbbeigihjklpoafbfgmkbjmhifplcce"",")</f>
        <v>"ggbbeigihjklpoafbfgmkbjmhifplcce",</v>
      </c>
    </row>
    <row r="9301">
      <c r="A9301" s="4" t="s">
        <v>28480</v>
      </c>
      <c r="B9301" s="4" t="s">
        <v>18509</v>
      </c>
      <c r="C9301" s="16" t="str">
        <f>IFERROR(__xludf.DUMMYFUNCTION(""""""""" &amp; REGEXEXTRACT(B9301, ""/detail/([^/?]+)"") &amp; """""","""),"""gpbababaddhddlmfhikljljamaikfghf"",")</f>
        <v>"gpbababaddhddlmfhikljljamaikfghf",</v>
      </c>
    </row>
    <row r="9302">
      <c r="A9302" s="4" t="s">
        <v>28481</v>
      </c>
      <c r="B9302" s="4" t="s">
        <v>18511</v>
      </c>
      <c r="C9302" s="16" t="str">
        <f>IFERROR(__xludf.DUMMYFUNCTION(""""""""" &amp; REGEXEXTRACT(B9302, ""/detail/([^/?]+)"") &amp; """""","""),"""pjbeoppcjalfpobcfcfcdndbjdoeikkl"",")</f>
        <v>"pjbeoppcjalfpobcfcfcdndbjdoeikkl",</v>
      </c>
    </row>
    <row r="9303">
      <c r="A9303" s="4" t="s">
        <v>28482</v>
      </c>
      <c r="B9303" s="4" t="s">
        <v>18513</v>
      </c>
      <c r="C9303" s="16" t="str">
        <f>IFERROR(__xludf.DUMMYFUNCTION(""""""""" &amp; REGEXEXTRACT(B9303, ""/detail/([^/?]+)"") &amp; """""","""),"""ckbmhabdbjkjcboaalpejnemefkjlpin"",")</f>
        <v>"ckbmhabdbjkjcboaalpejnemefkjlpin",</v>
      </c>
    </row>
    <row r="9304">
      <c r="A9304" s="4" t="s">
        <v>28483</v>
      </c>
      <c r="B9304" s="4" t="s">
        <v>18515</v>
      </c>
      <c r="C9304" s="16" t="str">
        <f>IFERROR(__xludf.DUMMYFUNCTION(""""""""" &amp; REGEXEXTRACT(B9304, ""/detail/([^/?]+)"") &amp; """""","""),"""dnlbjgbbmhedhlijenejbbcnhndkhdnn"",")</f>
        <v>"dnlbjgbbmhedhlijenejbbcnhndkhdnn",</v>
      </c>
    </row>
    <row r="9305">
      <c r="A9305" s="4" t="s">
        <v>28484</v>
      </c>
      <c r="B9305" s="4" t="s">
        <v>18517</v>
      </c>
      <c r="C9305" s="16" t="str">
        <f>IFERROR(__xludf.DUMMYFUNCTION(""""""""" &amp; REGEXEXTRACT(B9305, ""/detail/([^/?]+)"") &amp; """""","""),"""fgeiagiofeenlnogiegapddllnkcbgao"",")</f>
        <v>"fgeiagiofeenlnogiegapddllnkcbgao",</v>
      </c>
    </row>
    <row r="9306">
      <c r="A9306" s="4" t="s">
        <v>28485</v>
      </c>
      <c r="B9306" s="4" t="s">
        <v>18519</v>
      </c>
      <c r="C9306" s="16" t="str">
        <f>IFERROR(__xludf.DUMMYFUNCTION(""""""""" &amp; REGEXEXTRACT(B9306, ""/detail/([^/?]+)"") &amp; """""","""),"""hiflhkmicfagennabmnfcnnlpkmidfjj"",")</f>
        <v>"hiflhkmicfagennabmnfcnnlpkmidfjj",</v>
      </c>
    </row>
    <row r="9307">
      <c r="A9307" s="4" t="s">
        <v>28486</v>
      </c>
      <c r="B9307" s="4" t="s">
        <v>18521</v>
      </c>
      <c r="C9307" s="16" t="str">
        <f>IFERROR(__xludf.DUMMYFUNCTION(""""""""" &amp; REGEXEXTRACT(B9307, ""/detail/([^/?]+)"") &amp; """""","""),"""hmpmgenfomdmebiokconplpaelkeejao"",")</f>
        <v>"hmpmgenfomdmebiokconplpaelkeejao",</v>
      </c>
    </row>
    <row r="9308">
      <c r="A9308" s="4" t="s">
        <v>28487</v>
      </c>
      <c r="B9308" s="4" t="s">
        <v>18523</v>
      </c>
      <c r="C9308" s="16" t="str">
        <f>IFERROR(__xludf.DUMMYFUNCTION(""""""""" &amp; REGEXEXTRACT(B9308, ""/detail/([^/?]+)"") &amp; """""","""),"""mpoafkdidocmaiheimphkhjoocjcbgei"",")</f>
        <v>"mpoafkdidocmaiheimphkhjoocjcbgei",</v>
      </c>
    </row>
    <row r="9309">
      <c r="A9309" s="4" t="s">
        <v>28488</v>
      </c>
      <c r="B9309" s="4" t="s">
        <v>18525</v>
      </c>
      <c r="C9309" s="16" t="str">
        <f>IFERROR(__xludf.DUMMYFUNCTION(""""""""" &amp; REGEXEXTRACT(B9309, ""/detail/([^/?]+)"") &amp; """""","""),"""neabcchaoiabjmjmnaljajpjoinhpkln"",")</f>
        <v>"neabcchaoiabjmjmnaljajpjoinhpkln",</v>
      </c>
    </row>
    <row r="9310">
      <c r="A9310" s="4" t="s">
        <v>28489</v>
      </c>
      <c r="B9310" s="4" t="s">
        <v>18527</v>
      </c>
      <c r="C9310" s="16" t="str">
        <f>IFERROR(__xludf.DUMMYFUNCTION(""""""""" &amp; REGEXEXTRACT(B9310, ""/detail/([^/?]+)"") &amp; """""","""),"""ngmklkcbogmcobhiiglefpljdopgfbpn"",")</f>
        <v>"ngmklkcbogmcobhiiglefpljdopgfbpn",</v>
      </c>
    </row>
    <row r="9311">
      <c r="A9311" s="4" t="s">
        <v>28490</v>
      </c>
      <c r="B9311" s="4" t="s">
        <v>18528</v>
      </c>
      <c r="C9311" s="16" t="str">
        <f>IFERROR(__xludf.DUMMYFUNCTION(""""""""" &amp; REGEXEXTRACT(B9311, ""/detail/([^/?]+)"") &amp; """""","""),"""odilhboffanddepbhjlehcbdpmoddinj"",")</f>
        <v>"odilhboffanddepbhjlehcbdpmoddinj",</v>
      </c>
    </row>
    <row r="9312">
      <c r="A9312" s="4" t="s">
        <v>28491</v>
      </c>
      <c r="B9312" s="4" t="s">
        <v>18530</v>
      </c>
      <c r="C9312" s="16" t="str">
        <f>IFERROR(__xludf.DUMMYFUNCTION(""""""""" &amp; REGEXEXTRACT(B9312, ""/detail/([^/?]+)"") &amp; """""","""),"""pjkamnkpdfckpgjdlpebdnfgiecgfglj"",")</f>
        <v>"pjkamnkpdfckpgjdlpebdnfgiecgfglj",</v>
      </c>
    </row>
    <row r="9313">
      <c r="A9313" s="4" t="s">
        <v>28492</v>
      </c>
      <c r="B9313" s="4" t="s">
        <v>18532</v>
      </c>
      <c r="C9313" s="16" t="str">
        <f>IFERROR(__xludf.DUMMYFUNCTION(""""""""" &amp; REGEXEXTRACT(B9313, ""/detail/([^/?]+)"") &amp; """""","""),"""plnmldbfapelebnbbpmeofhaokbnhfah"",")</f>
        <v>"plnmldbfapelebnbbpmeofhaokbnhfah",</v>
      </c>
    </row>
    <row r="9314">
      <c r="A9314" s="4" t="s">
        <v>28493</v>
      </c>
      <c r="B9314" s="4" t="s">
        <v>18534</v>
      </c>
      <c r="C9314" s="16" t="str">
        <f>IFERROR(__xludf.DUMMYFUNCTION(""""""""" &amp; REGEXEXTRACT(B9314, ""/detail/([^/?]+)"") &amp; """""","""),"""dikpenocomjknagfbfkonjfapmlkiedj"",")</f>
        <v>"dikpenocomjknagfbfkonjfapmlkiedj",</v>
      </c>
    </row>
    <row r="9315">
      <c r="A9315" s="4" t="s">
        <v>28494</v>
      </c>
      <c r="B9315" s="4" t="s">
        <v>18536</v>
      </c>
      <c r="C9315" s="16" t="str">
        <f>IFERROR(__xludf.DUMMYFUNCTION(""""""""" &amp; REGEXEXTRACT(B9315, ""/detail/([^/?]+)"") &amp; """""","""),"""ekhcclfdfbgbcheceibcdfpofbjdbein"",")</f>
        <v>"ekhcclfdfbgbcheceibcdfpofbjdbein",</v>
      </c>
    </row>
    <row r="9316">
      <c r="A9316" s="4" t="s">
        <v>28495</v>
      </c>
      <c r="B9316" s="4" t="s">
        <v>18538</v>
      </c>
      <c r="C9316" s="16" t="str">
        <f>IFERROR(__xludf.DUMMYFUNCTION(""""""""" &amp; REGEXEXTRACT(B9316, ""/detail/([^/?]+)"") &amp; """""","""),"""chbdmdapmeflnkgibpgbdcblndooljff"",")</f>
        <v>"chbdmdapmeflnkgibpgbdcblndooljff",</v>
      </c>
    </row>
    <row r="9317">
      <c r="A9317" s="4" t="s">
        <v>28496</v>
      </c>
      <c r="B9317" s="4" t="s">
        <v>18540</v>
      </c>
      <c r="C9317" s="16" t="str">
        <f>IFERROR(__xludf.DUMMYFUNCTION(""""""""" &amp; REGEXEXTRACT(B9317, ""/detail/([^/?]+)"") &amp; """""","""),"""cnjfiolbpeihgijepincpfjhigekegab"",")</f>
        <v>"cnjfiolbpeihgijepincpfjhigekegab",</v>
      </c>
    </row>
    <row r="9318">
      <c r="A9318" s="4" t="s">
        <v>28497</v>
      </c>
      <c r="B9318" s="4" t="s">
        <v>18542</v>
      </c>
      <c r="C9318" s="16" t="str">
        <f>IFERROR(__xludf.DUMMYFUNCTION(""""""""" &amp; REGEXEXTRACT(B9318, ""/detail/([^/?]+)"") &amp; """""","""),"""fajaolmbohlcgfhogpglddfddbdcgeol"",")</f>
        <v>"fajaolmbohlcgfhogpglddfddbdcgeol",</v>
      </c>
    </row>
    <row r="9319">
      <c r="A9319" s="4" t="s">
        <v>28498</v>
      </c>
      <c r="B9319" s="4" t="s">
        <v>18544</v>
      </c>
      <c r="C9319" s="16" t="str">
        <f>IFERROR(__xludf.DUMMYFUNCTION(""""""""" &amp; REGEXEXTRACT(B9319, ""/detail/([^/?]+)"") &amp; """""","""),"""fhmcbmpjkemimhcmlcahaocnkgcpjkdf"",")</f>
        <v>"fhmcbmpjkemimhcmlcahaocnkgcpjkdf",</v>
      </c>
    </row>
    <row r="9320">
      <c r="A9320" s="4" t="s">
        <v>28499</v>
      </c>
      <c r="B9320" s="4" t="s">
        <v>18546</v>
      </c>
      <c r="C9320" s="16" t="str">
        <f>IFERROR(__xludf.DUMMYFUNCTION(""""""""" &amp; REGEXEXTRACT(B9320, ""/detail/([^/?]+)"") &amp; """""","""),"""gmifhfmjkaahaabgeaficgjkihpfeabn"",")</f>
        <v>"gmifhfmjkaahaabgeaficgjkihpfeabn",</v>
      </c>
    </row>
    <row r="9321">
      <c r="A9321" s="4" t="s">
        <v>28500</v>
      </c>
      <c r="B9321" s="4" t="s">
        <v>18548</v>
      </c>
      <c r="C9321" s="16" t="str">
        <f>IFERROR(__xludf.DUMMYFUNCTION(""""""""" &amp; REGEXEXTRACT(B9321, ""/detail/([^/?]+)"") &amp; """""","""),"""ijlipmjclpchckgkoieeihjmjenjehjk"",")</f>
        <v>"ijlipmjclpchckgkoieeihjmjenjehjk",</v>
      </c>
    </row>
    <row r="9322">
      <c r="A9322" s="4" t="s">
        <v>28501</v>
      </c>
      <c r="B9322" s="4" t="s">
        <v>18550</v>
      </c>
      <c r="C9322" s="16" t="str">
        <f>IFERROR(__xludf.DUMMYFUNCTION(""""""""" &amp; REGEXEXTRACT(B9322, ""/detail/([^/?]+)"") &amp; """""","""),"""kdgccolojenjijefmdmclodecaeiimkl"",")</f>
        <v>"kdgccolojenjijefmdmclodecaeiimkl",</v>
      </c>
    </row>
    <row r="9323">
      <c r="A9323" s="4" t="s">
        <v>28502</v>
      </c>
      <c r="B9323" s="4" t="s">
        <v>18552</v>
      </c>
      <c r="C9323" s="16" t="str">
        <f>IFERROR(__xludf.DUMMYFUNCTION(""""""""" &amp; REGEXEXTRACT(B9323, ""/detail/([^/?]+)"") &amp; """""","""),"""mimooabamaoeldhibjbbmdgndnhdiknh"",")</f>
        <v>"mimooabamaoeldhibjbbmdgndnhdiknh",</v>
      </c>
    </row>
    <row r="9324">
      <c r="A9324" s="4" t="s">
        <v>28503</v>
      </c>
      <c r="B9324" s="4" t="s">
        <v>18554</v>
      </c>
      <c r="C9324" s="16" t="str">
        <f>IFERROR(__xludf.DUMMYFUNCTION(""""""""" &amp; REGEXEXTRACT(B9324, ""/detail/([^/?]+)"") &amp; """""","""),"""ncebfbcadlnhbfmfglhijjljfhimndil"",")</f>
        <v>"ncebfbcadlnhbfmfglhijjljfhimndil",</v>
      </c>
    </row>
    <row r="9325">
      <c r="A9325" s="4" t="s">
        <v>28504</v>
      </c>
      <c r="B9325" s="4" t="s">
        <v>18556</v>
      </c>
      <c r="C9325" s="16" t="str">
        <f>IFERROR(__xludf.DUMMYFUNCTION(""""""""" &amp; REGEXEXTRACT(B9325, ""/detail/([^/?]+)"") &amp; """""","""),"""niflkbcabljnoonhlbajmganinkplfpd"",")</f>
        <v>"niflkbcabljnoonhlbajmganinkplfpd",</v>
      </c>
    </row>
    <row r="9326">
      <c r="A9326" s="4" t="s">
        <v>28505</v>
      </c>
      <c r="B9326" s="4" t="s">
        <v>18558</v>
      </c>
      <c r="C9326" s="16" t="str">
        <f>IFERROR(__xludf.DUMMYFUNCTION(""""""""" &amp; REGEXEXTRACT(B9326, ""/detail/([^/?]+)"") &amp; """""","""),"""olnjnghiiigbjdjfnngpmjaghcgpmjkl"",")</f>
        <v>"olnjnghiiigbjdjfnngpmjaghcgpmjkl",</v>
      </c>
    </row>
    <row r="9327">
      <c r="A9327" s="4" t="s">
        <v>28506</v>
      </c>
      <c r="B9327" s="4" t="s">
        <v>18560</v>
      </c>
      <c r="C9327" s="16" t="str">
        <f>IFERROR(__xludf.DUMMYFUNCTION(""""""""" &amp; REGEXEXTRACT(B9327, ""/detail/([^/?]+)"") &amp; """""","""),"""anlebgknmofbanplmaphgacnjddijdjj"",")</f>
        <v>"anlebgknmofbanplmaphgacnjddijdjj",</v>
      </c>
    </row>
    <row r="9328">
      <c r="A9328" s="4" t="s">
        <v>28507</v>
      </c>
      <c r="B9328" s="4" t="s">
        <v>18562</v>
      </c>
      <c r="C9328" s="16" t="str">
        <f>IFERROR(__xludf.DUMMYFUNCTION(""""""""" &amp; REGEXEXTRACT(B9328, ""/detail/([^/?]+)"") &amp; """""","""),"""ecojgafcjpiocnlfdbcohaegcdohobpj"",")</f>
        <v>"ecojgafcjpiocnlfdbcohaegcdohobpj",</v>
      </c>
    </row>
    <row r="9329">
      <c r="A9329" s="4" t="s">
        <v>28508</v>
      </c>
      <c r="B9329" s="4" t="s">
        <v>18564</v>
      </c>
      <c r="C9329" s="16" t="str">
        <f>IFERROR(__xludf.DUMMYFUNCTION(""""""""" &amp; REGEXEXTRACT(B9329, ""/detail/([^/?]+)"") &amp; """""","""),"""enjjhajnmggdgofagbokhmifgnaophmh"",")</f>
        <v>"enjjhajnmggdgofagbokhmifgnaophmh",</v>
      </c>
    </row>
    <row r="9330">
      <c r="A9330" s="4" t="s">
        <v>28509</v>
      </c>
      <c r="B9330" s="4" t="s">
        <v>18566</v>
      </c>
      <c r="C9330" s="16" t="str">
        <f>IFERROR(__xludf.DUMMYFUNCTION(""""""""" &amp; REGEXEXTRACT(B9330, ""/detail/([^/?]+)"") &amp; """""","""),"""fdffoepgfafohjnlmdeaekigejifenpd"",")</f>
        <v>"fdffoepgfafohjnlmdeaekigejifenpd",</v>
      </c>
    </row>
    <row r="9331">
      <c r="A9331" s="4" t="s">
        <v>28510</v>
      </c>
      <c r="B9331" s="4" t="s">
        <v>18568</v>
      </c>
      <c r="C9331" s="16" t="str">
        <f>IFERROR(__xludf.DUMMYFUNCTION(""""""""" &amp; REGEXEXTRACT(B9331, ""/detail/([^/?]+)"") &amp; """""","""),"""igkbdohlalhjpmoephkoabpdecdagdnc"",")</f>
        <v>"igkbdohlalhjpmoephkoabpdecdagdnc",</v>
      </c>
    </row>
    <row r="9332">
      <c r="A9332" s="4" t="s">
        <v>28511</v>
      </c>
      <c r="B9332" s="4" t="s">
        <v>18570</v>
      </c>
      <c r="C9332" s="16" t="str">
        <f>IFERROR(__xludf.DUMMYFUNCTION(""""""""" &amp; REGEXEXTRACT(B9332, ""/detail/([^/?]+)"") &amp; """""","""),"""bdfekokoflbjbmdbpidnaechcechkbbg"",")</f>
        <v>"bdfekokoflbjbmdbpidnaechcechkbbg",</v>
      </c>
    </row>
    <row r="9333">
      <c r="A9333" s="4" t="s">
        <v>28512</v>
      </c>
      <c r="B9333" s="4" t="s">
        <v>18572</v>
      </c>
      <c r="C9333" s="16" t="str">
        <f>IFERROR(__xludf.DUMMYFUNCTION(""""""""" &amp; REGEXEXTRACT(B9333, ""/detail/([^/?]+)"") &amp; """""","""),"""bpammiodibnkhldphbaflnkidmpeaeon"",")</f>
        <v>"bpammiodibnkhldphbaflnkidmpeaeon",</v>
      </c>
    </row>
    <row r="9334">
      <c r="A9334" s="4" t="s">
        <v>28513</v>
      </c>
      <c r="B9334" s="4" t="s">
        <v>18574</v>
      </c>
      <c r="C9334" s="16" t="str">
        <f>IFERROR(__xludf.DUMMYFUNCTION(""""""""" &amp; REGEXEXTRACT(B9334, ""/detail/([^/?]+)"") &amp; """""","""),"""fjfpahedjlkhedobeiimiaekhiijbagn"",")</f>
        <v>"fjfpahedjlkhedobeiimiaekhiijbagn",</v>
      </c>
    </row>
    <row r="9335">
      <c r="A9335" s="4" t="s">
        <v>28514</v>
      </c>
      <c r="B9335" s="4" t="s">
        <v>18576</v>
      </c>
      <c r="C9335" s="16" t="str">
        <f>IFERROR(__xludf.DUMMYFUNCTION(""""""""" &amp; REGEXEXTRACT(B9335, ""/detail/([^/?]+)"") &amp; """""","""),"""gfoaliiacaaehpnoiocilhnhbnndmiok"",")</f>
        <v>"gfoaliiacaaehpnoiocilhnhbnndmiok",</v>
      </c>
    </row>
    <row r="9336">
      <c r="A9336" s="4" t="s">
        <v>28515</v>
      </c>
      <c r="B9336" s="4" t="s">
        <v>18578</v>
      </c>
      <c r="C9336" s="16" t="str">
        <f>IFERROR(__xludf.DUMMYFUNCTION(""""""""" &amp; REGEXEXTRACT(B9336, ""/detail/([^/?]+)"") &amp; """""","""),"""inafnanoajecodppognidcacbaghfmdd"",")</f>
        <v>"inafnanoajecodppognidcacbaghfmdd",</v>
      </c>
    </row>
    <row r="9337">
      <c r="A9337" s="4" t="s">
        <v>28516</v>
      </c>
      <c r="B9337" s="4" t="s">
        <v>18580</v>
      </c>
      <c r="C9337" s="16" t="str">
        <f>IFERROR(__xludf.DUMMYFUNCTION(""""""""" &amp; REGEXEXTRACT(B9337, ""/detail/([^/?]+)"") &amp; """""","""),"""ipdoelbonfnecijpmlgdmmakmifnicci"",")</f>
        <v>"ipdoelbonfnecijpmlgdmmakmifnicci",</v>
      </c>
    </row>
    <row r="9338">
      <c r="A9338" s="4" t="s">
        <v>28517</v>
      </c>
      <c r="B9338" s="4" t="s">
        <v>18582</v>
      </c>
      <c r="C9338" s="16" t="str">
        <f>IFERROR(__xludf.DUMMYFUNCTION(""""""""" &amp; REGEXEXTRACT(B9338, ""/detail/([^/?]+)"") &amp; """""","""),"""kfkkmpmfofgkfnpiaepanikkeoelnbbf"",")</f>
        <v>"kfkkmpmfofgkfnpiaepanikkeoelnbbf",</v>
      </c>
    </row>
    <row r="9339">
      <c r="A9339" s="4" t="s">
        <v>28518</v>
      </c>
      <c r="B9339" s="4" t="s">
        <v>18584</v>
      </c>
      <c r="C9339" s="16" t="str">
        <f>IFERROR(__xludf.DUMMYFUNCTION(""""""""" &amp; REGEXEXTRACT(B9339, ""/detail/([^/?]+)"") &amp; """""","""),"""kmegpialdlakejlimkocdcecpjikfhen"",")</f>
        <v>"kmegpialdlakejlimkocdcecpjikfhen",</v>
      </c>
    </row>
    <row r="9340">
      <c r="A9340" s="4" t="s">
        <v>28519</v>
      </c>
      <c r="B9340" s="4" t="s">
        <v>18586</v>
      </c>
      <c r="C9340" s="16" t="str">
        <f>IFERROR(__xludf.DUMMYFUNCTION(""""""""" &amp; REGEXEXTRACT(B9340, ""/detail/([^/?]+)"") &amp; """""","""),"""oaddmoajgbicokmobehhmpafhcllepcf"",")</f>
        <v>"oaddmoajgbicokmobehhmpafhcllepcf",</v>
      </c>
    </row>
    <row r="9341">
      <c r="A9341" s="4" t="s">
        <v>28520</v>
      </c>
      <c r="B9341" s="4" t="s">
        <v>18587</v>
      </c>
      <c r="C9341" s="16" t="str">
        <f>IFERROR(__xludf.DUMMYFUNCTION(""""""""" &amp; REGEXEXTRACT(B9341, ""/detail/([^/?]+)"") &amp; """""","""),"""oaelcicjdkdkcioniblhpnanpnhegoad"",")</f>
        <v>"oaelcicjdkdkcioniblhpnanpnhegoad",</v>
      </c>
    </row>
    <row r="9342">
      <c r="A9342" s="4" t="s">
        <v>28521</v>
      </c>
      <c r="B9342" s="4" t="s">
        <v>18589</v>
      </c>
      <c r="C9342" s="16" t="str">
        <f>IFERROR(__xludf.DUMMYFUNCTION(""""""""" &amp; REGEXEXTRACT(B9342, ""/detail/([^/?]+)"") &amp; """""","""),"""oailcamkmclecbdgffdeamkknojkecjm"",")</f>
        <v>"oailcamkmclecbdgffdeamkknojkecjm",</v>
      </c>
    </row>
    <row r="9343">
      <c r="A9343" s="4" t="s">
        <v>28522</v>
      </c>
      <c r="B9343" s="4" t="s">
        <v>18591</v>
      </c>
      <c r="C9343" s="16" t="str">
        <f>IFERROR(__xludf.DUMMYFUNCTION(""""""""" &amp; REGEXEXTRACT(B9343, ""/detail/([^/?]+)"") &amp; """""","""),"""aflgknnjpkjdoapemodkijpmgclcingn"",")</f>
        <v>"aflgknnjpkjdoapemodkijpmgclcingn",</v>
      </c>
    </row>
    <row r="9344">
      <c r="A9344" s="4" t="s">
        <v>28523</v>
      </c>
      <c r="B9344" s="4" t="s">
        <v>18593</v>
      </c>
      <c r="C9344" s="16" t="str">
        <f>IFERROR(__xludf.DUMMYFUNCTION(""""""""" &amp; REGEXEXTRACT(B9344, ""/detail/([^/?]+)"") &amp; """""","""),"""bdbhephmimagiadamkkipjedljddgncb"",")</f>
        <v>"bdbhephmimagiadamkkipjedljddgncb",</v>
      </c>
    </row>
    <row r="9345">
      <c r="A9345" s="4" t="s">
        <v>28524</v>
      </c>
      <c r="B9345" s="4" t="s">
        <v>18595</v>
      </c>
      <c r="C9345" s="16" t="str">
        <f>IFERROR(__xludf.DUMMYFUNCTION(""""""""" &amp; REGEXEXTRACT(B9345, ""/detail/([^/?]+)"") &amp; """""","""),"""bgddcngmfadknajipncoemekkikibfhg"",")</f>
        <v>"bgddcngmfadknajipncoemekkikibfhg",</v>
      </c>
    </row>
    <row r="9346">
      <c r="A9346" s="4" t="s">
        <v>28525</v>
      </c>
      <c r="B9346" s="4" t="s">
        <v>18597</v>
      </c>
      <c r="C9346" s="16" t="str">
        <f>IFERROR(__xludf.DUMMYFUNCTION(""""""""" &amp; REGEXEXTRACT(B9346, ""/detail/([^/?]+)"") &amp; """""","""),"""cmhkipfbmfnfmonimopiekohoobcbjmk"",")</f>
        <v>"cmhkipfbmfnfmonimopiekohoobcbjmk",</v>
      </c>
    </row>
    <row r="9347">
      <c r="A9347" s="4" t="s">
        <v>28526</v>
      </c>
      <c r="B9347" s="4" t="s">
        <v>18598</v>
      </c>
      <c r="C9347" s="16" t="str">
        <f>IFERROR(__xludf.DUMMYFUNCTION(""""""""" &amp; REGEXEXTRACT(B9347, ""/detail/([^/?]+)"") &amp; """""","""),"""dmkjpfgdjiokimcemagieionmjgadjkg"",")</f>
        <v>"dmkjpfgdjiokimcemagieionmjgadjkg",</v>
      </c>
    </row>
    <row r="9348">
      <c r="A9348" s="4" t="s">
        <v>28527</v>
      </c>
      <c r="B9348" s="4" t="s">
        <v>18600</v>
      </c>
      <c r="C9348" s="16" t="str">
        <f>IFERROR(__xludf.DUMMYFUNCTION(""""""""" &amp; REGEXEXTRACT(B9348, ""/detail/([^/?]+)"") &amp; """""","""),"""ihodpbacinandgbjjdjgflbhbipbobam"",")</f>
        <v>"ihodpbacinandgbjjdjgflbhbipbobam",</v>
      </c>
    </row>
    <row r="9349">
      <c r="A9349" s="4" t="s">
        <v>28528</v>
      </c>
      <c r="B9349" s="4" t="s">
        <v>18602</v>
      </c>
      <c r="C9349" s="16" t="str">
        <f>IFERROR(__xludf.DUMMYFUNCTION(""""""""" &amp; REGEXEXTRACT(B9349, ""/detail/([^/?]+)"") &amp; """""","""),"""iknijibagdnddbokpcndofbolngfcghj"",")</f>
        <v>"iknijibagdnddbokpcndofbolngfcghj",</v>
      </c>
    </row>
    <row r="9350">
      <c r="A9350" s="4" t="s">
        <v>28529</v>
      </c>
      <c r="B9350" s="4" t="s">
        <v>18604</v>
      </c>
      <c r="C9350" s="16" t="str">
        <f>IFERROR(__xludf.DUMMYFUNCTION(""""""""" &amp; REGEXEXTRACT(B9350, ""/detail/([^/?]+)"") &amp; """""","""),"""llpednpgkdbefobnjkkmcoldhjppabdp"",")</f>
        <v>"llpednpgkdbefobnjkkmcoldhjppabdp",</v>
      </c>
    </row>
    <row r="9351">
      <c r="A9351" s="4" t="s">
        <v>28530</v>
      </c>
      <c r="B9351" s="4" t="s">
        <v>18606</v>
      </c>
      <c r="C9351" s="16" t="str">
        <f>IFERROR(__xludf.DUMMYFUNCTION(""""""""" &amp; REGEXEXTRACT(B9351, ""/detail/([^/?]+)"") &amp; """""","""),"""nidobgjfikdhjkmdbpppjokehnnfcefb"",")</f>
        <v>"nidobgjfikdhjkmdbpppjokehnnfcefb",</v>
      </c>
    </row>
    <row r="9352">
      <c r="A9352" s="4" t="s">
        <v>28531</v>
      </c>
      <c r="B9352" s="4" t="s">
        <v>18608</v>
      </c>
      <c r="C9352" s="16" t="str">
        <f>IFERROR(__xludf.DUMMYFUNCTION(""""""""" &amp; REGEXEXTRACT(B9352, ""/detail/([^/?]+)"") &amp; """""","""),"""okoenbnfjolgghkpgpcnogfgfgjbhkkd"",")</f>
        <v>"okoenbnfjolgghkpgpcnogfgfgjbhkkd",</v>
      </c>
    </row>
    <row r="9353">
      <c r="A9353" s="4" t="s">
        <v>28532</v>
      </c>
      <c r="B9353" s="4" t="s">
        <v>18610</v>
      </c>
      <c r="C9353" s="16" t="str">
        <f>IFERROR(__xludf.DUMMYFUNCTION(""""""""" &amp; REGEXEXTRACT(B9353, ""/detail/([^/?]+)"") &amp; """""","""),"""pomjhbedidaoemdkgbnbkdioimdefphh"",")</f>
        <v>"pomjhbedidaoemdkgbnbkdioimdefphh",</v>
      </c>
    </row>
    <row r="9354">
      <c r="A9354" s="4" t="s">
        <v>28533</v>
      </c>
      <c r="B9354" s="4" t="s">
        <v>18612</v>
      </c>
      <c r="C9354" s="16" t="str">
        <f>IFERROR(__xludf.DUMMYFUNCTION(""""""""" &amp; REGEXEXTRACT(B9354, ""/detail/([^/?]+)"") &amp; """""","""),"""ahnedoddoeoelbaaiccbimdpgnlmdlgc"",")</f>
        <v>"ahnedoddoeoelbaaiccbimdpgnlmdlgc",</v>
      </c>
    </row>
    <row r="9355">
      <c r="A9355" s="4" t="s">
        <v>28534</v>
      </c>
      <c r="B9355" s="4" t="s">
        <v>18614</v>
      </c>
      <c r="C9355" s="16" t="str">
        <f>IFERROR(__xludf.DUMMYFUNCTION(""""""""" &amp; REGEXEXTRACT(B9355, ""/detail/([^/?]+)"") &amp; """""","""),"""dgnoamldbmmlajkghgdmhnmanjonnjjg"",")</f>
        <v>"dgnoamldbmmlajkghgdmhnmanjonnjjg",</v>
      </c>
    </row>
    <row r="9356">
      <c r="A9356" s="4" t="s">
        <v>28535</v>
      </c>
      <c r="B9356" s="4" t="s">
        <v>18616</v>
      </c>
      <c r="C9356" s="16" t="str">
        <f>IFERROR(__xludf.DUMMYFUNCTION(""""""""" &amp; REGEXEXTRACT(B9356, ""/detail/([^/?]+)"") &amp; """""","""),"""ehkndchainpkdfpnancgobgfnfjnmmeh"",")</f>
        <v>"ehkndchainpkdfpnancgobgfnfjnmmeh",</v>
      </c>
    </row>
    <row r="9357">
      <c r="A9357" s="4" t="s">
        <v>28536</v>
      </c>
      <c r="B9357" s="4" t="s">
        <v>18618</v>
      </c>
      <c r="C9357" s="16" t="str">
        <f>IFERROR(__xludf.DUMMYFUNCTION(""""""""" &amp; REGEXEXTRACT(B9357, ""/detail/([^/?]+)"") &amp; """""","""),"""geefgfmfmeaohjjamffolfjfekjpcacg"",")</f>
        <v>"geefgfmfmeaohjjamffolfjfekjpcacg",</v>
      </c>
    </row>
    <row r="9358">
      <c r="A9358" s="4" t="s">
        <v>28537</v>
      </c>
      <c r="B9358" s="4" t="s">
        <v>18620</v>
      </c>
      <c r="C9358" s="16" t="str">
        <f>IFERROR(__xludf.DUMMYFUNCTION(""""""""" &amp; REGEXEXTRACT(B9358, ""/detail/([^/?]+)"") &amp; """""","""),"""hjckmeeoamkjlfljoddpmblkbmbiaigf"",")</f>
        <v>"hjckmeeoamkjlfljoddpmblkbmbiaigf",</v>
      </c>
    </row>
    <row r="9359">
      <c r="A9359" s="4" t="s">
        <v>28538</v>
      </c>
      <c r="B9359" s="4" t="s">
        <v>18622</v>
      </c>
      <c r="C9359" s="16" t="str">
        <f>IFERROR(__xludf.DUMMYFUNCTION(""""""""" &amp; REGEXEXTRACT(B9359, ""/detail/([^/?]+)"") &amp; """""","""),"""jkihjjibkpmkmkjikbolmpoigbomhomb"",")</f>
        <v>"jkihjjibkpmkmkjikbolmpoigbomhomb",</v>
      </c>
    </row>
    <row r="9360">
      <c r="A9360" s="4" t="s">
        <v>28539</v>
      </c>
      <c r="B9360" s="4" t="s">
        <v>18624</v>
      </c>
      <c r="C9360" s="16" t="str">
        <f>IFERROR(__xludf.DUMMYFUNCTION(""""""""" &amp; REGEXEXTRACT(B9360, ""/detail/([^/?]+)"") &amp; """""","""),"""lcpoakjecdidnegmabgpkjhmbgbakfpd"",")</f>
        <v>"lcpoakjecdidnegmabgpkjhmbgbakfpd",</v>
      </c>
    </row>
    <row r="9361">
      <c r="A9361" s="4" t="s">
        <v>28540</v>
      </c>
      <c r="B9361" s="4" t="s">
        <v>18626</v>
      </c>
      <c r="C9361" s="16" t="str">
        <f>IFERROR(__xludf.DUMMYFUNCTION(""""""""" &amp; REGEXEXTRACT(B9361, ""/detail/([^/?]+)"") &amp; """""","""),"""afapcfoaobcdldlafeoacnpjlnjgnaeg"",")</f>
        <v>"afapcfoaobcdldlafeoacnpjlnjgnaeg",</v>
      </c>
    </row>
    <row r="9362">
      <c r="A9362" s="4" t="s">
        <v>28541</v>
      </c>
      <c r="B9362" s="4" t="s">
        <v>18628</v>
      </c>
      <c r="C9362" s="16" t="str">
        <f>IFERROR(__xludf.DUMMYFUNCTION(""""""""" &amp; REGEXEXTRACT(B9362, ""/detail/([^/?]+)"") &amp; """""","""),"""egimhkfghkdkffalnjbkeoidpildondf"",")</f>
        <v>"egimhkfghkdkffalnjbkeoidpildondf",</v>
      </c>
    </row>
    <row r="9363">
      <c r="A9363" s="4" t="s">
        <v>28542</v>
      </c>
      <c r="B9363" s="4" t="s">
        <v>18630</v>
      </c>
      <c r="C9363" s="16" t="str">
        <f>IFERROR(__xludf.DUMMYFUNCTION(""""""""" &amp; REGEXEXTRACT(B9363, ""/detail/([^/?]+)"") &amp; """""","""),"""jajemmdkpanhmmnlddnclnefeplgohah"",")</f>
        <v>"jajemmdkpanhmmnlddnclnefeplgohah",</v>
      </c>
    </row>
    <row r="9364">
      <c r="A9364" s="4" t="s">
        <v>28543</v>
      </c>
      <c r="B9364" s="4" t="s">
        <v>18632</v>
      </c>
      <c r="C9364" s="16" t="str">
        <f>IFERROR(__xludf.DUMMYFUNCTION(""""""""" &amp; REGEXEXTRACT(B9364, ""/detail/([^/?]+)"") &amp; """""","""),"""moanghbdjdafhoppikcalbkggpnbhhid"",")</f>
        <v>"moanghbdjdafhoppikcalbkggpnbhhid",</v>
      </c>
    </row>
    <row r="9365">
      <c r="A9365" s="4" t="s">
        <v>28544</v>
      </c>
      <c r="B9365" s="4" t="s">
        <v>18634</v>
      </c>
      <c r="C9365" s="16" t="str">
        <f>IFERROR(__xludf.DUMMYFUNCTION(""""""""" &amp; REGEXEXTRACT(B9365, ""/detail/([^/?]+)"") &amp; """""","""),"""olimlaagoemplbakikagdfnhcejamhek"",")</f>
        <v>"olimlaagoemplbakikagdfnhcejamhek",</v>
      </c>
    </row>
    <row r="9366">
      <c r="A9366" s="4" t="s">
        <v>28545</v>
      </c>
      <c r="B9366" s="4" t="s">
        <v>18636</v>
      </c>
      <c r="C9366" s="16" t="str">
        <f>IFERROR(__xludf.DUMMYFUNCTION(""""""""" &amp; REGEXEXTRACT(B9366, ""/detail/([^/?]+)"") &amp; """""","""),"""caeimpdeapdimekjkkkggpibnlijlnka"",")</f>
        <v>"caeimpdeapdimekjkkkggpibnlijlnka",</v>
      </c>
    </row>
    <row r="9367">
      <c r="A9367" s="4" t="s">
        <v>28546</v>
      </c>
      <c r="B9367" s="4" t="s">
        <v>18638</v>
      </c>
      <c r="C9367" s="16" t="str">
        <f>IFERROR(__xludf.DUMMYFUNCTION(""""""""" &amp; REGEXEXTRACT(B9367, ""/detail/([^/?]+)"") &amp; """""","""),"""jeioblfnlhjafmeciefmmoeaaoklmlmh"",")</f>
        <v>"jeioblfnlhjafmeciefmmoeaaoklmlmh",</v>
      </c>
    </row>
    <row r="9368">
      <c r="A9368" s="4" t="s">
        <v>28547</v>
      </c>
      <c r="B9368" s="4" t="s">
        <v>18640</v>
      </c>
      <c r="C9368" s="16" t="str">
        <f>IFERROR(__xludf.DUMMYFUNCTION(""""""""" &amp; REGEXEXTRACT(B9368, ""/detail/([^/?]+)"") &amp; """""","""),"""kflhcogenbenbimiocmfccalpdhcgngg"",")</f>
        <v>"kflhcogenbenbimiocmfccalpdhcgngg",</v>
      </c>
    </row>
    <row r="9369">
      <c r="A9369" s="4" t="s">
        <v>28548</v>
      </c>
      <c r="B9369" s="4" t="s">
        <v>18642</v>
      </c>
      <c r="C9369" s="16" t="str">
        <f>IFERROR(__xludf.DUMMYFUNCTION(""""""""" &amp; REGEXEXTRACT(B9369, ""/detail/([^/?]+)"") &amp; """""","""),"""majjmbbkgbemgahmpgihhklgbckdhdce"",")</f>
        <v>"majjmbbkgbemgahmpgihhklgbckdhdce",</v>
      </c>
    </row>
    <row r="9370">
      <c r="A9370" s="4" t="s">
        <v>28549</v>
      </c>
      <c r="B9370" s="4" t="s">
        <v>18644</v>
      </c>
      <c r="C9370" s="16" t="str">
        <f>IFERROR(__xludf.DUMMYFUNCTION(""""""""" &amp; REGEXEXTRACT(B9370, ""/detail/([^/?]+)"") &amp; """""","""),"""mlgbjnpehhfngjopcifmbcdfbacncfap"",")</f>
        <v>"mlgbjnpehhfngjopcifmbcdfbacncfap",</v>
      </c>
    </row>
    <row r="9371">
      <c r="A9371" s="4" t="s">
        <v>28550</v>
      </c>
      <c r="B9371" s="4" t="s">
        <v>18646</v>
      </c>
      <c r="C9371" s="16" t="str">
        <f>IFERROR(__xludf.DUMMYFUNCTION(""""""""" &amp; REGEXEXTRACT(B9371, ""/detail/([^/?]+)"") &amp; """""","""),"""mpgcknahnhkphbjahkhpkdpgaipolkgb"",")</f>
        <v>"mpgcknahnhkphbjahkhpkdpgaipolkgb",</v>
      </c>
    </row>
    <row r="9372">
      <c r="A9372" s="4" t="s">
        <v>28551</v>
      </c>
      <c r="B9372" s="4" t="s">
        <v>18648</v>
      </c>
      <c r="C9372" s="16" t="str">
        <f>IFERROR(__xludf.DUMMYFUNCTION(""""""""" &amp; REGEXEXTRACT(B9372, ""/detail/([^/?]+)"") &amp; """""","""),"""pckjjhfnnmonhkfekgnbbdafndfjpjap"",")</f>
        <v>"pckjjhfnnmonhkfekgnbbdafndfjpjap",</v>
      </c>
    </row>
    <row r="9373">
      <c r="A9373" s="4" t="s">
        <v>28552</v>
      </c>
      <c r="B9373" s="4" t="s">
        <v>18650</v>
      </c>
      <c r="C9373" s="16" t="str">
        <f>IFERROR(__xludf.DUMMYFUNCTION(""""""""" &amp; REGEXEXTRACT(B9373, ""/detail/([^/?]+)"") &amp; """""","""),"""aileihjgpakhkhedejpkpamnhpbnjhoj"",")</f>
        <v>"aileihjgpakhkhedejpkpamnhpbnjhoj",</v>
      </c>
    </row>
    <row r="9374">
      <c r="A9374" s="4" t="s">
        <v>28553</v>
      </c>
      <c r="B9374" s="4" t="s">
        <v>18652</v>
      </c>
      <c r="C9374" s="16" t="str">
        <f>IFERROR(__xludf.DUMMYFUNCTION(""""""""" &amp; REGEXEXTRACT(B9374, ""/detail/([^/?]+)"") &amp; """""","""),"""ambfjegfngakpjckfappcbokegkoghfk"",")</f>
        <v>"ambfjegfngakpjckfappcbokegkoghfk",</v>
      </c>
    </row>
    <row r="9375">
      <c r="A9375" s="4" t="s">
        <v>28554</v>
      </c>
      <c r="B9375" s="4" t="s">
        <v>18654</v>
      </c>
      <c r="C9375" s="16" t="str">
        <f>IFERROR(__xludf.DUMMYFUNCTION(""""""""" &amp; REGEXEXTRACT(B9375, ""/detail/([^/?]+)"") &amp; """""","""),"""cpddpjigmffffmkmadafbfddaacckkbb"",")</f>
        <v>"cpddpjigmffffmkmadafbfddaacckkbb",</v>
      </c>
    </row>
    <row r="9376">
      <c r="A9376" s="4" t="s">
        <v>28555</v>
      </c>
      <c r="B9376" s="4" t="s">
        <v>18656</v>
      </c>
      <c r="C9376" s="16" t="str">
        <f>IFERROR(__xludf.DUMMYFUNCTION(""""""""" &amp; REGEXEXTRACT(B9376, ""/detail/([^/?]+)"") &amp; """""","""),"""gheadcedfdipckeikghfagbolhjgaapb"",")</f>
        <v>"gheadcedfdipckeikghfagbolhjgaapb",</v>
      </c>
    </row>
    <row r="9377">
      <c r="A9377" s="4" t="s">
        <v>28556</v>
      </c>
      <c r="B9377" s="4" t="s">
        <v>18658</v>
      </c>
      <c r="C9377" s="16" t="str">
        <f>IFERROR(__xludf.DUMMYFUNCTION(""""""""" &amp; REGEXEXTRACT(B9377, ""/detail/([^/?]+)"") &amp; """""","""),"""jihfaailcmkcaohhaloniapfpambpbgh"",")</f>
        <v>"jihfaailcmkcaohhaloniapfpambpbgh",</v>
      </c>
    </row>
    <row r="9378">
      <c r="A9378" s="4" t="s">
        <v>28557</v>
      </c>
      <c r="B9378" s="4" t="s">
        <v>18660</v>
      </c>
      <c r="C9378" s="16" t="str">
        <f>IFERROR(__xludf.DUMMYFUNCTION(""""""""" &amp; REGEXEXTRACT(B9378, ""/detail/([^/?]+)"") &amp; """""","""),"""lcdcimlkaneihfjboiomfiigpcfllbig"",")</f>
        <v>"lcdcimlkaneihfjboiomfiigpcfllbig",</v>
      </c>
    </row>
    <row r="9379">
      <c r="A9379" s="4" t="s">
        <v>28558</v>
      </c>
      <c r="B9379" s="4" t="s">
        <v>18662</v>
      </c>
      <c r="C9379" s="16" t="str">
        <f>IFERROR(__xludf.DUMMYFUNCTION(""""""""" &amp; REGEXEXTRACT(B9379, ""/detail/([^/?]+)"") &amp; """""","""),"""lkggefncopjobklggpoepdgmpfdfjlkm"",")</f>
        <v>"lkggefncopjobklggpoepdgmpfdfjlkm",</v>
      </c>
    </row>
    <row r="9380">
      <c r="A9380" s="4" t="s">
        <v>28559</v>
      </c>
      <c r="B9380" s="4" t="s">
        <v>18664</v>
      </c>
      <c r="C9380" s="16" t="str">
        <f>IFERROR(__xludf.DUMMYFUNCTION(""""""""" &amp; REGEXEXTRACT(B9380, ""/detail/([^/?]+)"") &amp; """""","""),"""mkmemciklmkffcpnihapnjkfhpchlodh"",")</f>
        <v>"mkmemciklmkffcpnihapnjkfhpchlodh",</v>
      </c>
    </row>
    <row r="9381">
      <c r="A9381" s="4" t="s">
        <v>28560</v>
      </c>
      <c r="B9381" s="4" t="s">
        <v>18666</v>
      </c>
      <c r="C9381" s="16" t="str">
        <f>IFERROR(__xludf.DUMMYFUNCTION(""""""""" &amp; REGEXEXTRACT(B9381, ""/detail/([^/?]+)"") &amp; """""","""),"""pjpafklkkifgjbpeinonoelpeckhoaje"",")</f>
        <v>"pjpafklkkifgjbpeinonoelpeckhoaje",</v>
      </c>
    </row>
    <row r="9382">
      <c r="A9382" s="4" t="s">
        <v>28561</v>
      </c>
      <c r="B9382" s="4" t="s">
        <v>18668</v>
      </c>
      <c r="C9382" s="16" t="str">
        <f>IFERROR(__xludf.DUMMYFUNCTION(""""""""" &amp; REGEXEXTRACT(B9382, ""/detail/([^/?]+)"") &amp; """""","""),"""hlmhjakokajncnencjkhieokhpkdilfl"",")</f>
        <v>"hlmhjakokajncnencjkhieokhpkdilfl",</v>
      </c>
    </row>
    <row r="9383">
      <c r="A9383" s="4" t="s">
        <v>28562</v>
      </c>
      <c r="B9383" s="4" t="s">
        <v>18670</v>
      </c>
      <c r="C9383" s="16" t="str">
        <f>IFERROR(__xludf.DUMMYFUNCTION(""""""""" &amp; REGEXEXTRACT(B9383, ""/detail/([^/?]+)"") &amp; """""","""),"""iahfandbphfkbofbkkhkikgjhkfgdhai"",")</f>
        <v>"iahfandbphfkbofbkkhkikgjhkfgdhai",</v>
      </c>
    </row>
    <row r="9384">
      <c r="A9384" s="4" t="s">
        <v>28563</v>
      </c>
      <c r="B9384" s="4" t="s">
        <v>18672</v>
      </c>
      <c r="C9384" s="16" t="str">
        <f>IFERROR(__xludf.DUMMYFUNCTION(""""""""" &amp; REGEXEXTRACT(B9384, ""/detail/([^/?]+)"") &amp; """""","""),"""ippaapoiolpdkljaeicdcjilfdimgklb"",")</f>
        <v>"ippaapoiolpdkljaeicdcjilfdimgklb",</v>
      </c>
    </row>
    <row r="9385">
      <c r="A9385" s="4" t="s">
        <v>28564</v>
      </c>
      <c r="B9385" s="4" t="s">
        <v>18674</v>
      </c>
      <c r="C9385" s="16" t="str">
        <f>IFERROR(__xludf.DUMMYFUNCTION(""""""""" &amp; REGEXEXTRACT(B9385, ""/detail/([^/?]+)"") &amp; """""","""),"""bfbgdbiecfcepelcdmbokphbkoloeimp"",")</f>
        <v>"bfbgdbiecfcepelcdmbokphbkoloeimp",</v>
      </c>
    </row>
    <row r="9386">
      <c r="A9386" s="4" t="s">
        <v>28565</v>
      </c>
      <c r="B9386" s="4" t="s">
        <v>18676</v>
      </c>
      <c r="C9386" s="16" t="str">
        <f>IFERROR(__xludf.DUMMYFUNCTION(""""""""" &amp; REGEXEXTRACT(B9386, ""/detail/([^/?]+)"") &amp; """""","""),"""cejcamkfmcboeoaplnoeckholcdnfcnb"",")</f>
        <v>"cejcamkfmcboeoaplnoeckholcdnfcnb",</v>
      </c>
    </row>
    <row r="9387">
      <c r="A9387" s="4" t="s">
        <v>28566</v>
      </c>
      <c r="B9387" s="4" t="s">
        <v>18678</v>
      </c>
      <c r="C9387" s="16" t="str">
        <f>IFERROR(__xludf.DUMMYFUNCTION(""""""""" &amp; REGEXEXTRACT(B9387, ""/detail/([^/?]+)"") &amp; """""","""),"""cnidobammcifdlagbiobgfmkoecfoaib"",")</f>
        <v>"cnidobammcifdlagbiobgfmkoecfoaib",</v>
      </c>
    </row>
    <row r="9388">
      <c r="A9388" s="4" t="s">
        <v>28567</v>
      </c>
      <c r="B9388" s="4" t="s">
        <v>18680</v>
      </c>
      <c r="C9388" s="16" t="str">
        <f>IFERROR(__xludf.DUMMYFUNCTION(""""""""" &amp; REGEXEXTRACT(B9388, ""/detail/([^/?]+)"") &amp; """""","""),"""glkopfadnnchjlikendfaaajmdkbbalj"",")</f>
        <v>"glkopfadnnchjlikendfaaajmdkbbalj",</v>
      </c>
    </row>
    <row r="9389">
      <c r="A9389" s="4" t="s">
        <v>28568</v>
      </c>
      <c r="B9389" s="4" t="s">
        <v>18682</v>
      </c>
      <c r="C9389" s="16" t="str">
        <f>IFERROR(__xludf.DUMMYFUNCTION(""""""""" &amp; REGEXEXTRACT(B9389, ""/detail/([^/?]+)"") &amp; """""","""),"""hejblflceieoemjadbnlpplaajbneedn"",")</f>
        <v>"hejblflceieoemjadbnlpplaajbneedn",</v>
      </c>
    </row>
    <row r="9390">
      <c r="A9390" s="4" t="s">
        <v>28569</v>
      </c>
      <c r="B9390" s="4" t="s">
        <v>18684</v>
      </c>
      <c r="C9390" s="16" t="str">
        <f>IFERROR(__xludf.DUMMYFUNCTION(""""""""" &amp; REGEXEXTRACT(B9390, ""/detail/([^/?]+)"") &amp; """""","""),"""ilcedokeaoecefkdndkjpodieiamefdm"",")</f>
        <v>"ilcedokeaoecefkdndkjpodieiamefdm",</v>
      </c>
    </row>
    <row r="9391">
      <c r="A9391" s="4" t="s">
        <v>28570</v>
      </c>
      <c r="B9391" s="4" t="s">
        <v>18686</v>
      </c>
      <c r="C9391" s="16" t="str">
        <f>IFERROR(__xludf.DUMMYFUNCTION(""""""""" &amp; REGEXEXTRACT(B9391, ""/detail/([^/?]+)"") &amp; """""","""),"""pkbcojdobadeaaokfccfhakpboblbdhd"",")</f>
        <v>"pkbcojdobadeaaokfccfhakpboblbdhd",</v>
      </c>
    </row>
    <row r="9392">
      <c r="A9392" s="4" t="s">
        <v>28571</v>
      </c>
      <c r="B9392" s="4" t="s">
        <v>18688</v>
      </c>
      <c r="C9392" s="16" t="str">
        <f>IFERROR(__xludf.DUMMYFUNCTION(""""""""" &amp; REGEXEXTRACT(B9392, ""/detail/([^/?]+)"") &amp; """""","""),"""aljcdaalmbiafjpicnnloialbbceiljn"",")</f>
        <v>"aljcdaalmbiafjpicnnloialbbceiljn",</v>
      </c>
    </row>
    <row r="9393">
      <c r="A9393" s="4" t="s">
        <v>28572</v>
      </c>
      <c r="B9393" s="4" t="s">
        <v>18690</v>
      </c>
      <c r="C9393" s="16" t="str">
        <f>IFERROR(__xludf.DUMMYFUNCTION(""""""""" &amp; REGEXEXTRACT(B9393, ""/detail/([^/?]+)"") &amp; """""","""),"""bhdoamafjclkjalgmndfnpfpfpllopdh"",")</f>
        <v>"bhdoamafjclkjalgmndfnpfpfpllopdh",</v>
      </c>
    </row>
    <row r="9394">
      <c r="A9394" s="4" t="s">
        <v>28573</v>
      </c>
      <c r="B9394" s="4" t="s">
        <v>18692</v>
      </c>
      <c r="C9394" s="16" t="str">
        <f>IFERROR(__xludf.DUMMYFUNCTION(""""""""" &amp; REGEXEXTRACT(B9394, ""/detail/([^/?]+)"") &amp; """""","""),"""bnmjajghllhhhgiaeipaibfmnjnponhd"",")</f>
        <v>"bnmjajghllhhhgiaeipaibfmnjnponhd",</v>
      </c>
    </row>
    <row r="9395">
      <c r="A9395" s="4" t="s">
        <v>28574</v>
      </c>
      <c r="B9395" s="4" t="s">
        <v>18693</v>
      </c>
      <c r="C9395" s="16" t="str">
        <f>IFERROR(__xludf.DUMMYFUNCTION(""""""""" &amp; REGEXEXTRACT(B9395, ""/detail/([^/?]+)"") &amp; """""","""),"""cilgjbakamckjkiebndhokceglicbodi"",")</f>
        <v>"cilgjbakamckjkiebndhokceglicbodi",</v>
      </c>
    </row>
    <row r="9396">
      <c r="A9396" s="4" t="s">
        <v>28575</v>
      </c>
      <c r="B9396" s="4" t="s">
        <v>18695</v>
      </c>
      <c r="C9396" s="16" t="str">
        <f>IFERROR(__xludf.DUMMYFUNCTION(""""""""" &amp; REGEXEXTRACT(B9396, ""/detail/([^/?]+)"") &amp; """""","""),"""efiapikahogejddbbbcncibamackdmno"",")</f>
        <v>"efiapikahogejddbbbcncibamackdmno",</v>
      </c>
    </row>
    <row r="9397">
      <c r="A9397" s="4" t="s">
        <v>28576</v>
      </c>
      <c r="B9397" s="4" t="s">
        <v>18697</v>
      </c>
      <c r="C9397" s="16" t="str">
        <f>IFERROR(__xludf.DUMMYFUNCTION(""""""""" &amp; REGEXEXTRACT(B9397, ""/detail/([^/?]+)"") &amp; """""","""),"""ekakdgpjkglaghkjgemfefihilpgkbli"",")</f>
        <v>"ekakdgpjkglaghkjgemfefihilpgkbli",</v>
      </c>
    </row>
    <row r="9398">
      <c r="A9398" s="4" t="s">
        <v>28577</v>
      </c>
      <c r="B9398" s="4" t="s">
        <v>18699</v>
      </c>
      <c r="C9398" s="16" t="str">
        <f>IFERROR(__xludf.DUMMYFUNCTION(""""""""" &amp; REGEXEXTRACT(B9398, ""/detail/([^/?]+)"") &amp; """""","""),"""enakpddkofoddibleaedgbcpbnpoeond"",")</f>
        <v>"enakpddkofoddibleaedgbcpbnpoeond",</v>
      </c>
    </row>
    <row r="9399">
      <c r="A9399" s="4" t="s">
        <v>28578</v>
      </c>
      <c r="B9399" s="4" t="s">
        <v>18701</v>
      </c>
      <c r="C9399" s="16" t="str">
        <f>IFERROR(__xludf.DUMMYFUNCTION(""""""""" &amp; REGEXEXTRACT(B9399, ""/detail/([^/?]+)"") &amp; """""","""),"""eodkflpkbmfkfocinkokegcmmjemmgde"",")</f>
        <v>"eodkflpkbmfkfocinkokegcmmjemmgde",</v>
      </c>
    </row>
    <row r="9400">
      <c r="A9400" s="4" t="s">
        <v>28579</v>
      </c>
      <c r="B9400" s="4" t="s">
        <v>18703</v>
      </c>
      <c r="C9400" s="16" t="str">
        <f>IFERROR(__xludf.DUMMYFUNCTION(""""""""" &amp; REGEXEXTRACT(B9400, ""/detail/([^/?]+)"") &amp; """""","""),"""hogcjpgnoecbkmbamlakaacafkloopbn"",")</f>
        <v>"hogcjpgnoecbkmbamlakaacafkloopbn",</v>
      </c>
    </row>
    <row r="9401">
      <c r="A9401" s="4" t="s">
        <v>28580</v>
      </c>
      <c r="B9401" s="4" t="s">
        <v>18705</v>
      </c>
      <c r="C9401" s="16" t="str">
        <f>IFERROR(__xludf.DUMMYFUNCTION(""""""""" &amp; REGEXEXTRACT(B9401, ""/detail/([^/?]+)"") &amp; """""","""),"""jobneimllpaijdidliomlnekgjkjhpfn"",")</f>
        <v>"jobneimllpaijdidliomlnekgjkjhpfn",</v>
      </c>
    </row>
    <row r="9402">
      <c r="A9402" s="4" t="s">
        <v>28581</v>
      </c>
      <c r="B9402" s="4" t="s">
        <v>18707</v>
      </c>
      <c r="C9402" s="16" t="str">
        <f>IFERROR(__xludf.DUMMYFUNCTION(""""""""" &amp; REGEXEXTRACT(B9402, ""/detail/([^/?]+)"") &amp; """""","""),"""klbjilppccpjnpmmdbcebibofmbnogpi"",")</f>
        <v>"klbjilppccpjnpmmdbcebibofmbnogpi",</v>
      </c>
    </row>
    <row r="9403">
      <c r="A9403" s="4" t="s">
        <v>28582</v>
      </c>
      <c r="B9403" s="4" t="s">
        <v>18709</v>
      </c>
      <c r="C9403" s="16" t="str">
        <f>IFERROR(__xludf.DUMMYFUNCTION(""""""""" &amp; REGEXEXTRACT(B9403, ""/detail/([^/?]+)"") &amp; """""","""),"""lhecbjgjgknjminomebnbfcopdfdfmel"",")</f>
        <v>"lhecbjgjgknjminomebnbfcopdfdfmel",</v>
      </c>
    </row>
    <row r="9404">
      <c r="A9404" s="4" t="s">
        <v>28583</v>
      </c>
      <c r="B9404" s="4" t="s">
        <v>18711</v>
      </c>
      <c r="C9404" s="16" t="str">
        <f>IFERROR(__xludf.DUMMYFUNCTION(""""""""" &amp; REGEXEXTRACT(B9404, ""/detail/([^/?]+)"") &amp; """""","""),"""lolmkmiaecmddbaldhdhmangbndidpka"",")</f>
        <v>"lolmkmiaecmddbaldhdhmangbndidpka",</v>
      </c>
    </row>
    <row r="9405">
      <c r="A9405" s="4" t="s">
        <v>28584</v>
      </c>
      <c r="B9405" s="4" t="s">
        <v>18713</v>
      </c>
      <c r="C9405" s="16" t="str">
        <f>IFERROR(__xludf.DUMMYFUNCTION(""""""""" &amp; REGEXEXTRACT(B9405, ""/detail/([^/?]+)"") &amp; """""","""),"""paeemhflfemffkcggpldnaofhgmffnlh"",")</f>
        <v>"paeemhflfemffkcggpldnaofhgmffnlh",</v>
      </c>
    </row>
    <row r="9406">
      <c r="A9406" s="4" t="s">
        <v>28585</v>
      </c>
      <c r="B9406" s="4" t="s">
        <v>18715</v>
      </c>
      <c r="C9406" s="16" t="str">
        <f>IFERROR(__xludf.DUMMYFUNCTION(""""""""" &amp; REGEXEXTRACT(B9406, ""/detail/([^/?]+)"") &amp; """""","""),"""adglgkhcpfdcocgekhbkghpajnbgcekd"",")</f>
        <v>"adglgkhcpfdcocgekhbkghpajnbgcekd",</v>
      </c>
    </row>
    <row r="9407">
      <c r="A9407" s="4" t="s">
        <v>28586</v>
      </c>
      <c r="B9407" s="4" t="s">
        <v>18717</v>
      </c>
      <c r="C9407" s="16" t="str">
        <f>IFERROR(__xludf.DUMMYFUNCTION(""""""""" &amp; REGEXEXTRACT(B9407, ""/detail/([^/?]+)"") &amp; """""","""),"""ahenlbboobkcclimcmfmeppgldbnemfh"",")</f>
        <v>"ahenlbboobkcclimcmfmeppgldbnemfh",</v>
      </c>
    </row>
    <row r="9408">
      <c r="A9408" s="4" t="s">
        <v>28587</v>
      </c>
      <c r="B9408" s="4" t="s">
        <v>18719</v>
      </c>
      <c r="C9408" s="16" t="str">
        <f>IFERROR(__xludf.DUMMYFUNCTION(""""""""" &amp; REGEXEXTRACT(B9408, ""/detail/([^/?]+)"") &amp; """""","""),"""aoapgplnpgfjgdjkmnklhojkldpihmji"",")</f>
        <v>"aoapgplnpgfjgdjkmnklhojkldpihmji",</v>
      </c>
    </row>
    <row r="9409">
      <c r="A9409" s="4" t="s">
        <v>28588</v>
      </c>
      <c r="B9409" s="4" t="s">
        <v>18721</v>
      </c>
      <c r="C9409" s="16" t="str">
        <f>IFERROR(__xludf.DUMMYFUNCTION(""""""""" &amp; REGEXEXTRACT(B9409, ""/detail/([^/?]+)"") &amp; """""","""),"""diipoibplgmlelojkgdpjibgfjgfjkih"",")</f>
        <v>"diipoibplgmlelojkgdpjibgfjgfjkih",</v>
      </c>
    </row>
    <row r="9410">
      <c r="A9410" s="4" t="s">
        <v>28589</v>
      </c>
      <c r="B9410" s="4" t="s">
        <v>18723</v>
      </c>
      <c r="C9410" s="16" t="str">
        <f>IFERROR(__xludf.DUMMYFUNCTION(""""""""" &amp; REGEXEXTRACT(B9410, ""/detail/([^/?]+)"") &amp; """""","""),"""fceankoalphgakeplaphillmcgmdeckc"",")</f>
        <v>"fceankoalphgakeplaphillmcgmdeckc",</v>
      </c>
    </row>
    <row r="9411">
      <c r="A9411" s="4" t="s">
        <v>28590</v>
      </c>
      <c r="B9411" s="4" t="s">
        <v>18725</v>
      </c>
      <c r="C9411" s="16" t="str">
        <f>IFERROR(__xludf.DUMMYFUNCTION(""""""""" &amp; REGEXEXTRACT(B9411, ""/detail/([^/?]+)"") &amp; """""","""),"""fkdpddcmgklcnejajcoafipmlodbgeom"",")</f>
        <v>"fkdpddcmgklcnejajcoafipmlodbgeom",</v>
      </c>
    </row>
    <row r="9412">
      <c r="A9412" s="4" t="s">
        <v>28591</v>
      </c>
      <c r="B9412" s="4" t="s">
        <v>18727</v>
      </c>
      <c r="C9412" s="16" t="str">
        <f>IFERROR(__xludf.DUMMYFUNCTION(""""""""" &amp; REGEXEXTRACT(B9412, ""/detail/([^/?]+)"") &amp; """""","""),"""peboekgeiffcaddndeonkmkledekeegl"",")</f>
        <v>"peboekgeiffcaddndeonkmkledekeegl",</v>
      </c>
    </row>
    <row r="9413">
      <c r="A9413" s="4" t="s">
        <v>28592</v>
      </c>
      <c r="B9413" s="4" t="s">
        <v>18729</v>
      </c>
      <c r="C9413" s="16" t="str">
        <f>IFERROR(__xludf.DUMMYFUNCTION(""""""""" &amp; REGEXEXTRACT(B9413, ""/detail/([^/?]+)"") &amp; """""","""),"""anbcbibcejpgaohknmjoikdepodjfiac"",")</f>
        <v>"anbcbibcejpgaohknmjoikdepodjfiac",</v>
      </c>
    </row>
    <row r="9414">
      <c r="A9414" s="4" t="s">
        <v>28593</v>
      </c>
      <c r="B9414" s="4" t="s">
        <v>18731</v>
      </c>
      <c r="C9414" s="16" t="str">
        <f>IFERROR(__xludf.DUMMYFUNCTION(""""""""" &amp; REGEXEXTRACT(B9414, ""/detail/([^/?]+)"") &amp; """""","""),"""dokdgfodmeaaamnbpbaomjcidljofpio"",")</f>
        <v>"dokdgfodmeaaamnbpbaomjcidljofpio",</v>
      </c>
    </row>
    <row r="9415">
      <c r="A9415" s="4" t="s">
        <v>28594</v>
      </c>
      <c r="B9415" s="4" t="s">
        <v>18733</v>
      </c>
      <c r="C9415" s="16" t="str">
        <f>IFERROR(__xludf.DUMMYFUNCTION(""""""""" &amp; REGEXEXTRACT(B9415, ""/detail/([^/?]+)"") &amp; """""","""),"""gfnaeiaojgbbcdbmlhgcihofhiblmkmi"",")</f>
        <v>"gfnaeiaojgbbcdbmlhgcihofhiblmkmi",</v>
      </c>
    </row>
    <row r="9416">
      <c r="A9416" s="4" t="s">
        <v>28595</v>
      </c>
      <c r="B9416" s="4" t="s">
        <v>18735</v>
      </c>
      <c r="C9416" s="16" t="str">
        <f>IFERROR(__xludf.DUMMYFUNCTION(""""""""" &amp; REGEXEXTRACT(B9416, ""/detail/([^/?]+)"") &amp; """""","""),"""hhnejkbilifegcpncclnckocdimclape"",")</f>
        <v>"hhnejkbilifegcpncclnckocdimclape",</v>
      </c>
    </row>
    <row r="9417">
      <c r="A9417" s="4" t="s">
        <v>28596</v>
      </c>
      <c r="B9417" s="4" t="s">
        <v>18737</v>
      </c>
      <c r="C9417" s="16" t="str">
        <f>IFERROR(__xludf.DUMMYFUNCTION(""""""""" &amp; REGEXEXTRACT(B9417, ""/detail/([^/?]+)"") &amp; """""","""),"""hmfmpbejccdgjaeohanfadencaalkbnd"",")</f>
        <v>"hmfmpbejccdgjaeohanfadencaalkbnd",</v>
      </c>
    </row>
    <row r="9418">
      <c r="A9418" s="4" t="s">
        <v>28597</v>
      </c>
      <c r="B9418" s="4" t="s">
        <v>18739</v>
      </c>
      <c r="C9418" s="16" t="str">
        <f>IFERROR(__xludf.DUMMYFUNCTION(""""""""" &amp; REGEXEXTRACT(B9418, ""/detail/([^/?]+)"") &amp; """""","""),"""laicgabamgnpheichgkfgedjnogpmmlc"",")</f>
        <v>"laicgabamgnpheichgkfgedjnogpmmlc",</v>
      </c>
    </row>
    <row r="9419">
      <c r="A9419" s="4" t="s">
        <v>28598</v>
      </c>
      <c r="B9419" s="4" t="s">
        <v>18741</v>
      </c>
      <c r="C9419" s="16" t="str">
        <f>IFERROR(__xludf.DUMMYFUNCTION(""""""""" &amp; REGEXEXTRACT(B9419, ""/detail/([^/?]+)"") &amp; """""","""),"""lhfkmfkjjeilbgfolpcndcbdgbdhbnlk"",")</f>
        <v>"lhfkmfkjjeilbgfolpcndcbdgbdhbnlk",</v>
      </c>
    </row>
    <row r="9420">
      <c r="A9420" s="4" t="s">
        <v>28599</v>
      </c>
      <c r="B9420" s="4" t="s">
        <v>18743</v>
      </c>
      <c r="C9420" s="16" t="str">
        <f>IFERROR(__xludf.DUMMYFUNCTION(""""""""" &amp; REGEXEXTRACT(B9420, ""/detail/([^/?]+)"") &amp; """""","""),"""namnibpjolgkffcmpnhpjdhogolekkfp"",")</f>
        <v>"namnibpjolgkffcmpnhpjdhogolekkfp",</v>
      </c>
    </row>
    <row r="9421">
      <c r="A9421" s="4" t="s">
        <v>28600</v>
      </c>
      <c r="B9421" s="4" t="s">
        <v>18745</v>
      </c>
      <c r="C9421" s="16" t="str">
        <f>IFERROR(__xludf.DUMMYFUNCTION(""""""""" &amp; REGEXEXTRACT(B9421, ""/detail/([^/?]+)"") &amp; """""","""),"""nkfomneflebeghfjmjnjlepkkamppnaj"",")</f>
        <v>"nkfomneflebeghfjmjnjlepkkamppnaj",</v>
      </c>
    </row>
    <row r="9422">
      <c r="A9422" s="4" t="s">
        <v>28601</v>
      </c>
      <c r="B9422" s="4" t="s">
        <v>18747</v>
      </c>
      <c r="C9422" s="16" t="str">
        <f>IFERROR(__xludf.DUMMYFUNCTION(""""""""" &amp; REGEXEXTRACT(B9422, ""/detail/([^/?]+)"") &amp; """""","""),"""acaddjpeboeoklpaaiopefoidbijnahb"",")</f>
        <v>"acaddjpeboeoklpaaiopefoidbijnahb",</v>
      </c>
    </row>
    <row r="9423">
      <c r="A9423" s="4" t="s">
        <v>28602</v>
      </c>
      <c r="B9423" s="4" t="s">
        <v>18749</v>
      </c>
      <c r="C9423" s="16" t="str">
        <f>IFERROR(__xludf.DUMMYFUNCTION(""""""""" &amp; REGEXEXTRACT(B9423, ""/detail/([^/?]+)"") &amp; """""","""),"""aoekkpoenkmdemcheddbmclndonmiplc"",")</f>
        <v>"aoekkpoenkmdemcheddbmclndonmiplc",</v>
      </c>
    </row>
    <row r="9424">
      <c r="A9424" s="4" t="s">
        <v>28603</v>
      </c>
      <c r="B9424" s="4" t="s">
        <v>18751</v>
      </c>
      <c r="C9424" s="16" t="str">
        <f>IFERROR(__xludf.DUMMYFUNCTION(""""""""" &amp; REGEXEXTRACT(B9424, ""/detail/([^/?]+)"") &amp; """""","""),"""fijncdcfiafomlkmhkhnjnfcaolddoca"",")</f>
        <v>"fijncdcfiafomlkmhkhnjnfcaolddoca",</v>
      </c>
    </row>
    <row r="9425">
      <c r="A9425" s="4" t="s">
        <v>28604</v>
      </c>
      <c r="B9425" s="4" t="s">
        <v>18753</v>
      </c>
      <c r="C9425" s="16" t="str">
        <f>IFERROR(__xludf.DUMMYFUNCTION(""""""""" &amp; REGEXEXTRACT(B9425, ""/detail/([^/?]+)"") &amp; """""","""),"""fnbjpobbemnfhgbhehomehgnpleigdcl"",")</f>
        <v>"fnbjpobbemnfhgbhehomehgnpleigdcl",</v>
      </c>
    </row>
    <row r="9426">
      <c r="A9426" s="4" t="s">
        <v>28605</v>
      </c>
      <c r="B9426" s="4" t="s">
        <v>18754</v>
      </c>
      <c r="C9426" s="16" t="str">
        <f>IFERROR(__xludf.DUMMYFUNCTION(""""""""" &amp; REGEXEXTRACT(B9426, ""/detail/([^/?]+)"") &amp; """""","""),"""jbhpgmghgghpoobleomkefagoiihmmkn"",")</f>
        <v>"jbhpgmghgghpoobleomkefagoiihmmkn",</v>
      </c>
    </row>
    <row r="9427">
      <c r="A9427" s="4" t="s">
        <v>28606</v>
      </c>
      <c r="B9427" s="4" t="s">
        <v>18756</v>
      </c>
      <c r="C9427" s="16" t="str">
        <f>IFERROR(__xludf.DUMMYFUNCTION(""""""""" &amp; REGEXEXTRACT(B9427, ""/detail/([^/?]+)"") &amp; """""","""),"""jnbbpclapocmlmdeokcblbdgnhejjiel"",")</f>
        <v>"jnbbpclapocmlmdeokcblbdgnhejjiel",</v>
      </c>
    </row>
    <row r="9428">
      <c r="A9428" s="4" t="s">
        <v>28607</v>
      </c>
      <c r="B9428" s="4" t="s">
        <v>18758</v>
      </c>
      <c r="C9428" s="16" t="str">
        <f>IFERROR(__xludf.DUMMYFUNCTION(""""""""" &amp; REGEXEXTRACT(B9428, ""/detail/([^/?]+)"") &amp; """""","""),"""mnpnejdcejcccechaimefcknpkkhlkhd"",")</f>
        <v>"mnpnejdcejcccechaimefcknpkkhlkhd",</v>
      </c>
    </row>
    <row r="9429">
      <c r="A9429" s="4" t="s">
        <v>28608</v>
      </c>
      <c r="B9429" s="4" t="s">
        <v>18760</v>
      </c>
      <c r="C9429" s="16" t="str">
        <f>IFERROR(__xludf.DUMMYFUNCTION(""""""""" &amp; REGEXEXTRACT(B9429, ""/detail/([^/?]+)"") &amp; """""","""),"""bdkggofegebecpmlidhmfjbbedllocae"",")</f>
        <v>"bdkggofegebecpmlidhmfjbbedllocae",</v>
      </c>
    </row>
    <row r="9430">
      <c r="A9430" s="4" t="s">
        <v>28609</v>
      </c>
      <c r="B9430" s="4" t="s">
        <v>18762</v>
      </c>
      <c r="C9430" s="16" t="str">
        <f>IFERROR(__xludf.DUMMYFUNCTION(""""""""" &amp; REGEXEXTRACT(B9430, ""/detail/([^/?]+)"") &amp; """""","""),"""bhnjaoemjjpolobopjbnchecajgoefgp"",")</f>
        <v>"bhnjaoemjjpolobopjbnchecajgoefgp",</v>
      </c>
    </row>
    <row r="9431">
      <c r="A9431" s="4" t="s">
        <v>28610</v>
      </c>
      <c r="B9431" s="4" t="s">
        <v>18764</v>
      </c>
      <c r="C9431" s="16" t="str">
        <f>IFERROR(__xludf.DUMMYFUNCTION(""""""""" &amp; REGEXEXTRACT(B9431, ""/detail/([^/?]+)"") &amp; """""","""),"""dfcffkjnapandffpkglmnbjfnfdififc"",")</f>
        <v>"dfcffkjnapandffpkglmnbjfnfdififc",</v>
      </c>
    </row>
    <row r="9432">
      <c r="A9432" s="4" t="s">
        <v>28611</v>
      </c>
      <c r="B9432" s="4" t="s">
        <v>18766</v>
      </c>
      <c r="C9432" s="16" t="str">
        <f>IFERROR(__xludf.DUMMYFUNCTION(""""""""" &amp; REGEXEXTRACT(B9432, ""/detail/([^/?]+)"") &amp; """""","""),"""dkhnigliajfonnhdgdgkcceknciijlhp"",")</f>
        <v>"dkhnigliajfonnhdgdgkcceknciijlhp",</v>
      </c>
    </row>
    <row r="9433">
      <c r="A9433" s="4" t="s">
        <v>28612</v>
      </c>
      <c r="B9433" s="4" t="s">
        <v>18768</v>
      </c>
      <c r="C9433" s="16" t="str">
        <f>IFERROR(__xludf.DUMMYFUNCTION(""""""""" &amp; REGEXEXTRACT(B9433, ""/detail/([^/?]+)"") &amp; """""","""),"""fdmnpmpggclnmknppdijngajpepkakhe"",")</f>
        <v>"fdmnpmpggclnmknppdijngajpepkakhe",</v>
      </c>
    </row>
    <row r="9434">
      <c r="A9434" s="4" t="s">
        <v>28613</v>
      </c>
      <c r="B9434" s="4" t="s">
        <v>18770</v>
      </c>
      <c r="C9434" s="16" t="str">
        <f>IFERROR(__xludf.DUMMYFUNCTION(""""""""" &amp; REGEXEXTRACT(B9434, ""/detail/([^/?]+)"") &amp; """""","""),"""gfeaclafcmbiakopneapkbaiifnhbkng"",")</f>
        <v>"gfeaclafcmbiakopneapkbaiifnhbkng",</v>
      </c>
    </row>
    <row r="9435">
      <c r="A9435" s="4" t="s">
        <v>28614</v>
      </c>
      <c r="B9435" s="4" t="s">
        <v>18772</v>
      </c>
      <c r="C9435" s="16" t="str">
        <f>IFERROR(__xludf.DUMMYFUNCTION(""""""""" &amp; REGEXEXTRACT(B9435, ""/detail/([^/?]+)"") &amp; """""","""),"""hpidplbbhlibnefjdbepbinmanddipne"",")</f>
        <v>"hpidplbbhlibnefjdbepbinmanddipne",</v>
      </c>
    </row>
    <row r="9436">
      <c r="A9436" s="4" t="s">
        <v>28615</v>
      </c>
      <c r="B9436" s="4" t="s">
        <v>18774</v>
      </c>
      <c r="C9436" s="16" t="str">
        <f>IFERROR(__xludf.DUMMYFUNCTION(""""""""" &amp; REGEXEXTRACT(B9436, ""/detail/([^/?]+)"") &amp; """""","""),"""icfppdnbakiampejgikedpidpnpcniga"",")</f>
        <v>"icfppdnbakiampejgikedpidpnpcniga",</v>
      </c>
    </row>
    <row r="9437">
      <c r="A9437" s="4" t="s">
        <v>28616</v>
      </c>
      <c r="B9437" s="4" t="s">
        <v>18776</v>
      </c>
      <c r="C9437" s="16" t="str">
        <f>IFERROR(__xludf.DUMMYFUNCTION(""""""""" &amp; REGEXEXTRACT(B9437, ""/detail/([^/?]+)"") &amp; """""","""),"""kkppfcnjkdgeocghmebigakljcpiamge"",")</f>
        <v>"kkppfcnjkdgeocghmebigakljcpiamge",</v>
      </c>
    </row>
    <row r="9438">
      <c r="A9438" s="4" t="s">
        <v>28617</v>
      </c>
      <c r="B9438" s="4" t="s">
        <v>18778</v>
      </c>
      <c r="C9438" s="16" t="str">
        <f>IFERROR(__xludf.DUMMYFUNCTION(""""""""" &amp; REGEXEXTRACT(B9438, ""/detail/([^/?]+)"") &amp; """""","""),"""kocnlcjmilagfcojemhbijcjphhlbini"",")</f>
        <v>"kocnlcjmilagfcojemhbijcjphhlbini",</v>
      </c>
    </row>
    <row r="9439">
      <c r="A9439" s="4" t="s">
        <v>28618</v>
      </c>
      <c r="B9439" s="4" t="s">
        <v>18779</v>
      </c>
      <c r="C9439" s="16" t="str">
        <f>IFERROR(__xludf.DUMMYFUNCTION(""""""""" &amp; REGEXEXTRACT(B9439, ""/detail/([^/?]+)"") &amp; """""","""),"""meolldikblbfbekojppimgfjdgjfljkl"",")</f>
        <v>"meolldikblbfbekojppimgfjdgjfljkl",</v>
      </c>
    </row>
    <row r="9440">
      <c r="A9440" s="4" t="s">
        <v>28619</v>
      </c>
      <c r="B9440" s="4" t="s">
        <v>18781</v>
      </c>
      <c r="C9440" s="16" t="str">
        <f>IFERROR(__xludf.DUMMYFUNCTION(""""""""" &amp; REGEXEXTRACT(B9440, ""/detail/([^/?]+)"") &amp; """""","""),"""mnjbjjllbclkpnebaddhkoonjelmiekm"",")</f>
        <v>"mnjbjjllbclkpnebaddhkoonjelmiekm",</v>
      </c>
    </row>
    <row r="9441">
      <c r="A9441" s="4" t="s">
        <v>28620</v>
      </c>
      <c r="B9441" s="4" t="s">
        <v>18783</v>
      </c>
      <c r="C9441" s="16" t="str">
        <f>IFERROR(__xludf.DUMMYFUNCTION(""""""""" &amp; REGEXEXTRACT(B9441, ""/detail/([^/?]+)"") &amp; """""","""),"""pdcfmkjjibapckmmkjmomboedjgkahap"",")</f>
        <v>"pdcfmkjjibapckmmkjmomboedjgkahap",</v>
      </c>
    </row>
    <row r="9442">
      <c r="A9442" s="4" t="s">
        <v>28621</v>
      </c>
      <c r="B9442" s="4" t="s">
        <v>18785</v>
      </c>
      <c r="C9442" s="16" t="str">
        <f>IFERROR(__xludf.DUMMYFUNCTION(""""""""" &amp; REGEXEXTRACT(B9442, ""/detail/([^/?]+)"") &amp; """""","""),"""clmgeingkjdcimephgcomgggppnncdfa"",")</f>
        <v>"clmgeingkjdcimephgcomgggppnncdfa",</v>
      </c>
    </row>
    <row r="9443">
      <c r="A9443" s="4" t="s">
        <v>28622</v>
      </c>
      <c r="B9443" s="4" t="s">
        <v>18787</v>
      </c>
      <c r="C9443" s="16" t="str">
        <f>IFERROR(__xludf.DUMMYFUNCTION(""""""""" &amp; REGEXEXTRACT(B9443, ""/detail/([^/?]+)"") &amp; """""","""),"""ekeoiemflcjdojgbafpelkaanhdbnofl"",")</f>
        <v>"ekeoiemflcjdojgbafpelkaanhdbnofl",</v>
      </c>
    </row>
    <row r="9444">
      <c r="A9444" s="4" t="s">
        <v>28623</v>
      </c>
      <c r="B9444" s="4" t="s">
        <v>18789</v>
      </c>
      <c r="C9444" s="16" t="str">
        <f>IFERROR(__xludf.DUMMYFUNCTION(""""""""" &amp; REGEXEXTRACT(B9444, ""/detail/([^/?]+)"") &amp; """""","""),"""iaoghbeamaalcgoembjppfekhelajipd"",")</f>
        <v>"iaoghbeamaalcgoembjppfekhelajipd",</v>
      </c>
    </row>
    <row r="9445">
      <c r="A9445" s="4" t="s">
        <v>28624</v>
      </c>
      <c r="B9445" s="4" t="s">
        <v>18791</v>
      </c>
      <c r="C9445" s="16" t="str">
        <f>IFERROR(__xludf.DUMMYFUNCTION(""""""""" &amp; REGEXEXTRACT(B9445, ""/detail/([^/?]+)"") &amp; """""","""),"""khmempcacbgfbhkeocpahgcmognoaoeh"",")</f>
        <v>"khmempcacbgfbhkeocpahgcmognoaoeh",</v>
      </c>
    </row>
    <row r="9446">
      <c r="A9446" s="4" t="s">
        <v>28625</v>
      </c>
      <c r="B9446" s="4" t="s">
        <v>18793</v>
      </c>
      <c r="C9446" s="16" t="str">
        <f>IFERROR(__xludf.DUMMYFUNCTION(""""""""" &amp; REGEXEXTRACT(B9446, ""/detail/([^/?]+)"") &amp; """""","""),"""kjhpjckadnmiafbailekidjcfhnlocek"",")</f>
        <v>"kjhpjckadnmiafbailekidjcfhnlocek",</v>
      </c>
    </row>
    <row r="9447">
      <c r="A9447" s="4" t="s">
        <v>28626</v>
      </c>
      <c r="B9447" s="4" t="s">
        <v>18795</v>
      </c>
      <c r="C9447" s="16" t="str">
        <f>IFERROR(__xludf.DUMMYFUNCTION(""""""""" &amp; REGEXEXTRACT(B9447, ""/detail/([^/?]+)"") &amp; """""","""),"""kmdlpnpjmmdjgfeoandcgppokdaknkhm"",")</f>
        <v>"kmdlpnpjmmdjgfeoandcgppokdaknkhm",</v>
      </c>
    </row>
    <row r="9448">
      <c r="A9448" s="4" t="s">
        <v>28627</v>
      </c>
      <c r="B9448" s="4" t="s">
        <v>18797</v>
      </c>
      <c r="C9448" s="16" t="str">
        <f>IFERROR(__xludf.DUMMYFUNCTION(""""""""" &amp; REGEXEXTRACT(B9448, ""/detail/([^/?]+)"") &amp; """""","""),"""ljbepbcfkmbpoleofmfndmfhldomkdlb"",")</f>
        <v>"ljbepbcfkmbpoleofmfndmfhldomkdlb",</v>
      </c>
    </row>
    <row r="9449">
      <c r="A9449" s="4" t="s">
        <v>28628</v>
      </c>
      <c r="B9449" s="4" t="s">
        <v>18799</v>
      </c>
      <c r="C9449" s="16" t="str">
        <f>IFERROR(__xludf.DUMMYFUNCTION(""""""""" &amp; REGEXEXTRACT(B9449, ""/detail/([^/?]+)"") &amp; """""","""),"""mmakemefcnfogodnbgdflchnllmfickc"",")</f>
        <v>"mmakemefcnfogodnbgdflchnllmfickc",</v>
      </c>
    </row>
    <row r="9450">
      <c r="A9450" s="4" t="s">
        <v>28629</v>
      </c>
      <c r="B9450" s="4" t="s">
        <v>18801</v>
      </c>
      <c r="C9450" s="16" t="str">
        <f>IFERROR(__xludf.DUMMYFUNCTION(""""""""" &amp; REGEXEXTRACT(B9450, ""/detail/([^/?]+)"") &amp; """""","""),"""cibnlngbgpkcmbiilfdeekaojmfhimag"",")</f>
        <v>"cibnlngbgpkcmbiilfdeekaojmfhimag",</v>
      </c>
    </row>
    <row r="9451">
      <c r="A9451" s="4" t="s">
        <v>28630</v>
      </c>
      <c r="B9451" s="4" t="s">
        <v>18803</v>
      </c>
      <c r="C9451" s="16" t="str">
        <f>IFERROR(__xludf.DUMMYFUNCTION(""""""""" &amp; REGEXEXTRACT(B9451, ""/detail/([^/?]+)"") &amp; """""","""),"""dfolnmgmfdfnlimmfbkmndnlbbonbamg"",")</f>
        <v>"dfolnmgmfdfnlimmfbkmndnlbbonbamg",</v>
      </c>
    </row>
    <row r="9452">
      <c r="A9452" s="4" t="s">
        <v>28631</v>
      </c>
      <c r="B9452" s="4" t="s">
        <v>18805</v>
      </c>
      <c r="C9452" s="16" t="str">
        <f>IFERROR(__xludf.DUMMYFUNCTION(""""""""" &amp; REGEXEXTRACT(B9452, ""/detail/([^/?]+)"") &amp; """""","""),"""ehjbcokpmfbmpjlldihlcbkoakikcomd"",")</f>
        <v>"ehjbcokpmfbmpjlldihlcbkoakikcomd",</v>
      </c>
    </row>
    <row r="9453">
      <c r="A9453" s="4" t="s">
        <v>28632</v>
      </c>
      <c r="B9453" s="4" t="s">
        <v>18807</v>
      </c>
      <c r="C9453" s="16" t="str">
        <f>IFERROR(__xludf.DUMMYFUNCTION(""""""""" &amp; REGEXEXTRACT(B9453, ""/detail/([^/?]+)"") &amp; """""","""),"""gebpccdpnkhendljmgniflcjbcopoaag"",")</f>
        <v>"gebpccdpnkhendljmgniflcjbcopoaag",</v>
      </c>
    </row>
    <row r="9454">
      <c r="A9454" s="4" t="s">
        <v>28633</v>
      </c>
      <c r="B9454" s="4" t="s">
        <v>18809</v>
      </c>
      <c r="C9454" s="16" t="str">
        <f>IFERROR(__xludf.DUMMYFUNCTION(""""""""" &amp; REGEXEXTRACT(B9454, ""/detail/([^/?]+)"") &amp; """""","""),"""ibbapakgcgmnnlkikmfcgembolalfbpd"",")</f>
        <v>"ibbapakgcgmnnlkikmfcgembolalfbpd",</v>
      </c>
    </row>
    <row r="9455">
      <c r="A9455" s="4" t="s">
        <v>28634</v>
      </c>
      <c r="B9455" s="4" t="s">
        <v>18811</v>
      </c>
      <c r="C9455" s="16" t="str">
        <f>IFERROR(__xludf.DUMMYFUNCTION(""""""""" &amp; REGEXEXTRACT(B9455, ""/detail/([^/?]+)"") &amp; """""","""),"""logjaoidoeihjlkmgncnnjfldhdiagac"",")</f>
        <v>"logjaoidoeihjlkmgncnnjfldhdiagac",</v>
      </c>
    </row>
    <row r="9456">
      <c r="A9456" s="4" t="s">
        <v>28635</v>
      </c>
      <c r="B9456" s="4" t="s">
        <v>18813</v>
      </c>
      <c r="C9456" s="16" t="str">
        <f>IFERROR(__xludf.DUMMYFUNCTION(""""""""" &amp; REGEXEXTRACT(B9456, ""/detail/([^/?]+)"") &amp; """""","""),"""meigofcidjeckljcajpedlihfenjldbi"",")</f>
        <v>"meigofcidjeckljcajpedlihfenjldbi",</v>
      </c>
    </row>
    <row r="9457">
      <c r="A9457" s="4" t="s">
        <v>28636</v>
      </c>
      <c r="B9457" s="4" t="s">
        <v>18815</v>
      </c>
      <c r="C9457" s="16" t="str">
        <f>IFERROR(__xludf.DUMMYFUNCTION(""""""""" &amp; REGEXEXTRACT(B9457, ""/detail/([^/?]+)"") &amp; """""","""),"""ndagckgpgoaokcfcjaicpfhhfllnphcc"",")</f>
        <v>"ndagckgpgoaokcfcjaicpfhhfllnphcc",</v>
      </c>
    </row>
    <row r="9458">
      <c r="A9458" s="4" t="s">
        <v>28637</v>
      </c>
      <c r="B9458" s="4" t="s">
        <v>18817</v>
      </c>
      <c r="C9458" s="16" t="str">
        <f>IFERROR(__xludf.DUMMYFUNCTION(""""""""" &amp; REGEXEXTRACT(B9458, ""/detail/([^/?]+)"") &amp; """""","""),"""oiklmlodhebcmaijgmheoafagfhbeohm"",")</f>
        <v>"oiklmlodhebcmaijgmheoafagfhbeohm",</v>
      </c>
    </row>
    <row r="9459">
      <c r="A9459" s="4" t="s">
        <v>28638</v>
      </c>
      <c r="B9459" s="4" t="s">
        <v>18819</v>
      </c>
      <c r="C9459" s="16" t="str">
        <f>IFERROR(__xludf.DUMMYFUNCTION(""""""""" &amp; REGEXEXTRACT(B9459, ""/detail/([^/?]+)"") &amp; """""","""),"""kjkmpppbjhcllohbcjeclghdfhbcnkfa"",")</f>
        <v>"kjkmpppbjhcllohbcjeclghdfhbcnkfa",</v>
      </c>
    </row>
    <row r="9460">
      <c r="A9460" s="4" t="s">
        <v>28639</v>
      </c>
      <c r="B9460" s="4" t="s">
        <v>18821</v>
      </c>
      <c r="C9460" s="16" t="str">
        <f>IFERROR(__xludf.DUMMYFUNCTION(""""""""" &amp; REGEXEXTRACT(B9460, ""/detail/([^/?]+)"") &amp; """""","""),"""mpjplegmigckokmkmnbbfgjpepocpngj"",")</f>
        <v>"mpjplegmigckokmkmnbbfgjpepocpngj",</v>
      </c>
    </row>
    <row r="9461">
      <c r="A9461" s="4" t="s">
        <v>28640</v>
      </c>
      <c r="B9461" s="4" t="s">
        <v>18823</v>
      </c>
      <c r="C9461" s="16" t="str">
        <f>IFERROR(__xludf.DUMMYFUNCTION(""""""""" &amp; REGEXEXTRACT(B9461, ""/detail/([^/?]+)"") &amp; """""","""),"""ooojmllannhkicjegpkfojlloihaklem"",")</f>
        <v>"ooojmllannhkicjegpkfojlloihaklem",</v>
      </c>
    </row>
    <row r="9462">
      <c r="A9462" s="4" t="s">
        <v>28641</v>
      </c>
      <c r="B9462" s="4" t="s">
        <v>18825</v>
      </c>
      <c r="C9462" s="16" t="str">
        <f>IFERROR(__xludf.DUMMYFUNCTION(""""""""" &amp; REGEXEXTRACT(B9462, ""/detail/([^/?]+)"") &amp; """""","""),"""pogibncdlnomiioielcgkhhgcmhokcma"",")</f>
        <v>"pogibncdlnomiioielcgkhhgcmhokcma",</v>
      </c>
    </row>
    <row r="9463">
      <c r="A9463" s="4" t="s">
        <v>28642</v>
      </c>
      <c r="B9463" s="4" t="s">
        <v>18829</v>
      </c>
      <c r="C9463" s="16" t="str">
        <f>IFERROR(__xludf.DUMMYFUNCTION(""""""""" &amp; REGEXEXTRACT(B9463, ""/detail/([^/?]+)"") &amp; """""","""),"""hbgbcmcmpiiciafmolmoapfgegbhbmcc"",")</f>
        <v>"hbgbcmcmpiiciafmolmoapfgegbhbmcc",</v>
      </c>
    </row>
    <row r="9464">
      <c r="A9464" s="4" t="s">
        <v>28643</v>
      </c>
      <c r="B9464" s="4" t="s">
        <v>18831</v>
      </c>
      <c r="C9464" s="16" t="str">
        <f>IFERROR(__xludf.DUMMYFUNCTION(""""""""" &amp; REGEXEXTRACT(B9464, ""/detail/([^/?]+)"") &amp; """""","""),"""hnddfemljlompbmggkablcffmonknpdh"",")</f>
        <v>"hnddfemljlompbmggkablcffmonknpdh",</v>
      </c>
    </row>
    <row r="9465">
      <c r="A9465" s="4" t="s">
        <v>28644</v>
      </c>
      <c r="B9465" s="4" t="s">
        <v>18833</v>
      </c>
      <c r="C9465" s="16" t="str">
        <f>IFERROR(__xludf.DUMMYFUNCTION(""""""""" &amp; REGEXEXTRACT(B9465, ""/detail/([^/?]+)"") &amp; """""","""),"""kajgdbpkkikejkaefnmnihalgngmlpkk"",")</f>
        <v>"kajgdbpkkikejkaefnmnihalgngmlpkk",</v>
      </c>
    </row>
    <row r="9466">
      <c r="A9466" s="4" t="s">
        <v>28645</v>
      </c>
      <c r="B9466" s="4" t="s">
        <v>18835</v>
      </c>
      <c r="C9466" s="16" t="str">
        <f>IFERROR(__xludf.DUMMYFUNCTION(""""""""" &amp; REGEXEXTRACT(B9466, ""/detail/([^/?]+)"") &amp; """""","""),"""koopobokkknepbckcpkkgjecnbcjggoi"",")</f>
        <v>"koopobokkknepbckcpkkgjecnbcjggoi",</v>
      </c>
    </row>
    <row r="9467">
      <c r="A9467" s="4" t="s">
        <v>28646</v>
      </c>
      <c r="B9467" s="4" t="s">
        <v>18837</v>
      </c>
      <c r="C9467" s="16" t="str">
        <f>IFERROR(__xludf.DUMMYFUNCTION(""""""""" &amp; REGEXEXTRACT(B9467, ""/detail/([^/?]+)"") &amp; """""","""),"""phomkpbjipcgmfpffhkaphddmclefofh"",")</f>
        <v>"phomkpbjipcgmfpffhkaphddmclefofh",</v>
      </c>
    </row>
    <row r="9468">
      <c r="A9468" s="4" t="s">
        <v>28647</v>
      </c>
      <c r="B9468" s="4" t="s">
        <v>18839</v>
      </c>
      <c r="C9468" s="16" t="str">
        <f>IFERROR(__xludf.DUMMYFUNCTION(""""""""" &amp; REGEXEXTRACT(B9468, ""/detail/([^/?]+)"") &amp; """""","""),"""cjnjhecplenkojacccgogepfcefljjne"",")</f>
        <v>"cjnjhecplenkojacccgogepfcefljjne",</v>
      </c>
    </row>
    <row r="9469">
      <c r="A9469" s="4" t="s">
        <v>28648</v>
      </c>
      <c r="B9469" s="4" t="s">
        <v>18841</v>
      </c>
      <c r="C9469" s="16" t="str">
        <f>IFERROR(__xludf.DUMMYFUNCTION(""""""""" &amp; REGEXEXTRACT(B9469, ""/detail/([^/?]+)"") &amp; """""","""),"""dffjlgnecfafjfmkknpipapcbgajflge"",")</f>
        <v>"dffjlgnecfafjfmkknpipapcbgajflge",</v>
      </c>
    </row>
    <row r="9470">
      <c r="A9470" s="4" t="s">
        <v>28649</v>
      </c>
      <c r="B9470" s="4" t="s">
        <v>18843</v>
      </c>
      <c r="C9470" s="16" t="str">
        <f>IFERROR(__xludf.DUMMYFUNCTION(""""""""" &amp; REGEXEXTRACT(B9470, ""/detail/([^/?]+)"") &amp; """""","""),"""egpmkeedlhphenpnjhlnlaohcmbmmccj"",")</f>
        <v>"egpmkeedlhphenpnjhlnlaohcmbmmccj",</v>
      </c>
    </row>
    <row r="9471">
      <c r="A9471" s="4" t="s">
        <v>28650</v>
      </c>
      <c r="B9471" s="4" t="s">
        <v>18845</v>
      </c>
      <c r="C9471" s="16" t="str">
        <f>IFERROR(__xludf.DUMMYFUNCTION(""""""""" &amp; REGEXEXTRACT(B9471, ""/detail/([^/?]+)"") &amp; """""","""),"""epmgjgnlfnhlnaimcpfdnncenapjhnnn"",")</f>
        <v>"epmgjgnlfnhlnaimcpfdnncenapjhnnn",</v>
      </c>
    </row>
    <row r="9472">
      <c r="A9472" s="4" t="s">
        <v>28651</v>
      </c>
      <c r="B9472" s="4" t="s">
        <v>18847</v>
      </c>
      <c r="C9472" s="16" t="str">
        <f>IFERROR(__xludf.DUMMYFUNCTION(""""""""" &amp; REGEXEXTRACT(B9472, ""/detail/([^/?]+)"") &amp; """""","""),"""fkbhbocjkoimpgppjcekleljimakaadg"",")</f>
        <v>"fkbhbocjkoimpgppjcekleljimakaadg",</v>
      </c>
    </row>
    <row r="9473">
      <c r="A9473" s="4" t="s">
        <v>28652</v>
      </c>
      <c r="B9473" s="4" t="s">
        <v>18849</v>
      </c>
      <c r="C9473" s="16" t="str">
        <f>IFERROR(__xludf.DUMMYFUNCTION(""""""""" &amp; REGEXEXTRACT(B9473, ""/detail/([^/?]+)"") &amp; """""","""),"""hkipofckibjiaojbbnhicbeckppnhfnc"",")</f>
        <v>"hkipofckibjiaojbbnhicbeckppnhfnc",</v>
      </c>
    </row>
    <row r="9474">
      <c r="A9474" s="4" t="s">
        <v>28653</v>
      </c>
      <c r="B9474" s="4" t="s">
        <v>18851</v>
      </c>
      <c r="C9474" s="16" t="str">
        <f>IFERROR(__xludf.DUMMYFUNCTION(""""""""" &amp; REGEXEXTRACT(B9474, ""/detail/([^/?]+)"") &amp; """""","""),"""ejjegilfmocklljiilenfhcnfdiccmmh"",")</f>
        <v>"ejjegilfmocklljiilenfhcnfdiccmmh",</v>
      </c>
    </row>
    <row r="9475">
      <c r="A9475" s="4" t="s">
        <v>28654</v>
      </c>
      <c r="B9475" s="4" t="s">
        <v>18853</v>
      </c>
      <c r="C9475" s="16" t="str">
        <f>IFERROR(__xludf.DUMMYFUNCTION(""""""""" &amp; REGEXEXTRACT(B9475, ""/detail/([^/?]+)"") &amp; """""","""),"""ggnblkcmkokilofcdfjpkeoebmlpggac"",")</f>
        <v>"ggnblkcmkokilofcdfjpkeoebmlpggac",</v>
      </c>
    </row>
    <row r="9476">
      <c r="A9476" s="4" t="s">
        <v>28655</v>
      </c>
      <c r="B9476" s="4" t="s">
        <v>18855</v>
      </c>
      <c r="C9476" s="16" t="str">
        <f>IFERROR(__xludf.DUMMYFUNCTION(""""""""" &amp; REGEXEXTRACT(B9476, ""/detail/([^/?]+)"") &amp; """""","""),"""hlieiibhcfnbhpnckgkfnigfbekfdlng"",")</f>
        <v>"hlieiibhcfnbhpnckgkfnigfbekfdlng",</v>
      </c>
    </row>
    <row r="9477">
      <c r="A9477" s="4" t="s">
        <v>28656</v>
      </c>
      <c r="B9477" s="4" t="s">
        <v>18857</v>
      </c>
      <c r="C9477" s="16" t="str">
        <f>IFERROR(__xludf.DUMMYFUNCTION(""""""""" &amp; REGEXEXTRACT(B9477, ""/detail/([^/?]+)"") &amp; """""","""),"""imjgfhhpjekpohdcmkmopebbhlllkoid"",")</f>
        <v>"imjgfhhpjekpohdcmkmopebbhlllkoid",</v>
      </c>
    </row>
    <row r="9478">
      <c r="A9478" s="4" t="s">
        <v>28657</v>
      </c>
      <c r="B9478" s="4" t="s">
        <v>18859</v>
      </c>
      <c r="C9478" s="16" t="str">
        <f>IFERROR(__xludf.DUMMYFUNCTION(""""""""" &amp; REGEXEXTRACT(B9478, ""/detail/([^/?]+)"") &amp; """""","""),"""kpoilnkelonbaapoapibddjaojohnpjf"",")</f>
        <v>"kpoilnkelonbaapoapibddjaojohnpjf",</v>
      </c>
    </row>
    <row r="9479">
      <c r="A9479" s="4" t="s">
        <v>28658</v>
      </c>
      <c r="B9479" s="4" t="s">
        <v>18861</v>
      </c>
      <c r="C9479" s="16" t="str">
        <f>IFERROR(__xludf.DUMMYFUNCTION(""""""""" &amp; REGEXEXTRACT(B9479, ""/detail/([^/?]+)"") &amp; """""","""),"""pciedbdeahgjkohjeikjjljdbhbkjeoc"",")</f>
        <v>"pciedbdeahgjkohjeikjjljdbhbkjeoc",</v>
      </c>
    </row>
    <row r="9480">
      <c r="A9480" s="4" t="s">
        <v>28659</v>
      </c>
      <c r="B9480" s="4" t="s">
        <v>18863</v>
      </c>
      <c r="C9480" s="16" t="str">
        <f>IFERROR(__xludf.DUMMYFUNCTION(""""""""" &amp; REGEXEXTRACT(B9480, ""/detail/([^/?]+)"") &amp; """""","""),"""dgafpbcbieanmcihbjgaicikfchngpff"",")</f>
        <v>"dgafpbcbieanmcihbjgaicikfchngpff",</v>
      </c>
    </row>
    <row r="9481">
      <c r="A9481" s="4" t="s">
        <v>28660</v>
      </c>
      <c r="B9481" s="4" t="s">
        <v>18865</v>
      </c>
      <c r="C9481" s="16" t="str">
        <f>IFERROR(__xludf.DUMMYFUNCTION(""""""""" &amp; REGEXEXTRACT(B9481, ""/detail/([^/?]+)"") &amp; """""","""),"""hfbehgdommpfnhmpplnhjimedgpjeoek"",")</f>
        <v>"hfbehgdommpfnhmpplnhjimedgpjeoek",</v>
      </c>
    </row>
    <row r="9482">
      <c r="A9482" s="4" t="s">
        <v>28661</v>
      </c>
      <c r="B9482" s="4" t="s">
        <v>18867</v>
      </c>
      <c r="C9482" s="16" t="str">
        <f>IFERROR(__xludf.DUMMYFUNCTION(""""""""" &amp; REGEXEXTRACT(B9482, ""/detail/([^/?]+)"") &amp; """""","""),"""oldjnhaegfgpfjlpmedeehapghiodglc"",")</f>
        <v>"oldjnhaegfgpfjlpmedeehapghiodglc",</v>
      </c>
    </row>
    <row r="9483">
      <c r="A9483" s="4" t="s">
        <v>28662</v>
      </c>
      <c r="B9483" s="4" t="s">
        <v>18869</v>
      </c>
      <c r="C9483" s="16" t="str">
        <f>IFERROR(__xludf.DUMMYFUNCTION(""""""""" &amp; REGEXEXTRACT(B9483, ""/detail/([^/?]+)"") &amp; """""","""),"""phckpicnefnbafbamoidbemcdlolfoel"",")</f>
        <v>"phckpicnefnbafbamoidbemcdlolfoel",</v>
      </c>
    </row>
    <row r="9484">
      <c r="A9484" s="4" t="s">
        <v>28663</v>
      </c>
      <c r="B9484" s="4" t="s">
        <v>18871</v>
      </c>
      <c r="C9484" s="16" t="str">
        <f>IFERROR(__xludf.DUMMYFUNCTION(""""""""" &amp; REGEXEXTRACT(B9484, ""/detail/([^/?]+)"") &amp; """""","""),"""agadfdkijldlopjlbegiklkfdbmhpecj"",")</f>
        <v>"agadfdkijldlopjlbegiklkfdbmhpecj",</v>
      </c>
    </row>
    <row r="9485">
      <c r="A9485" s="4" t="s">
        <v>28664</v>
      </c>
      <c r="B9485" s="4" t="s">
        <v>18873</v>
      </c>
      <c r="C9485" s="16" t="str">
        <f>IFERROR(__xludf.DUMMYFUNCTION(""""""""" &amp; REGEXEXTRACT(B9485, ""/detail/([^/?]+)"") &amp; """""","""),"""bffaahbohobgjhehdedfijebjkoepakb"",")</f>
        <v>"bffaahbohobgjhehdedfijebjkoepakb",</v>
      </c>
    </row>
    <row r="9486">
      <c r="A9486" s="4" t="s">
        <v>28665</v>
      </c>
      <c r="B9486" s="4" t="s">
        <v>18875</v>
      </c>
      <c r="C9486" s="16" t="str">
        <f>IFERROR(__xludf.DUMMYFUNCTION(""""""""" &amp; REGEXEXTRACT(B9486, ""/detail/([^/?]+)"") &amp; """""","""),"""elmklbcniaipadeeelmdfbebbkjohpgg"",")</f>
        <v>"elmklbcniaipadeeelmdfbebbkjohpgg",</v>
      </c>
    </row>
    <row r="9487">
      <c r="A9487" s="4" t="s">
        <v>28666</v>
      </c>
      <c r="B9487" s="4" t="s">
        <v>18876</v>
      </c>
      <c r="C9487" s="16" t="str">
        <f>IFERROR(__xludf.DUMMYFUNCTION(""""""""" &amp; REGEXEXTRACT(B9487, ""/detail/([^/?]+)"") &amp; """""","""),"""ibmaldnilecgfffgaieglcpocgdfbllb"",")</f>
        <v>"ibmaldnilecgfffgaieglcpocgdfbllb",</v>
      </c>
    </row>
    <row r="9488">
      <c r="A9488" s="4" t="s">
        <v>28667</v>
      </c>
      <c r="B9488" s="4" t="s">
        <v>18878</v>
      </c>
      <c r="C9488" s="16" t="str">
        <f>IFERROR(__xludf.DUMMYFUNCTION(""""""""" &amp; REGEXEXTRACT(B9488, ""/detail/([^/?]+)"") &amp; """""","""),"""jlkeodkodfgihhdmhccagbikbppkpafm"",")</f>
        <v>"jlkeodkodfgihhdmhccagbikbppkpafm",</v>
      </c>
    </row>
    <row r="9489">
      <c r="A9489" s="4" t="s">
        <v>28668</v>
      </c>
      <c r="B9489" s="4" t="s">
        <v>18880</v>
      </c>
      <c r="C9489" s="16" t="str">
        <f>IFERROR(__xludf.DUMMYFUNCTION(""""""""" &amp; REGEXEXTRACT(B9489, ""/detail/([^/?]+)"") &amp; """""","""),"""klblibhmffkgkmbejciehlbkbllpeojg"",")</f>
        <v>"klblibhmffkgkmbejciehlbkbllpeojg",</v>
      </c>
    </row>
    <row r="9490">
      <c r="A9490" s="4" t="s">
        <v>28669</v>
      </c>
      <c r="B9490" s="4" t="s">
        <v>18882</v>
      </c>
      <c r="C9490" s="16" t="str">
        <f>IFERROR(__xludf.DUMMYFUNCTION(""""""""" &amp; REGEXEXTRACT(B9490, ""/detail/([^/?]+)"") &amp; """""","""),"""mhelhppllnfkpaboohnijkfjeclehgab"",")</f>
        <v>"mhelhppllnfkpaboohnijkfjeclehgab",</v>
      </c>
    </row>
    <row r="9491">
      <c r="A9491" s="4" t="s">
        <v>28670</v>
      </c>
      <c r="B9491" s="4" t="s">
        <v>18884</v>
      </c>
      <c r="C9491" s="16" t="str">
        <f>IFERROR(__xludf.DUMMYFUNCTION(""""""""" &amp; REGEXEXTRACT(B9491, ""/detail/([^/?]+)"") &amp; """""","""),"""modfjcgeknfglkdgckkomdcgokkjaadd"",")</f>
        <v>"modfjcgeknfglkdgckkomdcgokkjaadd",</v>
      </c>
    </row>
    <row r="9492">
      <c r="A9492" s="4" t="s">
        <v>28671</v>
      </c>
      <c r="B9492" s="4" t="s">
        <v>18886</v>
      </c>
      <c r="C9492" s="16" t="str">
        <f>IFERROR(__xludf.DUMMYFUNCTION(""""""""" &amp; REGEXEXTRACT(B9492, ""/detail/([^/?]+)"") &amp; """""","""),"""ojkndfjbadaccafpajlalaablgjhncie"",")</f>
        <v>"ojkndfjbadaccafpajlalaablgjhncie",</v>
      </c>
    </row>
    <row r="9493">
      <c r="A9493" s="4" t="s">
        <v>28672</v>
      </c>
      <c r="B9493" s="4" t="s">
        <v>18888</v>
      </c>
      <c r="C9493" s="16" t="str">
        <f>IFERROR(__xludf.DUMMYFUNCTION(""""""""" &amp; REGEXEXTRACT(B9493, ""/detail/([^/?]+)"") &amp; """""","""),"""oljmncocnnpghpdnmdffphhcanpgmkok"",")</f>
        <v>"oljmncocnnpghpdnmdffphhcanpgmkok",</v>
      </c>
    </row>
    <row r="9494">
      <c r="A9494" s="4" t="s">
        <v>28673</v>
      </c>
      <c r="B9494" s="4" t="s">
        <v>18890</v>
      </c>
      <c r="C9494" s="16" t="str">
        <f>IFERROR(__xludf.DUMMYFUNCTION(""""""""" &amp; REGEXEXTRACT(B9494, ""/detail/([^/?]+)"") &amp; """""","""),"""pdfmicofbncclmklndnedcgedogelgoa"",")</f>
        <v>"pdfmicofbncclmklndnedcgedogelgoa",</v>
      </c>
    </row>
    <row r="9495">
      <c r="A9495" s="4" t="s">
        <v>28674</v>
      </c>
      <c r="B9495" s="4" t="s">
        <v>18892</v>
      </c>
      <c r="C9495" s="16" t="str">
        <f>IFERROR(__xludf.DUMMYFUNCTION(""""""""" &amp; REGEXEXTRACT(B9495, ""/detail/([^/?]+)"") &amp; """""","""),"""pkgbcmdpjlnmngdfjicnkppkkmnaejnm"",")</f>
        <v>"pkgbcmdpjlnmngdfjicnkppkkmnaejnm",</v>
      </c>
    </row>
    <row r="9496">
      <c r="A9496" s="4" t="s">
        <v>28675</v>
      </c>
      <c r="B9496" s="4" t="s">
        <v>18894</v>
      </c>
      <c r="C9496" s="16" t="str">
        <f>IFERROR(__xludf.DUMMYFUNCTION(""""""""" &amp; REGEXEXTRACT(B9496, ""/detail/([^/?]+)"") &amp; """""","""),"""bcnfaiaknkbbcmpeedkjjjcdmjlgbafo"",")</f>
        <v>"bcnfaiaknkbbcmpeedkjjjcdmjlgbafo",</v>
      </c>
    </row>
    <row r="9497">
      <c r="A9497" s="4" t="s">
        <v>28676</v>
      </c>
      <c r="B9497" s="4" t="s">
        <v>18896</v>
      </c>
      <c r="C9497" s="16" t="str">
        <f>IFERROR(__xludf.DUMMYFUNCTION(""""""""" &amp; REGEXEXTRACT(B9497, ""/detail/([^/?]+)"") &amp; """""","""),"""bgbaahbnakeoohgbijglamgadoanojbf"",")</f>
        <v>"bgbaahbnakeoohgbijglamgadoanojbf",</v>
      </c>
    </row>
    <row r="9498">
      <c r="A9498" s="4" t="s">
        <v>28677</v>
      </c>
      <c r="B9498" s="4" t="s">
        <v>18898</v>
      </c>
      <c r="C9498" s="16" t="str">
        <f>IFERROR(__xludf.DUMMYFUNCTION(""""""""" &amp; REGEXEXTRACT(B9498, ""/detail/([^/?]+)"") &amp; """""","""),"""cghmhcoebaiodpdicjacfllplandkfpa"",")</f>
        <v>"cghmhcoebaiodpdicjacfllplandkfpa",</v>
      </c>
    </row>
    <row r="9499">
      <c r="A9499" s="4" t="s">
        <v>28678</v>
      </c>
      <c r="B9499" s="4" t="s">
        <v>18900</v>
      </c>
      <c r="C9499" s="16" t="str">
        <f>IFERROR(__xludf.DUMMYFUNCTION(""""""""" &amp; REGEXEXTRACT(B9499, ""/detail/([^/?]+)"") &amp; """""","""),"""fddgnnipkoknfbagbjlhnmljhffjeiml"",")</f>
        <v>"fddgnnipkoknfbagbjlhnmljhffjeiml",</v>
      </c>
    </row>
    <row r="9500">
      <c r="A9500" s="4" t="s">
        <v>28679</v>
      </c>
      <c r="B9500" s="4" t="s">
        <v>18902</v>
      </c>
      <c r="C9500" s="16" t="str">
        <f>IFERROR(__xludf.DUMMYFUNCTION(""""""""" &amp; REGEXEXTRACT(B9500, ""/detail/([^/?]+)"") &amp; """""","""),"""hhclmcdcogggmcglbakeckakdikccfjn"",")</f>
        <v>"hhclmcdcogggmcglbakeckakdikccfjn",</v>
      </c>
    </row>
    <row r="9501">
      <c r="A9501" s="4" t="s">
        <v>28680</v>
      </c>
      <c r="B9501" s="4" t="s">
        <v>18904</v>
      </c>
      <c r="C9501" s="16" t="str">
        <f>IFERROR(__xludf.DUMMYFUNCTION(""""""""" &amp; REGEXEXTRACT(B9501, ""/detail/([^/?]+)"") &amp; """""","""),"""jhgcdckilemomflfheldfmgaellengja"",")</f>
        <v>"jhgcdckilemomflfheldfmgaellengja",</v>
      </c>
    </row>
    <row r="9502">
      <c r="A9502" s="4" t="s">
        <v>28681</v>
      </c>
      <c r="B9502" s="4" t="s">
        <v>18906</v>
      </c>
      <c r="C9502" s="16" t="str">
        <f>IFERROR(__xludf.DUMMYFUNCTION(""""""""" &amp; REGEXEXTRACT(B9502, ""/detail/([^/?]+)"") &amp; """""","""),"""jpogcpmioehlanphknchgbpeihakgggh"",")</f>
        <v>"jpogcpmioehlanphknchgbpeihakgggh",</v>
      </c>
    </row>
    <row r="9503">
      <c r="A9503" s="4" t="s">
        <v>28682</v>
      </c>
      <c r="B9503" s="4" t="s">
        <v>18908</v>
      </c>
      <c r="C9503" s="16" t="str">
        <f>IFERROR(__xludf.DUMMYFUNCTION(""""""""" &amp; REGEXEXTRACT(B9503, ""/detail/([^/?]+)"") &amp; """""","""),"""ldbggnggfbpbdfigkemaflalpjmkdcgj"",")</f>
        <v>"ldbggnggfbpbdfigkemaflalpjmkdcgj",</v>
      </c>
    </row>
    <row r="9504">
      <c r="A9504" s="4" t="s">
        <v>28683</v>
      </c>
      <c r="B9504" s="4" t="s">
        <v>18910</v>
      </c>
      <c r="C9504" s="16" t="str">
        <f>IFERROR(__xludf.DUMMYFUNCTION(""""""""" &amp; REGEXEXTRACT(B9504, ""/detail/([^/?]+)"") &amp; """""","""),"""pbfbmcmonmhbkgejceoenhhcnehocejg"",")</f>
        <v>"pbfbmcmonmhbkgejceoenhhcnehocejg",</v>
      </c>
    </row>
    <row r="9505">
      <c r="A9505" s="4" t="s">
        <v>28684</v>
      </c>
      <c r="B9505" s="4" t="s">
        <v>18912</v>
      </c>
      <c r="C9505" s="16" t="str">
        <f>IFERROR(__xludf.DUMMYFUNCTION(""""""""" &amp; REGEXEXTRACT(B9505, ""/detail/([^/?]+)"") &amp; """""","""),"""alimhdbkpohnkhckgemlhpkpholbjhmg"",")</f>
        <v>"alimhdbkpohnkhckgemlhpkpholbjhmg",</v>
      </c>
    </row>
    <row r="9506">
      <c r="A9506" s="4" t="s">
        <v>28685</v>
      </c>
      <c r="B9506" s="4" t="s">
        <v>18914</v>
      </c>
      <c r="C9506" s="16" t="str">
        <f>IFERROR(__xludf.DUMMYFUNCTION(""""""""" &amp; REGEXEXTRACT(B9506, ""/detail/([^/?]+)"") &amp; """""","""),"""bjmjhkbifanmbbiikccdapomhpicglkf"",")</f>
        <v>"bjmjhkbifanmbbiikccdapomhpicglkf",</v>
      </c>
    </row>
    <row r="9507">
      <c r="A9507" s="4" t="s">
        <v>28686</v>
      </c>
      <c r="B9507" s="4" t="s">
        <v>18916</v>
      </c>
      <c r="C9507" s="16" t="str">
        <f>IFERROR(__xludf.DUMMYFUNCTION(""""""""" &amp; REGEXEXTRACT(B9507, ""/detail/([^/?]+)"") &amp; """""","""),"""clcbfjpbnfmaaaabpoidaoenhfplkbgc"",")</f>
        <v>"clcbfjpbnfmaaaabpoidaoenhfplkbgc",</v>
      </c>
    </row>
    <row r="9508">
      <c r="A9508" s="4" t="s">
        <v>28687</v>
      </c>
      <c r="B9508" s="4" t="s">
        <v>18918</v>
      </c>
      <c r="C9508" s="16" t="str">
        <f>IFERROR(__xludf.DUMMYFUNCTION(""""""""" &amp; REGEXEXTRACT(B9508, ""/detail/([^/?]+)"") &amp; """""","""),"""edlkdhabpmdhijfjakahmbllnjpbpmfo"",")</f>
        <v>"edlkdhabpmdhijfjakahmbllnjpbpmfo",</v>
      </c>
    </row>
    <row r="9509">
      <c r="A9509" s="4" t="s">
        <v>28688</v>
      </c>
      <c r="B9509" s="4" t="s">
        <v>18920</v>
      </c>
      <c r="C9509" s="16" t="str">
        <f>IFERROR(__xludf.DUMMYFUNCTION(""""""""" &amp; REGEXEXTRACT(B9509, ""/detail/([^/?]+)"") &amp; """""","""),"""gpdfaeffbkkjkdkinpaghmcflimlhplb"",")</f>
        <v>"gpdfaeffbkkjkdkinpaghmcflimlhplb",</v>
      </c>
    </row>
    <row r="9510">
      <c r="A9510" s="4" t="s">
        <v>28689</v>
      </c>
      <c r="B9510" s="4" t="s">
        <v>18922</v>
      </c>
      <c r="C9510" s="16" t="str">
        <f>IFERROR(__xludf.DUMMYFUNCTION(""""""""" &amp; REGEXEXTRACT(B9510, ""/detail/([^/?]+)"") &amp; """""","""),"""ikmhgmgphhlodomclpfdeafoboanjklo"",")</f>
        <v>"ikmhgmgphhlodomclpfdeafoboanjklo",</v>
      </c>
    </row>
    <row r="9511">
      <c r="A9511" s="4" t="s">
        <v>28690</v>
      </c>
      <c r="B9511" s="4" t="s">
        <v>18924</v>
      </c>
      <c r="C9511" s="16" t="str">
        <f>IFERROR(__xludf.DUMMYFUNCTION(""""""""" &amp; REGEXEXTRACT(B9511, ""/detail/([^/?]+)"") &amp; """""","""),"""jpfjdjkohmopcgecijakgemceodpjpdp"",")</f>
        <v>"jpfjdjkohmopcgecijakgemceodpjpdp",</v>
      </c>
    </row>
    <row r="9512">
      <c r="A9512" s="4" t="s">
        <v>28691</v>
      </c>
      <c r="B9512" s="4" t="s">
        <v>18926</v>
      </c>
      <c r="C9512" s="16" t="str">
        <f>IFERROR(__xludf.DUMMYFUNCTION(""""""""" &amp; REGEXEXTRACT(B9512, ""/detail/([^/?]+)"") &amp; """""","""),"""mdcdhfidonnljhghenlekoinplgcmmmn"",")</f>
        <v>"mdcdhfidonnljhghenlekoinplgcmmmn",</v>
      </c>
    </row>
    <row r="9513">
      <c r="A9513" s="4" t="s">
        <v>28692</v>
      </c>
      <c r="B9513" s="4" t="s">
        <v>18928</v>
      </c>
      <c r="C9513" s="16" t="str">
        <f>IFERROR(__xludf.DUMMYFUNCTION(""""""""" &amp; REGEXEXTRACT(B9513, ""/detail/([^/?]+)"") &amp; """""","""),"""nehcaigoagncnciofipnemkiclelijal"",")</f>
        <v>"nehcaigoagncnciofipnemkiclelijal",</v>
      </c>
    </row>
    <row r="9514">
      <c r="A9514" s="4" t="s">
        <v>28693</v>
      </c>
      <c r="B9514" s="4" t="s">
        <v>18930</v>
      </c>
      <c r="C9514" s="16" t="str">
        <f>IFERROR(__xludf.DUMMYFUNCTION(""""""""" &amp; REGEXEXTRACT(B9514, ""/detail/([^/?]+)"") &amp; """""","""),"""addfifnpmofcnlcgmdimfdnncjeccbpf"",")</f>
        <v>"addfifnpmofcnlcgmdimfdnncjeccbpf",</v>
      </c>
    </row>
    <row r="9515">
      <c r="A9515" s="4" t="s">
        <v>28694</v>
      </c>
      <c r="B9515" s="4" t="s">
        <v>18932</v>
      </c>
      <c r="C9515" s="16" t="str">
        <f>IFERROR(__xludf.DUMMYFUNCTION(""""""""" &amp; REGEXEXTRACT(B9515, ""/detail/([^/?]+)"") &amp; """""","""),"""akikgmngikhdhecndjkjcacfefdbnnin"",")</f>
        <v>"akikgmngikhdhecndjkjcacfefdbnnin",</v>
      </c>
    </row>
    <row r="9516">
      <c r="A9516" s="4" t="s">
        <v>28695</v>
      </c>
      <c r="B9516" s="4" t="s">
        <v>18934</v>
      </c>
      <c r="C9516" s="16" t="str">
        <f>IFERROR(__xludf.DUMMYFUNCTION(""""""""" &amp; REGEXEXTRACT(B9516, ""/detail/([^/?]+)"") &amp; """""","""),"""bgbhfmeabcmpjblimfddkeikogidjhao"",")</f>
        <v>"bgbhfmeabcmpjblimfddkeikogidjhao",</v>
      </c>
    </row>
    <row r="9517">
      <c r="A9517" s="4" t="s">
        <v>28696</v>
      </c>
      <c r="B9517" s="4" t="s">
        <v>18936</v>
      </c>
      <c r="C9517" s="16" t="str">
        <f>IFERROR(__xludf.DUMMYFUNCTION(""""""""" &amp; REGEXEXTRACT(B9517, ""/detail/([^/?]+)"") &amp; """""","""),"""jhnifiocgcnpjjamkieebmjicmhlpiee"",")</f>
        <v>"jhnifiocgcnpjjamkieebmjicmhlpiee",</v>
      </c>
    </row>
    <row r="9518">
      <c r="A9518" s="4" t="s">
        <v>28697</v>
      </c>
      <c r="B9518" s="4" t="s">
        <v>18938</v>
      </c>
      <c r="C9518" s="16" t="str">
        <f>IFERROR(__xludf.DUMMYFUNCTION(""""""""" &amp; REGEXEXTRACT(B9518, ""/detail/([^/?]+)"") &amp; """""","""),"""ngieeanjalhiihkfajdcfilknhpceopf"",")</f>
        <v>"ngieeanjalhiihkfajdcfilknhpceopf",</v>
      </c>
    </row>
    <row r="9519">
      <c r="A9519" s="4" t="s">
        <v>28698</v>
      </c>
      <c r="B9519" s="4" t="s">
        <v>18940</v>
      </c>
      <c r="C9519" s="16" t="str">
        <f>IFERROR(__xludf.DUMMYFUNCTION(""""""""" &amp; REGEXEXTRACT(B9519, ""/detail/([^/?]+)"") &amp; """""","""),"""oahefobeogppebdmhlijlagpainfokfh"",")</f>
        <v>"oahefobeogppebdmhlijlagpainfokfh",</v>
      </c>
    </row>
    <row r="9520">
      <c r="A9520" s="4" t="s">
        <v>28699</v>
      </c>
      <c r="B9520" s="4" t="s">
        <v>18942</v>
      </c>
      <c r="C9520" s="16" t="str">
        <f>IFERROR(__xludf.DUMMYFUNCTION(""""""""" &amp; REGEXEXTRACT(B9520, ""/detail/([^/?]+)"") &amp; """""","""),"""ojblhihinoemamombhdedkaimgapelka"",")</f>
        <v>"ojblhihinoemamombhdedkaimgapelka",</v>
      </c>
    </row>
    <row r="9521">
      <c r="A9521" s="4" t="s">
        <v>28700</v>
      </c>
      <c r="B9521" s="4" t="s">
        <v>18944</v>
      </c>
      <c r="C9521" s="16" t="str">
        <f>IFERROR(__xludf.DUMMYFUNCTION(""""""""" &amp; REGEXEXTRACT(B9521, ""/detail/([^/?]+)"") &amp; """""","""),"""oohpedaigajmdamiaboobdjijopldlkd"",")</f>
        <v>"oohpedaigajmdamiaboobdjijopldlkd",</v>
      </c>
    </row>
    <row r="9522">
      <c r="A9522" s="4" t="s">
        <v>28701</v>
      </c>
      <c r="B9522" s="4" t="s">
        <v>18946</v>
      </c>
      <c r="C9522" s="16" t="str">
        <f>IFERROR(__xludf.DUMMYFUNCTION(""""""""" &amp; REGEXEXTRACT(B9522, ""/detail/([^/?]+)"") &amp; """""","""),"""pannmknoidkglggccampoendoeghmhap"",")</f>
        <v>"pannmknoidkglggccampoendoeghmhap",</v>
      </c>
    </row>
    <row r="9523">
      <c r="A9523" s="4" t="s">
        <v>28702</v>
      </c>
      <c r="B9523" s="4" t="s">
        <v>18948</v>
      </c>
      <c r="C9523" s="16" t="str">
        <f>IFERROR(__xludf.DUMMYFUNCTION(""""""""" &amp; REGEXEXTRACT(B9523, ""/detail/([^/?]+)"") &amp; """""","""),"""agapebpfpbadohmadpdmopjodhcdlnjm"",")</f>
        <v>"agapebpfpbadohmadpdmopjodhcdlnjm",</v>
      </c>
    </row>
    <row r="9524">
      <c r="A9524" s="4" t="s">
        <v>28703</v>
      </c>
      <c r="B9524" s="4" t="s">
        <v>18950</v>
      </c>
      <c r="C9524" s="16" t="str">
        <f>IFERROR(__xludf.DUMMYFUNCTION(""""""""" &amp; REGEXEXTRACT(B9524, ""/detail/([^/?]+)"") &amp; """""","""),"""bkijbakibakefmcoobcnfdkfhhbmgiek"",")</f>
        <v>"bkijbakibakefmcoobcnfdkfhhbmgiek",</v>
      </c>
    </row>
    <row r="9525">
      <c r="A9525" s="4" t="s">
        <v>28704</v>
      </c>
      <c r="B9525" s="4" t="s">
        <v>18952</v>
      </c>
      <c r="C9525" s="16" t="str">
        <f>IFERROR(__xludf.DUMMYFUNCTION(""""""""" &amp; REGEXEXTRACT(B9525, ""/detail/([^/?]+)"") &amp; """""","""),"""dleghnfkndpddppflgfcajfbaejnnoem"",")</f>
        <v>"dleghnfkndpddppflgfcajfbaejnnoem",</v>
      </c>
    </row>
    <row r="9526">
      <c r="A9526" s="4" t="s">
        <v>28705</v>
      </c>
      <c r="B9526" s="4" t="s">
        <v>18954</v>
      </c>
      <c r="C9526" s="16" t="str">
        <f>IFERROR(__xludf.DUMMYFUNCTION(""""""""" &amp; REGEXEXTRACT(B9526, ""/detail/([^/?]+)"") &amp; """""","""),"""gjhoghnlnfbcacnbfagcbfdmjejebaje"",")</f>
        <v>"gjhoghnlnfbcacnbfagcbfdmjejebaje",</v>
      </c>
    </row>
    <row r="9527">
      <c r="A9527" s="4" t="s">
        <v>28706</v>
      </c>
      <c r="B9527" s="4" t="s">
        <v>18956</v>
      </c>
      <c r="C9527" s="16" t="str">
        <f>IFERROR(__xludf.DUMMYFUNCTION(""""""""" &amp; REGEXEXTRACT(B9527, ""/detail/([^/?]+)"") &amp; """""","""),"""hmakijajeinknkeaepeicdejkhdigigh"",")</f>
        <v>"hmakijajeinknkeaepeicdejkhdigigh",</v>
      </c>
    </row>
    <row r="9528">
      <c r="A9528" s="4" t="s">
        <v>28707</v>
      </c>
      <c r="B9528" s="4" t="s">
        <v>18958</v>
      </c>
      <c r="C9528" s="16" t="str">
        <f>IFERROR(__xludf.DUMMYFUNCTION(""""""""" &amp; REGEXEXTRACT(B9528, ""/detail/([^/?]+)"") &amp; """""","""),"""jgelgbfglncabfobkgdpdimbmenbfgdj"",")</f>
        <v>"jgelgbfglncabfobkgdpdimbmenbfgdj",</v>
      </c>
    </row>
    <row r="9529">
      <c r="A9529" s="4" t="s">
        <v>28708</v>
      </c>
      <c r="B9529" s="4" t="s">
        <v>18960</v>
      </c>
      <c r="C9529" s="16" t="str">
        <f>IFERROR(__xludf.DUMMYFUNCTION(""""""""" &amp; REGEXEXTRACT(B9529, ""/detail/([^/?]+)"") &amp; """""","""),"""pdlkjdlbjjfmlfhijdbdpkilpdoncgdk"",")</f>
        <v>"pdlkjdlbjjfmlfhijdbdpkilpdoncgdk",</v>
      </c>
    </row>
    <row r="9530">
      <c r="A9530" s="4" t="s">
        <v>28709</v>
      </c>
      <c r="B9530" s="4" t="s">
        <v>18962</v>
      </c>
      <c r="C9530" s="16" t="str">
        <f>IFERROR(__xludf.DUMMYFUNCTION(""""""""" &amp; REGEXEXTRACT(B9530, ""/detail/([^/?]+)"") &amp; """""","""),"""cadeafhhbkoobepmjjniknbfnccbacfk"",")</f>
        <v>"cadeafhhbkoobepmjjniknbfnccbacfk",</v>
      </c>
    </row>
    <row r="9531">
      <c r="A9531" s="4" t="s">
        <v>28710</v>
      </c>
      <c r="B9531" s="4" t="s">
        <v>18964</v>
      </c>
      <c r="C9531" s="16" t="str">
        <f>IFERROR(__xludf.DUMMYFUNCTION(""""""""" &amp; REGEXEXTRACT(B9531, ""/detail/([^/?]+)"") &amp; """""","""),"""fakmngnnndgdelejnopaleecadafplkf"",")</f>
        <v>"fakmngnnndgdelejnopaleecadafplkf",</v>
      </c>
    </row>
    <row r="9532">
      <c r="A9532" s="4" t="s">
        <v>28711</v>
      </c>
      <c r="B9532" s="4" t="s">
        <v>18966</v>
      </c>
      <c r="C9532" s="16" t="str">
        <f>IFERROR(__xludf.DUMMYFUNCTION(""""""""" &amp; REGEXEXTRACT(B9532, ""/detail/([^/?]+)"") &amp; """""","""),"""fjiopcojjjafjnfgipombdbpjimignpl"",")</f>
        <v>"fjiopcojjjafjnfgipombdbpjimignpl",</v>
      </c>
    </row>
    <row r="9533">
      <c r="A9533" s="4" t="s">
        <v>28712</v>
      </c>
      <c r="B9533" s="4" t="s">
        <v>18968</v>
      </c>
      <c r="C9533" s="16" t="str">
        <f>IFERROR(__xludf.DUMMYFUNCTION(""""""""" &amp; REGEXEXTRACT(B9533, ""/detail/([^/?]+)"") &amp; """""","""),"""lbopmiffpfobnlaoejnipicckickphka"",")</f>
        <v>"lbopmiffpfobnlaoejnipicckickphka",</v>
      </c>
    </row>
    <row r="9534">
      <c r="A9534" s="4" t="s">
        <v>28713</v>
      </c>
      <c r="B9534" s="4" t="s">
        <v>18970</v>
      </c>
      <c r="C9534" s="16" t="str">
        <f>IFERROR(__xludf.DUMMYFUNCTION(""""""""" &amp; REGEXEXTRACT(B9534, ""/detail/([^/?]+)"") &amp; """""","""),"""mahhgdkliaknjffpmocpaglcoljnhodn"",")</f>
        <v>"mahhgdkliaknjffpmocpaglcoljnhodn",</v>
      </c>
    </row>
    <row r="9535">
      <c r="A9535" s="4" t="s">
        <v>28714</v>
      </c>
      <c r="B9535" s="4" t="s">
        <v>18972</v>
      </c>
      <c r="C9535" s="16" t="str">
        <f>IFERROR(__xludf.DUMMYFUNCTION(""""""""" &amp; REGEXEXTRACT(B9535, ""/detail/([^/?]+)"") &amp; """""","""),"""mhnlmghkfmjoodmlfggpedcffnaffkfa"",")</f>
        <v>"mhnlmghkfmjoodmlfggpedcffnaffkfa",</v>
      </c>
    </row>
    <row r="9536">
      <c r="A9536" s="4" t="s">
        <v>28715</v>
      </c>
      <c r="B9536" s="4" t="s">
        <v>18974</v>
      </c>
      <c r="C9536" s="16" t="str">
        <f>IFERROR(__xludf.DUMMYFUNCTION(""""""""" &amp; REGEXEXTRACT(B9536, ""/detail/([^/?]+)"") &amp; """""","""),"""ndpeceendngnjfcjldcjifnedbncfelj"",")</f>
        <v>"ndpeceendngnjfcjldcjifnedbncfelj",</v>
      </c>
    </row>
    <row r="9537">
      <c r="A9537" s="4" t="s">
        <v>28716</v>
      </c>
      <c r="B9537" s="4" t="s">
        <v>18976</v>
      </c>
      <c r="C9537" s="16" t="str">
        <f>IFERROR(__xludf.DUMMYFUNCTION(""""""""" &amp; REGEXEXTRACT(B9537, ""/detail/([^/?]+)"") &amp; """""","""),"""niogomcjkbmleicffcajlnfnlgeigafa"",")</f>
        <v>"niogomcjkbmleicffcajlnfnlgeigafa",</v>
      </c>
    </row>
    <row r="9538">
      <c r="A9538" s="4" t="s">
        <v>28717</v>
      </c>
      <c r="B9538" s="4" t="s">
        <v>18978</v>
      </c>
      <c r="C9538" s="16" t="str">
        <f>IFERROR(__xludf.DUMMYFUNCTION(""""""""" &amp; REGEXEXTRACT(B9538, ""/detail/([^/?]+)"") &amp; """""","""),"""nkglplbcmeamjpiegkcjhfogcjfggjjp"",")</f>
        <v>"nkglplbcmeamjpiegkcjhfogcjfggjjp",</v>
      </c>
    </row>
    <row r="9539">
      <c r="A9539" s="4" t="s">
        <v>28718</v>
      </c>
      <c r="B9539" s="4" t="s">
        <v>18980</v>
      </c>
      <c r="C9539" s="16" t="str">
        <f>IFERROR(__xludf.DUMMYFUNCTION(""""""""" &amp; REGEXEXTRACT(B9539, ""/detail/([^/?]+)"") &amp; """""","""),"""alobgnedpnalbocldljnakbbaemakhih"",")</f>
        <v>"alobgnedpnalbocldljnakbbaemakhih",</v>
      </c>
    </row>
    <row r="9540">
      <c r="A9540" s="4" t="s">
        <v>28719</v>
      </c>
      <c r="B9540" s="4" t="s">
        <v>18982</v>
      </c>
      <c r="C9540" s="16" t="str">
        <f>IFERROR(__xludf.DUMMYFUNCTION(""""""""" &amp; REGEXEXTRACT(B9540, ""/detail/([^/?]+)"") &amp; """""","""),"""bocbjjpebcmehmadhaiefilfieahhcmo"",")</f>
        <v>"bocbjjpebcmehmadhaiefilfieahhcmo",</v>
      </c>
    </row>
    <row r="9541">
      <c r="A9541" s="4" t="s">
        <v>28720</v>
      </c>
      <c r="B9541" s="4" t="s">
        <v>18984</v>
      </c>
      <c r="C9541" s="16" t="str">
        <f>IFERROR(__xludf.DUMMYFUNCTION(""""""""" &amp; REGEXEXTRACT(B9541, ""/detail/([^/?]+)"") &amp; """""","""),"""dmnkmiehcabgdjcpgiedbmiecnpbcehd"",")</f>
        <v>"dmnkmiehcabgdjcpgiedbmiecnpbcehd",</v>
      </c>
    </row>
    <row r="9542">
      <c r="A9542" s="4" t="s">
        <v>28721</v>
      </c>
      <c r="B9542" s="4" t="s">
        <v>18986</v>
      </c>
      <c r="C9542" s="16" t="str">
        <f>IFERROR(__xludf.DUMMYFUNCTION(""""""""" &amp; REGEXEXTRACT(B9542, ""/detail/([^/?]+)"") &amp; """""","""),"""kmeibikjccjlfedeklmlfahpfajefjan"",")</f>
        <v>"kmeibikjccjlfedeklmlfahpfajefjan",</v>
      </c>
    </row>
    <row r="9543">
      <c r="A9543" s="4" t="s">
        <v>28722</v>
      </c>
      <c r="B9543" s="4" t="s">
        <v>18988</v>
      </c>
      <c r="C9543" s="16" t="str">
        <f>IFERROR(__xludf.DUMMYFUNCTION(""""""""" &amp; REGEXEXTRACT(B9543, ""/detail/([^/?]+)"") &amp; """""","""),"""oeinfjphgdddcbnhdalmaboomliefgph"",")</f>
        <v>"oeinfjphgdddcbnhdalmaboomliefgph",</v>
      </c>
    </row>
    <row r="9544">
      <c r="A9544" s="4" t="s">
        <v>28723</v>
      </c>
      <c r="B9544" s="4" t="s">
        <v>18990</v>
      </c>
      <c r="C9544" s="16" t="str">
        <f>IFERROR(__xludf.DUMMYFUNCTION(""""""""" &amp; REGEXEXTRACT(B9544, ""/detail/([^/?]+)"") &amp; """""","""),"""adddkaonokkecefokdanjpaamfajogel"",")</f>
        <v>"adddkaonokkecefokdanjpaamfajogel",</v>
      </c>
    </row>
    <row r="9545">
      <c r="A9545" s="4" t="s">
        <v>28724</v>
      </c>
      <c r="B9545" s="4" t="s">
        <v>18992</v>
      </c>
      <c r="C9545" s="16" t="str">
        <f>IFERROR(__xludf.DUMMYFUNCTION(""""""""" &amp; REGEXEXTRACT(B9545, ""/detail/([^/?]+)"") &amp; """""","""),"""fjpcnacjhlajeobikegbgeeelokemgdf"",")</f>
        <v>"fjpcnacjhlajeobikegbgeeelokemgdf",</v>
      </c>
    </row>
    <row r="9546">
      <c r="A9546" s="4" t="s">
        <v>28725</v>
      </c>
      <c r="B9546" s="4" t="s">
        <v>18994</v>
      </c>
      <c r="C9546" s="16" t="str">
        <f>IFERROR(__xludf.DUMMYFUNCTION(""""""""" &amp; REGEXEXTRACT(B9546, ""/detail/([^/?]+)"") &amp; """""","""),"""glfmlcifdhfpibfmokbcojfkbgfigeph"",")</f>
        <v>"glfmlcifdhfpibfmokbcojfkbgfigeph",</v>
      </c>
    </row>
    <row r="9547">
      <c r="A9547" s="4" t="s">
        <v>28726</v>
      </c>
      <c r="B9547" s="4" t="s">
        <v>18996</v>
      </c>
      <c r="C9547" s="16" t="str">
        <f>IFERROR(__xludf.DUMMYFUNCTION(""""""""" &amp; REGEXEXTRACT(B9547, ""/detail/([^/?]+)"") &amp; """""","""),"""hcohjlndjjikkfmiafbifjboghndpian"",")</f>
        <v>"hcohjlndjjikkfmiafbifjboghndpian",</v>
      </c>
    </row>
    <row r="9548">
      <c r="A9548" s="4" t="s">
        <v>28727</v>
      </c>
      <c r="B9548" s="4" t="s">
        <v>18998</v>
      </c>
      <c r="C9548" s="16" t="str">
        <f>IFERROR(__xludf.DUMMYFUNCTION(""""""""" &amp; REGEXEXTRACT(B9548, ""/detail/([^/?]+)"") &amp; """""","""),"""jcelngmdejifnkjgioppgemojfpbkejn"",")</f>
        <v>"jcelngmdejifnkjgioppgemojfpbkejn",</v>
      </c>
    </row>
    <row r="9549">
      <c r="A9549" s="4" t="s">
        <v>28728</v>
      </c>
      <c r="B9549" s="4" t="s">
        <v>19000</v>
      </c>
      <c r="C9549" s="16" t="str">
        <f>IFERROR(__xludf.DUMMYFUNCTION(""""""""" &amp; REGEXEXTRACT(B9549, ""/detail/([^/?]+)"") &amp; """""","""),"""llcjbplmeedpplcgabakfhdikbgmajna"",")</f>
        <v>"llcjbplmeedpplcgabakfhdikbgmajna",</v>
      </c>
    </row>
    <row r="9550">
      <c r="A9550" s="4" t="s">
        <v>28729</v>
      </c>
      <c r="B9550" s="4" t="s">
        <v>19002</v>
      </c>
      <c r="C9550" s="16" t="str">
        <f>IFERROR(__xludf.DUMMYFUNCTION(""""""""" &amp; REGEXEXTRACT(B9550, ""/detail/([^/?]+)"") &amp; """""","""),"""obeffifkdkfbpodhaoelcjdljgiapjnl"",")</f>
        <v>"obeffifkdkfbpodhaoelcjdljgiapjnl",</v>
      </c>
    </row>
    <row r="9551">
      <c r="A9551" s="4" t="s">
        <v>28730</v>
      </c>
      <c r="B9551" s="4" t="s">
        <v>19004</v>
      </c>
      <c r="C9551" s="16" t="str">
        <f>IFERROR(__xludf.DUMMYFUNCTION(""""""""" &amp; REGEXEXTRACT(B9551, ""/detail/([^/?]+)"") &amp; """""","""),"""ofmmceeclfikkokflnpckaomdaojhpgd"",")</f>
        <v>"ofmmceeclfikkokflnpckaomdaojhpgd",</v>
      </c>
    </row>
    <row r="9552">
      <c r="A9552" s="4" t="s">
        <v>28731</v>
      </c>
      <c r="B9552" s="4" t="s">
        <v>19006</v>
      </c>
      <c r="C9552" s="16" t="str">
        <f>IFERROR(__xludf.DUMMYFUNCTION(""""""""" &amp; REGEXEXTRACT(B9552, ""/detail/([^/?]+)"") &amp; """""","""),"""ohfhlhjhkmnldjcbkaifnmppnimfolec"",")</f>
        <v>"ohfhlhjhkmnldjcbkaifnmppnimfolec",</v>
      </c>
    </row>
    <row r="9553">
      <c r="A9553" s="4"/>
      <c r="B9553" s="4" t="s">
        <v>19008</v>
      </c>
      <c r="C9553" s="16" t="str">
        <f>IFERROR(__xludf.DUMMYFUNCTION(""""""""" &amp; REGEXEXTRACT(B9553, ""/detail/([^/?]+)"") &amp; """""","""),"""okdekadbjjhbnlmldheinccioijofhgc"",")</f>
        <v>"okdekadbjjhbnlmldheinccioijofhgc",</v>
      </c>
    </row>
    <row r="9554">
      <c r="A9554" s="4"/>
      <c r="B9554" s="4" t="s">
        <v>19010</v>
      </c>
      <c r="C9554" s="16" t="str">
        <f>IFERROR(__xludf.DUMMYFUNCTION(""""""""" &amp; REGEXEXTRACT(B9554, ""/detail/([^/?]+)"") &amp; """""","""),"""bgeaeknaoamgljjbckgjkmkelcmpkobk"",")</f>
        <v>"bgeaeknaoamgljjbckgjkmkelcmpkobk",</v>
      </c>
    </row>
    <row r="9555">
      <c r="A9555" s="4"/>
      <c r="B9555" s="4" t="s">
        <v>19012</v>
      </c>
      <c r="C9555" s="16" t="str">
        <f>IFERROR(__xludf.DUMMYFUNCTION(""""""""" &amp; REGEXEXTRACT(B9555, ""/detail/([^/?]+)"") &amp; """""","""),"""dkmkngddjdildamjdkadffknbegcmebg"",")</f>
        <v>"dkmkngddjdildamjdkadffknbegcmebg",</v>
      </c>
    </row>
    <row r="9556">
      <c r="A9556" s="4"/>
      <c r="B9556" s="4" t="s">
        <v>19014</v>
      </c>
      <c r="C9556" s="16" t="str">
        <f>IFERROR(__xludf.DUMMYFUNCTION(""""""""" &amp; REGEXEXTRACT(B9556, ""/detail/([^/?]+)"") &amp; """""","""),"""dmcpbelgocmkmgbbpndggbilfljilkgk"",")</f>
        <v>"dmcpbelgocmkmgbbpndggbilfljilkgk",</v>
      </c>
    </row>
    <row r="9557">
      <c r="A9557" s="4"/>
      <c r="B9557" s="4" t="s">
        <v>19016</v>
      </c>
      <c r="C9557" s="16" t="str">
        <f>IFERROR(__xludf.DUMMYFUNCTION(""""""""" &amp; REGEXEXTRACT(B9557, ""/detail/([^/?]+)"") &amp; """""","""),"""eafophjfgcoikfppaofnalpppeckgoed"",")</f>
        <v>"eafophjfgcoikfppaofnalpppeckgoed",</v>
      </c>
    </row>
    <row r="9558">
      <c r="A9558" s="4"/>
      <c r="B9558" s="4" t="s">
        <v>19018</v>
      </c>
      <c r="C9558" s="16" t="str">
        <f>IFERROR(__xludf.DUMMYFUNCTION(""""""""" &amp; REGEXEXTRACT(B9558, ""/detail/([^/?]+)"") &amp; """""","""),"""effgbafpgcdenijiomikgadejhkdkacj"",")</f>
        <v>"effgbafpgcdenijiomikgadejhkdkacj",</v>
      </c>
    </row>
    <row r="9559">
      <c r="A9559" s="4"/>
      <c r="B9559" s="4" t="s">
        <v>19020</v>
      </c>
      <c r="C9559" s="16" t="str">
        <f>IFERROR(__xludf.DUMMYFUNCTION(""""""""" &amp; REGEXEXTRACT(B9559, ""/detail/([^/?]+)"") &amp; """""","""),"""foapohjmcdnoijommffjdbefjpakplej"",")</f>
        <v>"foapohjmcdnoijommffjdbefjpakplej",</v>
      </c>
    </row>
    <row r="9560">
      <c r="A9560" s="4"/>
      <c r="B9560" s="4" t="s">
        <v>19022</v>
      </c>
      <c r="C9560" s="16" t="str">
        <f>IFERROR(__xludf.DUMMYFUNCTION(""""""""" &amp; REGEXEXTRACT(B9560, ""/detail/([^/?]+)"") &amp; """""","""),"""hblcpgekfpenakehekkfgoadijffdhne"",")</f>
        <v>"hblcpgekfpenakehekkfgoadijffdhne",</v>
      </c>
    </row>
    <row r="9561">
      <c r="A9561" s="4"/>
      <c r="B9561" s="4" t="s">
        <v>19024</v>
      </c>
      <c r="C9561" s="16" t="str">
        <f>IFERROR(__xludf.DUMMYFUNCTION(""""""""" &amp; REGEXEXTRACT(B9561, ""/detail/([^/?]+)"") &amp; """""","""),"""jkhgkkhkokkebajnhmogconodclkopdh"",")</f>
        <v>"jkhgkkhkokkebajnhmogconodclkopdh",</v>
      </c>
    </row>
    <row r="9562">
      <c r="A9562" s="4"/>
      <c r="B9562" s="4" t="s">
        <v>19026</v>
      </c>
      <c r="C9562" s="16" t="str">
        <f>IFERROR(__xludf.DUMMYFUNCTION(""""""""" &amp; REGEXEXTRACT(B9562, ""/detail/([^/?]+)"") &amp; """""","""),"""kfiafdpdemicicjnfadpklcolhjghggp"",")</f>
        <v>"kfiafdpdemicicjnfadpklcolhjghggp",</v>
      </c>
    </row>
    <row r="9563">
      <c r="A9563" s="4"/>
      <c r="B9563" s="4" t="s">
        <v>19028</v>
      </c>
      <c r="C9563" s="16" t="str">
        <f>IFERROR(__xludf.DUMMYFUNCTION(""""""""" &amp; REGEXEXTRACT(B9563, ""/detail/([^/?]+)"") &amp; """""","""),"""leliihmdckgmccamkmgkiikjecbedapi"",")</f>
        <v>"leliihmdckgmccamkmgkiikjecbedapi",</v>
      </c>
    </row>
    <row r="9564">
      <c r="A9564" s="4"/>
      <c r="B9564" s="4" t="s">
        <v>19030</v>
      </c>
      <c r="C9564" s="16" t="str">
        <f>IFERROR(__xludf.DUMMYFUNCTION(""""""""" &amp; REGEXEXTRACT(B9564, ""/detail/([^/?]+)"") &amp; """""","""),"""lkcampbojgmgobcfinlkgkodlnlpjieb"",")</f>
        <v>"lkcampbojgmgobcfinlkgkodlnlpjieb",</v>
      </c>
    </row>
    <row r="9565">
      <c r="A9565" s="4"/>
      <c r="B9565" s="4" t="s">
        <v>19032</v>
      </c>
      <c r="C9565" s="16" t="str">
        <f>IFERROR(__xludf.DUMMYFUNCTION(""""""""" &amp; REGEXEXTRACT(B9565, ""/detail/([^/?]+)"") &amp; """""","""),"""pjhjdjhaadgebfgcaodcoodllgihlmml"",")</f>
        <v>"pjhjdjhaadgebfgcaodcoodllgihlmml",</v>
      </c>
    </row>
    <row r="9566">
      <c r="A9566" s="4"/>
      <c r="B9566" s="4" t="s">
        <v>19034</v>
      </c>
      <c r="C9566" s="16" t="str">
        <f>IFERROR(__xludf.DUMMYFUNCTION(""""""""" &amp; REGEXEXTRACT(B9566, ""/detail/([^/?]+)"") &amp; """""","""),"""amocooflhobdfdnlkpdnapkcafolalhh"",")</f>
        <v>"amocooflhobdfdnlkpdnapkcafolalhh",</v>
      </c>
    </row>
    <row r="9567">
      <c r="A9567" s="4"/>
      <c r="B9567" s="4" t="s">
        <v>19036</v>
      </c>
      <c r="C9567" s="16" t="str">
        <f>IFERROR(__xludf.DUMMYFUNCTION(""""""""" &amp; REGEXEXTRACT(B9567, ""/detail/([^/?]+)"") &amp; """""","""),"""edbhcnncibhjdeflaagkbdklifcdklmc"",")</f>
        <v>"edbhcnncibhjdeflaagkbdklifcdklmc",</v>
      </c>
    </row>
    <row r="9568">
      <c r="A9568" s="4"/>
      <c r="B9568" s="4" t="s">
        <v>19038</v>
      </c>
      <c r="C9568" s="16" t="str">
        <f>IFERROR(__xludf.DUMMYFUNCTION(""""""""" &amp; REGEXEXTRACT(B9568, ""/detail/([^/?]+)"") &amp; """""","""),"""fccdnjdddfffdbefafflgcmfaelhhmki"",")</f>
        <v>"fccdnjdddfffdbefafflgcmfaelhhmki",</v>
      </c>
    </row>
    <row r="9569">
      <c r="A9569" s="4"/>
      <c r="B9569" s="4" t="s">
        <v>19040</v>
      </c>
      <c r="C9569" s="16" t="str">
        <f>IFERROR(__xludf.DUMMYFUNCTION(""""""""" &amp; REGEXEXTRACT(B9569, ""/detail/([^/?]+)"") &amp; """""","""),"""ebedfcjmndjbaboecddbbjjjoleddfap"",")</f>
        <v>"ebedfcjmndjbaboecddbbjjjoleddfap",</v>
      </c>
    </row>
    <row r="9570">
      <c r="A9570" s="4"/>
      <c r="B9570" s="4" t="s">
        <v>19041</v>
      </c>
      <c r="C9570" s="16" t="str">
        <f>IFERROR(__xludf.DUMMYFUNCTION(""""""""" &amp; REGEXEXTRACT(B9570, ""/detail/([^/?]+)"") &amp; """""","""),"""gicpnnockilhclmgekhdnnjokdmlfhmk"",")</f>
        <v>"gicpnnockilhclmgekhdnnjokdmlfhmk",</v>
      </c>
    </row>
    <row r="9571">
      <c r="A9571" s="4"/>
      <c r="B9571" s="4" t="s">
        <v>19043</v>
      </c>
      <c r="C9571" s="16" t="str">
        <f>IFERROR(__xludf.DUMMYFUNCTION(""""""""" &amp; REGEXEXTRACT(B9571, ""/detail/([^/?]+)"") &amp; """""","""),"""gnklcijclemdlllfmlonfbaoampbiiee"",")</f>
        <v>"gnklcijclemdlllfmlonfbaoampbiiee",</v>
      </c>
    </row>
    <row r="9572">
      <c r="A9572" s="4"/>
      <c r="B9572" s="4" t="s">
        <v>19045</v>
      </c>
      <c r="C9572" s="16" t="str">
        <f>IFERROR(__xludf.DUMMYFUNCTION(""""""""" &amp; REGEXEXTRACT(B9572, ""/detail/([^/?]+)"") &amp; """""","""),"""jddigbonbobbfkgbebpmpffppmgmnnoa"",")</f>
        <v>"jddigbonbobbfkgbebpmpffppmgmnnoa",</v>
      </c>
    </row>
    <row r="9573">
      <c r="A9573" s="4"/>
      <c r="B9573" s="4" t="s">
        <v>19047</v>
      </c>
      <c r="C9573" s="16" t="str">
        <f>IFERROR(__xludf.DUMMYFUNCTION(""""""""" &amp; REGEXEXTRACT(B9573, ""/detail/([^/?]+)"") &amp; """""","""),"""mhdidjpeopgpmlknlinmkplhbgopjegj"",")</f>
        <v>"mhdidjpeopgpmlknlinmkplhbgopjegj",</v>
      </c>
    </row>
    <row r="9574">
      <c r="A9574" s="4"/>
      <c r="B9574" s="4" t="s">
        <v>19049</v>
      </c>
      <c r="C9574" s="16" t="str">
        <f>IFERROR(__xludf.DUMMYFUNCTION(""""""""" &amp; REGEXEXTRACT(B9574, ""/detail/([^/?]+)"") &amp; """""","""),"""adijfhhnlhbmfohpnhcmjlllfaadmkoo"",")</f>
        <v>"adijfhhnlhbmfohpnhcmjlllfaadmkoo",</v>
      </c>
    </row>
    <row r="9575">
      <c r="A9575" s="4"/>
      <c r="B9575" s="4" t="s">
        <v>19051</v>
      </c>
      <c r="C9575" s="16" t="str">
        <f>IFERROR(__xludf.DUMMYFUNCTION(""""""""" &amp; REGEXEXTRACT(B9575, ""/detail/([^/?]+)"") &amp; """""","""),"""dhabdpkoklnemkckhamdjbcchefbcelh"",")</f>
        <v>"dhabdpkoklnemkckhamdjbcchefbcelh",</v>
      </c>
    </row>
    <row r="9576">
      <c r="A9576" s="4"/>
      <c r="B9576" s="4" t="s">
        <v>19053</v>
      </c>
      <c r="C9576" s="16" t="str">
        <f>IFERROR(__xludf.DUMMYFUNCTION(""""""""" &amp; REGEXEXTRACT(B9576, ""/detail/([^/?]+)"") &amp; """""","""),"""dmjoccepbcaemodiijjkpenalpicgeaf"",")</f>
        <v>"dmjoccepbcaemodiijjkpenalpicgeaf",</v>
      </c>
    </row>
    <row r="9577">
      <c r="A9577" s="4"/>
      <c r="B9577" s="4" t="s">
        <v>19055</v>
      </c>
      <c r="C9577" s="16" t="str">
        <f>IFERROR(__xludf.DUMMYFUNCTION(""""""""" &amp; REGEXEXTRACT(B9577, ""/detail/([^/?]+)"") &amp; """""","""),"""fndpfhokbajlpdhegoclkdplgnjehkgp"",")</f>
        <v>"fndpfhokbajlpdhegoclkdplgnjehkgp",</v>
      </c>
    </row>
    <row r="9578">
      <c r="A9578" s="4"/>
      <c r="B9578" s="4" t="s">
        <v>19057</v>
      </c>
      <c r="C9578" s="16" t="str">
        <f>IFERROR(__xludf.DUMMYFUNCTION(""""""""" &amp; REGEXEXTRACT(B9578, ""/detail/([^/?]+)"") &amp; """""","""),"""ggfgchkboafohghglleifhapohaopffd"",")</f>
        <v>"ggfgchkboafohghglleifhapohaopffd",</v>
      </c>
    </row>
    <row r="9579">
      <c r="A9579" s="4"/>
      <c r="B9579" s="4" t="s">
        <v>19059</v>
      </c>
      <c r="C9579" s="16" t="str">
        <f>IFERROR(__xludf.DUMMYFUNCTION(""""""""" &amp; REGEXEXTRACT(B9579, ""/detail/([^/?]+)"") &amp; """""","""),"""hajhmelhogpbcooljkogbbnjifahpbol"",")</f>
        <v>"hajhmelhogpbcooljkogbbnjifahpbol",</v>
      </c>
    </row>
    <row r="9580">
      <c r="A9580" s="4"/>
      <c r="B9580" s="4" t="s">
        <v>19061</v>
      </c>
      <c r="C9580" s="16" t="str">
        <f>IFERROR(__xludf.DUMMYFUNCTION(""""""""" &amp; REGEXEXTRACT(B9580, ""/detail/([^/?]+)"") &amp; """""","""),"""icbjohkhackfonehoaabfijgdlnmbekl"",")</f>
        <v>"icbjohkhackfonehoaabfijgdlnmbekl",</v>
      </c>
    </row>
    <row r="9581">
      <c r="A9581" s="4"/>
      <c r="B9581" s="4" t="s">
        <v>19063</v>
      </c>
      <c r="C9581" s="16" t="str">
        <f>IFERROR(__xludf.DUMMYFUNCTION(""""""""" &amp; REGEXEXTRACT(B9581, ""/detail/([^/?]+)"") &amp; """""","""),"""nafjhgipldpldpocnpjkhgocbphlbihb"",")</f>
        <v>"nafjhgipldpldpocnpjkhgocbphlbihb",</v>
      </c>
    </row>
    <row r="9582">
      <c r="A9582" s="4"/>
      <c r="B9582" s="4" t="s">
        <v>19065</v>
      </c>
      <c r="C9582" s="16" t="str">
        <f>IFERROR(__xludf.DUMMYFUNCTION(""""""""" &amp; REGEXEXTRACT(B9582, ""/detail/([^/?]+)"") &amp; """""","""),"""njeijipoihldmgnelkdhohadaigobeml"",")</f>
        <v>"njeijipoihldmgnelkdhohadaigobeml",</v>
      </c>
    </row>
    <row r="9583">
      <c r="A9583" s="4"/>
      <c r="B9583" s="4" t="s">
        <v>19067</v>
      </c>
      <c r="C9583" s="16" t="str">
        <f>IFERROR(__xludf.DUMMYFUNCTION(""""""""" &amp; REGEXEXTRACT(B9583, ""/detail/([^/?]+)"") &amp; """""","""),"""ohhhckeljnecaiamhlahbpdccchbofgl"",")</f>
        <v>"ohhhckeljnecaiamhlahbpdccchbofgl",</v>
      </c>
    </row>
    <row r="9584">
      <c r="A9584" s="4"/>
      <c r="B9584" s="4" t="s">
        <v>19069</v>
      </c>
      <c r="C9584" s="16" t="str">
        <f>IFERROR(__xludf.DUMMYFUNCTION(""""""""" &amp; REGEXEXTRACT(B9584, ""/detail/([^/?]+)"") &amp; """""","""),"""booibkcgheofaoklpolmjmgaepombmlk"",")</f>
        <v>"booibkcgheofaoklpolmjmgaepombmlk",</v>
      </c>
    </row>
    <row r="9585">
      <c r="A9585" s="4"/>
      <c r="B9585" s="4" t="s">
        <v>19071</v>
      </c>
      <c r="C9585" s="16" t="str">
        <f>IFERROR(__xludf.DUMMYFUNCTION(""""""""" &amp; REGEXEXTRACT(B9585, ""/detail/([^/?]+)"") &amp; """""","""),"""kekjlppeakkghncgobcelpmghgoomeod"",")</f>
        <v>"kekjlppeakkghncgobcelpmghgoomeod",</v>
      </c>
    </row>
    <row r="9586">
      <c r="A9586" s="4"/>
      <c r="B9586" s="4" t="s">
        <v>19073</v>
      </c>
      <c r="C9586" s="16" t="str">
        <f>IFERROR(__xludf.DUMMYFUNCTION(""""""""" &amp; REGEXEXTRACT(B9586, ""/detail/([^/?]+)"") &amp; """""","""),"""lpihapijmopppnlkpglljeaeafcodmod"",")</f>
        <v>"lpihapijmopppnlkpglljeaeafcodmod",</v>
      </c>
    </row>
    <row r="9587">
      <c r="A9587" s="4"/>
      <c r="B9587" s="4" t="s">
        <v>19075</v>
      </c>
      <c r="C9587" s="16" t="str">
        <f>IFERROR(__xludf.DUMMYFUNCTION(""""""""" &amp; REGEXEXTRACT(B9587, ""/detail/([^/?]+)"") &amp; """""","""),"""mgbfplgjdafciljiamlggodaojijhikj"",")</f>
        <v>"mgbfplgjdafciljiamlggodaojijhikj",</v>
      </c>
    </row>
    <row r="9588">
      <c r="A9588" s="4"/>
      <c r="B9588" s="4" t="s">
        <v>19077</v>
      </c>
      <c r="C9588" s="16" t="str">
        <f>IFERROR(__xludf.DUMMYFUNCTION(""""""""" &amp; REGEXEXTRACT(B9588, ""/detail/([^/?]+)"") &amp; """""","""),"""bodbimicombkcinchnmcbbhcjjfoookf"",")</f>
        <v>"bodbimicombkcinchnmcbbhcjjfoookf",</v>
      </c>
    </row>
    <row r="9589">
      <c r="A9589" s="4"/>
      <c r="B9589" s="4" t="s">
        <v>19079</v>
      </c>
      <c r="C9589" s="16" t="str">
        <f>IFERROR(__xludf.DUMMYFUNCTION(""""""""" &amp; REGEXEXTRACT(B9589, ""/detail/([^/?]+)"") &amp; """""","""),"""fcedikhdncpihpklagplnhhapeohoghl"",")</f>
        <v>"fcedikhdncpihpklagplnhhapeohoghl",</v>
      </c>
    </row>
    <row r="9590">
      <c r="A9590" s="4"/>
      <c r="B9590" s="4" t="s">
        <v>19081</v>
      </c>
      <c r="C9590" s="16" t="str">
        <f>IFERROR(__xludf.DUMMYFUNCTION(""""""""" &amp; REGEXEXTRACT(B9590, ""/detail/([^/?]+)"") &amp; """""","""),"""haoleoddimagefbabdepgngjgacldhge"",")</f>
        <v>"haoleoddimagefbabdepgngjgacldhge",</v>
      </c>
    </row>
    <row r="9591">
      <c r="A9591" s="4"/>
      <c r="B9591" s="4" t="s">
        <v>19083</v>
      </c>
      <c r="C9591" s="16" t="str">
        <f>IFERROR(__xludf.DUMMYFUNCTION(""""""""" &amp; REGEXEXTRACT(B9591, ""/detail/([^/?]+)"") &amp; """""","""),"""hkjdaeehgkbdbpgffjgiahldidifdbgg"",")</f>
        <v>"hkjdaeehgkbdbpgffjgiahldidifdbgg",</v>
      </c>
    </row>
    <row r="9592">
      <c r="A9592" s="4"/>
      <c r="B9592" s="4" t="s">
        <v>19085</v>
      </c>
      <c r="C9592" s="16" t="str">
        <f>IFERROR(__xludf.DUMMYFUNCTION(""""""""" &amp; REGEXEXTRACT(B9592, ""/detail/([^/?]+)"") &amp; """""","""),"""hlkaeledkpjicnlipojpgpjgdpcpaloo"",")</f>
        <v>"hlkaeledkpjicnlipojpgpjgdpcpaloo",</v>
      </c>
    </row>
    <row r="9593">
      <c r="A9593" s="4"/>
      <c r="B9593" s="4" t="s">
        <v>19087</v>
      </c>
      <c r="C9593" s="16" t="str">
        <f>IFERROR(__xludf.DUMMYFUNCTION(""""""""" &amp; REGEXEXTRACT(B9593, ""/detail/([^/?]+)"") &amp; """""","""),"""iejmnlppimjeddnpfiljelhloaelogao"",")</f>
        <v>"iejmnlppimjeddnpfiljelhloaelogao",</v>
      </c>
    </row>
    <row r="9594">
      <c r="A9594" s="4"/>
      <c r="B9594" s="4" t="s">
        <v>19089</v>
      </c>
      <c r="C9594" s="16" t="str">
        <f>IFERROR(__xludf.DUMMYFUNCTION(""""""""" &amp; REGEXEXTRACT(B9594, ""/detail/([^/?]+)"") &amp; """""","""),"""jmcdblanaidgjcgjohndajigiflfajfg"",")</f>
        <v>"jmcdblanaidgjcgjohndajigiflfajfg",</v>
      </c>
    </row>
    <row r="9595">
      <c r="A9595" s="4"/>
      <c r="B9595" s="4" t="s">
        <v>19091</v>
      </c>
      <c r="C9595" s="16" t="str">
        <f>IFERROR(__xludf.DUMMYFUNCTION(""""""""" &amp; REGEXEXTRACT(B9595, ""/detail/([^/?]+)"") &amp; """""","""),"""khedhoedfamallgnpngiginbiffemgho"",")</f>
        <v>"khedhoedfamallgnpngiginbiffemgho",</v>
      </c>
    </row>
    <row r="9596">
      <c r="A9596" s="4"/>
      <c r="B9596" s="4" t="s">
        <v>19093</v>
      </c>
      <c r="C9596" s="16" t="str">
        <f>IFERROR(__xludf.DUMMYFUNCTION(""""""""" &amp; REGEXEXTRACT(B9596, ""/detail/([^/?]+)"") &amp; """""","""),"""ogmonhnolabdebjebfafnhnkemikgaja"",")</f>
        <v>"ogmonhnolabdebjebfafnhnkemikgaja",</v>
      </c>
    </row>
    <row r="9597">
      <c r="A9597" s="4"/>
      <c r="B9597" s="4" t="s">
        <v>19095</v>
      </c>
      <c r="C9597" s="16" t="str">
        <f>IFERROR(__xludf.DUMMYFUNCTION(""""""""" &amp; REGEXEXTRACT(B9597, ""/detail/([^/?]+)"") &amp; """""","""),"""pldlofnfhngdebbilopnaoeljkmdfpin"",")</f>
        <v>"pldlofnfhngdebbilopnaoeljkmdfpin",</v>
      </c>
    </row>
    <row r="9598">
      <c r="A9598" s="4"/>
      <c r="B9598" s="4" t="s">
        <v>19097</v>
      </c>
      <c r="C9598" s="16" t="str">
        <f>IFERROR(__xludf.DUMMYFUNCTION(""""""""" &amp; REGEXEXTRACT(B9598, ""/detail/([^/?]+)"") &amp; """""","""),"""bkhbjbkadafdkckdemhkdbdhognhoagj"",")</f>
        <v>"bkhbjbkadafdkckdemhkdbdhognhoagj",</v>
      </c>
    </row>
    <row r="9599">
      <c r="A9599" s="4"/>
      <c r="B9599" s="4" t="s">
        <v>19099</v>
      </c>
      <c r="C9599" s="16" t="str">
        <f>IFERROR(__xludf.DUMMYFUNCTION(""""""""" &amp; REGEXEXTRACT(B9599, ""/detail/([^/?]+)"") &amp; """""","""),"""dconegbmnkoeccohdkifggkgdhoaedgc"",")</f>
        <v>"dconegbmnkoeccohdkifggkgdhoaedgc",</v>
      </c>
    </row>
    <row r="9600">
      <c r="A9600" s="4"/>
      <c r="B9600" s="4" t="s">
        <v>19101</v>
      </c>
      <c r="C9600" s="16" t="str">
        <f>IFERROR(__xludf.DUMMYFUNCTION(""""""""" &amp; REGEXEXTRACT(B9600, ""/detail/([^/?]+)"") &amp; """""","""),"""eafahahbkiojhlhllnpajnnpfngkpdfn"",")</f>
        <v>"eafahahbkiojhlhllnpajnnpfngkpdfn",</v>
      </c>
    </row>
    <row r="9601">
      <c r="A9601" s="4"/>
      <c r="B9601" s="4" t="s">
        <v>19103</v>
      </c>
      <c r="C9601" s="16" t="str">
        <f>IFERROR(__xludf.DUMMYFUNCTION(""""""""" &amp; REGEXEXTRACT(B9601, ""/detail/([^/?]+)"") &amp; """""","""),"""eiffgabfpjklnnfmogjiolmgnbelbcjo"",")</f>
        <v>"eiffgabfpjklnnfmogjiolmgnbelbcjo",</v>
      </c>
    </row>
    <row r="9602">
      <c r="A9602" s="4"/>
      <c r="B9602" s="4" t="s">
        <v>19105</v>
      </c>
      <c r="C9602" s="16" t="str">
        <f>IFERROR(__xludf.DUMMYFUNCTION(""""""""" &amp; REGEXEXTRACT(B9602, ""/detail/([^/?]+)"") &amp; """""","""),"""fddoccbkbikfomalnifggoajpghchjcp"",")</f>
        <v>"fddoccbkbikfomalnifggoajpghchjcp",</v>
      </c>
    </row>
    <row r="9603">
      <c r="A9603" s="4"/>
      <c r="B9603" s="4" t="s">
        <v>19107</v>
      </c>
      <c r="C9603" s="16" t="str">
        <f>IFERROR(__xludf.DUMMYFUNCTION(""""""""" &amp; REGEXEXTRACT(B9603, ""/detail/([^/?]+)"") &amp; """""","""),"""fkgdjdphlpgcccgfaacjkchmphafhcmd"",")</f>
        <v>"fkgdjdphlpgcccgfaacjkchmphafhcmd",</v>
      </c>
    </row>
    <row r="9604">
      <c r="A9604" s="4"/>
      <c r="B9604" s="4" t="s">
        <v>19109</v>
      </c>
      <c r="C9604" s="16" t="str">
        <f>IFERROR(__xludf.DUMMYFUNCTION(""""""""" &amp; REGEXEXTRACT(B9604, ""/detail/([^/?]+)"") &amp; """""","""),"""gbinchaafafhenoibdeblkooihlobnjj"",")</f>
        <v>"gbinchaafafhenoibdeblkooihlobnjj",</v>
      </c>
    </row>
    <row r="9605">
      <c r="A9605" s="4"/>
      <c r="B9605" s="4" t="s">
        <v>19111</v>
      </c>
      <c r="C9605" s="16" t="str">
        <f>IFERROR(__xludf.DUMMYFUNCTION(""""""""" &amp; REGEXEXTRACT(B9605, ""/detail/([^/?]+)"") &amp; """""","""),"""jfkhnopbajkdbgiboodjidipnepjlkec"",")</f>
        <v>"jfkhnopbajkdbgiboodjidipnepjlkec",</v>
      </c>
    </row>
    <row r="9606">
      <c r="A9606" s="4"/>
      <c r="B9606" s="4" t="s">
        <v>19113</v>
      </c>
      <c r="C9606" s="16" t="str">
        <f>IFERROR(__xludf.DUMMYFUNCTION(""""""""" &amp; REGEXEXTRACT(B9606, ""/detail/([^/?]+)"") &amp; """""","""),"""jmahmkpoabpohpganpheikpphdoflmhm"",")</f>
        <v>"jmahmkpoabpohpganpheikpphdoflmhm",</v>
      </c>
    </row>
    <row r="9607">
      <c r="A9607" s="4"/>
      <c r="B9607" s="4" t="s">
        <v>19115</v>
      </c>
      <c r="C9607" s="16" t="str">
        <f>IFERROR(__xludf.DUMMYFUNCTION(""""""""" &amp; REGEXEXTRACT(B9607, ""/detail/([^/?]+)"") &amp; """""","""),"""jpnfkdokcadnkpmpfjbblfjjokffpbio"",")</f>
        <v>"jpnfkdokcadnkpmpfjbblfjjokffpbio",</v>
      </c>
    </row>
    <row r="9608">
      <c r="A9608" s="4"/>
      <c r="B9608" s="4" t="s">
        <v>19117</v>
      </c>
      <c r="C9608" s="16" t="str">
        <f>IFERROR(__xludf.DUMMYFUNCTION(""""""""" &amp; REGEXEXTRACT(B9608, ""/detail/([^/?]+)"") &amp; """""","""),"""llkokplhejljfclkcffdjaiplkkjcdam"",")</f>
        <v>"llkokplhejljfclkcffdjaiplkkjcdam",</v>
      </c>
    </row>
    <row r="9609">
      <c r="A9609" s="4"/>
      <c r="B9609" s="4" t="s">
        <v>19119</v>
      </c>
      <c r="C9609" s="16" t="str">
        <f>IFERROR(__xludf.DUMMYFUNCTION(""""""""" &amp; REGEXEXTRACT(B9609, ""/detail/([^/?]+)"") &amp; """""","""),"""lodfihlkijchmhheemaejbfkjkmaejkk"",")</f>
        <v>"lodfihlkijchmhheemaejbfkjkmaejkk",</v>
      </c>
    </row>
    <row r="9610">
      <c r="A9610" s="4"/>
      <c r="B9610" s="4" t="s">
        <v>19121</v>
      </c>
      <c r="C9610" s="16" t="str">
        <f>IFERROR(__xludf.DUMMYFUNCTION(""""""""" &amp; REGEXEXTRACT(B9610, ""/detail/([^/?]+)"") &amp; """""","""),"""mgaiocojhlkmnfcckfebjahneekfjbdo"",")</f>
        <v>"mgaiocojhlkmnfcckfebjahneekfjbdo",</v>
      </c>
    </row>
    <row r="9611">
      <c r="A9611" s="4"/>
      <c r="B9611" s="4" t="s">
        <v>19123</v>
      </c>
      <c r="C9611" s="16" t="str">
        <f>IFERROR(__xludf.DUMMYFUNCTION(""""""""" &amp; REGEXEXTRACT(B9611, ""/detail/([^/?]+)"") &amp; """""","""),"""oihlifnmcjcopebppcggkaoicelhkcgk"",")</f>
        <v>"oihlifnmcjcopebppcggkaoicelhkcgk",</v>
      </c>
    </row>
    <row r="9612">
      <c r="A9612" s="4"/>
      <c r="B9612" s="4" t="s">
        <v>19125</v>
      </c>
      <c r="C9612" s="16" t="str">
        <f>IFERROR(__xludf.DUMMYFUNCTION(""""""""" &amp; REGEXEXTRACT(B9612, ""/detail/([^/?]+)"") &amp; """""","""),"""fbapmaboedchhgjolcnpfgoanbfajchl"",")</f>
        <v>"fbapmaboedchhgjolcnpfgoanbfajchl",</v>
      </c>
    </row>
    <row r="9613">
      <c r="A9613" s="4"/>
      <c r="B9613" s="4" t="s">
        <v>19127</v>
      </c>
      <c r="C9613" s="16" t="str">
        <f>IFERROR(__xludf.DUMMYFUNCTION(""""""""" &amp; REGEXEXTRACT(B9613, ""/detail/([^/?]+)"") &amp; """""","""),"""fohcdemnkddkfcbheibnjhnpfliemnfg"",")</f>
        <v>"fohcdemnkddkfcbheibnjhnpfliemnfg",</v>
      </c>
    </row>
    <row r="9614">
      <c r="A9614" s="4"/>
      <c r="B9614" s="4" t="s">
        <v>19129</v>
      </c>
      <c r="C9614" s="16" t="str">
        <f>IFERROR(__xludf.DUMMYFUNCTION(""""""""" &amp; REGEXEXTRACT(B9614, ""/detail/([^/?]+)"") &amp; """""","""),"""hmekkdlabbjicebobdeopkemgofhhafk"",")</f>
        <v>"hmekkdlabbjicebobdeopkemgofhhafk",</v>
      </c>
    </row>
    <row r="9615">
      <c r="A9615" s="4"/>
      <c r="B9615" s="4" t="s">
        <v>19131</v>
      </c>
      <c r="C9615" s="16" t="str">
        <f>IFERROR(__xludf.DUMMYFUNCTION(""""""""" &amp; REGEXEXTRACT(B9615, ""/detail/([^/?]+)"") &amp; """""","""),"""jdijbhedpeoddlmcbooapojknnfkengj"",")</f>
        <v>"jdijbhedpeoddlmcbooapojknnfkengj",</v>
      </c>
    </row>
    <row r="9616">
      <c r="A9616" s="4"/>
      <c r="B9616" s="4" t="s">
        <v>19133</v>
      </c>
      <c r="C9616" s="16" t="str">
        <f>IFERROR(__xludf.DUMMYFUNCTION(""""""""" &amp; REGEXEXTRACT(B9616, ""/detail/([^/?]+)"") &amp; """""","""),"""ocacgafaaahoakloknkbaikjmcohmhda"",")</f>
        <v>"ocacgafaaahoakloknkbaikjmcohmhda",</v>
      </c>
    </row>
    <row r="9617">
      <c r="A9617" s="4"/>
      <c r="B9617" s="4" t="s">
        <v>19135</v>
      </c>
      <c r="C9617" s="16" t="str">
        <f>IFERROR(__xludf.DUMMYFUNCTION(""""""""" &amp; REGEXEXTRACT(B9617, ""/detail/([^/?]+)"") &amp; """""","""),"""onkknkfidoodkmjaaogphalomhifgdkp"",")</f>
        <v>"onkknkfidoodkmjaaogphalomhifgdkp",</v>
      </c>
    </row>
    <row r="9618">
      <c r="A9618" s="4"/>
      <c r="B9618" s="4" t="s">
        <v>19137</v>
      </c>
      <c r="C9618" s="16" t="str">
        <f>IFERROR(__xludf.DUMMYFUNCTION(""""""""" &amp; REGEXEXTRACT(B9618, ""/detail/([^/?]+)"") &amp; """""","""),"""fifegcdolpopgankidmhacbffojhidng"",")</f>
        <v>"fifegcdolpopgankidmhacbffojhidng",</v>
      </c>
    </row>
    <row r="9619">
      <c r="A9619" s="4"/>
      <c r="B9619" s="4" t="s">
        <v>19139</v>
      </c>
      <c r="C9619" s="16" t="str">
        <f>IFERROR(__xludf.DUMMYFUNCTION(""""""""" &amp; REGEXEXTRACT(B9619, ""/detail/([^/?]+)"") &amp; """""","""),"""gomipljbnlaiefmaaafjnbcibinefjbp"",")</f>
        <v>"gomipljbnlaiefmaaafjnbcibinefjbp",</v>
      </c>
    </row>
    <row r="9620">
      <c r="A9620" s="4"/>
      <c r="B9620" s="4" t="s">
        <v>19141</v>
      </c>
      <c r="C9620" s="16" t="str">
        <f>IFERROR(__xludf.DUMMYFUNCTION(""""""""" &amp; REGEXEXTRACT(B9620, ""/detail/([^/?]+)"") &amp; """""","""),"""hdkhicoloiohjgogdcehfcnjddnonkhb"",")</f>
        <v>"hdkhicoloiohjgogdcehfcnjddnonkhb",</v>
      </c>
    </row>
    <row r="9621">
      <c r="A9621" s="4"/>
      <c r="B9621" s="4" t="s">
        <v>19143</v>
      </c>
      <c r="C9621" s="16" t="str">
        <f>IFERROR(__xludf.DUMMYFUNCTION(""""""""" &amp; REGEXEXTRACT(B9621, ""/detail/([^/?]+)"") &amp; """""","""),"""ibjeflpimfbfpnpgljhokhjnnamldclo"",")</f>
        <v>"ibjeflpimfbfpnpgljhokhjnnamldclo",</v>
      </c>
    </row>
    <row r="9622">
      <c r="A9622" s="4"/>
      <c r="B9622" s="4" t="s">
        <v>19145</v>
      </c>
      <c r="C9622" s="16" t="str">
        <f>IFERROR(__xludf.DUMMYFUNCTION(""""""""" &amp; REGEXEXTRACT(B9622, ""/detail/([^/?]+)"") &amp; """""","""),"""idnfcalokbhljjjlphmknbfpngjgaale"",")</f>
        <v>"idnfcalokbhljjjlphmknbfpngjgaale",</v>
      </c>
    </row>
    <row r="9623">
      <c r="A9623" s="4"/>
      <c r="B9623" s="4" t="s">
        <v>19147</v>
      </c>
      <c r="C9623" s="16" t="str">
        <f>IFERROR(__xludf.DUMMYFUNCTION(""""""""" &amp; REGEXEXTRACT(B9623, ""/detail/([^/?]+)"") &amp; """""","""),"""ienonflmjobapflnpjadihcdibodpkjb"",")</f>
        <v>"ienonflmjobapflnpjadihcdibodpkjb",</v>
      </c>
    </row>
    <row r="9624">
      <c r="A9624" s="4"/>
      <c r="B9624" s="4" t="s">
        <v>19149</v>
      </c>
      <c r="C9624" s="16" t="str">
        <f>IFERROR(__xludf.DUMMYFUNCTION(""""""""" &amp; REGEXEXTRACT(B9624, ""/detail/([^/?]+)"") &amp; """""","""),"""iffkflhcbfgfcendldlddpgpfbikibjd"",")</f>
        <v>"iffkflhcbfgfcendldlddpgpfbikibjd",</v>
      </c>
    </row>
    <row r="9625">
      <c r="A9625" s="4"/>
      <c r="B9625" s="4" t="s">
        <v>19151</v>
      </c>
      <c r="C9625" s="16" t="str">
        <f>IFERROR(__xludf.DUMMYFUNCTION(""""""""" &amp; REGEXEXTRACT(B9625, ""/detail/([^/?]+)"") &amp; """""","""),"""kadfhmhfoplfpmffcfanpnphhjbilifl"",")</f>
        <v>"kadfhmhfoplfpmffcfanpnphhjbilifl",</v>
      </c>
    </row>
    <row r="9626">
      <c r="A9626" s="4"/>
      <c r="B9626" s="4" t="s">
        <v>19153</v>
      </c>
      <c r="C9626" s="16" t="str">
        <f>IFERROR(__xludf.DUMMYFUNCTION(""""""""" &amp; REGEXEXTRACT(B9626, ""/detail/([^/?]+)"") &amp; """""","""),"""ldfaccjdcphlaodakclpiomadaakoobd"",")</f>
        <v>"ldfaccjdcphlaodakclpiomadaakoobd",</v>
      </c>
    </row>
    <row r="9627">
      <c r="A9627" s="4"/>
      <c r="B9627" s="4" t="s">
        <v>19155</v>
      </c>
      <c r="C9627" s="16" t="str">
        <f>IFERROR(__xludf.DUMMYFUNCTION(""""""""" &amp; REGEXEXTRACT(B9627, ""/detail/([^/?]+)"") &amp; """""","""),"""nakjpadjkbgglmecflakfmapmdnlkeng"",")</f>
        <v>"nakjpadjkbgglmecflakfmapmdnlkeng",</v>
      </c>
    </row>
    <row r="9628">
      <c r="A9628" s="4"/>
      <c r="B9628" s="4" t="s">
        <v>19157</v>
      </c>
      <c r="C9628" s="16" t="str">
        <f>IFERROR(__xludf.DUMMYFUNCTION(""""""""" &amp; REGEXEXTRACT(B9628, ""/detail/([^/?]+)"") &amp; """""","""),"""pclgcppjlhbccgpgflbijnhekejnbjmb"",")</f>
        <v>"pclgcppjlhbccgpgflbijnhekejnbjmb",</v>
      </c>
    </row>
    <row r="9629">
      <c r="A9629" s="4"/>
      <c r="B9629" s="4" t="s">
        <v>19159</v>
      </c>
      <c r="C9629" s="16" t="str">
        <f>IFERROR(__xludf.DUMMYFUNCTION(""""""""" &amp; REGEXEXTRACT(B9629, ""/detail/([^/?]+)"") &amp; """""","""),"""amkpabkldfondhfldmecnfjlmjencfbf"",")</f>
        <v>"amkpabkldfondhfldmecnfjlmjencfbf",</v>
      </c>
    </row>
    <row r="9630">
      <c r="A9630" s="4"/>
      <c r="B9630" s="4" t="s">
        <v>19161</v>
      </c>
      <c r="C9630" s="16" t="str">
        <f>IFERROR(__xludf.DUMMYFUNCTION(""""""""" &amp; REGEXEXTRACT(B9630, ""/detail/([^/?]+)"") &amp; """""","""),"""aooohipcpangghmcpkjhcolnagaihglj"",")</f>
        <v>"aooohipcpangghmcpkjhcolnagaihglj",</v>
      </c>
    </row>
    <row r="9631">
      <c r="A9631" s="4"/>
      <c r="B9631" s="4" t="s">
        <v>19163</v>
      </c>
      <c r="C9631" s="16" t="str">
        <f>IFERROR(__xludf.DUMMYFUNCTION(""""""""" &amp; REGEXEXTRACT(B9631, ""/detail/([^/?]+)"") &amp; """""","""),"""apifmmoplfibicaaddcpeicgkllipflb"",")</f>
        <v>"apifmmoplfibicaaddcpeicgkllipflb",</v>
      </c>
    </row>
    <row r="9632">
      <c r="A9632" s="4"/>
      <c r="B9632" s="4" t="s">
        <v>19165</v>
      </c>
      <c r="C9632" s="16" t="str">
        <f>IFERROR(__xludf.DUMMYFUNCTION(""""""""" &amp; REGEXEXTRACT(B9632, ""/detail/([^/?]+)"") &amp; """""","""),"""bkddmodjbkeffnnpganagafghockmkij"",")</f>
        <v>"bkddmodjbkeffnnpganagafghockmkij",</v>
      </c>
    </row>
    <row r="9633">
      <c r="A9633" s="4"/>
      <c r="B9633" s="4" t="s">
        <v>19167</v>
      </c>
      <c r="C9633" s="16" t="str">
        <f>IFERROR(__xludf.DUMMYFUNCTION(""""""""" &amp; REGEXEXTRACT(B9633, ""/detail/([^/?]+)"") &amp; """""","""),"""chflkinkknpljaccjdccnogkelagodba"",")</f>
        <v>"chflkinkknpljaccjdccnogkelagodba",</v>
      </c>
    </row>
    <row r="9634">
      <c r="A9634" s="4"/>
      <c r="B9634" s="4" t="s">
        <v>19169</v>
      </c>
      <c r="C9634" s="16" t="str">
        <f>IFERROR(__xludf.DUMMYFUNCTION(""""""""" &amp; REGEXEXTRACT(B9634, ""/detail/([^/?]+)"") &amp; """""","""),"""eofldjecdkcjhnccphadkomkiebjfdkl"",")</f>
        <v>"eofldjecdkcjhnccphadkomkiebjfdkl",</v>
      </c>
    </row>
    <row r="9635">
      <c r="A9635" s="4"/>
      <c r="B9635" s="4" t="s">
        <v>19171</v>
      </c>
      <c r="C9635" s="16" t="str">
        <f>IFERROR(__xludf.DUMMYFUNCTION(""""""""" &amp; REGEXEXTRACT(B9635, ""/detail/([^/?]+)"") &amp; """""","""),"""eonhcfjonflaaojkfbgaggiolnioboef"",")</f>
        <v>"eonhcfjonflaaojkfbgaggiolnioboef",</v>
      </c>
    </row>
    <row r="9636">
      <c r="A9636" s="4"/>
      <c r="B9636" s="4" t="s">
        <v>19173</v>
      </c>
      <c r="C9636" s="16" t="str">
        <f>IFERROR(__xludf.DUMMYFUNCTION(""""""""" &amp; REGEXEXTRACT(B9636, ""/detail/([^/?]+)"") &amp; """""","""),"""ibdppaaieeojldgandjjlmjfbnjiciji"",")</f>
        <v>"ibdppaaieeojldgandjjlmjfbnjiciji",</v>
      </c>
    </row>
    <row r="9637">
      <c r="A9637" s="4"/>
      <c r="B9637" s="4" t="s">
        <v>19175</v>
      </c>
      <c r="C9637" s="16" t="str">
        <f>IFERROR(__xludf.DUMMYFUNCTION(""""""""" &amp; REGEXEXTRACT(B9637, ""/detail/([^/?]+)"") &amp; """""","""),"""ibfkmjpgbhlbjopdalpbjkajcofgfgem"",")</f>
        <v>"ibfkmjpgbhlbjopdalpbjkajcofgfgem",</v>
      </c>
    </row>
    <row r="9638">
      <c r="A9638" s="4"/>
      <c r="B9638" s="4" t="s">
        <v>19177</v>
      </c>
      <c r="C9638" s="16" t="str">
        <f>IFERROR(__xludf.DUMMYFUNCTION(""""""""" &amp; REGEXEXTRACT(B9638, ""/detail/([^/?]+)"") &amp; """""","""),"""kkjlehpaghmppmkfihgiejaaapgkinai"",")</f>
        <v>"kkjlehpaghmppmkfihgiejaaapgkinai",</v>
      </c>
    </row>
    <row r="9639">
      <c r="A9639" s="4"/>
      <c r="B9639" s="4" t="s">
        <v>19179</v>
      </c>
      <c r="C9639" s="16" t="str">
        <f>IFERROR(__xludf.DUMMYFUNCTION(""""""""" &amp; REGEXEXTRACT(B9639, ""/detail/([^/?]+)"") &amp; """""","""),"""ofjdjffkbglgpdikoofpkeniefljookp"",")</f>
        <v>"ofjdjffkbglgpdikoofpkeniefljookp",</v>
      </c>
    </row>
    <row r="9640">
      <c r="A9640" s="4"/>
      <c r="B9640" s="4" t="s">
        <v>28732</v>
      </c>
      <c r="C9640" s="16" t="str">
        <f>IFERROR(__xludf.DUMMYFUNCTION(""""""""" &amp; REGEXEXTRACT(B9640, ""/detail/([^/?]+)"") &amp; """""","""),"""ienkeacpabjckghdhdbogicopahccimc"",")</f>
        <v>"ienkeacpabjckghdhdbogicopahccimc",</v>
      </c>
    </row>
    <row r="9641">
      <c r="A9641" s="4"/>
      <c r="B9641" s="4" t="s">
        <v>28733</v>
      </c>
      <c r="C9641" s="16" t="str">
        <f>IFERROR(__xludf.DUMMYFUNCTION(""""""""" &amp; REGEXEXTRACT(B9641, ""/detail/([^/?]+)"") &amp; """""","""),"""ondhkkolbekkggkoaealjellfcoecima"",")</f>
        <v>"ondhkkolbekkggkoaealjellfcoecima",</v>
      </c>
    </row>
    <row r="9642">
      <c r="A9642" s="4"/>
      <c r="B9642" s="4" t="s">
        <v>28734</v>
      </c>
      <c r="C9642" s="16" t="str">
        <f>IFERROR(__xludf.DUMMYFUNCTION(""""""""" &amp; REGEXEXTRACT(B9642, ""/detail/([^/?]+)"") &amp; """""","""),"""hieejlcohhkjbpiihgphcnaaiehphike"",")</f>
        <v>"hieejlcohhkjbpiihgphcnaaiehphike",</v>
      </c>
    </row>
    <row r="9643">
      <c r="A9643" s="4"/>
      <c r="B9643" s="4" t="s">
        <v>28735</v>
      </c>
      <c r="C9643" s="16" t="str">
        <f>IFERROR(__xludf.DUMMYFUNCTION(""""""""" &amp; REGEXEXTRACT(B9643, ""/detail/([^/?]+)"") &amp; """""","""),"""ojhbpfjdbcmlkmpcanmmachdgikeomoi"",")</f>
        <v>"ojhbpfjdbcmlkmpcanmmachdgikeomoi",</v>
      </c>
    </row>
    <row r="9644">
      <c r="A9644" s="4"/>
      <c r="B9644" s="4" t="s">
        <v>28736</v>
      </c>
      <c r="C9644" s="16" t="str">
        <f>IFERROR(__xludf.DUMMYFUNCTION(""""""""" &amp; REGEXEXTRACT(B9644, ""/detail/([^/?]+)"") &amp; """""","""),"""pnigdoplofihnihlkaoenaijpkpgaoaa"",")</f>
        <v>"pnigdoplofihnihlkaoenaijpkpgaoaa",</v>
      </c>
    </row>
    <row r="9645">
      <c r="A9645" s="4"/>
      <c r="B9645" s="4" t="s">
        <v>28737</v>
      </c>
      <c r="C9645" s="16" t="str">
        <f>IFERROR(__xludf.DUMMYFUNCTION(""""""""" &amp; REGEXEXTRACT(B9645, ""/detail/([^/?]+)"") &amp; """""","""),"""olddfhipinhhfbhhfodcnaalbcgmbida"",")</f>
        <v>"olddfhipinhhfbhhfodcnaalbcgmbida",</v>
      </c>
    </row>
    <row r="9646">
      <c r="A9646" s="4"/>
      <c r="B9646" s="4" t="s">
        <v>28738</v>
      </c>
      <c r="C9646" s="16" t="str">
        <f>IFERROR(__xludf.DUMMYFUNCTION(""""""""" &amp; REGEXEXTRACT(B9646, ""/detail/([^/?]+)"") &amp; """""","""),"""fljcgdiejmmkldmmpnoaijajjgpcncnb"",")</f>
        <v>"fljcgdiejmmkldmmpnoaijajjgpcncnb",</v>
      </c>
    </row>
    <row r="9647">
      <c r="A9647" s="4"/>
      <c r="B9647" s="4" t="s">
        <v>9675</v>
      </c>
      <c r="C9647" s="16" t="str">
        <f>IFERROR(__xludf.DUMMYFUNCTION(""""""""" &amp; REGEXEXTRACT(B9647, ""/detail/([^/?]+)"") &amp; """""","""),"""fbhokgdamjkkacelimdbfbnfnmbeklpm"",")</f>
        <v>"fbhokgdamjkkacelimdbfbnfnmbeklpm",</v>
      </c>
    </row>
    <row r="9648">
      <c r="A9648" s="4"/>
      <c r="B9648" s="4" t="s">
        <v>6423</v>
      </c>
      <c r="C9648" s="16" t="str">
        <f>IFERROR(__xludf.DUMMYFUNCTION(""""""""" &amp; REGEXEXTRACT(B9648, ""/detail/([^/?]+)"") &amp; """""","""),"""epdelmeadnnoadlcalkmacoopocdafnp"",")</f>
        <v>"epdelmeadnnoadlcalkmacoopocdafnp",</v>
      </c>
    </row>
    <row r="9649">
      <c r="A9649" s="4"/>
      <c r="B9649" s="4" t="s">
        <v>18827</v>
      </c>
      <c r="C9649" s="16" t="str">
        <f>IFERROR(__xludf.DUMMYFUNCTION(""""""""" &amp; REGEXEXTRACT(B9649, ""/detail/([^/?]+)"") &amp; """""","""),"""elhbemppjhmjcpncnehjckaeldpbibih"",")</f>
        <v>"elhbemppjhmjcpncnehjckaeldpbibih",</v>
      </c>
    </row>
    <row r="9650">
      <c r="A9650" s="4"/>
      <c r="B9650" s="4" t="s">
        <v>6425</v>
      </c>
      <c r="C9650" s="16" t="str">
        <f>IFERROR(__xludf.DUMMYFUNCTION(""""""""" &amp; REGEXEXTRACT(B9650, ""/detail/([^/?]+)"") &amp; """""","""),"""ekegjbcgahdlpdhjohalkecfeknpbfke"",")</f>
        <v>"ekegjbcgahdlpdhjohalkecfeknpbfke",</v>
      </c>
    </row>
    <row r="9651">
      <c r="A9651" s="4"/>
      <c r="B9651" s="4" t="s">
        <v>4931</v>
      </c>
      <c r="C9651" s="16" t="str">
        <f>IFERROR(__xludf.DUMMYFUNCTION(""""""""" &amp; REGEXEXTRACT(B9651, ""/detail/([^/?]+)"") &amp; """""","""),"""eedchpibggikoahhgjpikeacbnlnnfge"",")</f>
        <v>"eedchpibggikoahhgjpikeacbnlnnfge",</v>
      </c>
    </row>
    <row r="9652">
      <c r="A9652" s="4"/>
      <c r="B9652" s="4" t="s">
        <v>9677</v>
      </c>
      <c r="C9652" s="16" t="str">
        <f>IFERROR(__xludf.DUMMYFUNCTION(""""""""" &amp; REGEXEXTRACT(B9652, ""/detail/([^/?]+)"") &amp; """""","""),"""edgbjbffofakeeamgpgapedgcomfbmml"",")</f>
        <v>"edgbjbffofakeeamgpgapedgcomfbmml",</v>
      </c>
    </row>
    <row r="9653">
      <c r="A9653" s="4"/>
      <c r="B9653" s="4" t="s">
        <v>4443</v>
      </c>
      <c r="C9653" s="16" t="str">
        <f>IFERROR(__xludf.DUMMYFUNCTION(""""""""" &amp; REGEXEXTRACT(B9653, ""/detail/([^/?]+)"") &amp; """""","""),"""dodniekpimecafnhdbfaihfgdgbihhjl"",")</f>
        <v>"dodniekpimecafnhdbfaihfgdgbihhjl",</v>
      </c>
    </row>
    <row r="9654">
      <c r="A9654" s="4"/>
      <c r="B9654" s="4" t="s">
        <v>15884</v>
      </c>
      <c r="C9654" s="16" t="str">
        <f>IFERROR(__xludf.DUMMYFUNCTION(""""""""" &amp; REGEXEXTRACT(B9654, ""/detail/([^/?]+)"") &amp; """""","""),"""dkahhckcjhglekflgjmmmmmkpffnhnka"",")</f>
        <v>"dkahhckcjhglekflgjmmmmmkpffnhnka",</v>
      </c>
    </row>
    <row r="9655">
      <c r="A9655" s="4"/>
      <c r="B9655" s="4" t="s">
        <v>642</v>
      </c>
      <c r="C9655" s="16" t="str">
        <f>IFERROR(__xludf.DUMMYFUNCTION(""""""""" &amp; REGEXEXTRACT(B9655, ""/detail/([^/?]+)"") &amp; """""","""),"""cpbghpalffgmgocmnigfhalghmaemffo"",")</f>
        <v>"cpbghpalffgmgocmnigfhalghmaemffo",</v>
      </c>
    </row>
    <row r="9656">
      <c r="A9656" s="4"/>
      <c r="B9656" s="4" t="s">
        <v>6427</v>
      </c>
      <c r="C9656" s="16" t="str">
        <f>IFERROR(__xludf.DUMMYFUNCTION(""""""""" &amp; REGEXEXTRACT(B9656, ""/detail/([^/?]+)"") &amp; """""","""),"""cjianfjpjmljmhjjphoepbdieknkfkfb"",")</f>
        <v>"cjianfjpjmljmhjjphoepbdieknkfkfb",</v>
      </c>
    </row>
    <row r="9657">
      <c r="A9657" s="4"/>
      <c r="B9657" s="4" t="s">
        <v>3497</v>
      </c>
      <c r="C9657" s="16" t="str">
        <f>IFERROR(__xludf.DUMMYFUNCTION(""""""""" &amp; REGEXEXTRACT(B9657, ""/detail/([^/?]+)"") &amp; """""","""),"""cjhmhnomplgoidnkjdacpmpccmaplnmk"",")</f>
        <v>"cjhmhnomplgoidnkjdacpmpccmaplnmk",</v>
      </c>
    </row>
    <row r="9658">
      <c r="A9658" s="4"/>
      <c r="B9658" s="4" t="s">
        <v>2097</v>
      </c>
      <c r="C9658" s="16" t="str">
        <f>IFERROR(__xludf.DUMMYFUNCTION(""""""""" &amp; REGEXEXTRACT(B9658, ""/detail/([^/?]+)"") &amp; """""","""),"""cdfjbkbddpfnoplfhceolpopfoepleco"",")</f>
        <v>"cdfjbkbddpfnoplfhceolpopfoepleco",</v>
      </c>
    </row>
    <row r="9659">
      <c r="A9659" s="4"/>
      <c r="B9659" s="4" t="s">
        <v>13816</v>
      </c>
      <c r="C9659" s="16" t="str">
        <f>IFERROR(__xludf.DUMMYFUNCTION(""""""""" &amp; REGEXEXTRACT(B9659, ""/detail/([^/?]+)"") &amp; """""","""),"""pohakmokiogdbhiocmacgalcmnfdbbne"",")</f>
        <v>"pohakmokiogdbhiocmacgalcmnfdbbne",</v>
      </c>
    </row>
    <row r="9660">
      <c r="A9660" s="4"/>
      <c r="B9660" s="4" t="s">
        <v>4445</v>
      </c>
      <c r="C9660" s="16" t="str">
        <f>IFERROR(__xludf.DUMMYFUNCTION(""""""""" &amp; REGEXEXTRACT(B9660, ""/detail/([^/?]+)"") &amp; """""","""),"""knajdeaocbpmfghhmijicidfcmdgbdpm"",")</f>
        <v>"knajdeaocbpmfghhmijicidfcmdgbdpm",</v>
      </c>
    </row>
    <row r="9661">
      <c r="A9661" s="4"/>
      <c r="B9661" s="4" t="s">
        <v>9679</v>
      </c>
      <c r="C9661" s="16" t="str">
        <f>IFERROR(__xludf.DUMMYFUNCTION(""""""""" &amp; REGEXEXTRACT(B9661, ""/detail/([^/?]+)"") &amp; """""","""),"""fcgmgjnnohnmfaafkjpbinakabldfbag"",")</f>
        <v>"fcgmgjnnohnmfaafkjpbinakabldfbag",</v>
      </c>
    </row>
    <row r="9662">
      <c r="A9662" s="4"/>
      <c r="B9662" s="4" t="s">
        <v>566</v>
      </c>
      <c r="C9662" s="16" t="str">
        <f>IFERROR(__xludf.DUMMYFUNCTION(""""""""" &amp; REGEXEXTRACT(B9662, ""/detail/([^/?]+)"") &amp; """""","""),"""mcpmofnlkemfkhgngcdppgbhncoflmpe"",")</f>
        <v>"mcpmofnlkemfkhgngcdppgbhncoflmpe",</v>
      </c>
    </row>
    <row r="9663">
      <c r="A9663" s="4"/>
      <c r="B9663" s="4" t="s">
        <v>28739</v>
      </c>
      <c r="C9663" s="16" t="str">
        <f>IFERROR(__xludf.DUMMYFUNCTION(""""""""" &amp; REGEXEXTRACT(B9663, ""/detail/([^/?]+)"") &amp; """""","""),"""gofoiidmaddmkhlbdijenihhboliecop"",")</f>
        <v>"gofoiidmaddmkhlbdijenihhboliecop",</v>
      </c>
    </row>
    <row r="9664">
      <c r="A9664" s="4"/>
      <c r="B9664" s="4" t="s">
        <v>9681</v>
      </c>
      <c r="C9664" s="16" t="str">
        <f>IFERROR(__xludf.DUMMYFUNCTION(""""""""" &amp; REGEXEXTRACT(B9664, ""/detail/([^/?]+)"") &amp; """""","""),"""pofafboibjkfombpgmfaeepeehfcfahm"",")</f>
        <v>"pofafboibjkfombpgmfaeepeehfcfahm",</v>
      </c>
    </row>
    <row r="9665">
      <c r="A9665" s="4"/>
      <c r="B9665" s="4" t="s">
        <v>17244</v>
      </c>
      <c r="C9665" s="16" t="str">
        <f>IFERROR(__xludf.DUMMYFUNCTION(""""""""" &amp; REGEXEXTRACT(B9665, ""/detail/([^/?]+)"") &amp; """""","""),"""lgbennneeiaagpbialihidiohfkcagph"",")</f>
        <v>"lgbennneeiaagpbialihidiohfkcagph",</v>
      </c>
    </row>
    <row r="9666">
      <c r="A9666" s="4"/>
      <c r="B9666" s="4" t="s">
        <v>4081</v>
      </c>
      <c r="C9666" s="16" t="str">
        <f>IFERROR(__xludf.DUMMYFUNCTION(""""""""" &amp; REGEXEXTRACT(B9666, ""/detail/([^/?]+)"") &amp; """""","""),"""haddeapjmjfedabajnkgleefejhglkdk"",")</f>
        <v>"haddeapjmjfedabajnkgleefejhglkdk",</v>
      </c>
    </row>
    <row r="9667">
      <c r="A9667" s="4"/>
      <c r="B9667" s="4" t="s">
        <v>13818</v>
      </c>
      <c r="C9667" s="16" t="str">
        <f>IFERROR(__xludf.DUMMYFUNCTION(""""""""" &amp; REGEXEXTRACT(B9667, ""/detail/([^/?]+)"") &amp; """""","""),"""bahhfoidnfogingiolidoidmlkogjlhp"",")</f>
        <v>"bahhfoidnfogingiolidoidmlkogjlhp",</v>
      </c>
    </row>
    <row r="9668">
      <c r="A9668" s="4"/>
      <c r="B9668" s="4" t="s">
        <v>13820</v>
      </c>
      <c r="C9668" s="16" t="str">
        <f>IFERROR(__xludf.DUMMYFUNCTION(""""""""" &amp; REGEXEXTRACT(B9668, ""/detail/([^/?]+)"") &amp; """""","""),"""fhemegfjjpfaopgfojmahgbmjjnkldpl"",")</f>
        <v>"fhemegfjjpfaopgfojmahgbmjjnkldpl",</v>
      </c>
    </row>
    <row r="9669">
      <c r="A9669" s="4"/>
      <c r="B9669" s="4" t="s">
        <v>1521</v>
      </c>
      <c r="C9669" s="16" t="str">
        <f>IFERROR(__xludf.DUMMYFUNCTION(""""""""" &amp; REGEXEXTRACT(B9669, ""/detail/([^/?]+)"") &amp; """""","""),"""ahbkhnpmoamidjgbneafjipbmdfpefad"",")</f>
        <v>"ahbkhnpmoamidjgbneafjipbmdfpefad",</v>
      </c>
    </row>
    <row r="9670">
      <c r="A9670" s="4"/>
      <c r="B9670" s="4" t="s">
        <v>13822</v>
      </c>
      <c r="C9670" s="16" t="str">
        <f>IFERROR(__xludf.DUMMYFUNCTION(""""""""" &amp; REGEXEXTRACT(B9670, ""/detail/([^/?]+)"") &amp; """""","""),"""kcmahlhoenfpefmeoihnddopdcdidcjk"",")</f>
        <v>"kcmahlhoenfpefmeoihnddopdcdidcjk",</v>
      </c>
    </row>
    <row r="9671">
      <c r="A9671" s="4"/>
      <c r="B9671" s="4" t="s">
        <v>28740</v>
      </c>
      <c r="C9671" s="16" t="str">
        <f>IFERROR(__xludf.DUMMYFUNCTION(""""""""" &amp; REGEXEXTRACT(B9671, ""/detail/([^/?]+)"") &amp; """""","""),"""cohnecpfcfoihjedibnggaoaibnphoeo"",")</f>
        <v>"cohnecpfcfoihjedibnggaoaibnphoeo",</v>
      </c>
    </row>
    <row r="9672">
      <c r="A9672" s="4"/>
      <c r="B9672" s="4" t="s">
        <v>13824</v>
      </c>
      <c r="C9672" s="16" t="str">
        <f>IFERROR(__xludf.DUMMYFUNCTION(""""""""" &amp; REGEXEXTRACT(B9672, ""/detail/([^/?]+)"") &amp; """""","""),"""mnannclpojfocmcjfhoicjbkjllajfhg"",")</f>
        <v>"mnannclpojfocmcjfhoicjbkjllajfhg",</v>
      </c>
    </row>
  </sheetData>
  <drawing r:id="rId1"/>
</worksheet>
</file>